
<file path=[Content_Types].xml><?xml version="1.0" encoding="utf-8"?>
<Types xmlns="http://schemas.openxmlformats.org/package/2006/content-types">
  <Override PartName="/xl/charts/chart6.xml" ContentType="application/vnd.openxmlformats-officedocument.drawingml.chart+xml"/>
  <Override PartName="/xl/worksheets/sheet9.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Default Extension="bin" ContentType="application/vnd.openxmlformats-officedocument.spreadsheetml.printerSettings"/>
  <Default Extension="png" ContentType="image/png"/>
  <Override PartName="/xl/charts/chart7.xml" ContentType="application/vnd.openxmlformats-officedocument.drawingml.chart+xml"/>
  <Override PartName="/xl/charts/chart10.xml" ContentType="application/vnd.openxmlformats-officedocument.drawingml.char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Default Extension="jpeg" ContentType="image/jpeg"/>
  <Override PartName="/xl/drawings/drawing5.xml" ContentType="application/vnd.openxmlformats-officedocument.drawing+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bookViews>
    <workbookView xWindow="0" yWindow="0" windowWidth="20730" windowHeight="11760" firstSheet="1" activeTab="8"/>
  </bookViews>
  <sheets>
    <sheet name="Титул" sheetId="19" r:id="rId1"/>
    <sheet name="Інструкція" sheetId="2" r:id="rId2"/>
    <sheet name="0_Загальне" sheetId="3" r:id="rId3"/>
    <sheet name="Законод" sheetId="7" r:id="rId4"/>
    <sheet name="01_Доходи" sheetId="4" r:id="rId5"/>
    <sheet name="02_Видатки" sheetId="17" r:id="rId6"/>
    <sheet name="03_МТО" sheetId="13" r:id="rId7"/>
    <sheet name="04_Фін_стійкість" sheetId="1" r:id="rId8"/>
    <sheet name="05_Фін_план" sheetId="8" r:id="rId9"/>
    <sheet name="ДРУК" sheetId="10" r:id="rId10"/>
    <sheet name="Графіки" sheetId="18"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XGRAPH3" localSheetId="5" hidden="1">[1]GDP!#REF!</definedName>
    <definedName name="__123Graph_XGRAPH3" localSheetId="0" hidden="1">[1]GDP!#REF!</definedName>
    <definedName name="__123Graph_XGRAPH3" hidden="1">[1]GDP!#REF!</definedName>
    <definedName name="_xlnm._FilterDatabase" localSheetId="6" hidden="1">'03_МТО'!$B$20:$E$20</definedName>
    <definedName name="ad">'[2]МТР Газ України'!$B$1</definedName>
    <definedName name="as">'[3]МТР Газ України'!$B$1</definedName>
    <definedName name="asdf">[4]Inform!$E$6</definedName>
    <definedName name="asdfg">[4]Inform!$F$2</definedName>
    <definedName name="BuiltIn_Print_Area___1___1" localSheetId="5">#REF!</definedName>
    <definedName name="BuiltIn_Print_Area___1___1">#REF!</definedName>
    <definedName name="ClDate">[5]Inform!$E$6</definedName>
    <definedName name="ClDate_21">[6]Inform!$E$6</definedName>
    <definedName name="ClDate_25">[6]Inform!$E$6</definedName>
    <definedName name="ClDate_6">[7]Inform!$E$6</definedName>
    <definedName name="CompName">[5]Inform!$F$2</definedName>
    <definedName name="CompName_21">[6]Inform!$F$2</definedName>
    <definedName name="CompName_25">[6]Inform!$F$2</definedName>
    <definedName name="CompName_6">[7]Inform!$F$2</definedName>
    <definedName name="CompNameE">[5]Inform!$G$2</definedName>
    <definedName name="CompNameE_21">[6]Inform!$G$2</definedName>
    <definedName name="CompNameE_25">[6]Inform!$G$2</definedName>
    <definedName name="CompNameE_6">[7]Inform!$G$2</definedName>
    <definedName name="Cost_Category_National_ID" localSheetId="5">#REF!</definedName>
    <definedName name="Cost_Category_National_ID">#REF!</definedName>
    <definedName name="Cе511" localSheetId="5">#REF!</definedName>
    <definedName name="Cе511">#REF!</definedName>
    <definedName name="d">'[8]МТР Газ України'!$B$4</definedName>
    <definedName name="dCPIb" localSheetId="5">[9]попер_роз!#REF!</definedName>
    <definedName name="dCPIb">[9]попер_роз!#REF!</definedName>
    <definedName name="dPPIb" localSheetId="5">[9]попер_роз!#REF!</definedName>
    <definedName name="dPPIb">[9]попер_роз!#REF!</definedName>
    <definedName name="ds" localSheetId="5">'[10]7  Інші витрати'!#REF!</definedName>
    <definedName name="ds">'[10]7  Інші витрати'!#REF!</definedName>
    <definedName name="Fact_Type_ID" localSheetId="5">#REF!</definedName>
    <definedName name="Fact_Type_ID">#REF!</definedName>
    <definedName name="G">'[11]МТР Газ України'!$B$1</definedName>
    <definedName name="ij1sssss" localSheetId="5">'[12]7  Інші витрати'!#REF!</definedName>
    <definedName name="ij1sssss">'[12]7  Інші витрати'!#REF!</definedName>
    <definedName name="LastItem">[13]Лист1!$A$1</definedName>
    <definedName name="Load">'[14]МТР Газ України'!$B$4</definedName>
    <definedName name="Load_ID">'[15]МТР Газ України'!$B$4</definedName>
    <definedName name="Load_ID_10" localSheetId="5">'[16]7  Інші витрати'!#REF!</definedName>
    <definedName name="Load_ID_10">'[16]7  Інші витрати'!#REF!</definedName>
    <definedName name="Load_ID_11">'[17]МТР Газ України'!$B$4</definedName>
    <definedName name="Load_ID_12">'[17]МТР Газ України'!$B$4</definedName>
    <definedName name="Load_ID_13">'[17]МТР Газ України'!$B$4</definedName>
    <definedName name="Load_ID_14">'[17]МТР Газ України'!$B$4</definedName>
    <definedName name="Load_ID_15">'[17]МТР Газ України'!$B$4</definedName>
    <definedName name="Load_ID_16">'[17]МТР Газ України'!$B$4</definedName>
    <definedName name="Load_ID_17">'[17]МТР Газ України'!$B$4</definedName>
    <definedName name="Load_ID_18">'[18]МТР Газ України'!$B$4</definedName>
    <definedName name="Load_ID_19">'[19]МТР Газ України'!$B$4</definedName>
    <definedName name="Load_ID_20">'[18]МТР Газ України'!$B$4</definedName>
    <definedName name="Load_ID_200">'[14]МТР Газ України'!$B$4</definedName>
    <definedName name="Load_ID_21">'[20]МТР Газ України'!$B$4</definedName>
    <definedName name="Load_ID_23">'[19]МТР Газ України'!$B$4</definedName>
    <definedName name="Load_ID_25">'[20]МТР Газ України'!$B$4</definedName>
    <definedName name="Load_ID_542">'[21]МТР Газ України'!$B$4</definedName>
    <definedName name="Load_ID_6">'[17]МТР Газ України'!$B$4</definedName>
    <definedName name="OLE_LINK1" localSheetId="1">Інструкція!#REF!</definedName>
    <definedName name="OpDate">[5]Inform!$E$5</definedName>
    <definedName name="OpDate_21">[6]Inform!$E$5</definedName>
    <definedName name="OpDate_25">[6]Inform!$E$5</definedName>
    <definedName name="OpDate_6">[7]Inform!$E$5</definedName>
    <definedName name="QR">[22]Inform!$E$5</definedName>
    <definedName name="qw">[4]Inform!$E$5</definedName>
    <definedName name="qwert">[4]Inform!$G$2</definedName>
    <definedName name="qwerty">'[3]МТР Газ України'!$B$4</definedName>
    <definedName name="ShowFil" localSheetId="5">[13]!ShowFil</definedName>
    <definedName name="ShowFil">[13]!ShowFil</definedName>
    <definedName name="SU_ID" localSheetId="5">#REF!</definedName>
    <definedName name="SU_ID">#REF!</definedName>
    <definedName name="Time_ID">'[15]МТР Газ України'!$B$1</definedName>
    <definedName name="Time_ID_10" localSheetId="5">'[16]7  Інші витрати'!#REF!</definedName>
    <definedName name="Time_ID_10">'[16]7  Інші витрати'!#REF!</definedName>
    <definedName name="Time_ID_11">'[17]МТР Газ України'!$B$1</definedName>
    <definedName name="Time_ID_12">'[17]МТР Газ України'!$B$1</definedName>
    <definedName name="Time_ID_13">'[17]МТР Газ України'!$B$1</definedName>
    <definedName name="Time_ID_14">'[17]МТР Газ України'!$B$1</definedName>
    <definedName name="Time_ID_15">'[17]МТР Газ України'!$B$1</definedName>
    <definedName name="Time_ID_16">'[17]МТР Газ України'!$B$1</definedName>
    <definedName name="Time_ID_17">'[17]МТР Газ України'!$B$1</definedName>
    <definedName name="Time_ID_18">'[18]МТР Газ України'!$B$1</definedName>
    <definedName name="Time_ID_19">'[19]МТР Газ України'!$B$1</definedName>
    <definedName name="Time_ID_20">'[18]МТР Газ України'!$B$1</definedName>
    <definedName name="Time_ID_21">'[20]МТР Газ України'!$B$1</definedName>
    <definedName name="Time_ID_23">'[19]МТР Газ України'!$B$1</definedName>
    <definedName name="Time_ID_25">'[20]МТР Газ України'!$B$1</definedName>
    <definedName name="Time_ID_6">'[17]МТР Газ України'!$B$1</definedName>
    <definedName name="Time_ID0">'[15]МТР Газ України'!$F$1</definedName>
    <definedName name="Time_ID0_10" localSheetId="5">'[16]7  Інші витрати'!#REF!</definedName>
    <definedName name="Time_ID0_10">'[16]7  Інші витрати'!#REF!</definedName>
    <definedName name="Time_ID0_11">'[17]МТР Газ України'!$F$1</definedName>
    <definedName name="Time_ID0_12">'[17]МТР Газ України'!$F$1</definedName>
    <definedName name="Time_ID0_13">'[17]МТР Газ України'!$F$1</definedName>
    <definedName name="Time_ID0_14">'[17]МТР Газ України'!$F$1</definedName>
    <definedName name="Time_ID0_15">'[17]МТР Газ України'!$F$1</definedName>
    <definedName name="Time_ID0_16">'[17]МТР Газ України'!$F$1</definedName>
    <definedName name="Time_ID0_17">'[17]МТР Газ України'!$F$1</definedName>
    <definedName name="Time_ID0_18">'[18]МТР Газ України'!$F$1</definedName>
    <definedName name="Time_ID0_19">'[19]МТР Газ України'!$F$1</definedName>
    <definedName name="Time_ID0_20">'[18]МТР Газ України'!$F$1</definedName>
    <definedName name="Time_ID0_21">'[20]МТР Газ України'!$F$1</definedName>
    <definedName name="Time_ID0_23">'[19]МТР Газ України'!$F$1</definedName>
    <definedName name="Time_ID0_25">'[20]МТР Газ України'!$F$1</definedName>
    <definedName name="Time_ID0_6">'[17]МТР Газ України'!$F$1</definedName>
    <definedName name="ttttttt" localSheetId="5">#REF!</definedName>
    <definedName name="ttttttt">#REF!</definedName>
    <definedName name="Unit">[5]Inform!$E$38</definedName>
    <definedName name="Unit_21">[6]Inform!$E$38</definedName>
    <definedName name="Unit_25">[6]Inform!$E$38</definedName>
    <definedName name="Unit_6">[7]Inform!$E$38</definedName>
    <definedName name="WQER">'[23]МТР Газ України'!$B$4</definedName>
    <definedName name="wr">'[23]МТР Газ України'!$B$4</definedName>
    <definedName name="yyyy" localSheetId="5">#REF!</definedName>
    <definedName name="yyyy">#REF!</definedName>
    <definedName name="zx">'[3]МТР Газ України'!$F$1</definedName>
    <definedName name="zxc">[4]Inform!$E$38</definedName>
    <definedName name="а" localSheetId="5">'[12]7  Інші витрати'!#REF!</definedName>
    <definedName name="а">'[12]7  Інші витрати'!#REF!</definedName>
    <definedName name="ав" localSheetId="5">#REF!</definedName>
    <definedName name="ав">#REF!</definedName>
    <definedName name="аен">'[23]МТР Газ України'!$B$4</definedName>
    <definedName name="_xlnm.Database">'[24]Ener '!$A$1:$G$2645</definedName>
    <definedName name="в">'[25]МТР Газ України'!$F$1</definedName>
    <definedName name="ватт" localSheetId="5">'[26]БАЗА  '!#REF!</definedName>
    <definedName name="ватт">'[26]БАЗА  '!#REF!</definedName>
    <definedName name="Д">'[14]МТР Газ України'!$B$4</definedName>
    <definedName name="до_1_року">'03_МТО'!$G$3:$G$17</definedName>
    <definedName name="е" localSheetId="5">#REF!</definedName>
    <definedName name="е">#REF!</definedName>
    <definedName name="є" localSheetId="5">#REF!</definedName>
    <definedName name="є">#REF!</definedName>
    <definedName name="_xlnm.Print_Titles" localSheetId="8">'05_Фін_план'!$39:$41</definedName>
    <definedName name="Заголовки_для_печати_МИ">'[27]1993'!$A$1:$IV$3,'[27]1993'!$A$1:$A$65536</definedName>
    <definedName name="і">[28]Inform!$F$2</definedName>
    <definedName name="ів" localSheetId="5">#REF!</definedName>
    <definedName name="ів">#REF!</definedName>
    <definedName name="ів___0" localSheetId="5">#REF!</definedName>
    <definedName name="ів___0">#REF!</definedName>
    <definedName name="ів_22" localSheetId="5">#REF!</definedName>
    <definedName name="ів_22">#REF!</definedName>
    <definedName name="ів_26" localSheetId="5">#REF!</definedName>
    <definedName name="ів_26">#REF!</definedName>
    <definedName name="іваіа" localSheetId="5">'[29]7  Інші витрати'!#REF!</definedName>
    <definedName name="іваіа">'[29]7  Інші витрати'!#REF!</definedName>
    <definedName name="іваф" localSheetId="5">#REF!</definedName>
    <definedName name="іваф">#REF!</definedName>
    <definedName name="івів">'[11]МТР Газ України'!$B$1</definedName>
    <definedName name="іцу">[22]Inform!$G$2</definedName>
    <definedName name="йуц" localSheetId="5">#REF!</definedName>
    <definedName name="йуц">#REF!</definedName>
    <definedName name="йцу" localSheetId="5">#REF!</definedName>
    <definedName name="йцу">#REF!</definedName>
    <definedName name="йцуйй" localSheetId="5">#REF!</definedName>
    <definedName name="йцуйй">#REF!</definedName>
    <definedName name="йцукц" localSheetId="5">'[29]7  Інші витрати'!#REF!</definedName>
    <definedName name="йцукц">'[29]7  Інші витрати'!#REF!</definedName>
    <definedName name="КЕ" localSheetId="5">#REF!</definedName>
    <definedName name="КЕ">#REF!</definedName>
    <definedName name="КЕ___0" localSheetId="5">#REF!</definedName>
    <definedName name="КЕ___0">#REF!</definedName>
    <definedName name="КЕ_22" localSheetId="5">#REF!</definedName>
    <definedName name="КЕ_22">#REF!</definedName>
    <definedName name="КЕ_26" localSheetId="5">#REF!</definedName>
    <definedName name="КЕ_26">#REF!</definedName>
    <definedName name="кен" localSheetId="5">#REF!</definedName>
    <definedName name="кен">#REF!</definedName>
    <definedName name="л" localSheetId="5">#REF!</definedName>
    <definedName name="л">#REF!</definedName>
    <definedName name="лікарі">'01_Доходи'!$A$3:$B$14</definedName>
    <definedName name="_xlnm.Print_Area" localSheetId="5">'02_Видатки'!$A$1:$BL$217</definedName>
    <definedName name="_xlnm.Print_Area" localSheetId="7">'04_Фін_стійкість'!$A$1:$I$48</definedName>
    <definedName name="_xlnm.Print_Area" localSheetId="8">'05_Фін_план'!$A$1:$H$170</definedName>
    <definedName name="_xlnm.Print_Area" localSheetId="9">ДРУК!$A$1:$H$24</definedName>
    <definedName name="п" localSheetId="5">'[12]7  Інші витрати'!#REF!</definedName>
    <definedName name="п">'[12]7  Інші витрати'!#REF!</definedName>
    <definedName name="пдв">'[14]МТР Газ України'!$B$4</definedName>
    <definedName name="пдв_утг">'[14]МТР Газ України'!$F$1</definedName>
    <definedName name="План" localSheetId="5">#REF!</definedName>
    <definedName name="План">#REF!</definedName>
    <definedName name="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 localSheetId="5">#REF!</definedName>
    <definedName name="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#REF!</definedName>
    <definedName name="ппп">[30]Inform!$E$6</definedName>
    <definedName name="р" localSheetId="5">#REF!</definedName>
    <definedName name="р">#REF!</definedName>
    <definedName name="сімейний" localSheetId="3">Законод!#REF!</definedName>
    <definedName name="сімейний" localSheetId="0">'[31]01_Доходи'!#REF!</definedName>
    <definedName name="сімейний">'01_Доходи'!#REF!</definedName>
    <definedName name="т">[32]Inform!$E$6</definedName>
    <definedName name="тариф">[33]Inform!$G$2</definedName>
    <definedName name="уйцукйцуйу" localSheetId="5">#REF!</definedName>
    <definedName name="уйцукйцуйу">#REF!</definedName>
    <definedName name="уке">[34]Inform!$G$2</definedName>
    <definedName name="УТГ">'[14]МТР Газ України'!$B$4</definedName>
    <definedName name="фів">'[23]МТР Газ України'!$B$4</definedName>
    <definedName name="фіваіф" localSheetId="5">'[29]7  Інші витрати'!#REF!</definedName>
    <definedName name="фіваіф">'[29]7  Інші витрати'!#REF!</definedName>
    <definedName name="фф">'[25]МТР Газ України'!$F$1</definedName>
    <definedName name="ц" localSheetId="5">'[12]7  Інші витрати'!#REF!</definedName>
    <definedName name="ц">'[12]7  Інші витрати'!#REF!</definedName>
    <definedName name="ччч" localSheetId="5">'[35]БАЗА  '!#REF!</definedName>
    <definedName name="ччч">'[35]БАЗА  '!#REF!</definedName>
    <definedName name="ш" localSheetId="5">#REF!</definedName>
    <definedName name="ш">#REF!</definedName>
  </definedNames>
  <calcPr calcId="114210" fullCalcOnLoad="1"/>
</workbook>
</file>

<file path=xl/calcChain.xml><?xml version="1.0" encoding="utf-8"?>
<calcChain xmlns="http://schemas.openxmlformats.org/spreadsheetml/2006/main">
  <c r="X78" i="17"/>
  <c r="Y78"/>
  <c r="Z78"/>
  <c r="W78"/>
  <c r="X83"/>
  <c r="Y83"/>
  <c r="Z83"/>
  <c r="W83"/>
  <c r="X105"/>
  <c r="Y105"/>
  <c r="Z105"/>
  <c r="W105"/>
  <c r="X102"/>
  <c r="Y102"/>
  <c r="Z102"/>
  <c r="W102"/>
  <c r="Z80"/>
  <c r="Y80"/>
  <c r="X80"/>
  <c r="W80"/>
  <c r="X75"/>
  <c r="Y75"/>
  <c r="Z75"/>
  <c r="W75"/>
  <c r="AH21"/>
  <c r="AI21"/>
  <c r="AJ21"/>
  <c r="AG21"/>
  <c r="AH20"/>
  <c r="AI20"/>
  <c r="AJ20"/>
  <c r="AG20"/>
  <c r="AG75"/>
  <c r="AH75"/>
  <c r="AI75"/>
  <c r="AJ75"/>
  <c r="AG76"/>
  <c r="AH76"/>
  <c r="AI76"/>
  <c r="AJ76"/>
  <c r="AG77"/>
  <c r="AH77"/>
  <c r="AI77"/>
  <c r="AJ77"/>
  <c r="AH74"/>
  <c r="AI74"/>
  <c r="AJ74"/>
  <c r="AG74"/>
  <c r="D141" i="8"/>
  <c r="D134"/>
  <c r="D148"/>
  <c r="I148"/>
  <c r="D142"/>
  <c r="D135"/>
  <c r="D149"/>
  <c r="I149"/>
  <c r="D143"/>
  <c r="D136"/>
  <c r="D150"/>
  <c r="I150"/>
  <c r="X21" i="17"/>
  <c r="Y21"/>
  <c r="Z21"/>
  <c r="W21"/>
  <c r="X20"/>
  <c r="Y20"/>
  <c r="Z20"/>
  <c r="W20"/>
  <c r="E133" i="8"/>
  <c r="S68" i="4"/>
  <c r="S67"/>
  <c r="L68"/>
  <c r="L67"/>
  <c r="AG276"/>
  <c r="AG275"/>
  <c r="Z276"/>
  <c r="Z275"/>
  <c r="S276"/>
  <c r="S275"/>
  <c r="L276"/>
  <c r="L275"/>
  <c r="E275"/>
  <c r="AC264"/>
  <c r="AB264"/>
  <c r="AC263"/>
  <c r="AB263"/>
  <c r="AC262"/>
  <c r="AB262"/>
  <c r="V264"/>
  <c r="U264"/>
  <c r="V263"/>
  <c r="U263"/>
  <c r="V262"/>
  <c r="U262"/>
  <c r="O264"/>
  <c r="N264"/>
  <c r="O263"/>
  <c r="N263"/>
  <c r="O262"/>
  <c r="N262"/>
  <c r="G263"/>
  <c r="H263"/>
  <c r="G264"/>
  <c r="H264"/>
  <c r="H262"/>
  <c r="G262"/>
  <c r="AF238"/>
  <c r="AE238"/>
  <c r="AD238"/>
  <c r="AF237"/>
  <c r="AE237"/>
  <c r="AD237"/>
  <c r="AF236"/>
  <c r="AE236"/>
  <c r="AD236"/>
  <c r="Y238"/>
  <c r="X238"/>
  <c r="W238"/>
  <c r="Y237"/>
  <c r="X237"/>
  <c r="W237"/>
  <c r="Y236"/>
  <c r="X236"/>
  <c r="W236"/>
  <c r="R238"/>
  <c r="Q238"/>
  <c r="P238"/>
  <c r="R237"/>
  <c r="Q237"/>
  <c r="P237"/>
  <c r="R236"/>
  <c r="Q236"/>
  <c r="P236"/>
  <c r="K236"/>
  <c r="J236"/>
  <c r="I236"/>
  <c r="AF199"/>
  <c r="AE199"/>
  <c r="AD199"/>
  <c r="AC199"/>
  <c r="AB199"/>
  <c r="AF198"/>
  <c r="AE198"/>
  <c r="AD198"/>
  <c r="AC198"/>
  <c r="AB198"/>
  <c r="AF197"/>
  <c r="AE197"/>
  <c r="AD197"/>
  <c r="AC197"/>
  <c r="AB197"/>
  <c r="Y199"/>
  <c r="X199"/>
  <c r="W199"/>
  <c r="V199"/>
  <c r="U199"/>
  <c r="Y198"/>
  <c r="X198"/>
  <c r="W198"/>
  <c r="V198"/>
  <c r="U198"/>
  <c r="Y197"/>
  <c r="X197"/>
  <c r="W197"/>
  <c r="V197"/>
  <c r="U197"/>
  <c r="R199"/>
  <c r="Q199"/>
  <c r="P199"/>
  <c r="O199"/>
  <c r="N199"/>
  <c r="R198"/>
  <c r="Q198"/>
  <c r="P198"/>
  <c r="O198"/>
  <c r="N198"/>
  <c r="R197"/>
  <c r="Q197"/>
  <c r="P197"/>
  <c r="O197"/>
  <c r="N197"/>
  <c r="G198"/>
  <c r="H198"/>
  <c r="I198"/>
  <c r="J198"/>
  <c r="K198"/>
  <c r="G199"/>
  <c r="H199"/>
  <c r="I199"/>
  <c r="J199"/>
  <c r="K199"/>
  <c r="K197"/>
  <c r="J197"/>
  <c r="I197"/>
  <c r="H197"/>
  <c r="G197"/>
  <c r="AF147"/>
  <c r="AE147"/>
  <c r="AD147"/>
  <c r="AC147"/>
  <c r="AB147"/>
  <c r="AF146"/>
  <c r="AE146"/>
  <c r="AD146"/>
  <c r="AC146"/>
  <c r="AB146"/>
  <c r="AF145"/>
  <c r="AE145"/>
  <c r="AD145"/>
  <c r="AC145"/>
  <c r="AB145"/>
  <c r="Y147"/>
  <c r="X147"/>
  <c r="W147"/>
  <c r="V147"/>
  <c r="U147"/>
  <c r="Y146"/>
  <c r="X146"/>
  <c r="W146"/>
  <c r="V146"/>
  <c r="U146"/>
  <c r="Y145"/>
  <c r="X145"/>
  <c r="W145"/>
  <c r="V145"/>
  <c r="U145"/>
  <c r="R147"/>
  <c r="Q147"/>
  <c r="P147"/>
  <c r="O147"/>
  <c r="N147"/>
  <c r="R146"/>
  <c r="Q146"/>
  <c r="P146"/>
  <c r="O146"/>
  <c r="N146"/>
  <c r="R145"/>
  <c r="Q145"/>
  <c r="P145"/>
  <c r="O145"/>
  <c r="N145"/>
  <c r="G146"/>
  <c r="H146"/>
  <c r="I146"/>
  <c r="J146"/>
  <c r="K146"/>
  <c r="G147"/>
  <c r="H147"/>
  <c r="I147"/>
  <c r="J147"/>
  <c r="K147"/>
  <c r="K145"/>
  <c r="J145"/>
  <c r="I145"/>
  <c r="H145"/>
  <c r="G145"/>
  <c r="AF121"/>
  <c r="AE121"/>
  <c r="AD121"/>
  <c r="AC121"/>
  <c r="AF120"/>
  <c r="AE120"/>
  <c r="AD120"/>
  <c r="AC120"/>
  <c r="AF119"/>
  <c r="AE119"/>
  <c r="AD119"/>
  <c r="AC119"/>
  <c r="Y121"/>
  <c r="X121"/>
  <c r="W121"/>
  <c r="V121"/>
  <c r="Y120"/>
  <c r="X120"/>
  <c r="W120"/>
  <c r="V120"/>
  <c r="Y119"/>
  <c r="X119"/>
  <c r="W119"/>
  <c r="V119"/>
  <c r="R121"/>
  <c r="Q121"/>
  <c r="P121"/>
  <c r="O121"/>
  <c r="R120"/>
  <c r="Q120"/>
  <c r="P120"/>
  <c r="O120"/>
  <c r="R119"/>
  <c r="Q119"/>
  <c r="P119"/>
  <c r="O119"/>
  <c r="H120"/>
  <c r="I120"/>
  <c r="J120"/>
  <c r="K120"/>
  <c r="H121"/>
  <c r="I121"/>
  <c r="J121"/>
  <c r="K121"/>
  <c r="K119"/>
  <c r="J119"/>
  <c r="I119"/>
  <c r="H119"/>
  <c r="AE56"/>
  <c r="AD56"/>
  <c r="AC56"/>
  <c r="AB56"/>
  <c r="AE55"/>
  <c r="AD55"/>
  <c r="AC55"/>
  <c r="AB55"/>
  <c r="AE54"/>
  <c r="AD54"/>
  <c r="AC54"/>
  <c r="AB54"/>
  <c r="X56"/>
  <c r="W56"/>
  <c r="V56"/>
  <c r="U56"/>
  <c r="X55"/>
  <c r="W55"/>
  <c r="V55"/>
  <c r="U55"/>
  <c r="X54"/>
  <c r="W54"/>
  <c r="V54"/>
  <c r="U54"/>
  <c r="Q56"/>
  <c r="P56"/>
  <c r="O56"/>
  <c r="N56"/>
  <c r="Q55"/>
  <c r="P55"/>
  <c r="O55"/>
  <c r="N55"/>
  <c r="Q54"/>
  <c r="P54"/>
  <c r="O54"/>
  <c r="N54"/>
  <c r="G55"/>
  <c r="H55"/>
  <c r="I55"/>
  <c r="J55"/>
  <c r="G56"/>
  <c r="H56"/>
  <c r="I56"/>
  <c r="J56"/>
  <c r="J54"/>
  <c r="I54"/>
  <c r="H54"/>
  <c r="G54"/>
  <c r="AC43"/>
  <c r="AB43"/>
  <c r="AC42"/>
  <c r="AB42"/>
  <c r="AC41"/>
  <c r="AB41"/>
  <c r="V43"/>
  <c r="U43"/>
  <c r="V42"/>
  <c r="U42"/>
  <c r="V41"/>
  <c r="U41"/>
  <c r="O43"/>
  <c r="N43"/>
  <c r="O42"/>
  <c r="N42"/>
  <c r="O41"/>
  <c r="N41"/>
  <c r="G42"/>
  <c r="H42"/>
  <c r="G43"/>
  <c r="H43"/>
  <c r="H41"/>
  <c r="G41"/>
  <c r="E301"/>
  <c r="E67"/>
  <c r="D1366"/>
  <c r="E1366"/>
  <c r="F1366"/>
  <c r="G1366"/>
  <c r="G1359"/>
  <c r="G1360"/>
  <c r="F1360"/>
  <c r="E1360"/>
  <c r="D1360"/>
  <c r="H185" i="17"/>
  <c r="F185"/>
  <c r="E185"/>
  <c r="H169"/>
  <c r="H174"/>
  <c r="E169"/>
  <c r="E167"/>
  <c r="F172"/>
  <c r="G172"/>
  <c r="H172"/>
  <c r="E172"/>
  <c r="H138"/>
  <c r="E138"/>
  <c r="E163"/>
  <c r="H168"/>
  <c r="E168"/>
  <c r="F167"/>
  <c r="G167"/>
  <c r="H167"/>
  <c r="G163"/>
  <c r="F163"/>
  <c r="H163"/>
  <c r="H162"/>
  <c r="H159"/>
  <c r="G159"/>
  <c r="F159"/>
  <c r="E159"/>
  <c r="F158"/>
  <c r="G158"/>
  <c r="H158"/>
  <c r="E158"/>
  <c r="H156"/>
  <c r="G156"/>
  <c r="F156"/>
  <c r="E156"/>
  <c r="H155"/>
  <c r="G155"/>
  <c r="F155"/>
  <c r="E155"/>
  <c r="E147"/>
  <c r="E150"/>
  <c r="E146"/>
  <c r="H137"/>
  <c r="E137"/>
  <c r="H136"/>
  <c r="F1359" i="4"/>
  <c r="E1359"/>
  <c r="D1359"/>
  <c r="X61" i="17"/>
  <c r="Y61"/>
  <c r="Z61"/>
  <c r="W61"/>
  <c r="R46"/>
  <c r="S46"/>
  <c r="T46"/>
  <c r="U46"/>
  <c r="S45"/>
  <c r="T45"/>
  <c r="U45"/>
  <c r="R45"/>
  <c r="AH105"/>
  <c r="AI105"/>
  <c r="AJ105"/>
  <c r="AG105"/>
  <c r="AC61"/>
  <c r="AD61"/>
  <c r="AE61"/>
  <c r="AB61"/>
  <c r="X31"/>
  <c r="Y31"/>
  <c r="Z31"/>
  <c r="W31"/>
  <c r="X30"/>
  <c r="Y30"/>
  <c r="Z30"/>
  <c r="W30"/>
  <c r="X29"/>
  <c r="Y29"/>
  <c r="Z29"/>
  <c r="W29"/>
  <c r="O20"/>
  <c r="P20"/>
  <c r="N20"/>
  <c r="M20"/>
  <c r="N61"/>
  <c r="O61"/>
  <c r="P61"/>
  <c r="M61"/>
  <c r="N103"/>
  <c r="O103"/>
  <c r="P103"/>
  <c r="M103"/>
  <c r="N102"/>
  <c r="O102"/>
  <c r="P102"/>
  <c r="M102"/>
  <c r="X81"/>
  <c r="Y81"/>
  <c r="Z81"/>
  <c r="W81"/>
  <c r="X77"/>
  <c r="Y77"/>
  <c r="Z77"/>
  <c r="X76"/>
  <c r="Y76"/>
  <c r="Z76"/>
  <c r="W76"/>
  <c r="X74"/>
  <c r="Y74"/>
  <c r="Z74"/>
  <c r="W74"/>
  <c r="N81"/>
  <c r="O81"/>
  <c r="P81"/>
  <c r="N80"/>
  <c r="O80"/>
  <c r="P80"/>
  <c r="M80"/>
  <c r="N79"/>
  <c r="O79"/>
  <c r="P79"/>
  <c r="M79"/>
  <c r="M81"/>
  <c r="N77"/>
  <c r="O77"/>
  <c r="Q77"/>
  <c r="P77"/>
  <c r="M77"/>
  <c r="N78"/>
  <c r="O78"/>
  <c r="P78"/>
  <c r="M78"/>
  <c r="N76"/>
  <c r="O76"/>
  <c r="P76"/>
  <c r="M76"/>
  <c r="N75"/>
  <c r="O75"/>
  <c r="P75"/>
  <c r="M75"/>
  <c r="N74"/>
  <c r="O74"/>
  <c r="P74"/>
  <c r="M74"/>
  <c r="H1359" i="4"/>
  <c r="W77" i="17"/>
  <c r="N82"/>
  <c r="X82"/>
  <c r="O82"/>
  <c r="Y82"/>
  <c r="P82"/>
  <c r="Z82"/>
  <c r="M82"/>
  <c r="W82"/>
  <c r="N83"/>
  <c r="O83"/>
  <c r="P83"/>
  <c r="M83"/>
  <c r="N106"/>
  <c r="O106"/>
  <c r="P106"/>
  <c r="M106"/>
  <c r="N105"/>
  <c r="O105"/>
  <c r="P105"/>
  <c r="M105"/>
  <c r="N104"/>
  <c r="O104"/>
  <c r="P104"/>
  <c r="M104"/>
  <c r="C132" i="8"/>
  <c r="E91"/>
  <c r="N22" i="17"/>
  <c r="O22"/>
  <c r="P22"/>
  <c r="M22"/>
  <c r="E1367" i="4"/>
  <c r="F1367"/>
  <c r="G1367"/>
  <c r="D1367"/>
  <c r="E145"/>
  <c r="F22"/>
  <c r="G22"/>
  <c r="H22"/>
  <c r="E22"/>
  <c r="I19"/>
  <c r="E174" i="17"/>
  <c r="F169"/>
  <c r="H147"/>
  <c r="G147"/>
  <c r="F147"/>
  <c r="I237" i="4"/>
  <c r="J237"/>
  <c r="K237"/>
  <c r="I238"/>
  <c r="J238"/>
  <c r="K238"/>
  <c r="AG172"/>
  <c r="AG171"/>
  <c r="Z172"/>
  <c r="Z171"/>
  <c r="S172"/>
  <c r="S171"/>
  <c r="L119"/>
  <c r="Z82"/>
  <c r="Z80"/>
  <c r="S81"/>
  <c r="L80"/>
  <c r="Z68"/>
  <c r="Z67"/>
  <c r="AG42"/>
  <c r="L41"/>
  <c r="N30" i="17"/>
  <c r="O30"/>
  <c r="P30"/>
  <c r="M30"/>
  <c r="AC29"/>
  <c r="AD29"/>
  <c r="AE29"/>
  <c r="AB29"/>
  <c r="AB30"/>
  <c r="AC30"/>
  <c r="AD30"/>
  <c r="AE30"/>
  <c r="S30"/>
  <c r="T30"/>
  <c r="U30"/>
  <c r="R30"/>
  <c r="S31"/>
  <c r="T31"/>
  <c r="U31"/>
  <c r="R31"/>
  <c r="S29"/>
  <c r="T29"/>
  <c r="U29"/>
  <c r="R29"/>
  <c r="N46"/>
  <c r="O46"/>
  <c r="P46"/>
  <c r="M46"/>
  <c r="N48"/>
  <c r="S48"/>
  <c r="O48"/>
  <c r="T48"/>
  <c r="P48"/>
  <c r="U48"/>
  <c r="M48"/>
  <c r="R48"/>
  <c r="N47"/>
  <c r="O47"/>
  <c r="P47"/>
  <c r="M47"/>
  <c r="N45"/>
  <c r="O45"/>
  <c r="P45"/>
  <c r="M45"/>
  <c r="N40"/>
  <c r="O40"/>
  <c r="P40"/>
  <c r="M40"/>
  <c r="N29"/>
  <c r="O29"/>
  <c r="P29"/>
  <c r="M29"/>
  <c r="J29"/>
  <c r="K29"/>
  <c r="L29"/>
  <c r="I29"/>
  <c r="N31"/>
  <c r="O31"/>
  <c r="P31"/>
  <c r="M31"/>
  <c r="N23"/>
  <c r="O23"/>
  <c r="P23"/>
  <c r="M23"/>
  <c r="N21"/>
  <c r="O21"/>
  <c r="P21"/>
  <c r="M21"/>
  <c r="N19"/>
  <c r="AH19"/>
  <c r="O19"/>
  <c r="AI19"/>
  <c r="P19"/>
  <c r="AJ19"/>
  <c r="M19"/>
  <c r="AG19"/>
  <c r="L42" i="4"/>
  <c r="S41"/>
  <c r="S42"/>
  <c r="Z41"/>
  <c r="Z42"/>
  <c r="AG41"/>
  <c r="L81"/>
  <c r="L121"/>
  <c r="J122"/>
  <c r="L82"/>
  <c r="S80"/>
  <c r="Z81"/>
  <c r="L120"/>
  <c r="F91" i="8"/>
  <c r="G91"/>
  <c r="H91"/>
  <c r="AK29" i="17"/>
  <c r="Z250" i="4"/>
  <c r="Z249"/>
  <c r="S250"/>
  <c r="S251"/>
  <c r="S249"/>
  <c r="L250"/>
  <c r="L251"/>
  <c r="L249"/>
  <c r="S224"/>
  <c r="S225"/>
  <c r="S223"/>
  <c r="L224"/>
  <c r="L223"/>
  <c r="L56"/>
  <c r="L54"/>
  <c r="S54"/>
  <c r="I22"/>
  <c r="AW44" i="17"/>
  <c r="AX44"/>
  <c r="AY44"/>
  <c r="AV44"/>
  <c r="AW60"/>
  <c r="AX60"/>
  <c r="AY60"/>
  <c r="AV60"/>
  <c r="AY127"/>
  <c r="H66" i="8"/>
  <c r="F19" i="10"/>
  <c r="AV127" i="17"/>
  <c r="E66" i="8"/>
  <c r="C19" i="10"/>
  <c r="E72" i="8"/>
  <c r="AC23" i="17"/>
  <c r="AD23"/>
  <c r="AS23"/>
  <c r="BD23"/>
  <c r="AB23"/>
  <c r="AQ23"/>
  <c r="AQ78"/>
  <c r="BB78"/>
  <c r="F47" i="8"/>
  <c r="G47"/>
  <c r="H47"/>
  <c r="E47"/>
  <c r="Q32" i="17"/>
  <c r="Q33"/>
  <c r="Q34"/>
  <c r="Q35"/>
  <c r="Q36"/>
  <c r="Q37"/>
  <c r="Q38"/>
  <c r="AA103"/>
  <c r="AR82"/>
  <c r="BC82"/>
  <c r="AT82"/>
  <c r="AS83"/>
  <c r="AQ83"/>
  <c r="N84"/>
  <c r="O84"/>
  <c r="AS84"/>
  <c r="BD84"/>
  <c r="P84"/>
  <c r="M84"/>
  <c r="S17" i="1"/>
  <c r="T17"/>
  <c r="U17"/>
  <c r="R17"/>
  <c r="R44" i="17"/>
  <c r="S44"/>
  <c r="U44"/>
  <c r="AQ31"/>
  <c r="K16" i="1"/>
  <c r="AQ19" i="17"/>
  <c r="M28"/>
  <c r="AA61"/>
  <c r="E22" i="13"/>
  <c r="E103" i="8"/>
  <c r="D192" i="17"/>
  <c r="F160"/>
  <c r="G160"/>
  <c r="H160"/>
  <c r="E160"/>
  <c r="E162"/>
  <c r="G169"/>
  <c r="G174"/>
  <c r="G71" i="8"/>
  <c r="H68"/>
  <c r="H1367" i="4"/>
  <c r="H1368"/>
  <c r="H1369"/>
  <c r="H1370"/>
  <c r="H1371"/>
  <c r="AG302"/>
  <c r="AG301"/>
  <c r="Z303"/>
  <c r="L301"/>
  <c r="AG288"/>
  <c r="S288"/>
  <c r="AG263"/>
  <c r="AG262"/>
  <c r="Z263"/>
  <c r="Z262"/>
  <c r="S263"/>
  <c r="S262"/>
  <c r="AG250"/>
  <c r="AG251"/>
  <c r="AG249"/>
  <c r="AG238"/>
  <c r="AG237"/>
  <c r="S237"/>
  <c r="S236"/>
  <c r="L238"/>
  <c r="AG224"/>
  <c r="AG225"/>
  <c r="AG223"/>
  <c r="Z224"/>
  <c r="Z223"/>
  <c r="AG211"/>
  <c r="AG210"/>
  <c r="Z211"/>
  <c r="Z210"/>
  <c r="S211"/>
  <c r="S210"/>
  <c r="L210"/>
  <c r="AG185"/>
  <c r="AG186"/>
  <c r="AC187"/>
  <c r="AG184"/>
  <c r="Z185"/>
  <c r="Z186"/>
  <c r="V187"/>
  <c r="Z184"/>
  <c r="S185"/>
  <c r="S184"/>
  <c r="L185"/>
  <c r="L184"/>
  <c r="L172"/>
  <c r="L171"/>
  <c r="AG159"/>
  <c r="AG160"/>
  <c r="AG158"/>
  <c r="Z159"/>
  <c r="Z160"/>
  <c r="X161"/>
  <c r="Z158"/>
  <c r="S159"/>
  <c r="S160"/>
  <c r="S158"/>
  <c r="L160"/>
  <c r="L158"/>
  <c r="AG146"/>
  <c r="AG145"/>
  <c r="Z146"/>
  <c r="Z145"/>
  <c r="S147"/>
  <c r="L147"/>
  <c r="G148"/>
  <c r="AG134"/>
  <c r="AG133"/>
  <c r="Z133"/>
  <c r="Z132"/>
  <c r="S132"/>
  <c r="AG121"/>
  <c r="AG120"/>
  <c r="AG119"/>
  <c r="Z119"/>
  <c r="AG107"/>
  <c r="AG108"/>
  <c r="AG106"/>
  <c r="Z107"/>
  <c r="Z108"/>
  <c r="Z106"/>
  <c r="S107"/>
  <c r="S106"/>
  <c r="L108"/>
  <c r="L106"/>
  <c r="AG82"/>
  <c r="AG80"/>
  <c r="AG69"/>
  <c r="AG67"/>
  <c r="AG94"/>
  <c r="AG95"/>
  <c r="AG93"/>
  <c r="Z94"/>
  <c r="Z95"/>
  <c r="X96"/>
  <c r="Z93"/>
  <c r="S94"/>
  <c r="S95"/>
  <c r="S93"/>
  <c r="L95"/>
  <c r="L93"/>
  <c r="AG54"/>
  <c r="Z225"/>
  <c r="AG132"/>
  <c r="S197"/>
  <c r="Z301"/>
  <c r="AG236"/>
  <c r="Z134"/>
  <c r="L302"/>
  <c r="H107" i="8"/>
  <c r="G107"/>
  <c r="F107"/>
  <c r="E107"/>
  <c r="J22" i="1"/>
  <c r="R18"/>
  <c r="J21"/>
  <c r="S18"/>
  <c r="T18"/>
  <c r="U18"/>
  <c r="AT80" i="17"/>
  <c r="AS79"/>
  <c r="AQ79"/>
  <c r="V33"/>
  <c r="AA33"/>
  <c r="AF33"/>
  <c r="AK33"/>
  <c r="AP33"/>
  <c r="AQ33"/>
  <c r="AR33"/>
  <c r="BC33"/>
  <c r="AS33"/>
  <c r="BD33"/>
  <c r="AT33"/>
  <c r="BK33"/>
  <c r="E11" i="7"/>
  <c r="D11"/>
  <c r="C11"/>
  <c r="AG102" i="17"/>
  <c r="AI102"/>
  <c r="AJ102"/>
  <c r="AH102"/>
  <c r="E210" i="4"/>
  <c r="E236"/>
  <c r="E249"/>
  <c r="E288"/>
  <c r="G353"/>
  <c r="H353"/>
  <c r="I353"/>
  <c r="J353"/>
  <c r="K353"/>
  <c r="N353"/>
  <c r="O353"/>
  <c r="P353"/>
  <c r="Q353"/>
  <c r="R353"/>
  <c r="U353"/>
  <c r="V353"/>
  <c r="W353"/>
  <c r="X353"/>
  <c r="Y353"/>
  <c r="AB353"/>
  <c r="AC353"/>
  <c r="AD353"/>
  <c r="AE353"/>
  <c r="AF353"/>
  <c r="AJ353"/>
  <c r="AK353"/>
  <c r="AL353"/>
  <c r="G354"/>
  <c r="H354"/>
  <c r="I354"/>
  <c r="J354"/>
  <c r="K354"/>
  <c r="N354"/>
  <c r="O354"/>
  <c r="P354"/>
  <c r="Q354"/>
  <c r="R354"/>
  <c r="U354"/>
  <c r="V354"/>
  <c r="W354"/>
  <c r="X354"/>
  <c r="Y354"/>
  <c r="AB354"/>
  <c r="AC354"/>
  <c r="AD354"/>
  <c r="AE354"/>
  <c r="AF354"/>
  <c r="G355"/>
  <c r="H355"/>
  <c r="I355"/>
  <c r="J355"/>
  <c r="K355"/>
  <c r="N355"/>
  <c r="O355"/>
  <c r="P355"/>
  <c r="Q355"/>
  <c r="R355"/>
  <c r="U355"/>
  <c r="V355"/>
  <c r="W355"/>
  <c r="X355"/>
  <c r="Y355"/>
  <c r="AB355"/>
  <c r="AC355"/>
  <c r="AD355"/>
  <c r="AE355"/>
  <c r="AF355"/>
  <c r="G356"/>
  <c r="H356"/>
  <c r="I356"/>
  <c r="J356"/>
  <c r="K356"/>
  <c r="N356"/>
  <c r="O356"/>
  <c r="P356"/>
  <c r="Q356"/>
  <c r="R356"/>
  <c r="U356"/>
  <c r="V356"/>
  <c r="W356"/>
  <c r="X356"/>
  <c r="Y356"/>
  <c r="AB356"/>
  <c r="AC356"/>
  <c r="AD356"/>
  <c r="AE356"/>
  <c r="AF356"/>
  <c r="G357"/>
  <c r="H357"/>
  <c r="I357"/>
  <c r="J357"/>
  <c r="K357"/>
  <c r="N357"/>
  <c r="O357"/>
  <c r="P357"/>
  <c r="Q357"/>
  <c r="R357"/>
  <c r="U357"/>
  <c r="V357"/>
  <c r="W357"/>
  <c r="X357"/>
  <c r="Y357"/>
  <c r="AB357"/>
  <c r="AC357"/>
  <c r="AD357"/>
  <c r="AE357"/>
  <c r="AF357"/>
  <c r="F358"/>
  <c r="G358"/>
  <c r="H358"/>
  <c r="I358"/>
  <c r="J358"/>
  <c r="K358"/>
  <c r="N358"/>
  <c r="O358"/>
  <c r="P358"/>
  <c r="Q358"/>
  <c r="R358"/>
  <c r="U358"/>
  <c r="V358"/>
  <c r="W358"/>
  <c r="X358"/>
  <c r="Y358"/>
  <c r="AB358"/>
  <c r="AC358"/>
  <c r="AD358"/>
  <c r="AE358"/>
  <c r="AF358"/>
  <c r="AN358"/>
  <c r="AO358"/>
  <c r="AP358"/>
  <c r="AQ358"/>
  <c r="F359"/>
  <c r="L359"/>
  <c r="S359"/>
  <c r="Z359"/>
  <c r="AG359"/>
  <c r="AN359"/>
  <c r="AO359"/>
  <c r="AP359"/>
  <c r="AQ359"/>
  <c r="F360"/>
  <c r="L360"/>
  <c r="S360"/>
  <c r="Z360"/>
  <c r="AG360"/>
  <c r="AN360"/>
  <c r="AO360"/>
  <c r="AP360"/>
  <c r="AQ360"/>
  <c r="F361"/>
  <c r="L361"/>
  <c r="S361"/>
  <c r="Z361"/>
  <c r="AG361"/>
  <c r="AN361"/>
  <c r="AO361"/>
  <c r="AP361"/>
  <c r="AQ361"/>
  <c r="F362"/>
  <c r="L362"/>
  <c r="S362"/>
  <c r="Z362"/>
  <c r="AG362"/>
  <c r="AN362"/>
  <c r="AO362"/>
  <c r="AP362"/>
  <c r="AQ362"/>
  <c r="F363"/>
  <c r="L363"/>
  <c r="S363"/>
  <c r="Z363"/>
  <c r="AG363"/>
  <c r="AN363"/>
  <c r="AO363"/>
  <c r="AP363"/>
  <c r="AQ363"/>
  <c r="F364"/>
  <c r="L364"/>
  <c r="S364"/>
  <c r="Z364"/>
  <c r="AG364"/>
  <c r="AN364"/>
  <c r="AO364"/>
  <c r="AP364"/>
  <c r="AQ364"/>
  <c r="G366"/>
  <c r="H366"/>
  <c r="I366"/>
  <c r="J366"/>
  <c r="K366"/>
  <c r="N366"/>
  <c r="O366"/>
  <c r="P366"/>
  <c r="Q366"/>
  <c r="R366"/>
  <c r="U366"/>
  <c r="V366"/>
  <c r="W366"/>
  <c r="X366"/>
  <c r="Y366"/>
  <c r="AB366"/>
  <c r="AC366"/>
  <c r="AD366"/>
  <c r="AE366"/>
  <c r="AF366"/>
  <c r="AJ366"/>
  <c r="AK366"/>
  <c r="AL366"/>
  <c r="G367"/>
  <c r="H367"/>
  <c r="I367"/>
  <c r="J367"/>
  <c r="K367"/>
  <c r="N367"/>
  <c r="O367"/>
  <c r="P367"/>
  <c r="Q367"/>
  <c r="R367"/>
  <c r="U367"/>
  <c r="V367"/>
  <c r="W367"/>
  <c r="X367"/>
  <c r="Y367"/>
  <c r="AB367"/>
  <c r="AC367"/>
  <c r="AD367"/>
  <c r="AE367"/>
  <c r="AF367"/>
  <c r="G368"/>
  <c r="H368"/>
  <c r="I368"/>
  <c r="J368"/>
  <c r="K368"/>
  <c r="N368"/>
  <c r="O368"/>
  <c r="P368"/>
  <c r="Q368"/>
  <c r="R368"/>
  <c r="U368"/>
  <c r="V368"/>
  <c r="W368"/>
  <c r="X368"/>
  <c r="Y368"/>
  <c r="AB368"/>
  <c r="AC368"/>
  <c r="AD368"/>
  <c r="AE368"/>
  <c r="AF368"/>
  <c r="G369"/>
  <c r="H369"/>
  <c r="I369"/>
  <c r="J369"/>
  <c r="K369"/>
  <c r="N369"/>
  <c r="O369"/>
  <c r="P369"/>
  <c r="Q369"/>
  <c r="R369"/>
  <c r="U369"/>
  <c r="V369"/>
  <c r="W369"/>
  <c r="X369"/>
  <c r="Y369"/>
  <c r="AB369"/>
  <c r="AC369"/>
  <c r="AD369"/>
  <c r="AE369"/>
  <c r="AF369"/>
  <c r="G370"/>
  <c r="H370"/>
  <c r="I370"/>
  <c r="J370"/>
  <c r="K370"/>
  <c r="N370"/>
  <c r="O370"/>
  <c r="P370"/>
  <c r="Q370"/>
  <c r="R370"/>
  <c r="U370"/>
  <c r="V370"/>
  <c r="W370"/>
  <c r="X370"/>
  <c r="Y370"/>
  <c r="AB370"/>
  <c r="AC370"/>
  <c r="AD370"/>
  <c r="AE370"/>
  <c r="AF370"/>
  <c r="F371"/>
  <c r="G371"/>
  <c r="H371"/>
  <c r="I371"/>
  <c r="J371"/>
  <c r="K371"/>
  <c r="N371"/>
  <c r="O371"/>
  <c r="P371"/>
  <c r="Q371"/>
  <c r="R371"/>
  <c r="U371"/>
  <c r="V371"/>
  <c r="W371"/>
  <c r="X371"/>
  <c r="Y371"/>
  <c r="AB371"/>
  <c r="AC371"/>
  <c r="AD371"/>
  <c r="AE371"/>
  <c r="AF371"/>
  <c r="AN371"/>
  <c r="AO371"/>
  <c r="AP371"/>
  <c r="AQ371"/>
  <c r="F372"/>
  <c r="L372"/>
  <c r="S372"/>
  <c r="Z372"/>
  <c r="AG372"/>
  <c r="AN372"/>
  <c r="AO372"/>
  <c r="AP372"/>
  <c r="AQ372"/>
  <c r="F373"/>
  <c r="L373"/>
  <c r="S373"/>
  <c r="Z373"/>
  <c r="AG373"/>
  <c r="AN373"/>
  <c r="AO373"/>
  <c r="AP373"/>
  <c r="AQ373"/>
  <c r="F374"/>
  <c r="L374"/>
  <c r="S374"/>
  <c r="Z374"/>
  <c r="AG374"/>
  <c r="AN374"/>
  <c r="AO374"/>
  <c r="AP374"/>
  <c r="AQ374"/>
  <c r="F375"/>
  <c r="L375"/>
  <c r="S375"/>
  <c r="Z375"/>
  <c r="AG375"/>
  <c r="AN375"/>
  <c r="AO375"/>
  <c r="AP375"/>
  <c r="AQ375"/>
  <c r="F376"/>
  <c r="L376"/>
  <c r="S376"/>
  <c r="Z376"/>
  <c r="AG376"/>
  <c r="AN376"/>
  <c r="AO376"/>
  <c r="AP376"/>
  <c r="AQ376"/>
  <c r="F377"/>
  <c r="L377"/>
  <c r="S377"/>
  <c r="Z377"/>
  <c r="AG377"/>
  <c r="AN377"/>
  <c r="AO377"/>
  <c r="AP377"/>
  <c r="AQ377"/>
  <c r="G379"/>
  <c r="H379"/>
  <c r="I379"/>
  <c r="J379"/>
  <c r="K379"/>
  <c r="N379"/>
  <c r="O379"/>
  <c r="P379"/>
  <c r="Q379"/>
  <c r="R379"/>
  <c r="U379"/>
  <c r="V379"/>
  <c r="W379"/>
  <c r="X379"/>
  <c r="Y379"/>
  <c r="AB379"/>
  <c r="AC379"/>
  <c r="AD379"/>
  <c r="AE379"/>
  <c r="AF379"/>
  <c r="AJ379"/>
  <c r="AK379"/>
  <c r="AL379"/>
  <c r="G380"/>
  <c r="H380"/>
  <c r="I380"/>
  <c r="J380"/>
  <c r="K380"/>
  <c r="N380"/>
  <c r="O380"/>
  <c r="P380"/>
  <c r="Q380"/>
  <c r="R380"/>
  <c r="U380"/>
  <c r="V380"/>
  <c r="W380"/>
  <c r="X380"/>
  <c r="Y380"/>
  <c r="AB380"/>
  <c r="AC380"/>
  <c r="AD380"/>
  <c r="AE380"/>
  <c r="AF380"/>
  <c r="G381"/>
  <c r="H381"/>
  <c r="I381"/>
  <c r="J381"/>
  <c r="K381"/>
  <c r="N381"/>
  <c r="O381"/>
  <c r="P381"/>
  <c r="Q381"/>
  <c r="R381"/>
  <c r="U381"/>
  <c r="V381"/>
  <c r="W381"/>
  <c r="X381"/>
  <c r="Y381"/>
  <c r="AB381"/>
  <c r="AC381"/>
  <c r="AD381"/>
  <c r="AE381"/>
  <c r="AF381"/>
  <c r="G382"/>
  <c r="H382"/>
  <c r="I382"/>
  <c r="J382"/>
  <c r="K382"/>
  <c r="N382"/>
  <c r="O382"/>
  <c r="P382"/>
  <c r="Q382"/>
  <c r="R382"/>
  <c r="U382"/>
  <c r="V382"/>
  <c r="W382"/>
  <c r="X382"/>
  <c r="Y382"/>
  <c r="AB382"/>
  <c r="AC382"/>
  <c r="AD382"/>
  <c r="AE382"/>
  <c r="AF382"/>
  <c r="G383"/>
  <c r="H383"/>
  <c r="I383"/>
  <c r="J383"/>
  <c r="K383"/>
  <c r="N383"/>
  <c r="O383"/>
  <c r="P383"/>
  <c r="Q383"/>
  <c r="R383"/>
  <c r="U383"/>
  <c r="V383"/>
  <c r="W383"/>
  <c r="X383"/>
  <c r="Y383"/>
  <c r="AB383"/>
  <c r="AC383"/>
  <c r="AD383"/>
  <c r="AE383"/>
  <c r="AF383"/>
  <c r="F384"/>
  <c r="G384"/>
  <c r="H384"/>
  <c r="I384"/>
  <c r="J384"/>
  <c r="K384"/>
  <c r="N384"/>
  <c r="O384"/>
  <c r="P384"/>
  <c r="Q384"/>
  <c r="R384"/>
  <c r="U384"/>
  <c r="V384"/>
  <c r="W384"/>
  <c r="X384"/>
  <c r="Y384"/>
  <c r="AB384"/>
  <c r="AC384"/>
  <c r="AD384"/>
  <c r="AE384"/>
  <c r="AF384"/>
  <c r="AN384"/>
  <c r="AO384"/>
  <c r="AP384"/>
  <c r="AQ384"/>
  <c r="F385"/>
  <c r="L385"/>
  <c r="S385"/>
  <c r="Z385"/>
  <c r="AG385"/>
  <c r="AN385"/>
  <c r="AO385"/>
  <c r="AP385"/>
  <c r="AQ385"/>
  <c r="F386"/>
  <c r="L386"/>
  <c r="S386"/>
  <c r="Z386"/>
  <c r="AG386"/>
  <c r="AN386"/>
  <c r="AO386"/>
  <c r="AP386"/>
  <c r="AQ386"/>
  <c r="F387"/>
  <c r="L387"/>
  <c r="S387"/>
  <c r="Z387"/>
  <c r="AG387"/>
  <c r="AN387"/>
  <c r="AO387"/>
  <c r="AP387"/>
  <c r="AQ387"/>
  <c r="F388"/>
  <c r="L388"/>
  <c r="S388"/>
  <c r="Z388"/>
  <c r="AG388"/>
  <c r="AN388"/>
  <c r="AO388"/>
  <c r="AP388"/>
  <c r="AQ388"/>
  <c r="F389"/>
  <c r="L389"/>
  <c r="S389"/>
  <c r="Z389"/>
  <c r="AG389"/>
  <c r="AN389"/>
  <c r="AO389"/>
  <c r="AP389"/>
  <c r="AQ389"/>
  <c r="F390"/>
  <c r="L390"/>
  <c r="S390"/>
  <c r="Z390"/>
  <c r="AG390"/>
  <c r="AN390"/>
  <c r="AO390"/>
  <c r="AP390"/>
  <c r="AQ390"/>
  <c r="G392"/>
  <c r="H392"/>
  <c r="I392"/>
  <c r="J392"/>
  <c r="K392"/>
  <c r="N392"/>
  <c r="O392"/>
  <c r="P392"/>
  <c r="Q392"/>
  <c r="R392"/>
  <c r="U392"/>
  <c r="V392"/>
  <c r="W392"/>
  <c r="X392"/>
  <c r="Y392"/>
  <c r="AB392"/>
  <c r="AC392"/>
  <c r="AD392"/>
  <c r="AE392"/>
  <c r="AF392"/>
  <c r="AJ392"/>
  <c r="AK392"/>
  <c r="AL392"/>
  <c r="G393"/>
  <c r="H393"/>
  <c r="I393"/>
  <c r="J393"/>
  <c r="K393"/>
  <c r="N393"/>
  <c r="O393"/>
  <c r="P393"/>
  <c r="Q393"/>
  <c r="R393"/>
  <c r="U393"/>
  <c r="V393"/>
  <c r="W393"/>
  <c r="X393"/>
  <c r="Y393"/>
  <c r="AB393"/>
  <c r="AC393"/>
  <c r="AD393"/>
  <c r="AE393"/>
  <c r="AF393"/>
  <c r="G394"/>
  <c r="H394"/>
  <c r="I394"/>
  <c r="J394"/>
  <c r="K394"/>
  <c r="N394"/>
  <c r="O394"/>
  <c r="P394"/>
  <c r="Q394"/>
  <c r="R394"/>
  <c r="U394"/>
  <c r="V394"/>
  <c r="W394"/>
  <c r="X394"/>
  <c r="Y394"/>
  <c r="AB394"/>
  <c r="AC394"/>
  <c r="AD394"/>
  <c r="AE394"/>
  <c r="AF394"/>
  <c r="G395"/>
  <c r="H395"/>
  <c r="I395"/>
  <c r="J395"/>
  <c r="K395"/>
  <c r="N395"/>
  <c r="O395"/>
  <c r="P395"/>
  <c r="Q395"/>
  <c r="R395"/>
  <c r="U395"/>
  <c r="V395"/>
  <c r="W395"/>
  <c r="X395"/>
  <c r="Y395"/>
  <c r="AB395"/>
  <c r="AC395"/>
  <c r="AD395"/>
  <c r="AE395"/>
  <c r="AF395"/>
  <c r="G396"/>
  <c r="H396"/>
  <c r="I396"/>
  <c r="J396"/>
  <c r="K396"/>
  <c r="N396"/>
  <c r="O396"/>
  <c r="P396"/>
  <c r="Q396"/>
  <c r="R396"/>
  <c r="U396"/>
  <c r="V396"/>
  <c r="W396"/>
  <c r="X396"/>
  <c r="Y396"/>
  <c r="AB396"/>
  <c r="AC396"/>
  <c r="AD396"/>
  <c r="AE396"/>
  <c r="AF396"/>
  <c r="F397"/>
  <c r="G397"/>
  <c r="H397"/>
  <c r="I397"/>
  <c r="J397"/>
  <c r="K397"/>
  <c r="N397"/>
  <c r="O397"/>
  <c r="P397"/>
  <c r="Q397"/>
  <c r="R397"/>
  <c r="U397"/>
  <c r="V397"/>
  <c r="W397"/>
  <c r="X397"/>
  <c r="Y397"/>
  <c r="AB397"/>
  <c r="AC397"/>
  <c r="AD397"/>
  <c r="AE397"/>
  <c r="AF397"/>
  <c r="AN397"/>
  <c r="AO397"/>
  <c r="AP397"/>
  <c r="AQ397"/>
  <c r="F398"/>
  <c r="L398"/>
  <c r="S398"/>
  <c r="Z398"/>
  <c r="AG398"/>
  <c r="AN398"/>
  <c r="AO398"/>
  <c r="AP398"/>
  <c r="AQ398"/>
  <c r="F399"/>
  <c r="L399"/>
  <c r="S399"/>
  <c r="Z399"/>
  <c r="AG399"/>
  <c r="AN399"/>
  <c r="AO399"/>
  <c r="AP399"/>
  <c r="AQ399"/>
  <c r="F400"/>
  <c r="L400"/>
  <c r="S400"/>
  <c r="Z400"/>
  <c r="AG400"/>
  <c r="AN400"/>
  <c r="AO400"/>
  <c r="AP400"/>
  <c r="AQ400"/>
  <c r="F401"/>
  <c r="L401"/>
  <c r="S401"/>
  <c r="Z401"/>
  <c r="AG401"/>
  <c r="AN401"/>
  <c r="AO401"/>
  <c r="AP401"/>
  <c r="AQ401"/>
  <c r="F402"/>
  <c r="L402"/>
  <c r="S402"/>
  <c r="Z402"/>
  <c r="AG402"/>
  <c r="AN402"/>
  <c r="AO402"/>
  <c r="AP402"/>
  <c r="AQ402"/>
  <c r="F403"/>
  <c r="L403"/>
  <c r="S403"/>
  <c r="Z403"/>
  <c r="AG403"/>
  <c r="AN403"/>
  <c r="AO403"/>
  <c r="AP403"/>
  <c r="AQ403"/>
  <c r="AR403"/>
  <c r="G405"/>
  <c r="H405"/>
  <c r="I405"/>
  <c r="J405"/>
  <c r="K405"/>
  <c r="N405"/>
  <c r="O405"/>
  <c r="P405"/>
  <c r="Q405"/>
  <c r="R405"/>
  <c r="U405"/>
  <c r="V405"/>
  <c r="W405"/>
  <c r="X405"/>
  <c r="Y405"/>
  <c r="AB405"/>
  <c r="AC405"/>
  <c r="AD405"/>
  <c r="AE405"/>
  <c r="AF405"/>
  <c r="AJ405"/>
  <c r="AK405"/>
  <c r="AL405"/>
  <c r="G406"/>
  <c r="H406"/>
  <c r="I406"/>
  <c r="J406"/>
  <c r="K406"/>
  <c r="N406"/>
  <c r="O406"/>
  <c r="P406"/>
  <c r="Q406"/>
  <c r="R406"/>
  <c r="U406"/>
  <c r="V406"/>
  <c r="W406"/>
  <c r="X406"/>
  <c r="Y406"/>
  <c r="AB406"/>
  <c r="AC406"/>
  <c r="AD406"/>
  <c r="AE406"/>
  <c r="AF406"/>
  <c r="G407"/>
  <c r="H407"/>
  <c r="I407"/>
  <c r="J407"/>
  <c r="K407"/>
  <c r="N407"/>
  <c r="O407"/>
  <c r="P407"/>
  <c r="Q407"/>
  <c r="R407"/>
  <c r="U407"/>
  <c r="V407"/>
  <c r="W407"/>
  <c r="X407"/>
  <c r="Y407"/>
  <c r="AB407"/>
  <c r="AC407"/>
  <c r="AD407"/>
  <c r="AE407"/>
  <c r="AF407"/>
  <c r="G408"/>
  <c r="H408"/>
  <c r="I408"/>
  <c r="J408"/>
  <c r="K408"/>
  <c r="N408"/>
  <c r="O408"/>
  <c r="P408"/>
  <c r="Q408"/>
  <c r="R408"/>
  <c r="U408"/>
  <c r="V408"/>
  <c r="W408"/>
  <c r="X408"/>
  <c r="Y408"/>
  <c r="AB408"/>
  <c r="AC408"/>
  <c r="AD408"/>
  <c r="AE408"/>
  <c r="AF408"/>
  <c r="G409"/>
  <c r="H409"/>
  <c r="I409"/>
  <c r="J409"/>
  <c r="K409"/>
  <c r="N409"/>
  <c r="O409"/>
  <c r="P409"/>
  <c r="Q409"/>
  <c r="R409"/>
  <c r="U409"/>
  <c r="V409"/>
  <c r="W409"/>
  <c r="X409"/>
  <c r="Y409"/>
  <c r="AB409"/>
  <c r="AC409"/>
  <c r="AD409"/>
  <c r="AE409"/>
  <c r="AF409"/>
  <c r="F410"/>
  <c r="G410"/>
  <c r="H410"/>
  <c r="I410"/>
  <c r="J410"/>
  <c r="K410"/>
  <c r="N410"/>
  <c r="O410"/>
  <c r="P410"/>
  <c r="Q410"/>
  <c r="R410"/>
  <c r="S410"/>
  <c r="U410"/>
  <c r="V410"/>
  <c r="W410"/>
  <c r="X410"/>
  <c r="Y410"/>
  <c r="AB410"/>
  <c r="AC410"/>
  <c r="AD410"/>
  <c r="AE410"/>
  <c r="AF410"/>
  <c r="AN410"/>
  <c r="AO410"/>
  <c r="AP410"/>
  <c r="AQ410"/>
  <c r="F411"/>
  <c r="L411"/>
  <c r="S411"/>
  <c r="Z411"/>
  <c r="AG411"/>
  <c r="AN411"/>
  <c r="AO411"/>
  <c r="AP411"/>
  <c r="AQ411"/>
  <c r="F412"/>
  <c r="L412"/>
  <c r="S412"/>
  <c r="Z412"/>
  <c r="AG412"/>
  <c r="AN412"/>
  <c r="AO412"/>
  <c r="AP412"/>
  <c r="AQ412"/>
  <c r="AR412"/>
  <c r="F413"/>
  <c r="L413"/>
  <c r="S413"/>
  <c r="Z413"/>
  <c r="AG413"/>
  <c r="AN413"/>
  <c r="AO413"/>
  <c r="AP413"/>
  <c r="AQ413"/>
  <c r="F414"/>
  <c r="L414"/>
  <c r="S414"/>
  <c r="Z414"/>
  <c r="AG414"/>
  <c r="AN414"/>
  <c r="AO414"/>
  <c r="AP414"/>
  <c r="AQ414"/>
  <c r="F415"/>
  <c r="L415"/>
  <c r="S415"/>
  <c r="Z415"/>
  <c r="AG415"/>
  <c r="AN415"/>
  <c r="AO415"/>
  <c r="AP415"/>
  <c r="AQ415"/>
  <c r="F416"/>
  <c r="L416"/>
  <c r="S416"/>
  <c r="Z416"/>
  <c r="AG416"/>
  <c r="AN416"/>
  <c r="AO416"/>
  <c r="AP416"/>
  <c r="AQ416"/>
  <c r="G418"/>
  <c r="H418"/>
  <c r="I418"/>
  <c r="J418"/>
  <c r="K418"/>
  <c r="N418"/>
  <c r="O418"/>
  <c r="P418"/>
  <c r="Q418"/>
  <c r="R418"/>
  <c r="U418"/>
  <c r="V418"/>
  <c r="W418"/>
  <c r="X418"/>
  <c r="Y418"/>
  <c r="AB418"/>
  <c r="AC418"/>
  <c r="AD418"/>
  <c r="AE418"/>
  <c r="AF418"/>
  <c r="AJ418"/>
  <c r="AK418"/>
  <c r="AL418"/>
  <c r="G419"/>
  <c r="H419"/>
  <c r="I419"/>
  <c r="J419"/>
  <c r="K419"/>
  <c r="N419"/>
  <c r="O419"/>
  <c r="P419"/>
  <c r="Q419"/>
  <c r="R419"/>
  <c r="U419"/>
  <c r="V419"/>
  <c r="W419"/>
  <c r="X419"/>
  <c r="Y419"/>
  <c r="AB419"/>
  <c r="AC419"/>
  <c r="AD419"/>
  <c r="AE419"/>
  <c r="AF419"/>
  <c r="G420"/>
  <c r="L420"/>
  <c r="H420"/>
  <c r="I420"/>
  <c r="J420"/>
  <c r="K420"/>
  <c r="N420"/>
  <c r="O420"/>
  <c r="P420"/>
  <c r="Q420"/>
  <c r="R420"/>
  <c r="U420"/>
  <c r="V420"/>
  <c r="W420"/>
  <c r="X420"/>
  <c r="Y420"/>
  <c r="AB420"/>
  <c r="AC420"/>
  <c r="AD420"/>
  <c r="AE420"/>
  <c r="AF420"/>
  <c r="G421"/>
  <c r="H421"/>
  <c r="I421"/>
  <c r="J421"/>
  <c r="K421"/>
  <c r="N421"/>
  <c r="O421"/>
  <c r="P421"/>
  <c r="Q421"/>
  <c r="R421"/>
  <c r="U421"/>
  <c r="V421"/>
  <c r="W421"/>
  <c r="X421"/>
  <c r="Y421"/>
  <c r="AB421"/>
  <c r="AC421"/>
  <c r="AD421"/>
  <c r="AE421"/>
  <c r="AF421"/>
  <c r="G422"/>
  <c r="H422"/>
  <c r="I422"/>
  <c r="J422"/>
  <c r="K422"/>
  <c r="N422"/>
  <c r="O422"/>
  <c r="P422"/>
  <c r="Q422"/>
  <c r="R422"/>
  <c r="U422"/>
  <c r="Z422"/>
  <c r="V422"/>
  <c r="W422"/>
  <c r="X422"/>
  <c r="Y422"/>
  <c r="AB422"/>
  <c r="AC422"/>
  <c r="AD422"/>
  <c r="AE422"/>
  <c r="AF422"/>
  <c r="F423"/>
  <c r="G423"/>
  <c r="H423"/>
  <c r="I423"/>
  <c r="J423"/>
  <c r="K423"/>
  <c r="N423"/>
  <c r="O423"/>
  <c r="P423"/>
  <c r="Q423"/>
  <c r="R423"/>
  <c r="S423"/>
  <c r="U423"/>
  <c r="V423"/>
  <c r="W423"/>
  <c r="X423"/>
  <c r="Y423"/>
  <c r="AB423"/>
  <c r="AC423"/>
  <c r="AD423"/>
  <c r="AE423"/>
  <c r="AF423"/>
  <c r="AN423"/>
  <c r="AO423"/>
  <c r="AP423"/>
  <c r="AQ423"/>
  <c r="F424"/>
  <c r="L424"/>
  <c r="S424"/>
  <c r="Z424"/>
  <c r="AG424"/>
  <c r="AN424"/>
  <c r="AO424"/>
  <c r="AP424"/>
  <c r="AQ424"/>
  <c r="F425"/>
  <c r="L425"/>
  <c r="S425"/>
  <c r="Z425"/>
  <c r="AG425"/>
  <c r="AN425"/>
  <c r="AO425"/>
  <c r="AP425"/>
  <c r="AQ425"/>
  <c r="F426"/>
  <c r="L426"/>
  <c r="S426"/>
  <c r="Z426"/>
  <c r="AG426"/>
  <c r="AN426"/>
  <c r="AO426"/>
  <c r="AP426"/>
  <c r="AQ426"/>
  <c r="F427"/>
  <c r="L427"/>
  <c r="S427"/>
  <c r="Z427"/>
  <c r="AG427"/>
  <c r="AN427"/>
  <c r="AO427"/>
  <c r="AP427"/>
  <c r="AQ427"/>
  <c r="F428"/>
  <c r="L428"/>
  <c r="S428"/>
  <c r="Z428"/>
  <c r="AG428"/>
  <c r="AN428"/>
  <c r="AO428"/>
  <c r="AP428"/>
  <c r="AQ428"/>
  <c r="F429"/>
  <c r="L429"/>
  <c r="S429"/>
  <c r="Z429"/>
  <c r="AG429"/>
  <c r="AN429"/>
  <c r="AO429"/>
  <c r="AP429"/>
  <c r="AQ429"/>
  <c r="G431"/>
  <c r="H431"/>
  <c r="I431"/>
  <c r="J431"/>
  <c r="K431"/>
  <c r="N431"/>
  <c r="O431"/>
  <c r="P431"/>
  <c r="Q431"/>
  <c r="R431"/>
  <c r="U431"/>
  <c r="V431"/>
  <c r="W431"/>
  <c r="X431"/>
  <c r="Y431"/>
  <c r="AB431"/>
  <c r="AC431"/>
  <c r="AD431"/>
  <c r="AE431"/>
  <c r="AF431"/>
  <c r="AJ431"/>
  <c r="AK431"/>
  <c r="AL431"/>
  <c r="G432"/>
  <c r="H432"/>
  <c r="I432"/>
  <c r="J432"/>
  <c r="K432"/>
  <c r="N432"/>
  <c r="O432"/>
  <c r="P432"/>
  <c r="Q432"/>
  <c r="R432"/>
  <c r="U432"/>
  <c r="V432"/>
  <c r="W432"/>
  <c r="X432"/>
  <c r="Y432"/>
  <c r="AB432"/>
  <c r="AC432"/>
  <c r="AD432"/>
  <c r="AE432"/>
  <c r="AF432"/>
  <c r="G433"/>
  <c r="H433"/>
  <c r="I433"/>
  <c r="J433"/>
  <c r="K433"/>
  <c r="N433"/>
  <c r="O433"/>
  <c r="P433"/>
  <c r="Q433"/>
  <c r="R433"/>
  <c r="U433"/>
  <c r="V433"/>
  <c r="W433"/>
  <c r="X433"/>
  <c r="Y433"/>
  <c r="AB433"/>
  <c r="AC433"/>
  <c r="AD433"/>
  <c r="AE433"/>
  <c r="AF433"/>
  <c r="G434"/>
  <c r="H434"/>
  <c r="I434"/>
  <c r="J434"/>
  <c r="K434"/>
  <c r="N434"/>
  <c r="O434"/>
  <c r="P434"/>
  <c r="Q434"/>
  <c r="R434"/>
  <c r="U434"/>
  <c r="V434"/>
  <c r="W434"/>
  <c r="X434"/>
  <c r="Y434"/>
  <c r="AB434"/>
  <c r="AC434"/>
  <c r="AD434"/>
  <c r="AE434"/>
  <c r="AF434"/>
  <c r="G435"/>
  <c r="H435"/>
  <c r="I435"/>
  <c r="J435"/>
  <c r="K435"/>
  <c r="N435"/>
  <c r="O435"/>
  <c r="P435"/>
  <c r="Q435"/>
  <c r="R435"/>
  <c r="U435"/>
  <c r="V435"/>
  <c r="W435"/>
  <c r="X435"/>
  <c r="Y435"/>
  <c r="AB435"/>
  <c r="AC435"/>
  <c r="AD435"/>
  <c r="AE435"/>
  <c r="AF435"/>
  <c r="F436"/>
  <c r="G436"/>
  <c r="H436"/>
  <c r="I436"/>
  <c r="J436"/>
  <c r="K436"/>
  <c r="N436"/>
  <c r="O436"/>
  <c r="P436"/>
  <c r="Q436"/>
  <c r="R436"/>
  <c r="U436"/>
  <c r="V436"/>
  <c r="W436"/>
  <c r="X436"/>
  <c r="Y436"/>
  <c r="AB436"/>
  <c r="AC436"/>
  <c r="AD436"/>
  <c r="AE436"/>
  <c r="AF436"/>
  <c r="AN436"/>
  <c r="AO436"/>
  <c r="AP436"/>
  <c r="AQ436"/>
  <c r="F437"/>
  <c r="L437"/>
  <c r="S437"/>
  <c r="Z437"/>
  <c r="AG437"/>
  <c r="AN437"/>
  <c r="AO437"/>
  <c r="AP437"/>
  <c r="AQ437"/>
  <c r="F438"/>
  <c r="L438"/>
  <c r="S438"/>
  <c r="Z438"/>
  <c r="AG438"/>
  <c r="AN438"/>
  <c r="AO438"/>
  <c r="AP438"/>
  <c r="AQ438"/>
  <c r="F439"/>
  <c r="L439"/>
  <c r="S439"/>
  <c r="Z439"/>
  <c r="AG439"/>
  <c r="AN439"/>
  <c r="AO439"/>
  <c r="AP439"/>
  <c r="AQ439"/>
  <c r="F440"/>
  <c r="L440"/>
  <c r="S440"/>
  <c r="Z440"/>
  <c r="AG440"/>
  <c r="AN440"/>
  <c r="AO440"/>
  <c r="AP440"/>
  <c r="AQ440"/>
  <c r="F441"/>
  <c r="L441"/>
  <c r="S441"/>
  <c r="Z441"/>
  <c r="AG441"/>
  <c r="AN441"/>
  <c r="AO441"/>
  <c r="AP441"/>
  <c r="AQ441"/>
  <c r="F442"/>
  <c r="L442"/>
  <c r="S442"/>
  <c r="Z442"/>
  <c r="AG442"/>
  <c r="AN442"/>
  <c r="AO442"/>
  <c r="AP442"/>
  <c r="AQ442"/>
  <c r="G444"/>
  <c r="H444"/>
  <c r="I444"/>
  <c r="J444"/>
  <c r="K444"/>
  <c r="N444"/>
  <c r="O444"/>
  <c r="P444"/>
  <c r="Q444"/>
  <c r="R444"/>
  <c r="U444"/>
  <c r="V444"/>
  <c r="W444"/>
  <c r="X444"/>
  <c r="Y444"/>
  <c r="AB444"/>
  <c r="AC444"/>
  <c r="AD444"/>
  <c r="AE444"/>
  <c r="AF444"/>
  <c r="AJ444"/>
  <c r="AK444"/>
  <c r="AL444"/>
  <c r="G445"/>
  <c r="H445"/>
  <c r="I445"/>
  <c r="J445"/>
  <c r="K445"/>
  <c r="N445"/>
  <c r="O445"/>
  <c r="P445"/>
  <c r="Q445"/>
  <c r="R445"/>
  <c r="U445"/>
  <c r="V445"/>
  <c r="W445"/>
  <c r="X445"/>
  <c r="Y445"/>
  <c r="AB445"/>
  <c r="AC445"/>
  <c r="AD445"/>
  <c r="AE445"/>
  <c r="AF445"/>
  <c r="G446"/>
  <c r="H446"/>
  <c r="I446"/>
  <c r="J446"/>
  <c r="K446"/>
  <c r="N446"/>
  <c r="O446"/>
  <c r="P446"/>
  <c r="Q446"/>
  <c r="R446"/>
  <c r="U446"/>
  <c r="V446"/>
  <c r="W446"/>
  <c r="X446"/>
  <c r="Y446"/>
  <c r="AB446"/>
  <c r="AC446"/>
  <c r="AD446"/>
  <c r="AE446"/>
  <c r="AF446"/>
  <c r="G447"/>
  <c r="H447"/>
  <c r="I447"/>
  <c r="J447"/>
  <c r="K447"/>
  <c r="N447"/>
  <c r="O447"/>
  <c r="P447"/>
  <c r="Q447"/>
  <c r="R447"/>
  <c r="U447"/>
  <c r="V447"/>
  <c r="W447"/>
  <c r="X447"/>
  <c r="Y447"/>
  <c r="AB447"/>
  <c r="AC447"/>
  <c r="AD447"/>
  <c r="AE447"/>
  <c r="AF447"/>
  <c r="G448"/>
  <c r="H448"/>
  <c r="I448"/>
  <c r="J448"/>
  <c r="K448"/>
  <c r="N448"/>
  <c r="O448"/>
  <c r="P448"/>
  <c r="Q448"/>
  <c r="R448"/>
  <c r="U448"/>
  <c r="V448"/>
  <c r="W448"/>
  <c r="X448"/>
  <c r="Y448"/>
  <c r="AB448"/>
  <c r="AC448"/>
  <c r="AD448"/>
  <c r="AE448"/>
  <c r="AF448"/>
  <c r="F449"/>
  <c r="G449"/>
  <c r="H449"/>
  <c r="I449"/>
  <c r="J449"/>
  <c r="K449"/>
  <c r="N449"/>
  <c r="O449"/>
  <c r="P449"/>
  <c r="Q449"/>
  <c r="R449"/>
  <c r="U449"/>
  <c r="V449"/>
  <c r="W449"/>
  <c r="X449"/>
  <c r="Y449"/>
  <c r="AB449"/>
  <c r="AC449"/>
  <c r="AD449"/>
  <c r="AE449"/>
  <c r="AF449"/>
  <c r="AN449"/>
  <c r="AO449"/>
  <c r="AP449"/>
  <c r="AQ449"/>
  <c r="F450"/>
  <c r="L450"/>
  <c r="S450"/>
  <c r="Z450"/>
  <c r="AG450"/>
  <c r="AN450"/>
  <c r="AO450"/>
  <c r="AP450"/>
  <c r="AQ450"/>
  <c r="F451"/>
  <c r="L451"/>
  <c r="S451"/>
  <c r="Z451"/>
  <c r="AG451"/>
  <c r="AN451"/>
  <c r="AO451"/>
  <c r="AP451"/>
  <c r="AQ451"/>
  <c r="F452"/>
  <c r="L452"/>
  <c r="S452"/>
  <c r="Z452"/>
  <c r="AG452"/>
  <c r="AN452"/>
  <c r="AO452"/>
  <c r="AP452"/>
  <c r="AQ452"/>
  <c r="F453"/>
  <c r="L453"/>
  <c r="S453"/>
  <c r="Z453"/>
  <c r="AG453"/>
  <c r="AN453"/>
  <c r="AO453"/>
  <c r="AP453"/>
  <c r="AQ453"/>
  <c r="F454"/>
  <c r="L454"/>
  <c r="S454"/>
  <c r="Z454"/>
  <c r="AG454"/>
  <c r="AN454"/>
  <c r="AO454"/>
  <c r="AP454"/>
  <c r="AQ454"/>
  <c r="F455"/>
  <c r="L455"/>
  <c r="S455"/>
  <c r="Z455"/>
  <c r="AG455"/>
  <c r="AN455"/>
  <c r="AO455"/>
  <c r="AP455"/>
  <c r="AQ455"/>
  <c r="G457"/>
  <c r="H457"/>
  <c r="I457"/>
  <c r="J457"/>
  <c r="K457"/>
  <c r="N457"/>
  <c r="O457"/>
  <c r="P457"/>
  <c r="Q457"/>
  <c r="R457"/>
  <c r="U457"/>
  <c r="V457"/>
  <c r="W457"/>
  <c r="X457"/>
  <c r="Y457"/>
  <c r="AB457"/>
  <c r="AC457"/>
  <c r="AD457"/>
  <c r="AE457"/>
  <c r="AF457"/>
  <c r="AJ457"/>
  <c r="AK457"/>
  <c r="AL457"/>
  <c r="G458"/>
  <c r="H458"/>
  <c r="I458"/>
  <c r="J458"/>
  <c r="K458"/>
  <c r="N458"/>
  <c r="O458"/>
  <c r="P458"/>
  <c r="Q458"/>
  <c r="R458"/>
  <c r="U458"/>
  <c r="V458"/>
  <c r="W458"/>
  <c r="X458"/>
  <c r="Y458"/>
  <c r="AB458"/>
  <c r="AC458"/>
  <c r="AD458"/>
  <c r="AE458"/>
  <c r="AF458"/>
  <c r="G459"/>
  <c r="H459"/>
  <c r="I459"/>
  <c r="J459"/>
  <c r="K459"/>
  <c r="N459"/>
  <c r="O459"/>
  <c r="P459"/>
  <c r="Q459"/>
  <c r="R459"/>
  <c r="U459"/>
  <c r="V459"/>
  <c r="W459"/>
  <c r="X459"/>
  <c r="Y459"/>
  <c r="AB459"/>
  <c r="AC459"/>
  <c r="AD459"/>
  <c r="AE459"/>
  <c r="AF459"/>
  <c r="G460"/>
  <c r="H460"/>
  <c r="I460"/>
  <c r="J460"/>
  <c r="K460"/>
  <c r="N460"/>
  <c r="O460"/>
  <c r="P460"/>
  <c r="Q460"/>
  <c r="R460"/>
  <c r="U460"/>
  <c r="V460"/>
  <c r="W460"/>
  <c r="X460"/>
  <c r="Y460"/>
  <c r="AB460"/>
  <c r="AC460"/>
  <c r="AD460"/>
  <c r="AE460"/>
  <c r="AF460"/>
  <c r="G461"/>
  <c r="H461"/>
  <c r="I461"/>
  <c r="J461"/>
  <c r="K461"/>
  <c r="N461"/>
  <c r="O461"/>
  <c r="P461"/>
  <c r="Q461"/>
  <c r="R461"/>
  <c r="U461"/>
  <c r="V461"/>
  <c r="W461"/>
  <c r="X461"/>
  <c r="Y461"/>
  <c r="AB461"/>
  <c r="AC461"/>
  <c r="AD461"/>
  <c r="AE461"/>
  <c r="AF461"/>
  <c r="F462"/>
  <c r="G462"/>
  <c r="H462"/>
  <c r="I462"/>
  <c r="J462"/>
  <c r="K462"/>
  <c r="N462"/>
  <c r="O462"/>
  <c r="P462"/>
  <c r="Q462"/>
  <c r="R462"/>
  <c r="U462"/>
  <c r="V462"/>
  <c r="W462"/>
  <c r="X462"/>
  <c r="Y462"/>
  <c r="AB462"/>
  <c r="AC462"/>
  <c r="AD462"/>
  <c r="AE462"/>
  <c r="AF462"/>
  <c r="AN462"/>
  <c r="AO462"/>
  <c r="AP462"/>
  <c r="AQ462"/>
  <c r="F463"/>
  <c r="L463"/>
  <c r="S463"/>
  <c r="Z463"/>
  <c r="AG463"/>
  <c r="AN463"/>
  <c r="AO463"/>
  <c r="AP463"/>
  <c r="AQ463"/>
  <c r="F464"/>
  <c r="L464"/>
  <c r="S464"/>
  <c r="Z464"/>
  <c r="AG464"/>
  <c r="AN464"/>
  <c r="AO464"/>
  <c r="AP464"/>
  <c r="AQ464"/>
  <c r="F465"/>
  <c r="L465"/>
  <c r="S465"/>
  <c r="Z465"/>
  <c r="AG465"/>
  <c r="AN465"/>
  <c r="AO465"/>
  <c r="AP465"/>
  <c r="AQ465"/>
  <c r="F466"/>
  <c r="L466"/>
  <c r="S466"/>
  <c r="Z466"/>
  <c r="AG466"/>
  <c r="AN466"/>
  <c r="AO466"/>
  <c r="AP466"/>
  <c r="AQ466"/>
  <c r="F467"/>
  <c r="L467"/>
  <c r="S467"/>
  <c r="Z467"/>
  <c r="AG467"/>
  <c r="AN467"/>
  <c r="AO467"/>
  <c r="AP467"/>
  <c r="AQ467"/>
  <c r="F468"/>
  <c r="L468"/>
  <c r="S468"/>
  <c r="Z468"/>
  <c r="AG468"/>
  <c r="AN468"/>
  <c r="AO468"/>
  <c r="AP468"/>
  <c r="AQ468"/>
  <c r="G470"/>
  <c r="H470"/>
  <c r="I470"/>
  <c r="J470"/>
  <c r="K470"/>
  <c r="N470"/>
  <c r="O470"/>
  <c r="P470"/>
  <c r="Q470"/>
  <c r="R470"/>
  <c r="U470"/>
  <c r="V470"/>
  <c r="W470"/>
  <c r="X470"/>
  <c r="Y470"/>
  <c r="AB470"/>
  <c r="AC470"/>
  <c r="AD470"/>
  <c r="AE470"/>
  <c r="AF470"/>
  <c r="AJ470"/>
  <c r="AK470"/>
  <c r="AL470"/>
  <c r="G471"/>
  <c r="H471"/>
  <c r="I471"/>
  <c r="J471"/>
  <c r="K471"/>
  <c r="N471"/>
  <c r="O471"/>
  <c r="P471"/>
  <c r="Q471"/>
  <c r="R471"/>
  <c r="U471"/>
  <c r="V471"/>
  <c r="W471"/>
  <c r="X471"/>
  <c r="Y471"/>
  <c r="AB471"/>
  <c r="AC471"/>
  <c r="AD471"/>
  <c r="AE471"/>
  <c r="AF471"/>
  <c r="G472"/>
  <c r="H472"/>
  <c r="I472"/>
  <c r="J472"/>
  <c r="K472"/>
  <c r="N472"/>
  <c r="O472"/>
  <c r="P472"/>
  <c r="Q472"/>
  <c r="R472"/>
  <c r="U472"/>
  <c r="V472"/>
  <c r="W472"/>
  <c r="X472"/>
  <c r="Y472"/>
  <c r="AB472"/>
  <c r="AC472"/>
  <c r="AD472"/>
  <c r="AE472"/>
  <c r="AF472"/>
  <c r="G473"/>
  <c r="H473"/>
  <c r="I473"/>
  <c r="J473"/>
  <c r="K473"/>
  <c r="N473"/>
  <c r="O473"/>
  <c r="P473"/>
  <c r="Q473"/>
  <c r="R473"/>
  <c r="U473"/>
  <c r="V473"/>
  <c r="W473"/>
  <c r="X473"/>
  <c r="Y473"/>
  <c r="AB473"/>
  <c r="AC473"/>
  <c r="AD473"/>
  <c r="AE473"/>
  <c r="AF473"/>
  <c r="G474"/>
  <c r="H474"/>
  <c r="I474"/>
  <c r="J474"/>
  <c r="K474"/>
  <c r="N474"/>
  <c r="O474"/>
  <c r="P474"/>
  <c r="Q474"/>
  <c r="R474"/>
  <c r="U474"/>
  <c r="V474"/>
  <c r="W474"/>
  <c r="X474"/>
  <c r="Y474"/>
  <c r="AB474"/>
  <c r="AC474"/>
  <c r="AD474"/>
  <c r="AE474"/>
  <c r="AF474"/>
  <c r="F475"/>
  <c r="G475"/>
  <c r="H475"/>
  <c r="I475"/>
  <c r="J475"/>
  <c r="K475"/>
  <c r="N475"/>
  <c r="O475"/>
  <c r="P475"/>
  <c r="Q475"/>
  <c r="R475"/>
  <c r="U475"/>
  <c r="V475"/>
  <c r="W475"/>
  <c r="X475"/>
  <c r="Y475"/>
  <c r="AB475"/>
  <c r="AC475"/>
  <c r="AD475"/>
  <c r="AE475"/>
  <c r="AF475"/>
  <c r="AN475"/>
  <c r="AO475"/>
  <c r="AP475"/>
  <c r="AQ475"/>
  <c r="F476"/>
  <c r="L476"/>
  <c r="S476"/>
  <c r="Z476"/>
  <c r="AG476"/>
  <c r="AN476"/>
  <c r="AO476"/>
  <c r="AP476"/>
  <c r="AQ476"/>
  <c r="F477"/>
  <c r="L477"/>
  <c r="S477"/>
  <c r="Z477"/>
  <c r="AG477"/>
  <c r="AN477"/>
  <c r="AO477"/>
  <c r="AP477"/>
  <c r="AQ477"/>
  <c r="F478"/>
  <c r="L478"/>
  <c r="S478"/>
  <c r="Z478"/>
  <c r="AG478"/>
  <c r="AN478"/>
  <c r="AO478"/>
  <c r="AP478"/>
  <c r="AQ478"/>
  <c r="F479"/>
  <c r="L479"/>
  <c r="S479"/>
  <c r="Z479"/>
  <c r="AG479"/>
  <c r="AN479"/>
  <c r="AO479"/>
  <c r="AP479"/>
  <c r="AQ479"/>
  <c r="F480"/>
  <c r="L480"/>
  <c r="S480"/>
  <c r="Z480"/>
  <c r="AG480"/>
  <c r="AN480"/>
  <c r="AO480"/>
  <c r="AP480"/>
  <c r="AQ480"/>
  <c r="F481"/>
  <c r="L481"/>
  <c r="S481"/>
  <c r="Z481"/>
  <c r="AG481"/>
  <c r="AN481"/>
  <c r="AO481"/>
  <c r="AP481"/>
  <c r="AQ481"/>
  <c r="G483"/>
  <c r="H483"/>
  <c r="I483"/>
  <c r="J483"/>
  <c r="K483"/>
  <c r="N483"/>
  <c r="O483"/>
  <c r="P483"/>
  <c r="Q483"/>
  <c r="R483"/>
  <c r="U483"/>
  <c r="V483"/>
  <c r="W483"/>
  <c r="X483"/>
  <c r="Y483"/>
  <c r="AB483"/>
  <c r="AC483"/>
  <c r="AD483"/>
  <c r="AE483"/>
  <c r="AF483"/>
  <c r="AJ483"/>
  <c r="AK483"/>
  <c r="AL483"/>
  <c r="G484"/>
  <c r="H484"/>
  <c r="I484"/>
  <c r="J484"/>
  <c r="K484"/>
  <c r="N484"/>
  <c r="O484"/>
  <c r="P484"/>
  <c r="Q484"/>
  <c r="R484"/>
  <c r="U484"/>
  <c r="V484"/>
  <c r="W484"/>
  <c r="X484"/>
  <c r="Y484"/>
  <c r="AB484"/>
  <c r="AC484"/>
  <c r="AD484"/>
  <c r="AE484"/>
  <c r="AF484"/>
  <c r="G485"/>
  <c r="H485"/>
  <c r="I485"/>
  <c r="J485"/>
  <c r="K485"/>
  <c r="N485"/>
  <c r="O485"/>
  <c r="P485"/>
  <c r="Q485"/>
  <c r="R485"/>
  <c r="U485"/>
  <c r="V485"/>
  <c r="W485"/>
  <c r="X485"/>
  <c r="Y485"/>
  <c r="AB485"/>
  <c r="AC485"/>
  <c r="AD485"/>
  <c r="AE485"/>
  <c r="AF485"/>
  <c r="G486"/>
  <c r="H486"/>
  <c r="I486"/>
  <c r="J486"/>
  <c r="K486"/>
  <c r="N486"/>
  <c r="O486"/>
  <c r="P486"/>
  <c r="Q486"/>
  <c r="R486"/>
  <c r="U486"/>
  <c r="V486"/>
  <c r="W486"/>
  <c r="X486"/>
  <c r="Y486"/>
  <c r="AB486"/>
  <c r="AC486"/>
  <c r="AD486"/>
  <c r="AE486"/>
  <c r="AF486"/>
  <c r="G487"/>
  <c r="H487"/>
  <c r="I487"/>
  <c r="J487"/>
  <c r="K487"/>
  <c r="N487"/>
  <c r="O487"/>
  <c r="P487"/>
  <c r="Q487"/>
  <c r="R487"/>
  <c r="U487"/>
  <c r="V487"/>
  <c r="W487"/>
  <c r="X487"/>
  <c r="Y487"/>
  <c r="AB487"/>
  <c r="AC487"/>
  <c r="AD487"/>
  <c r="AE487"/>
  <c r="AF487"/>
  <c r="F488"/>
  <c r="G488"/>
  <c r="H488"/>
  <c r="I488"/>
  <c r="J488"/>
  <c r="K488"/>
  <c r="N488"/>
  <c r="O488"/>
  <c r="P488"/>
  <c r="Q488"/>
  <c r="R488"/>
  <c r="U488"/>
  <c r="V488"/>
  <c r="W488"/>
  <c r="X488"/>
  <c r="Y488"/>
  <c r="AB488"/>
  <c r="AC488"/>
  <c r="AD488"/>
  <c r="AE488"/>
  <c r="AF488"/>
  <c r="AN488"/>
  <c r="AO488"/>
  <c r="AP488"/>
  <c r="AQ488"/>
  <c r="F489"/>
  <c r="L489"/>
  <c r="S489"/>
  <c r="Z489"/>
  <c r="AG489"/>
  <c r="AN489"/>
  <c r="AO489"/>
  <c r="AP489"/>
  <c r="AQ489"/>
  <c r="AR489"/>
  <c r="F490"/>
  <c r="L490"/>
  <c r="S490"/>
  <c r="Z490"/>
  <c r="AG490"/>
  <c r="AN490"/>
  <c r="AO490"/>
  <c r="AP490"/>
  <c r="AQ490"/>
  <c r="F491"/>
  <c r="L491"/>
  <c r="S491"/>
  <c r="Z491"/>
  <c r="AG491"/>
  <c r="AN491"/>
  <c r="AO491"/>
  <c r="AP491"/>
  <c r="AQ491"/>
  <c r="F492"/>
  <c r="L492"/>
  <c r="S492"/>
  <c r="Z492"/>
  <c r="AG492"/>
  <c r="AN492"/>
  <c r="AO492"/>
  <c r="AP492"/>
  <c r="AQ492"/>
  <c r="F493"/>
  <c r="L493"/>
  <c r="S493"/>
  <c r="Z493"/>
  <c r="AG493"/>
  <c r="AN493"/>
  <c r="AO493"/>
  <c r="AP493"/>
  <c r="AQ493"/>
  <c r="F494"/>
  <c r="L494"/>
  <c r="S494"/>
  <c r="Z494"/>
  <c r="AG494"/>
  <c r="AN494"/>
  <c r="AO494"/>
  <c r="AP494"/>
  <c r="AQ494"/>
  <c r="G496"/>
  <c r="H496"/>
  <c r="I496"/>
  <c r="J496"/>
  <c r="K496"/>
  <c r="N496"/>
  <c r="O496"/>
  <c r="P496"/>
  <c r="Q496"/>
  <c r="R496"/>
  <c r="U496"/>
  <c r="V496"/>
  <c r="W496"/>
  <c r="X496"/>
  <c r="Y496"/>
  <c r="AB496"/>
  <c r="AC496"/>
  <c r="AD496"/>
  <c r="AE496"/>
  <c r="AF496"/>
  <c r="AJ496"/>
  <c r="AK496"/>
  <c r="AL496"/>
  <c r="G497"/>
  <c r="H497"/>
  <c r="I497"/>
  <c r="J497"/>
  <c r="K497"/>
  <c r="N497"/>
  <c r="O497"/>
  <c r="P497"/>
  <c r="Q497"/>
  <c r="R497"/>
  <c r="U497"/>
  <c r="V497"/>
  <c r="W497"/>
  <c r="X497"/>
  <c r="Y497"/>
  <c r="AB497"/>
  <c r="AC497"/>
  <c r="AD497"/>
  <c r="AE497"/>
  <c r="AF497"/>
  <c r="G498"/>
  <c r="H498"/>
  <c r="I498"/>
  <c r="J498"/>
  <c r="K498"/>
  <c r="N498"/>
  <c r="O498"/>
  <c r="P498"/>
  <c r="Q498"/>
  <c r="R498"/>
  <c r="U498"/>
  <c r="V498"/>
  <c r="W498"/>
  <c r="X498"/>
  <c r="Y498"/>
  <c r="AB498"/>
  <c r="AC498"/>
  <c r="AD498"/>
  <c r="AE498"/>
  <c r="AF498"/>
  <c r="G499"/>
  <c r="L499"/>
  <c r="H499"/>
  <c r="I499"/>
  <c r="J499"/>
  <c r="K499"/>
  <c r="N499"/>
  <c r="O499"/>
  <c r="P499"/>
  <c r="Q499"/>
  <c r="R499"/>
  <c r="U499"/>
  <c r="V499"/>
  <c r="W499"/>
  <c r="X499"/>
  <c r="Y499"/>
  <c r="AB499"/>
  <c r="AC499"/>
  <c r="AD499"/>
  <c r="AE499"/>
  <c r="AF499"/>
  <c r="G500"/>
  <c r="H500"/>
  <c r="I500"/>
  <c r="J500"/>
  <c r="K500"/>
  <c r="N500"/>
  <c r="O500"/>
  <c r="P500"/>
  <c r="Q500"/>
  <c r="R500"/>
  <c r="U500"/>
  <c r="V500"/>
  <c r="W500"/>
  <c r="X500"/>
  <c r="Y500"/>
  <c r="AB500"/>
  <c r="AC500"/>
  <c r="AD500"/>
  <c r="AE500"/>
  <c r="AF500"/>
  <c r="F501"/>
  <c r="G501"/>
  <c r="H501"/>
  <c r="I501"/>
  <c r="J501"/>
  <c r="K501"/>
  <c r="L501"/>
  <c r="N501"/>
  <c r="O501"/>
  <c r="P501"/>
  <c r="Q501"/>
  <c r="R501"/>
  <c r="U501"/>
  <c r="V501"/>
  <c r="W501"/>
  <c r="X501"/>
  <c r="Y501"/>
  <c r="AB501"/>
  <c r="AC501"/>
  <c r="AD501"/>
  <c r="AE501"/>
  <c r="AF501"/>
  <c r="AN501"/>
  <c r="AO501"/>
  <c r="AP501"/>
  <c r="AQ501"/>
  <c r="F502"/>
  <c r="L502"/>
  <c r="S502"/>
  <c r="Z502"/>
  <c r="AG502"/>
  <c r="AN502"/>
  <c r="AO502"/>
  <c r="AP502"/>
  <c r="AQ502"/>
  <c r="F503"/>
  <c r="L503"/>
  <c r="S503"/>
  <c r="Z503"/>
  <c r="AG503"/>
  <c r="AN503"/>
  <c r="AO503"/>
  <c r="AP503"/>
  <c r="AQ503"/>
  <c r="F504"/>
  <c r="L504"/>
  <c r="S504"/>
  <c r="Z504"/>
  <c r="AG504"/>
  <c r="AN504"/>
  <c r="AO504"/>
  <c r="AP504"/>
  <c r="AQ504"/>
  <c r="AR504"/>
  <c r="F505"/>
  <c r="L505"/>
  <c r="S505"/>
  <c r="Z505"/>
  <c r="AG505"/>
  <c r="AN505"/>
  <c r="AO505"/>
  <c r="AP505"/>
  <c r="AQ505"/>
  <c r="AR505"/>
  <c r="F506"/>
  <c r="L506"/>
  <c r="S506"/>
  <c r="Z506"/>
  <c r="AG506"/>
  <c r="AN506"/>
  <c r="AO506"/>
  <c r="AP506"/>
  <c r="AQ506"/>
  <c r="F507"/>
  <c r="L507"/>
  <c r="S507"/>
  <c r="Z507"/>
  <c r="AG507"/>
  <c r="AN507"/>
  <c r="AO507"/>
  <c r="AP507"/>
  <c r="AQ507"/>
  <c r="G509"/>
  <c r="H509"/>
  <c r="I509"/>
  <c r="J509"/>
  <c r="K509"/>
  <c r="N509"/>
  <c r="O509"/>
  <c r="P509"/>
  <c r="Q509"/>
  <c r="R509"/>
  <c r="U509"/>
  <c r="V509"/>
  <c r="W509"/>
  <c r="X509"/>
  <c r="Y509"/>
  <c r="AB509"/>
  <c r="AC509"/>
  <c r="AD509"/>
  <c r="AE509"/>
  <c r="AF509"/>
  <c r="AJ509"/>
  <c r="AK509"/>
  <c r="AL509"/>
  <c r="G510"/>
  <c r="H510"/>
  <c r="I510"/>
  <c r="J510"/>
  <c r="K510"/>
  <c r="N510"/>
  <c r="O510"/>
  <c r="P510"/>
  <c r="Q510"/>
  <c r="R510"/>
  <c r="U510"/>
  <c r="V510"/>
  <c r="W510"/>
  <c r="X510"/>
  <c r="Y510"/>
  <c r="AB510"/>
  <c r="AC510"/>
  <c r="AD510"/>
  <c r="AE510"/>
  <c r="AF510"/>
  <c r="G511"/>
  <c r="H511"/>
  <c r="I511"/>
  <c r="J511"/>
  <c r="K511"/>
  <c r="N511"/>
  <c r="O511"/>
  <c r="S511"/>
  <c r="P511"/>
  <c r="Q511"/>
  <c r="R511"/>
  <c r="U511"/>
  <c r="V511"/>
  <c r="W511"/>
  <c r="X511"/>
  <c r="Y511"/>
  <c r="AB511"/>
  <c r="AC511"/>
  <c r="AD511"/>
  <c r="AE511"/>
  <c r="AF511"/>
  <c r="G512"/>
  <c r="H512"/>
  <c r="I512"/>
  <c r="J512"/>
  <c r="K512"/>
  <c r="N512"/>
  <c r="O512"/>
  <c r="P512"/>
  <c r="Q512"/>
  <c r="R512"/>
  <c r="U512"/>
  <c r="V512"/>
  <c r="W512"/>
  <c r="X512"/>
  <c r="Y512"/>
  <c r="AB512"/>
  <c r="AC512"/>
  <c r="AD512"/>
  <c r="AE512"/>
  <c r="AF512"/>
  <c r="G513"/>
  <c r="L513"/>
  <c r="H513"/>
  <c r="I513"/>
  <c r="J513"/>
  <c r="K513"/>
  <c r="N513"/>
  <c r="O513"/>
  <c r="P513"/>
  <c r="Q513"/>
  <c r="R513"/>
  <c r="U513"/>
  <c r="V513"/>
  <c r="W513"/>
  <c r="X513"/>
  <c r="Y513"/>
  <c r="AB513"/>
  <c r="AC513"/>
  <c r="AD513"/>
  <c r="AE513"/>
  <c r="AF513"/>
  <c r="F514"/>
  <c r="G514"/>
  <c r="H514"/>
  <c r="I514"/>
  <c r="J514"/>
  <c r="K514"/>
  <c r="L514"/>
  <c r="N514"/>
  <c r="O514"/>
  <c r="P514"/>
  <c r="Q514"/>
  <c r="R514"/>
  <c r="U514"/>
  <c r="V514"/>
  <c r="W514"/>
  <c r="X514"/>
  <c r="Y514"/>
  <c r="AB514"/>
  <c r="AC514"/>
  <c r="AD514"/>
  <c r="AE514"/>
  <c r="AF514"/>
  <c r="AN514"/>
  <c r="AO514"/>
  <c r="AP514"/>
  <c r="AQ514"/>
  <c r="AQ515"/>
  <c r="AQ516"/>
  <c r="AQ517"/>
  <c r="AQ518"/>
  <c r="AQ519"/>
  <c r="AQ520"/>
  <c r="AQ509"/>
  <c r="F515"/>
  <c r="L515"/>
  <c r="S515"/>
  <c r="Z515"/>
  <c r="AG515"/>
  <c r="AN515"/>
  <c r="AO515"/>
  <c r="AP515"/>
  <c r="AR515"/>
  <c r="F516"/>
  <c r="L516"/>
  <c r="S516"/>
  <c r="Z516"/>
  <c r="AG516"/>
  <c r="AN516"/>
  <c r="AO516"/>
  <c r="AP516"/>
  <c r="F517"/>
  <c r="L517"/>
  <c r="S517"/>
  <c r="Z517"/>
  <c r="AG517"/>
  <c r="AN517"/>
  <c r="AO517"/>
  <c r="AP517"/>
  <c r="AR517"/>
  <c r="F518"/>
  <c r="L518"/>
  <c r="S518"/>
  <c r="Z518"/>
  <c r="AG518"/>
  <c r="AN518"/>
  <c r="AO518"/>
  <c r="AP518"/>
  <c r="F519"/>
  <c r="L519"/>
  <c r="S519"/>
  <c r="Z519"/>
  <c r="AG519"/>
  <c r="AN519"/>
  <c r="AO519"/>
  <c r="AP519"/>
  <c r="F520"/>
  <c r="L520"/>
  <c r="S520"/>
  <c r="Z520"/>
  <c r="AG520"/>
  <c r="AN520"/>
  <c r="AO520"/>
  <c r="AP520"/>
  <c r="G522"/>
  <c r="H522"/>
  <c r="I522"/>
  <c r="J522"/>
  <c r="K522"/>
  <c r="N522"/>
  <c r="O522"/>
  <c r="P522"/>
  <c r="Q522"/>
  <c r="R522"/>
  <c r="U522"/>
  <c r="V522"/>
  <c r="W522"/>
  <c r="X522"/>
  <c r="Y522"/>
  <c r="AB522"/>
  <c r="AC522"/>
  <c r="AD522"/>
  <c r="AE522"/>
  <c r="AF522"/>
  <c r="AJ522"/>
  <c r="AK522"/>
  <c r="AL522"/>
  <c r="G523"/>
  <c r="H523"/>
  <c r="I523"/>
  <c r="J523"/>
  <c r="K523"/>
  <c r="N523"/>
  <c r="O523"/>
  <c r="P523"/>
  <c r="Q523"/>
  <c r="R523"/>
  <c r="U523"/>
  <c r="V523"/>
  <c r="W523"/>
  <c r="X523"/>
  <c r="Y523"/>
  <c r="AB523"/>
  <c r="AC523"/>
  <c r="AD523"/>
  <c r="AE523"/>
  <c r="AF523"/>
  <c r="G524"/>
  <c r="H524"/>
  <c r="I524"/>
  <c r="J524"/>
  <c r="K524"/>
  <c r="N524"/>
  <c r="O524"/>
  <c r="P524"/>
  <c r="Q524"/>
  <c r="R524"/>
  <c r="U524"/>
  <c r="Z524"/>
  <c r="V524"/>
  <c r="W524"/>
  <c r="X524"/>
  <c r="Y524"/>
  <c r="AB524"/>
  <c r="AC524"/>
  <c r="AD524"/>
  <c r="AE524"/>
  <c r="AF524"/>
  <c r="G525"/>
  <c r="H525"/>
  <c r="I525"/>
  <c r="J525"/>
  <c r="K525"/>
  <c r="N525"/>
  <c r="O525"/>
  <c r="P525"/>
  <c r="Q525"/>
  <c r="R525"/>
  <c r="U525"/>
  <c r="Z525"/>
  <c r="V525"/>
  <c r="W525"/>
  <c r="X525"/>
  <c r="Y525"/>
  <c r="AB525"/>
  <c r="AC525"/>
  <c r="AD525"/>
  <c r="AE525"/>
  <c r="AF525"/>
  <c r="G526"/>
  <c r="L526"/>
  <c r="H526"/>
  <c r="I526"/>
  <c r="J526"/>
  <c r="K526"/>
  <c r="N526"/>
  <c r="O526"/>
  <c r="S526"/>
  <c r="P526"/>
  <c r="Q526"/>
  <c r="R526"/>
  <c r="U526"/>
  <c r="V526"/>
  <c r="W526"/>
  <c r="X526"/>
  <c r="Y526"/>
  <c r="AB526"/>
  <c r="AC526"/>
  <c r="AD526"/>
  <c r="AE526"/>
  <c r="AF526"/>
  <c r="F527"/>
  <c r="G527"/>
  <c r="H527"/>
  <c r="I527"/>
  <c r="J527"/>
  <c r="K527"/>
  <c r="N527"/>
  <c r="O527"/>
  <c r="P527"/>
  <c r="Q527"/>
  <c r="R527"/>
  <c r="S527"/>
  <c r="U527"/>
  <c r="V527"/>
  <c r="W527"/>
  <c r="X527"/>
  <c r="Y527"/>
  <c r="AB527"/>
  <c r="AC527"/>
  <c r="AD527"/>
  <c r="AE527"/>
  <c r="AF527"/>
  <c r="AG527"/>
  <c r="AN527"/>
  <c r="AO527"/>
  <c r="AP527"/>
  <c r="AQ527"/>
  <c r="AQ528"/>
  <c r="AQ529"/>
  <c r="AQ530"/>
  <c r="AQ531"/>
  <c r="AQ532"/>
  <c r="AQ533"/>
  <c r="AQ522"/>
  <c r="F528"/>
  <c r="L528"/>
  <c r="S528"/>
  <c r="Z528"/>
  <c r="AG528"/>
  <c r="AN528"/>
  <c r="AN529"/>
  <c r="AN530"/>
  <c r="AN531"/>
  <c r="AN532"/>
  <c r="AN533"/>
  <c r="AN522"/>
  <c r="AO528"/>
  <c r="AP528"/>
  <c r="F529"/>
  <c r="L529"/>
  <c r="S529"/>
  <c r="Z529"/>
  <c r="AG529"/>
  <c r="AO529"/>
  <c r="AP529"/>
  <c r="AR529"/>
  <c r="F530"/>
  <c r="L530"/>
  <c r="S530"/>
  <c r="Z530"/>
  <c r="AG530"/>
  <c r="AO530"/>
  <c r="AP530"/>
  <c r="F531"/>
  <c r="L531"/>
  <c r="S531"/>
  <c r="Z531"/>
  <c r="AG531"/>
  <c r="AO531"/>
  <c r="AP531"/>
  <c r="F532"/>
  <c r="L532"/>
  <c r="S532"/>
  <c r="Z532"/>
  <c r="AG532"/>
  <c r="AO532"/>
  <c r="AP532"/>
  <c r="AR532"/>
  <c r="F533"/>
  <c r="L533"/>
  <c r="S533"/>
  <c r="Z533"/>
  <c r="AG533"/>
  <c r="AO533"/>
  <c r="AP533"/>
  <c r="AR533"/>
  <c r="G535"/>
  <c r="H535"/>
  <c r="I535"/>
  <c r="J535"/>
  <c r="K535"/>
  <c r="N535"/>
  <c r="O535"/>
  <c r="P535"/>
  <c r="Q535"/>
  <c r="R535"/>
  <c r="U535"/>
  <c r="V535"/>
  <c r="W535"/>
  <c r="X535"/>
  <c r="Y535"/>
  <c r="AB535"/>
  <c r="AC535"/>
  <c r="AD535"/>
  <c r="AE535"/>
  <c r="AF535"/>
  <c r="AJ535"/>
  <c r="AK535"/>
  <c r="AL535"/>
  <c r="G536"/>
  <c r="H536"/>
  <c r="I536"/>
  <c r="J536"/>
  <c r="K536"/>
  <c r="N536"/>
  <c r="O536"/>
  <c r="P536"/>
  <c r="Q536"/>
  <c r="R536"/>
  <c r="U536"/>
  <c r="V536"/>
  <c r="W536"/>
  <c r="X536"/>
  <c r="Y536"/>
  <c r="AB536"/>
  <c r="AC536"/>
  <c r="AD536"/>
  <c r="AE536"/>
  <c r="AF536"/>
  <c r="G537"/>
  <c r="L537"/>
  <c r="H537"/>
  <c r="I537"/>
  <c r="J537"/>
  <c r="K537"/>
  <c r="N537"/>
  <c r="O537"/>
  <c r="S537"/>
  <c r="P537"/>
  <c r="Q537"/>
  <c r="R537"/>
  <c r="U537"/>
  <c r="V537"/>
  <c r="W537"/>
  <c r="X537"/>
  <c r="Y537"/>
  <c r="AB537"/>
  <c r="AC537"/>
  <c r="AD537"/>
  <c r="AE537"/>
  <c r="AF537"/>
  <c r="G538"/>
  <c r="L538"/>
  <c r="H538"/>
  <c r="I538"/>
  <c r="J538"/>
  <c r="K538"/>
  <c r="N538"/>
  <c r="O538"/>
  <c r="P538"/>
  <c r="Q538"/>
  <c r="R538"/>
  <c r="U538"/>
  <c r="V538"/>
  <c r="W538"/>
  <c r="X538"/>
  <c r="Y538"/>
  <c r="AB538"/>
  <c r="AC538"/>
  <c r="AD538"/>
  <c r="AE538"/>
  <c r="AF538"/>
  <c r="G539"/>
  <c r="L539"/>
  <c r="H539"/>
  <c r="I539"/>
  <c r="J539"/>
  <c r="K539"/>
  <c r="N539"/>
  <c r="O539"/>
  <c r="P539"/>
  <c r="Q539"/>
  <c r="R539"/>
  <c r="U539"/>
  <c r="Z539"/>
  <c r="V539"/>
  <c r="W539"/>
  <c r="X539"/>
  <c r="Y539"/>
  <c r="AB539"/>
  <c r="AC539"/>
  <c r="AD539"/>
  <c r="AE539"/>
  <c r="AF539"/>
  <c r="F540"/>
  <c r="G540"/>
  <c r="H540"/>
  <c r="I540"/>
  <c r="J540"/>
  <c r="K540"/>
  <c r="L540"/>
  <c r="N540"/>
  <c r="O540"/>
  <c r="P540"/>
  <c r="Q540"/>
  <c r="R540"/>
  <c r="U540"/>
  <c r="V540"/>
  <c r="W540"/>
  <c r="X540"/>
  <c r="Y540"/>
  <c r="Z540"/>
  <c r="AB540"/>
  <c r="AC540"/>
  <c r="AD540"/>
  <c r="AE540"/>
  <c r="AF540"/>
  <c r="AN540"/>
  <c r="AO540"/>
  <c r="AO541"/>
  <c r="AO542"/>
  <c r="AO543"/>
  <c r="AO544"/>
  <c r="AO545"/>
  <c r="AO546"/>
  <c r="AO535"/>
  <c r="AP540"/>
  <c r="AQ540"/>
  <c r="F541"/>
  <c r="L541"/>
  <c r="S541"/>
  <c r="Z541"/>
  <c r="AG541"/>
  <c r="AN541"/>
  <c r="AP541"/>
  <c r="AP542"/>
  <c r="AP543"/>
  <c r="AP544"/>
  <c r="AP545"/>
  <c r="AP546"/>
  <c r="AP535"/>
  <c r="AQ541"/>
  <c r="F542"/>
  <c r="L542"/>
  <c r="S542"/>
  <c r="Z542"/>
  <c r="AG542"/>
  <c r="AN542"/>
  <c r="AQ542"/>
  <c r="F543"/>
  <c r="L543"/>
  <c r="S543"/>
  <c r="Z543"/>
  <c r="AG543"/>
  <c r="AN543"/>
  <c r="AQ543"/>
  <c r="F544"/>
  <c r="L544"/>
  <c r="S544"/>
  <c r="Z544"/>
  <c r="AG544"/>
  <c r="AN544"/>
  <c r="AQ544"/>
  <c r="AR544"/>
  <c r="F545"/>
  <c r="L545"/>
  <c r="S545"/>
  <c r="Z545"/>
  <c r="AG545"/>
  <c r="AN545"/>
  <c r="AQ545"/>
  <c r="F546"/>
  <c r="L546"/>
  <c r="S546"/>
  <c r="Z546"/>
  <c r="AG546"/>
  <c r="AN546"/>
  <c r="AQ546"/>
  <c r="G548"/>
  <c r="H548"/>
  <c r="I548"/>
  <c r="J548"/>
  <c r="K548"/>
  <c r="N548"/>
  <c r="O548"/>
  <c r="P548"/>
  <c r="Q548"/>
  <c r="R548"/>
  <c r="U548"/>
  <c r="V548"/>
  <c r="W548"/>
  <c r="X548"/>
  <c r="Y548"/>
  <c r="AB548"/>
  <c r="AC548"/>
  <c r="AD548"/>
  <c r="AE548"/>
  <c r="AF548"/>
  <c r="AJ548"/>
  <c r="AK548"/>
  <c r="AL548"/>
  <c r="G549"/>
  <c r="H549"/>
  <c r="I549"/>
  <c r="J549"/>
  <c r="K549"/>
  <c r="N549"/>
  <c r="O549"/>
  <c r="P549"/>
  <c r="Q549"/>
  <c r="R549"/>
  <c r="U549"/>
  <c r="V549"/>
  <c r="W549"/>
  <c r="X549"/>
  <c r="Y549"/>
  <c r="AB549"/>
  <c r="AC549"/>
  <c r="AD549"/>
  <c r="AE549"/>
  <c r="AF549"/>
  <c r="G550"/>
  <c r="L550"/>
  <c r="H550"/>
  <c r="I550"/>
  <c r="J550"/>
  <c r="K550"/>
  <c r="N550"/>
  <c r="O550"/>
  <c r="P550"/>
  <c r="Q550"/>
  <c r="R550"/>
  <c r="U550"/>
  <c r="Z550"/>
  <c r="V550"/>
  <c r="W550"/>
  <c r="X550"/>
  <c r="Y550"/>
  <c r="AB550"/>
  <c r="AC550"/>
  <c r="AD550"/>
  <c r="AE550"/>
  <c r="AF550"/>
  <c r="G551"/>
  <c r="H551"/>
  <c r="I551"/>
  <c r="J551"/>
  <c r="K551"/>
  <c r="N551"/>
  <c r="O551"/>
  <c r="P551"/>
  <c r="Q551"/>
  <c r="R551"/>
  <c r="U551"/>
  <c r="Z551"/>
  <c r="V551"/>
  <c r="W551"/>
  <c r="X551"/>
  <c r="Y551"/>
  <c r="AB551"/>
  <c r="AC551"/>
  <c r="AD551"/>
  <c r="AE551"/>
  <c r="AF551"/>
  <c r="G552"/>
  <c r="H552"/>
  <c r="I552"/>
  <c r="J552"/>
  <c r="K552"/>
  <c r="N552"/>
  <c r="O552"/>
  <c r="P552"/>
  <c r="Q552"/>
  <c r="R552"/>
  <c r="U552"/>
  <c r="V552"/>
  <c r="W552"/>
  <c r="X552"/>
  <c r="Y552"/>
  <c r="AB552"/>
  <c r="AC552"/>
  <c r="AD552"/>
  <c r="AE552"/>
  <c r="AF552"/>
  <c r="F553"/>
  <c r="G553"/>
  <c r="H553"/>
  <c r="I553"/>
  <c r="J553"/>
  <c r="K553"/>
  <c r="N553"/>
  <c r="O553"/>
  <c r="P553"/>
  <c r="Q553"/>
  <c r="R553"/>
  <c r="S553"/>
  <c r="U553"/>
  <c r="V553"/>
  <c r="W553"/>
  <c r="X553"/>
  <c r="Y553"/>
  <c r="AB553"/>
  <c r="AC553"/>
  <c r="AD553"/>
  <c r="AE553"/>
  <c r="AF553"/>
  <c r="AN553"/>
  <c r="AO553"/>
  <c r="AO554"/>
  <c r="AO555"/>
  <c r="AO556"/>
  <c r="AO557"/>
  <c r="AO558"/>
  <c r="AO559"/>
  <c r="AO548"/>
  <c r="AP553"/>
  <c r="AQ553"/>
  <c r="AQ554"/>
  <c r="AQ555"/>
  <c r="AQ556"/>
  <c r="AQ557"/>
  <c r="AQ558"/>
  <c r="AQ559"/>
  <c r="AQ548"/>
  <c r="F554"/>
  <c r="L554"/>
  <c r="S554"/>
  <c r="Z554"/>
  <c r="AG554"/>
  <c r="AN554"/>
  <c r="AP554"/>
  <c r="AR554"/>
  <c r="F555"/>
  <c r="L555"/>
  <c r="S555"/>
  <c r="Z555"/>
  <c r="AG555"/>
  <c r="AN555"/>
  <c r="AP555"/>
  <c r="AR555"/>
  <c r="F556"/>
  <c r="L556"/>
  <c r="S556"/>
  <c r="Z556"/>
  <c r="AG556"/>
  <c r="AN556"/>
  <c r="AP556"/>
  <c r="F557"/>
  <c r="L557"/>
  <c r="S557"/>
  <c r="Z557"/>
  <c r="AG557"/>
  <c r="AN557"/>
  <c r="AP557"/>
  <c r="F558"/>
  <c r="L558"/>
  <c r="S558"/>
  <c r="Z558"/>
  <c r="AG558"/>
  <c r="AN558"/>
  <c r="AP558"/>
  <c r="F559"/>
  <c r="L559"/>
  <c r="S559"/>
  <c r="Z559"/>
  <c r="AG559"/>
  <c r="AN559"/>
  <c r="AP559"/>
  <c r="AR559"/>
  <c r="G561"/>
  <c r="H561"/>
  <c r="I561"/>
  <c r="J561"/>
  <c r="K561"/>
  <c r="N561"/>
  <c r="O561"/>
  <c r="P561"/>
  <c r="Q561"/>
  <c r="R561"/>
  <c r="U561"/>
  <c r="V561"/>
  <c r="W561"/>
  <c r="X561"/>
  <c r="Y561"/>
  <c r="AB561"/>
  <c r="AC561"/>
  <c r="AD561"/>
  <c r="AE561"/>
  <c r="AF561"/>
  <c r="AJ561"/>
  <c r="AK561"/>
  <c r="AL561"/>
  <c r="G562"/>
  <c r="H562"/>
  <c r="I562"/>
  <c r="J562"/>
  <c r="K562"/>
  <c r="N562"/>
  <c r="O562"/>
  <c r="P562"/>
  <c r="Q562"/>
  <c r="R562"/>
  <c r="U562"/>
  <c r="V562"/>
  <c r="W562"/>
  <c r="X562"/>
  <c r="Y562"/>
  <c r="AB562"/>
  <c r="AC562"/>
  <c r="AD562"/>
  <c r="AE562"/>
  <c r="AF562"/>
  <c r="G563"/>
  <c r="L563"/>
  <c r="H563"/>
  <c r="I563"/>
  <c r="J563"/>
  <c r="K563"/>
  <c r="N563"/>
  <c r="O563"/>
  <c r="P563"/>
  <c r="Q563"/>
  <c r="R563"/>
  <c r="U563"/>
  <c r="V563"/>
  <c r="W563"/>
  <c r="X563"/>
  <c r="Y563"/>
  <c r="AB563"/>
  <c r="AC563"/>
  <c r="AD563"/>
  <c r="AE563"/>
  <c r="AF563"/>
  <c r="G564"/>
  <c r="L564"/>
  <c r="H564"/>
  <c r="I564"/>
  <c r="J564"/>
  <c r="K564"/>
  <c r="N564"/>
  <c r="O564"/>
  <c r="S564"/>
  <c r="P564"/>
  <c r="Q564"/>
  <c r="R564"/>
  <c r="U564"/>
  <c r="V564"/>
  <c r="W564"/>
  <c r="X564"/>
  <c r="Y564"/>
  <c r="AB564"/>
  <c r="AC564"/>
  <c r="AD564"/>
  <c r="AE564"/>
  <c r="AF564"/>
  <c r="G565"/>
  <c r="H565"/>
  <c r="I565"/>
  <c r="J565"/>
  <c r="K565"/>
  <c r="N565"/>
  <c r="O565"/>
  <c r="P565"/>
  <c r="Q565"/>
  <c r="R565"/>
  <c r="U565"/>
  <c r="Z565"/>
  <c r="V565"/>
  <c r="W565"/>
  <c r="X565"/>
  <c r="Y565"/>
  <c r="AB565"/>
  <c r="AC565"/>
  <c r="AG565"/>
  <c r="AD565"/>
  <c r="AE565"/>
  <c r="AF565"/>
  <c r="F566"/>
  <c r="G566"/>
  <c r="H566"/>
  <c r="I566"/>
  <c r="J566"/>
  <c r="K566"/>
  <c r="N566"/>
  <c r="O566"/>
  <c r="P566"/>
  <c r="Q566"/>
  <c r="R566"/>
  <c r="S566"/>
  <c r="U566"/>
  <c r="V566"/>
  <c r="W566"/>
  <c r="X566"/>
  <c r="Y566"/>
  <c r="Z566"/>
  <c r="AB566"/>
  <c r="AC566"/>
  <c r="AD566"/>
  <c r="AE566"/>
  <c r="AF566"/>
  <c r="AN566"/>
  <c r="AO566"/>
  <c r="AO567"/>
  <c r="AO568"/>
  <c r="AO569"/>
  <c r="AO570"/>
  <c r="AO571"/>
  <c r="AO572"/>
  <c r="AO561"/>
  <c r="AP566"/>
  <c r="AQ566"/>
  <c r="F567"/>
  <c r="L567"/>
  <c r="S567"/>
  <c r="Z567"/>
  <c r="AG567"/>
  <c r="AN567"/>
  <c r="AP567"/>
  <c r="AQ567"/>
  <c r="AR567"/>
  <c r="AP568"/>
  <c r="AP569"/>
  <c r="AP570"/>
  <c r="AP571"/>
  <c r="AP572"/>
  <c r="AP561"/>
  <c r="F568"/>
  <c r="L568"/>
  <c r="S568"/>
  <c r="Z568"/>
  <c r="AG568"/>
  <c r="AN568"/>
  <c r="AQ568"/>
  <c r="F569"/>
  <c r="L569"/>
  <c r="S569"/>
  <c r="Z569"/>
  <c r="AG569"/>
  <c r="AN569"/>
  <c r="AQ569"/>
  <c r="F570"/>
  <c r="L570"/>
  <c r="S570"/>
  <c r="Z570"/>
  <c r="AG570"/>
  <c r="AN570"/>
  <c r="AQ570"/>
  <c r="AR570"/>
  <c r="F571"/>
  <c r="L571"/>
  <c r="S571"/>
  <c r="Z571"/>
  <c r="AG571"/>
  <c r="AN571"/>
  <c r="AQ571"/>
  <c r="F572"/>
  <c r="L572"/>
  <c r="S572"/>
  <c r="Z572"/>
  <c r="AG572"/>
  <c r="AN572"/>
  <c r="AQ572"/>
  <c r="G574"/>
  <c r="H574"/>
  <c r="I574"/>
  <c r="J574"/>
  <c r="K574"/>
  <c r="N574"/>
  <c r="O574"/>
  <c r="P574"/>
  <c r="Q574"/>
  <c r="R574"/>
  <c r="U574"/>
  <c r="V574"/>
  <c r="W574"/>
  <c r="X574"/>
  <c r="Y574"/>
  <c r="AB574"/>
  <c r="AC574"/>
  <c r="AD574"/>
  <c r="AE574"/>
  <c r="AF574"/>
  <c r="AJ574"/>
  <c r="AK574"/>
  <c r="AL574"/>
  <c r="G575"/>
  <c r="H575"/>
  <c r="I575"/>
  <c r="J575"/>
  <c r="K575"/>
  <c r="N575"/>
  <c r="O575"/>
  <c r="P575"/>
  <c r="Q575"/>
  <c r="R575"/>
  <c r="U575"/>
  <c r="V575"/>
  <c r="W575"/>
  <c r="X575"/>
  <c r="Y575"/>
  <c r="AB575"/>
  <c r="AC575"/>
  <c r="AD575"/>
  <c r="AE575"/>
  <c r="AF575"/>
  <c r="G576"/>
  <c r="L576"/>
  <c r="H576"/>
  <c r="I576"/>
  <c r="J576"/>
  <c r="K576"/>
  <c r="N576"/>
  <c r="O576"/>
  <c r="S576"/>
  <c r="P576"/>
  <c r="Q576"/>
  <c r="R576"/>
  <c r="U576"/>
  <c r="Z576"/>
  <c r="V576"/>
  <c r="W576"/>
  <c r="X576"/>
  <c r="Y576"/>
  <c r="AB576"/>
  <c r="AC576"/>
  <c r="AD576"/>
  <c r="AE576"/>
  <c r="AF576"/>
  <c r="G577"/>
  <c r="H577"/>
  <c r="I577"/>
  <c r="J577"/>
  <c r="K577"/>
  <c r="N577"/>
  <c r="O577"/>
  <c r="P577"/>
  <c r="Q577"/>
  <c r="R577"/>
  <c r="U577"/>
  <c r="Z577"/>
  <c r="V577"/>
  <c r="W577"/>
  <c r="X577"/>
  <c r="Y577"/>
  <c r="AB577"/>
  <c r="AC577"/>
  <c r="AG577"/>
  <c r="AD577"/>
  <c r="AE577"/>
  <c r="AF577"/>
  <c r="G578"/>
  <c r="H578"/>
  <c r="I578"/>
  <c r="J578"/>
  <c r="K578"/>
  <c r="N578"/>
  <c r="O578"/>
  <c r="P578"/>
  <c r="Q578"/>
  <c r="R578"/>
  <c r="U578"/>
  <c r="V578"/>
  <c r="W578"/>
  <c r="X578"/>
  <c r="Y578"/>
  <c r="AB578"/>
  <c r="AC578"/>
  <c r="AD578"/>
  <c r="AE578"/>
  <c r="AF578"/>
  <c r="F579"/>
  <c r="G579"/>
  <c r="H579"/>
  <c r="I579"/>
  <c r="J579"/>
  <c r="K579"/>
  <c r="N579"/>
  <c r="O579"/>
  <c r="P579"/>
  <c r="Q579"/>
  <c r="R579"/>
  <c r="S579"/>
  <c r="U579"/>
  <c r="V579"/>
  <c r="W579"/>
  <c r="X579"/>
  <c r="Y579"/>
  <c r="AB579"/>
  <c r="AC579"/>
  <c r="AD579"/>
  <c r="AE579"/>
  <c r="AF579"/>
  <c r="AG579"/>
  <c r="AN579"/>
  <c r="AO579"/>
  <c r="AP579"/>
  <c r="AQ579"/>
  <c r="F580"/>
  <c r="L580"/>
  <c r="S580"/>
  <c r="Z580"/>
  <c r="AG580"/>
  <c r="AN580"/>
  <c r="AO580"/>
  <c r="AP580"/>
  <c r="AQ580"/>
  <c r="AR580"/>
  <c r="F581"/>
  <c r="L581"/>
  <c r="S581"/>
  <c r="Z581"/>
  <c r="AG581"/>
  <c r="AN581"/>
  <c r="AO581"/>
  <c r="AP581"/>
  <c r="AQ581"/>
  <c r="AR581"/>
  <c r="F582"/>
  <c r="L582"/>
  <c r="S582"/>
  <c r="Z582"/>
  <c r="AG582"/>
  <c r="AN582"/>
  <c r="AO582"/>
  <c r="AP582"/>
  <c r="AQ582"/>
  <c r="AR582"/>
  <c r="F583"/>
  <c r="L583"/>
  <c r="S583"/>
  <c r="Z583"/>
  <c r="AG583"/>
  <c r="AN583"/>
  <c r="AO583"/>
  <c r="AP583"/>
  <c r="AQ583"/>
  <c r="F584"/>
  <c r="L584"/>
  <c r="S584"/>
  <c r="Z584"/>
  <c r="AG584"/>
  <c r="AN584"/>
  <c r="AO584"/>
  <c r="AP584"/>
  <c r="AQ584"/>
  <c r="F585"/>
  <c r="L585"/>
  <c r="S585"/>
  <c r="Z585"/>
  <c r="AG585"/>
  <c r="AN585"/>
  <c r="AO585"/>
  <c r="AP585"/>
  <c r="AQ585"/>
  <c r="AR585"/>
  <c r="G587"/>
  <c r="H587"/>
  <c r="I587"/>
  <c r="J587"/>
  <c r="K587"/>
  <c r="N587"/>
  <c r="O587"/>
  <c r="P587"/>
  <c r="Q587"/>
  <c r="R587"/>
  <c r="U587"/>
  <c r="V587"/>
  <c r="W587"/>
  <c r="X587"/>
  <c r="Y587"/>
  <c r="AB587"/>
  <c r="AC587"/>
  <c r="AD587"/>
  <c r="AE587"/>
  <c r="AF587"/>
  <c r="AJ587"/>
  <c r="AK587"/>
  <c r="AL587"/>
  <c r="G588"/>
  <c r="H588"/>
  <c r="I588"/>
  <c r="J588"/>
  <c r="K588"/>
  <c r="N588"/>
  <c r="O588"/>
  <c r="P588"/>
  <c r="Q588"/>
  <c r="R588"/>
  <c r="U588"/>
  <c r="V588"/>
  <c r="W588"/>
  <c r="X588"/>
  <c r="Y588"/>
  <c r="AB588"/>
  <c r="AC588"/>
  <c r="AD588"/>
  <c r="AE588"/>
  <c r="AF588"/>
  <c r="G589"/>
  <c r="H589"/>
  <c r="I589"/>
  <c r="J589"/>
  <c r="K589"/>
  <c r="N589"/>
  <c r="O589"/>
  <c r="P589"/>
  <c r="Q589"/>
  <c r="R589"/>
  <c r="U589"/>
  <c r="V589"/>
  <c r="W589"/>
  <c r="X589"/>
  <c r="Y589"/>
  <c r="AB589"/>
  <c r="AC589"/>
  <c r="AD589"/>
  <c r="AE589"/>
  <c r="AF589"/>
  <c r="G590"/>
  <c r="H590"/>
  <c r="I590"/>
  <c r="J590"/>
  <c r="K590"/>
  <c r="N590"/>
  <c r="O590"/>
  <c r="P590"/>
  <c r="Q590"/>
  <c r="R590"/>
  <c r="U590"/>
  <c r="V590"/>
  <c r="W590"/>
  <c r="X590"/>
  <c r="Y590"/>
  <c r="AB590"/>
  <c r="AC590"/>
  <c r="AD590"/>
  <c r="AE590"/>
  <c r="AF590"/>
  <c r="G591"/>
  <c r="L591"/>
  <c r="H591"/>
  <c r="I591"/>
  <c r="J591"/>
  <c r="K591"/>
  <c r="N591"/>
  <c r="O591"/>
  <c r="P591"/>
  <c r="Q591"/>
  <c r="R591"/>
  <c r="U591"/>
  <c r="Z591"/>
  <c r="V591"/>
  <c r="W591"/>
  <c r="X591"/>
  <c r="Y591"/>
  <c r="AB591"/>
  <c r="AC591"/>
  <c r="AD591"/>
  <c r="AE591"/>
  <c r="AF591"/>
  <c r="F592"/>
  <c r="G592"/>
  <c r="H592"/>
  <c r="I592"/>
  <c r="J592"/>
  <c r="K592"/>
  <c r="L592"/>
  <c r="N592"/>
  <c r="O592"/>
  <c r="P592"/>
  <c r="Q592"/>
  <c r="R592"/>
  <c r="U592"/>
  <c r="V592"/>
  <c r="W592"/>
  <c r="X592"/>
  <c r="Y592"/>
  <c r="AB592"/>
  <c r="AC592"/>
  <c r="AD592"/>
  <c r="AE592"/>
  <c r="AF592"/>
  <c r="AN592"/>
  <c r="AO592"/>
  <c r="AP592"/>
  <c r="AQ592"/>
  <c r="AR592"/>
  <c r="F593"/>
  <c r="L593"/>
  <c r="S593"/>
  <c r="Z593"/>
  <c r="AG593"/>
  <c r="AN593"/>
  <c r="AN594"/>
  <c r="AN595"/>
  <c r="AN596"/>
  <c r="AN597"/>
  <c r="AN598"/>
  <c r="AN587"/>
  <c r="AO593"/>
  <c r="AP593"/>
  <c r="AP594"/>
  <c r="AP595"/>
  <c r="AP596"/>
  <c r="AP597"/>
  <c r="AP598"/>
  <c r="AP587"/>
  <c r="AQ593"/>
  <c r="F594"/>
  <c r="L594"/>
  <c r="S594"/>
  <c r="Z594"/>
  <c r="AG594"/>
  <c r="AO594"/>
  <c r="AQ594"/>
  <c r="F595"/>
  <c r="L595"/>
  <c r="S595"/>
  <c r="Z595"/>
  <c r="AG595"/>
  <c r="AO595"/>
  <c r="AQ595"/>
  <c r="F596"/>
  <c r="L596"/>
  <c r="S596"/>
  <c r="Z596"/>
  <c r="AG596"/>
  <c r="AO596"/>
  <c r="AQ596"/>
  <c r="AR596"/>
  <c r="F597"/>
  <c r="L597"/>
  <c r="S597"/>
  <c r="Z597"/>
  <c r="AG597"/>
  <c r="AO597"/>
  <c r="AQ597"/>
  <c r="F598"/>
  <c r="L598"/>
  <c r="S598"/>
  <c r="Z598"/>
  <c r="AG598"/>
  <c r="AO598"/>
  <c r="AQ598"/>
  <c r="G600"/>
  <c r="H600"/>
  <c r="I600"/>
  <c r="J600"/>
  <c r="K600"/>
  <c r="N600"/>
  <c r="O600"/>
  <c r="P600"/>
  <c r="Q600"/>
  <c r="R600"/>
  <c r="U600"/>
  <c r="V600"/>
  <c r="W600"/>
  <c r="X600"/>
  <c r="Y600"/>
  <c r="AB600"/>
  <c r="AC600"/>
  <c r="AD600"/>
  <c r="AE600"/>
  <c r="AF600"/>
  <c r="AJ600"/>
  <c r="AK600"/>
  <c r="AL600"/>
  <c r="G601"/>
  <c r="H601"/>
  <c r="I601"/>
  <c r="J601"/>
  <c r="K601"/>
  <c r="N601"/>
  <c r="O601"/>
  <c r="P601"/>
  <c r="Q601"/>
  <c r="R601"/>
  <c r="U601"/>
  <c r="V601"/>
  <c r="W601"/>
  <c r="X601"/>
  <c r="Y601"/>
  <c r="AB601"/>
  <c r="AC601"/>
  <c r="AD601"/>
  <c r="AE601"/>
  <c r="AF601"/>
  <c r="G602"/>
  <c r="H602"/>
  <c r="I602"/>
  <c r="J602"/>
  <c r="K602"/>
  <c r="N602"/>
  <c r="O602"/>
  <c r="P602"/>
  <c r="Q602"/>
  <c r="R602"/>
  <c r="U602"/>
  <c r="Z602"/>
  <c r="V602"/>
  <c r="W602"/>
  <c r="X602"/>
  <c r="Y602"/>
  <c r="AB602"/>
  <c r="AC602"/>
  <c r="AD602"/>
  <c r="AE602"/>
  <c r="AF602"/>
  <c r="G603"/>
  <c r="H603"/>
  <c r="I603"/>
  <c r="J603"/>
  <c r="K603"/>
  <c r="N603"/>
  <c r="O603"/>
  <c r="S603"/>
  <c r="P603"/>
  <c r="Q603"/>
  <c r="R603"/>
  <c r="U603"/>
  <c r="Z603"/>
  <c r="V603"/>
  <c r="W603"/>
  <c r="X603"/>
  <c r="Y603"/>
  <c r="AB603"/>
  <c r="AC603"/>
  <c r="AD603"/>
  <c r="AE603"/>
  <c r="AF603"/>
  <c r="G604"/>
  <c r="L604"/>
  <c r="H604"/>
  <c r="I604"/>
  <c r="J604"/>
  <c r="K604"/>
  <c r="N604"/>
  <c r="O604"/>
  <c r="P604"/>
  <c r="Q604"/>
  <c r="R604"/>
  <c r="U604"/>
  <c r="V604"/>
  <c r="W604"/>
  <c r="X604"/>
  <c r="Y604"/>
  <c r="AB604"/>
  <c r="AC604"/>
  <c r="AD604"/>
  <c r="AE604"/>
  <c r="AF604"/>
  <c r="F605"/>
  <c r="G605"/>
  <c r="H605"/>
  <c r="I605"/>
  <c r="J605"/>
  <c r="K605"/>
  <c r="N605"/>
  <c r="O605"/>
  <c r="P605"/>
  <c r="Q605"/>
  <c r="R605"/>
  <c r="S605"/>
  <c r="U605"/>
  <c r="V605"/>
  <c r="W605"/>
  <c r="X605"/>
  <c r="Y605"/>
  <c r="AB605"/>
  <c r="AC605"/>
  <c r="AD605"/>
  <c r="AE605"/>
  <c r="AF605"/>
  <c r="AN605"/>
  <c r="AO605"/>
  <c r="AP605"/>
  <c r="AQ605"/>
  <c r="F606"/>
  <c r="L606"/>
  <c r="S606"/>
  <c r="Z606"/>
  <c r="AG606"/>
  <c r="AN606"/>
  <c r="AO606"/>
  <c r="AP606"/>
  <c r="AQ606"/>
  <c r="F607"/>
  <c r="L607"/>
  <c r="S607"/>
  <c r="Z607"/>
  <c r="AG607"/>
  <c r="AN607"/>
  <c r="AO607"/>
  <c r="AP607"/>
  <c r="AQ607"/>
  <c r="AR607"/>
  <c r="F608"/>
  <c r="L608"/>
  <c r="S608"/>
  <c r="Z608"/>
  <c r="AG608"/>
  <c r="AN608"/>
  <c r="AO608"/>
  <c r="AP608"/>
  <c r="AQ608"/>
  <c r="AR608"/>
  <c r="F609"/>
  <c r="L609"/>
  <c r="S609"/>
  <c r="Z609"/>
  <c r="AG609"/>
  <c r="AN609"/>
  <c r="AO609"/>
  <c r="AP609"/>
  <c r="AQ609"/>
  <c r="F610"/>
  <c r="L610"/>
  <c r="S610"/>
  <c r="Z610"/>
  <c r="AG610"/>
  <c r="AN610"/>
  <c r="AO610"/>
  <c r="AP610"/>
  <c r="AQ610"/>
  <c r="F611"/>
  <c r="L611"/>
  <c r="S611"/>
  <c r="Z611"/>
  <c r="AG611"/>
  <c r="AN611"/>
  <c r="AO611"/>
  <c r="AP611"/>
  <c r="AQ611"/>
  <c r="AR611"/>
  <c r="G613"/>
  <c r="H613"/>
  <c r="I613"/>
  <c r="J613"/>
  <c r="K613"/>
  <c r="N613"/>
  <c r="O613"/>
  <c r="P613"/>
  <c r="Q613"/>
  <c r="R613"/>
  <c r="U613"/>
  <c r="V613"/>
  <c r="W613"/>
  <c r="X613"/>
  <c r="Y613"/>
  <c r="AB613"/>
  <c r="AC613"/>
  <c r="AD613"/>
  <c r="AE613"/>
  <c r="AF613"/>
  <c r="AJ613"/>
  <c r="AK613"/>
  <c r="AL613"/>
  <c r="G614"/>
  <c r="H614"/>
  <c r="I614"/>
  <c r="J614"/>
  <c r="K614"/>
  <c r="N614"/>
  <c r="O614"/>
  <c r="P614"/>
  <c r="Q614"/>
  <c r="R614"/>
  <c r="U614"/>
  <c r="V614"/>
  <c r="W614"/>
  <c r="X614"/>
  <c r="Y614"/>
  <c r="AB614"/>
  <c r="AC614"/>
  <c r="AD614"/>
  <c r="AE614"/>
  <c r="AF614"/>
  <c r="G615"/>
  <c r="L615"/>
  <c r="H615"/>
  <c r="I615"/>
  <c r="J615"/>
  <c r="K615"/>
  <c r="N615"/>
  <c r="O615"/>
  <c r="P615"/>
  <c r="Q615"/>
  <c r="R615"/>
  <c r="U615"/>
  <c r="V615"/>
  <c r="W615"/>
  <c r="X615"/>
  <c r="Y615"/>
  <c r="AB615"/>
  <c r="AC615"/>
  <c r="AD615"/>
  <c r="AE615"/>
  <c r="AF615"/>
  <c r="G616"/>
  <c r="H616"/>
  <c r="I616"/>
  <c r="J616"/>
  <c r="K616"/>
  <c r="N616"/>
  <c r="O616"/>
  <c r="P616"/>
  <c r="Q616"/>
  <c r="R616"/>
  <c r="U616"/>
  <c r="V616"/>
  <c r="W616"/>
  <c r="X616"/>
  <c r="Y616"/>
  <c r="AB616"/>
  <c r="AC616"/>
  <c r="AD616"/>
  <c r="AE616"/>
  <c r="AF616"/>
  <c r="G617"/>
  <c r="L617"/>
  <c r="H617"/>
  <c r="I617"/>
  <c r="J617"/>
  <c r="K617"/>
  <c r="N617"/>
  <c r="O617"/>
  <c r="P617"/>
  <c r="Q617"/>
  <c r="R617"/>
  <c r="U617"/>
  <c r="Z617"/>
  <c r="V617"/>
  <c r="W617"/>
  <c r="X617"/>
  <c r="Y617"/>
  <c r="AB617"/>
  <c r="AC617"/>
  <c r="AD617"/>
  <c r="AE617"/>
  <c r="AF617"/>
  <c r="F618"/>
  <c r="G618"/>
  <c r="H618"/>
  <c r="I618"/>
  <c r="J618"/>
  <c r="K618"/>
  <c r="L618"/>
  <c r="N618"/>
  <c r="O618"/>
  <c r="P618"/>
  <c r="Q618"/>
  <c r="R618"/>
  <c r="U618"/>
  <c r="V618"/>
  <c r="W618"/>
  <c r="X618"/>
  <c r="Y618"/>
  <c r="AB618"/>
  <c r="AC618"/>
  <c r="AD618"/>
  <c r="AE618"/>
  <c r="AF618"/>
  <c r="AN618"/>
  <c r="AO618"/>
  <c r="AP618"/>
  <c r="AQ618"/>
  <c r="F619"/>
  <c r="L619"/>
  <c r="S619"/>
  <c r="Z619"/>
  <c r="AG619"/>
  <c r="AN619"/>
  <c r="AO619"/>
  <c r="AP619"/>
  <c r="AQ619"/>
  <c r="F620"/>
  <c r="L620"/>
  <c r="S620"/>
  <c r="Z620"/>
  <c r="AG620"/>
  <c r="AN620"/>
  <c r="AO620"/>
  <c r="AP620"/>
  <c r="AQ620"/>
  <c r="F621"/>
  <c r="L621"/>
  <c r="S621"/>
  <c r="Z621"/>
  <c r="AG621"/>
  <c r="AN621"/>
  <c r="AO621"/>
  <c r="AP621"/>
  <c r="AQ621"/>
  <c r="F622"/>
  <c r="L622"/>
  <c r="S622"/>
  <c r="Z622"/>
  <c r="AG622"/>
  <c r="AN622"/>
  <c r="AO622"/>
  <c r="AP622"/>
  <c r="AQ622"/>
  <c r="F623"/>
  <c r="L623"/>
  <c r="S623"/>
  <c r="Z623"/>
  <c r="AG623"/>
  <c r="AN623"/>
  <c r="AO623"/>
  <c r="AP623"/>
  <c r="AQ623"/>
  <c r="F624"/>
  <c r="L624"/>
  <c r="S624"/>
  <c r="Z624"/>
  <c r="AG624"/>
  <c r="AN624"/>
  <c r="AO624"/>
  <c r="AP624"/>
  <c r="AQ624"/>
  <c r="G626"/>
  <c r="H626"/>
  <c r="I626"/>
  <c r="J626"/>
  <c r="K626"/>
  <c r="N626"/>
  <c r="O626"/>
  <c r="P626"/>
  <c r="Q626"/>
  <c r="R626"/>
  <c r="U626"/>
  <c r="V626"/>
  <c r="W626"/>
  <c r="X626"/>
  <c r="Y626"/>
  <c r="AB626"/>
  <c r="AC626"/>
  <c r="AD626"/>
  <c r="AE626"/>
  <c r="AF626"/>
  <c r="AJ626"/>
  <c r="AK626"/>
  <c r="AL626"/>
  <c r="G627"/>
  <c r="H627"/>
  <c r="I627"/>
  <c r="J627"/>
  <c r="K627"/>
  <c r="N627"/>
  <c r="O627"/>
  <c r="P627"/>
  <c r="Q627"/>
  <c r="R627"/>
  <c r="U627"/>
  <c r="V627"/>
  <c r="W627"/>
  <c r="X627"/>
  <c r="Y627"/>
  <c r="AB627"/>
  <c r="AC627"/>
  <c r="AD627"/>
  <c r="AE627"/>
  <c r="AF627"/>
  <c r="G628"/>
  <c r="H628"/>
  <c r="I628"/>
  <c r="J628"/>
  <c r="K628"/>
  <c r="N628"/>
  <c r="O628"/>
  <c r="P628"/>
  <c r="Q628"/>
  <c r="R628"/>
  <c r="U628"/>
  <c r="V628"/>
  <c r="W628"/>
  <c r="X628"/>
  <c r="Y628"/>
  <c r="AB628"/>
  <c r="AC628"/>
  <c r="AD628"/>
  <c r="AE628"/>
  <c r="AF628"/>
  <c r="G629"/>
  <c r="H629"/>
  <c r="I629"/>
  <c r="J629"/>
  <c r="K629"/>
  <c r="N629"/>
  <c r="O629"/>
  <c r="P629"/>
  <c r="Q629"/>
  <c r="R629"/>
  <c r="U629"/>
  <c r="V629"/>
  <c r="W629"/>
  <c r="X629"/>
  <c r="Y629"/>
  <c r="AB629"/>
  <c r="AC629"/>
  <c r="AD629"/>
  <c r="AE629"/>
  <c r="AF629"/>
  <c r="G630"/>
  <c r="H630"/>
  <c r="I630"/>
  <c r="J630"/>
  <c r="K630"/>
  <c r="N630"/>
  <c r="O630"/>
  <c r="P630"/>
  <c r="Q630"/>
  <c r="R630"/>
  <c r="U630"/>
  <c r="V630"/>
  <c r="W630"/>
  <c r="X630"/>
  <c r="Y630"/>
  <c r="AB630"/>
  <c r="AC630"/>
  <c r="AD630"/>
  <c r="AE630"/>
  <c r="AF630"/>
  <c r="F631"/>
  <c r="G631"/>
  <c r="H631"/>
  <c r="I631"/>
  <c r="J631"/>
  <c r="K631"/>
  <c r="N631"/>
  <c r="O631"/>
  <c r="P631"/>
  <c r="Q631"/>
  <c r="R631"/>
  <c r="U631"/>
  <c r="V631"/>
  <c r="W631"/>
  <c r="X631"/>
  <c r="Y631"/>
  <c r="AB631"/>
  <c r="AC631"/>
  <c r="AD631"/>
  <c r="AE631"/>
  <c r="AF631"/>
  <c r="AN631"/>
  <c r="AO631"/>
  <c r="AP631"/>
  <c r="AQ631"/>
  <c r="F632"/>
  <c r="L632"/>
  <c r="S632"/>
  <c r="Z632"/>
  <c r="AG632"/>
  <c r="AN632"/>
  <c r="AO632"/>
  <c r="AP632"/>
  <c r="AQ632"/>
  <c r="F633"/>
  <c r="L633"/>
  <c r="S633"/>
  <c r="Z633"/>
  <c r="AG633"/>
  <c r="AN633"/>
  <c r="AO633"/>
  <c r="AP633"/>
  <c r="AQ633"/>
  <c r="F634"/>
  <c r="L634"/>
  <c r="S634"/>
  <c r="Z634"/>
  <c r="AG634"/>
  <c r="AN634"/>
  <c r="AO634"/>
  <c r="AP634"/>
  <c r="AQ634"/>
  <c r="F635"/>
  <c r="L635"/>
  <c r="S635"/>
  <c r="Z635"/>
  <c r="AG635"/>
  <c r="AN635"/>
  <c r="AO635"/>
  <c r="AP635"/>
  <c r="AQ635"/>
  <c r="F636"/>
  <c r="L636"/>
  <c r="S636"/>
  <c r="Z636"/>
  <c r="AG636"/>
  <c r="AN636"/>
  <c r="AO636"/>
  <c r="AP636"/>
  <c r="AQ636"/>
  <c r="F637"/>
  <c r="L637"/>
  <c r="S637"/>
  <c r="Z637"/>
  <c r="AG637"/>
  <c r="AN637"/>
  <c r="AO637"/>
  <c r="AP637"/>
  <c r="AQ637"/>
  <c r="G639"/>
  <c r="H639"/>
  <c r="I639"/>
  <c r="J639"/>
  <c r="K639"/>
  <c r="N639"/>
  <c r="O639"/>
  <c r="P639"/>
  <c r="Q639"/>
  <c r="R639"/>
  <c r="U639"/>
  <c r="V639"/>
  <c r="W639"/>
  <c r="X639"/>
  <c r="Y639"/>
  <c r="AB639"/>
  <c r="AC639"/>
  <c r="AD639"/>
  <c r="AE639"/>
  <c r="AF639"/>
  <c r="AJ639"/>
  <c r="AK639"/>
  <c r="AL639"/>
  <c r="G640"/>
  <c r="H640"/>
  <c r="I640"/>
  <c r="J640"/>
  <c r="K640"/>
  <c r="N640"/>
  <c r="O640"/>
  <c r="P640"/>
  <c r="Q640"/>
  <c r="R640"/>
  <c r="U640"/>
  <c r="V640"/>
  <c r="W640"/>
  <c r="X640"/>
  <c r="Y640"/>
  <c r="AB640"/>
  <c r="AC640"/>
  <c r="AD640"/>
  <c r="AE640"/>
  <c r="AF640"/>
  <c r="G641"/>
  <c r="H641"/>
  <c r="I641"/>
  <c r="J641"/>
  <c r="K641"/>
  <c r="N641"/>
  <c r="O641"/>
  <c r="P641"/>
  <c r="Q641"/>
  <c r="R641"/>
  <c r="U641"/>
  <c r="V641"/>
  <c r="W641"/>
  <c r="X641"/>
  <c r="Y641"/>
  <c r="AB641"/>
  <c r="AC641"/>
  <c r="AD641"/>
  <c r="AE641"/>
  <c r="AF641"/>
  <c r="G642"/>
  <c r="H642"/>
  <c r="I642"/>
  <c r="J642"/>
  <c r="K642"/>
  <c r="N642"/>
  <c r="O642"/>
  <c r="P642"/>
  <c r="Q642"/>
  <c r="R642"/>
  <c r="U642"/>
  <c r="V642"/>
  <c r="W642"/>
  <c r="X642"/>
  <c r="Y642"/>
  <c r="AB642"/>
  <c r="AC642"/>
  <c r="AD642"/>
  <c r="AE642"/>
  <c r="AF642"/>
  <c r="G643"/>
  <c r="H643"/>
  <c r="I643"/>
  <c r="J643"/>
  <c r="K643"/>
  <c r="N643"/>
  <c r="O643"/>
  <c r="P643"/>
  <c r="Q643"/>
  <c r="R643"/>
  <c r="U643"/>
  <c r="V643"/>
  <c r="W643"/>
  <c r="X643"/>
  <c r="Y643"/>
  <c r="AB643"/>
  <c r="AC643"/>
  <c r="AD643"/>
  <c r="AE643"/>
  <c r="AF643"/>
  <c r="F644"/>
  <c r="G644"/>
  <c r="H644"/>
  <c r="I644"/>
  <c r="J644"/>
  <c r="K644"/>
  <c r="N644"/>
  <c r="O644"/>
  <c r="P644"/>
  <c r="Q644"/>
  <c r="R644"/>
  <c r="U644"/>
  <c r="V644"/>
  <c r="W644"/>
  <c r="X644"/>
  <c r="Y644"/>
  <c r="AB644"/>
  <c r="AC644"/>
  <c r="AD644"/>
  <c r="AE644"/>
  <c r="AF644"/>
  <c r="AN644"/>
  <c r="AO644"/>
  <c r="AP644"/>
  <c r="AQ644"/>
  <c r="F645"/>
  <c r="L645"/>
  <c r="S645"/>
  <c r="Z645"/>
  <c r="AG645"/>
  <c r="AN645"/>
  <c r="AO645"/>
  <c r="AP645"/>
  <c r="AQ645"/>
  <c r="F646"/>
  <c r="L646"/>
  <c r="S646"/>
  <c r="Z646"/>
  <c r="AG646"/>
  <c r="AN646"/>
  <c r="AO646"/>
  <c r="AP646"/>
  <c r="AQ646"/>
  <c r="F647"/>
  <c r="L647"/>
  <c r="S647"/>
  <c r="Z647"/>
  <c r="AG647"/>
  <c r="AN647"/>
  <c r="AO647"/>
  <c r="AP647"/>
  <c r="AQ647"/>
  <c r="F648"/>
  <c r="L648"/>
  <c r="S648"/>
  <c r="Z648"/>
  <c r="AG648"/>
  <c r="AN648"/>
  <c r="AO648"/>
  <c r="AP648"/>
  <c r="AQ648"/>
  <c r="F649"/>
  <c r="L649"/>
  <c r="S649"/>
  <c r="Z649"/>
  <c r="AG649"/>
  <c r="AN649"/>
  <c r="AO649"/>
  <c r="AP649"/>
  <c r="AQ649"/>
  <c r="F650"/>
  <c r="L650"/>
  <c r="S650"/>
  <c r="Z650"/>
  <c r="AG650"/>
  <c r="AN650"/>
  <c r="AO650"/>
  <c r="AP650"/>
  <c r="AQ650"/>
  <c r="G652"/>
  <c r="H652"/>
  <c r="I652"/>
  <c r="J652"/>
  <c r="K652"/>
  <c r="N652"/>
  <c r="O652"/>
  <c r="P652"/>
  <c r="Q652"/>
  <c r="R652"/>
  <c r="U652"/>
  <c r="V652"/>
  <c r="W652"/>
  <c r="X652"/>
  <c r="Y652"/>
  <c r="AB652"/>
  <c r="AC652"/>
  <c r="AD652"/>
  <c r="AE652"/>
  <c r="AF652"/>
  <c r="AJ652"/>
  <c r="AK652"/>
  <c r="AL652"/>
  <c r="G653"/>
  <c r="H653"/>
  <c r="I653"/>
  <c r="J653"/>
  <c r="K653"/>
  <c r="N653"/>
  <c r="O653"/>
  <c r="P653"/>
  <c r="Q653"/>
  <c r="R653"/>
  <c r="U653"/>
  <c r="V653"/>
  <c r="W653"/>
  <c r="X653"/>
  <c r="Y653"/>
  <c r="AB653"/>
  <c r="AC653"/>
  <c r="AD653"/>
  <c r="AE653"/>
  <c r="AF653"/>
  <c r="G654"/>
  <c r="H654"/>
  <c r="I654"/>
  <c r="J654"/>
  <c r="K654"/>
  <c r="N654"/>
  <c r="O654"/>
  <c r="P654"/>
  <c r="Q654"/>
  <c r="R654"/>
  <c r="U654"/>
  <c r="V654"/>
  <c r="W654"/>
  <c r="X654"/>
  <c r="Y654"/>
  <c r="AB654"/>
  <c r="AC654"/>
  <c r="AD654"/>
  <c r="AE654"/>
  <c r="AF654"/>
  <c r="G655"/>
  <c r="H655"/>
  <c r="I655"/>
  <c r="J655"/>
  <c r="K655"/>
  <c r="N655"/>
  <c r="O655"/>
  <c r="P655"/>
  <c r="Q655"/>
  <c r="R655"/>
  <c r="U655"/>
  <c r="V655"/>
  <c r="W655"/>
  <c r="X655"/>
  <c r="Y655"/>
  <c r="AB655"/>
  <c r="AC655"/>
  <c r="AD655"/>
  <c r="AE655"/>
  <c r="AF655"/>
  <c r="G656"/>
  <c r="H656"/>
  <c r="I656"/>
  <c r="J656"/>
  <c r="K656"/>
  <c r="N656"/>
  <c r="O656"/>
  <c r="P656"/>
  <c r="Q656"/>
  <c r="R656"/>
  <c r="U656"/>
  <c r="V656"/>
  <c r="W656"/>
  <c r="X656"/>
  <c r="Y656"/>
  <c r="AB656"/>
  <c r="AC656"/>
  <c r="AD656"/>
  <c r="AE656"/>
  <c r="AF656"/>
  <c r="F657"/>
  <c r="G657"/>
  <c r="H657"/>
  <c r="I657"/>
  <c r="J657"/>
  <c r="K657"/>
  <c r="N657"/>
  <c r="O657"/>
  <c r="P657"/>
  <c r="Q657"/>
  <c r="R657"/>
  <c r="U657"/>
  <c r="V657"/>
  <c r="W657"/>
  <c r="X657"/>
  <c r="Y657"/>
  <c r="AB657"/>
  <c r="AC657"/>
  <c r="AD657"/>
  <c r="AE657"/>
  <c r="AF657"/>
  <c r="AN657"/>
  <c r="AO657"/>
  <c r="AP657"/>
  <c r="AQ657"/>
  <c r="F658"/>
  <c r="L658"/>
  <c r="S658"/>
  <c r="Z658"/>
  <c r="AG658"/>
  <c r="AN658"/>
  <c r="AO658"/>
  <c r="AP658"/>
  <c r="AQ658"/>
  <c r="F659"/>
  <c r="L659"/>
  <c r="S659"/>
  <c r="Z659"/>
  <c r="AG659"/>
  <c r="AN659"/>
  <c r="AO659"/>
  <c r="AP659"/>
  <c r="AQ659"/>
  <c r="F660"/>
  <c r="L660"/>
  <c r="S660"/>
  <c r="Z660"/>
  <c r="AG660"/>
  <c r="AN660"/>
  <c r="AO660"/>
  <c r="AP660"/>
  <c r="AQ660"/>
  <c r="F661"/>
  <c r="L661"/>
  <c r="S661"/>
  <c r="Z661"/>
  <c r="AG661"/>
  <c r="AN661"/>
  <c r="AO661"/>
  <c r="AP661"/>
  <c r="AQ661"/>
  <c r="AR661"/>
  <c r="F662"/>
  <c r="L662"/>
  <c r="S662"/>
  <c r="Z662"/>
  <c r="AG662"/>
  <c r="AN662"/>
  <c r="AO662"/>
  <c r="AP662"/>
  <c r="AQ662"/>
  <c r="F663"/>
  <c r="L663"/>
  <c r="S663"/>
  <c r="Z663"/>
  <c r="AG663"/>
  <c r="AN663"/>
  <c r="AO663"/>
  <c r="AP663"/>
  <c r="AQ663"/>
  <c r="G665"/>
  <c r="H665"/>
  <c r="I665"/>
  <c r="J665"/>
  <c r="K665"/>
  <c r="N665"/>
  <c r="O665"/>
  <c r="P665"/>
  <c r="Q665"/>
  <c r="R665"/>
  <c r="U665"/>
  <c r="V665"/>
  <c r="W665"/>
  <c r="X665"/>
  <c r="Y665"/>
  <c r="AB665"/>
  <c r="AC665"/>
  <c r="AD665"/>
  <c r="AE665"/>
  <c r="AF665"/>
  <c r="AJ665"/>
  <c r="AK665"/>
  <c r="AL665"/>
  <c r="G666"/>
  <c r="H666"/>
  <c r="I666"/>
  <c r="J666"/>
  <c r="K666"/>
  <c r="N666"/>
  <c r="O666"/>
  <c r="P666"/>
  <c r="Q666"/>
  <c r="R666"/>
  <c r="U666"/>
  <c r="V666"/>
  <c r="W666"/>
  <c r="X666"/>
  <c r="Y666"/>
  <c r="AB666"/>
  <c r="AC666"/>
  <c r="AD666"/>
  <c r="AE666"/>
  <c r="AF666"/>
  <c r="G667"/>
  <c r="H667"/>
  <c r="I667"/>
  <c r="J667"/>
  <c r="K667"/>
  <c r="N667"/>
  <c r="O667"/>
  <c r="P667"/>
  <c r="Q667"/>
  <c r="R667"/>
  <c r="U667"/>
  <c r="V667"/>
  <c r="W667"/>
  <c r="X667"/>
  <c r="Y667"/>
  <c r="AB667"/>
  <c r="AC667"/>
  <c r="AD667"/>
  <c r="AE667"/>
  <c r="AF667"/>
  <c r="G668"/>
  <c r="H668"/>
  <c r="I668"/>
  <c r="J668"/>
  <c r="K668"/>
  <c r="N668"/>
  <c r="O668"/>
  <c r="P668"/>
  <c r="Q668"/>
  <c r="R668"/>
  <c r="U668"/>
  <c r="V668"/>
  <c r="W668"/>
  <c r="X668"/>
  <c r="Y668"/>
  <c r="AB668"/>
  <c r="AC668"/>
  <c r="AD668"/>
  <c r="AE668"/>
  <c r="AF668"/>
  <c r="G669"/>
  <c r="H669"/>
  <c r="I669"/>
  <c r="J669"/>
  <c r="K669"/>
  <c r="N669"/>
  <c r="O669"/>
  <c r="P669"/>
  <c r="Q669"/>
  <c r="R669"/>
  <c r="U669"/>
  <c r="Z669"/>
  <c r="V669"/>
  <c r="W669"/>
  <c r="X669"/>
  <c r="Y669"/>
  <c r="AB669"/>
  <c r="AC669"/>
  <c r="AG669"/>
  <c r="AD669"/>
  <c r="AE669"/>
  <c r="AF669"/>
  <c r="F670"/>
  <c r="G670"/>
  <c r="H670"/>
  <c r="I670"/>
  <c r="J670"/>
  <c r="K670"/>
  <c r="N670"/>
  <c r="O670"/>
  <c r="P670"/>
  <c r="Q670"/>
  <c r="R670"/>
  <c r="U670"/>
  <c r="V670"/>
  <c r="W670"/>
  <c r="X670"/>
  <c r="Y670"/>
  <c r="Z670"/>
  <c r="AB670"/>
  <c r="AC670"/>
  <c r="AD670"/>
  <c r="AE670"/>
  <c r="AF670"/>
  <c r="AN670"/>
  <c r="AO670"/>
  <c r="AP670"/>
  <c r="AQ670"/>
  <c r="F671"/>
  <c r="L671"/>
  <c r="S671"/>
  <c r="Z671"/>
  <c r="AG671"/>
  <c r="AN671"/>
  <c r="AO671"/>
  <c r="AP671"/>
  <c r="AQ671"/>
  <c r="AR671"/>
  <c r="F672"/>
  <c r="L672"/>
  <c r="S672"/>
  <c r="Z672"/>
  <c r="AG672"/>
  <c r="AN672"/>
  <c r="AO672"/>
  <c r="AP672"/>
  <c r="AQ672"/>
  <c r="F673"/>
  <c r="L673"/>
  <c r="S673"/>
  <c r="Z673"/>
  <c r="AG673"/>
  <c r="AN673"/>
  <c r="AO673"/>
  <c r="AP673"/>
  <c r="AQ673"/>
  <c r="F674"/>
  <c r="L674"/>
  <c r="S674"/>
  <c r="Z674"/>
  <c r="AG674"/>
  <c r="AN674"/>
  <c r="AO674"/>
  <c r="AP674"/>
  <c r="AQ674"/>
  <c r="AR674"/>
  <c r="F675"/>
  <c r="L675"/>
  <c r="S675"/>
  <c r="Z675"/>
  <c r="AG675"/>
  <c r="AN675"/>
  <c r="AO675"/>
  <c r="AP675"/>
  <c r="AQ675"/>
  <c r="AR675"/>
  <c r="F676"/>
  <c r="L676"/>
  <c r="S676"/>
  <c r="Z676"/>
  <c r="AG676"/>
  <c r="AN676"/>
  <c r="AO676"/>
  <c r="AP676"/>
  <c r="AQ676"/>
  <c r="G678"/>
  <c r="H678"/>
  <c r="I678"/>
  <c r="J678"/>
  <c r="K678"/>
  <c r="N678"/>
  <c r="O678"/>
  <c r="P678"/>
  <c r="Q678"/>
  <c r="R678"/>
  <c r="U678"/>
  <c r="V678"/>
  <c r="W678"/>
  <c r="X678"/>
  <c r="Y678"/>
  <c r="AB678"/>
  <c r="AC678"/>
  <c r="AD678"/>
  <c r="AE678"/>
  <c r="AF678"/>
  <c r="AJ678"/>
  <c r="AK678"/>
  <c r="AL678"/>
  <c r="G679"/>
  <c r="H679"/>
  <c r="I679"/>
  <c r="J679"/>
  <c r="K679"/>
  <c r="N679"/>
  <c r="O679"/>
  <c r="P679"/>
  <c r="Q679"/>
  <c r="R679"/>
  <c r="U679"/>
  <c r="V679"/>
  <c r="W679"/>
  <c r="X679"/>
  <c r="Y679"/>
  <c r="AB679"/>
  <c r="AC679"/>
  <c r="AD679"/>
  <c r="AE679"/>
  <c r="AF679"/>
  <c r="G680"/>
  <c r="H680"/>
  <c r="I680"/>
  <c r="J680"/>
  <c r="K680"/>
  <c r="N680"/>
  <c r="O680"/>
  <c r="S680"/>
  <c r="P680"/>
  <c r="Q680"/>
  <c r="R680"/>
  <c r="U680"/>
  <c r="V680"/>
  <c r="W680"/>
  <c r="X680"/>
  <c r="Y680"/>
  <c r="AB680"/>
  <c r="AC680"/>
  <c r="AD680"/>
  <c r="AE680"/>
  <c r="AF680"/>
  <c r="G681"/>
  <c r="L681"/>
  <c r="H681"/>
  <c r="I681"/>
  <c r="J681"/>
  <c r="K681"/>
  <c r="N681"/>
  <c r="O681"/>
  <c r="S681"/>
  <c r="P681"/>
  <c r="Q681"/>
  <c r="R681"/>
  <c r="U681"/>
  <c r="V681"/>
  <c r="W681"/>
  <c r="X681"/>
  <c r="Y681"/>
  <c r="AB681"/>
  <c r="AC681"/>
  <c r="AD681"/>
  <c r="AE681"/>
  <c r="AF681"/>
  <c r="G682"/>
  <c r="H682"/>
  <c r="I682"/>
  <c r="J682"/>
  <c r="K682"/>
  <c r="N682"/>
  <c r="O682"/>
  <c r="P682"/>
  <c r="Q682"/>
  <c r="R682"/>
  <c r="U682"/>
  <c r="Z682"/>
  <c r="V682"/>
  <c r="W682"/>
  <c r="X682"/>
  <c r="Y682"/>
  <c r="AB682"/>
  <c r="AC682"/>
  <c r="AD682"/>
  <c r="AE682"/>
  <c r="AF682"/>
  <c r="F683"/>
  <c r="G683"/>
  <c r="H683"/>
  <c r="I683"/>
  <c r="J683"/>
  <c r="K683"/>
  <c r="N683"/>
  <c r="O683"/>
  <c r="P683"/>
  <c r="Q683"/>
  <c r="R683"/>
  <c r="U683"/>
  <c r="V683"/>
  <c r="W683"/>
  <c r="X683"/>
  <c r="Y683"/>
  <c r="AB683"/>
  <c r="AC683"/>
  <c r="AD683"/>
  <c r="AE683"/>
  <c r="AF683"/>
  <c r="AN683"/>
  <c r="AO683"/>
  <c r="AP683"/>
  <c r="AQ683"/>
  <c r="F684"/>
  <c r="L684"/>
  <c r="S684"/>
  <c r="Z684"/>
  <c r="AG684"/>
  <c r="AN684"/>
  <c r="AO684"/>
  <c r="AP684"/>
  <c r="AP685"/>
  <c r="AP686"/>
  <c r="AP687"/>
  <c r="AP688"/>
  <c r="AP689"/>
  <c r="AP678"/>
  <c r="AQ684"/>
  <c r="F685"/>
  <c r="L685"/>
  <c r="S685"/>
  <c r="Z685"/>
  <c r="AG685"/>
  <c r="AN685"/>
  <c r="AO685"/>
  <c r="AQ685"/>
  <c r="F686"/>
  <c r="L686"/>
  <c r="S686"/>
  <c r="Z686"/>
  <c r="AG686"/>
  <c r="AN686"/>
  <c r="AO686"/>
  <c r="AQ686"/>
  <c r="F687"/>
  <c r="L687"/>
  <c r="S687"/>
  <c r="Z687"/>
  <c r="AG687"/>
  <c r="AN687"/>
  <c r="AO687"/>
  <c r="AQ687"/>
  <c r="F688"/>
  <c r="L688"/>
  <c r="S688"/>
  <c r="Z688"/>
  <c r="AG688"/>
  <c r="AN688"/>
  <c r="AO688"/>
  <c r="AQ688"/>
  <c r="F689"/>
  <c r="L689"/>
  <c r="S689"/>
  <c r="Z689"/>
  <c r="AG689"/>
  <c r="AN689"/>
  <c r="AO689"/>
  <c r="AQ689"/>
  <c r="G691"/>
  <c r="H691"/>
  <c r="I691"/>
  <c r="J691"/>
  <c r="K691"/>
  <c r="N691"/>
  <c r="O691"/>
  <c r="P691"/>
  <c r="Q691"/>
  <c r="R691"/>
  <c r="U691"/>
  <c r="V691"/>
  <c r="W691"/>
  <c r="X691"/>
  <c r="Y691"/>
  <c r="AB691"/>
  <c r="AC691"/>
  <c r="AD691"/>
  <c r="AE691"/>
  <c r="AF691"/>
  <c r="AJ691"/>
  <c r="AK691"/>
  <c r="AL691"/>
  <c r="G692"/>
  <c r="H692"/>
  <c r="I692"/>
  <c r="J692"/>
  <c r="K692"/>
  <c r="N692"/>
  <c r="O692"/>
  <c r="P692"/>
  <c r="Q692"/>
  <c r="R692"/>
  <c r="U692"/>
  <c r="V692"/>
  <c r="W692"/>
  <c r="X692"/>
  <c r="Y692"/>
  <c r="AB692"/>
  <c r="AC692"/>
  <c r="AD692"/>
  <c r="AE692"/>
  <c r="AF692"/>
  <c r="G693"/>
  <c r="L693"/>
  <c r="H693"/>
  <c r="I693"/>
  <c r="J693"/>
  <c r="K693"/>
  <c r="N693"/>
  <c r="O693"/>
  <c r="P693"/>
  <c r="Q693"/>
  <c r="R693"/>
  <c r="U693"/>
  <c r="V693"/>
  <c r="W693"/>
  <c r="X693"/>
  <c r="Y693"/>
  <c r="AB693"/>
  <c r="AC693"/>
  <c r="AD693"/>
  <c r="AE693"/>
  <c r="AF693"/>
  <c r="G694"/>
  <c r="L694"/>
  <c r="H694"/>
  <c r="I694"/>
  <c r="J694"/>
  <c r="K694"/>
  <c r="N694"/>
  <c r="O694"/>
  <c r="P694"/>
  <c r="Q694"/>
  <c r="R694"/>
  <c r="U694"/>
  <c r="V694"/>
  <c r="W694"/>
  <c r="X694"/>
  <c r="Y694"/>
  <c r="AB694"/>
  <c r="AC694"/>
  <c r="AD694"/>
  <c r="AE694"/>
  <c r="AF694"/>
  <c r="G695"/>
  <c r="H695"/>
  <c r="I695"/>
  <c r="J695"/>
  <c r="K695"/>
  <c r="N695"/>
  <c r="O695"/>
  <c r="S695"/>
  <c r="P695"/>
  <c r="Q695"/>
  <c r="R695"/>
  <c r="U695"/>
  <c r="V695"/>
  <c r="W695"/>
  <c r="X695"/>
  <c r="Y695"/>
  <c r="AB695"/>
  <c r="AC695"/>
  <c r="AD695"/>
  <c r="AE695"/>
  <c r="AF695"/>
  <c r="F696"/>
  <c r="G696"/>
  <c r="H696"/>
  <c r="I696"/>
  <c r="J696"/>
  <c r="K696"/>
  <c r="N696"/>
  <c r="O696"/>
  <c r="P696"/>
  <c r="Q696"/>
  <c r="R696"/>
  <c r="U696"/>
  <c r="V696"/>
  <c r="W696"/>
  <c r="X696"/>
  <c r="Y696"/>
  <c r="AB696"/>
  <c r="AC696"/>
  <c r="AD696"/>
  <c r="AE696"/>
  <c r="AF696"/>
  <c r="AN696"/>
  <c r="AO696"/>
  <c r="AP696"/>
  <c r="AQ696"/>
  <c r="F697"/>
  <c r="L697"/>
  <c r="S697"/>
  <c r="Z697"/>
  <c r="AG697"/>
  <c r="AN697"/>
  <c r="AO697"/>
  <c r="AP697"/>
  <c r="AQ697"/>
  <c r="F698"/>
  <c r="L698"/>
  <c r="S698"/>
  <c r="Z698"/>
  <c r="AG698"/>
  <c r="AN698"/>
  <c r="AO698"/>
  <c r="AP698"/>
  <c r="AQ698"/>
  <c r="F699"/>
  <c r="L699"/>
  <c r="S699"/>
  <c r="Z699"/>
  <c r="AG699"/>
  <c r="AN699"/>
  <c r="AO699"/>
  <c r="AP699"/>
  <c r="AQ699"/>
  <c r="F700"/>
  <c r="L700"/>
  <c r="S700"/>
  <c r="Z700"/>
  <c r="AG700"/>
  <c r="AN700"/>
  <c r="AO700"/>
  <c r="AP700"/>
  <c r="AQ700"/>
  <c r="F701"/>
  <c r="L701"/>
  <c r="S701"/>
  <c r="Z701"/>
  <c r="AG701"/>
  <c r="AN701"/>
  <c r="AO701"/>
  <c r="AP701"/>
  <c r="AQ701"/>
  <c r="F702"/>
  <c r="L702"/>
  <c r="S702"/>
  <c r="Z702"/>
  <c r="AG702"/>
  <c r="AN702"/>
  <c r="AO702"/>
  <c r="AP702"/>
  <c r="AQ702"/>
  <c r="G704"/>
  <c r="H704"/>
  <c r="I704"/>
  <c r="J704"/>
  <c r="K704"/>
  <c r="N704"/>
  <c r="O704"/>
  <c r="P704"/>
  <c r="Q704"/>
  <c r="R704"/>
  <c r="U704"/>
  <c r="V704"/>
  <c r="W704"/>
  <c r="X704"/>
  <c r="Y704"/>
  <c r="AB704"/>
  <c r="AC704"/>
  <c r="AD704"/>
  <c r="AE704"/>
  <c r="AF704"/>
  <c r="AJ704"/>
  <c r="AK704"/>
  <c r="AL704"/>
  <c r="G705"/>
  <c r="H705"/>
  <c r="I705"/>
  <c r="J705"/>
  <c r="K705"/>
  <c r="N705"/>
  <c r="O705"/>
  <c r="P705"/>
  <c r="Q705"/>
  <c r="R705"/>
  <c r="U705"/>
  <c r="V705"/>
  <c r="W705"/>
  <c r="X705"/>
  <c r="Y705"/>
  <c r="AB705"/>
  <c r="AC705"/>
  <c r="AD705"/>
  <c r="AE705"/>
  <c r="AF705"/>
  <c r="G706"/>
  <c r="H706"/>
  <c r="I706"/>
  <c r="J706"/>
  <c r="K706"/>
  <c r="N706"/>
  <c r="O706"/>
  <c r="P706"/>
  <c r="Q706"/>
  <c r="R706"/>
  <c r="U706"/>
  <c r="V706"/>
  <c r="W706"/>
  <c r="X706"/>
  <c r="Y706"/>
  <c r="AB706"/>
  <c r="AC706"/>
  <c r="AD706"/>
  <c r="AE706"/>
  <c r="AF706"/>
  <c r="G707"/>
  <c r="H707"/>
  <c r="I707"/>
  <c r="J707"/>
  <c r="K707"/>
  <c r="N707"/>
  <c r="O707"/>
  <c r="P707"/>
  <c r="Q707"/>
  <c r="R707"/>
  <c r="U707"/>
  <c r="V707"/>
  <c r="W707"/>
  <c r="X707"/>
  <c r="Y707"/>
  <c r="AB707"/>
  <c r="AC707"/>
  <c r="AD707"/>
  <c r="AE707"/>
  <c r="AF707"/>
  <c r="G708"/>
  <c r="L708"/>
  <c r="H708"/>
  <c r="I708"/>
  <c r="J708"/>
  <c r="K708"/>
  <c r="N708"/>
  <c r="O708"/>
  <c r="P708"/>
  <c r="Q708"/>
  <c r="R708"/>
  <c r="U708"/>
  <c r="V708"/>
  <c r="W708"/>
  <c r="X708"/>
  <c r="Y708"/>
  <c r="AB708"/>
  <c r="AC708"/>
  <c r="AD708"/>
  <c r="AE708"/>
  <c r="AF708"/>
  <c r="F709"/>
  <c r="G709"/>
  <c r="H709"/>
  <c r="I709"/>
  <c r="J709"/>
  <c r="K709"/>
  <c r="L709"/>
  <c r="N709"/>
  <c r="O709"/>
  <c r="P709"/>
  <c r="Q709"/>
  <c r="R709"/>
  <c r="U709"/>
  <c r="V709"/>
  <c r="W709"/>
  <c r="X709"/>
  <c r="Y709"/>
  <c r="AB709"/>
  <c r="AC709"/>
  <c r="AD709"/>
  <c r="AE709"/>
  <c r="AF709"/>
  <c r="AN709"/>
  <c r="AO709"/>
  <c r="AO710"/>
  <c r="AO711"/>
  <c r="AO712"/>
  <c r="AO713"/>
  <c r="AO714"/>
  <c r="AO715"/>
  <c r="AO704"/>
  <c r="AP709"/>
  <c r="AQ709"/>
  <c r="AQ710"/>
  <c r="AQ711"/>
  <c r="AQ712"/>
  <c r="AQ713"/>
  <c r="AQ714"/>
  <c r="AQ715"/>
  <c r="AQ704"/>
  <c r="F710"/>
  <c r="L710"/>
  <c r="S710"/>
  <c r="Z710"/>
  <c r="AG710"/>
  <c r="AN710"/>
  <c r="AP710"/>
  <c r="F711"/>
  <c r="L711"/>
  <c r="S711"/>
  <c r="Z711"/>
  <c r="AG711"/>
  <c r="AN711"/>
  <c r="AP711"/>
  <c r="F712"/>
  <c r="L712"/>
  <c r="S712"/>
  <c r="Z712"/>
  <c r="AG712"/>
  <c r="AN712"/>
  <c r="AP712"/>
  <c r="F713"/>
  <c r="L713"/>
  <c r="S713"/>
  <c r="Z713"/>
  <c r="AG713"/>
  <c r="AN713"/>
  <c r="AP713"/>
  <c r="F714"/>
  <c r="L714"/>
  <c r="S714"/>
  <c r="Z714"/>
  <c r="AG714"/>
  <c r="AN714"/>
  <c r="AP714"/>
  <c r="F715"/>
  <c r="L715"/>
  <c r="S715"/>
  <c r="Z715"/>
  <c r="AG715"/>
  <c r="AN715"/>
  <c r="AP715"/>
  <c r="AR715"/>
  <c r="G717"/>
  <c r="H717"/>
  <c r="I717"/>
  <c r="J717"/>
  <c r="K717"/>
  <c r="N717"/>
  <c r="O717"/>
  <c r="P717"/>
  <c r="Q717"/>
  <c r="R717"/>
  <c r="U717"/>
  <c r="V717"/>
  <c r="W717"/>
  <c r="X717"/>
  <c r="Y717"/>
  <c r="AB717"/>
  <c r="AC717"/>
  <c r="AD717"/>
  <c r="AE717"/>
  <c r="AF717"/>
  <c r="AJ717"/>
  <c r="AK717"/>
  <c r="AL717"/>
  <c r="G718"/>
  <c r="H718"/>
  <c r="I718"/>
  <c r="J718"/>
  <c r="K718"/>
  <c r="N718"/>
  <c r="O718"/>
  <c r="P718"/>
  <c r="Q718"/>
  <c r="R718"/>
  <c r="U718"/>
  <c r="V718"/>
  <c r="W718"/>
  <c r="X718"/>
  <c r="Y718"/>
  <c r="AB718"/>
  <c r="AC718"/>
  <c r="AD718"/>
  <c r="AE718"/>
  <c r="AF718"/>
  <c r="G719"/>
  <c r="H719"/>
  <c r="I719"/>
  <c r="J719"/>
  <c r="K719"/>
  <c r="N719"/>
  <c r="O719"/>
  <c r="P719"/>
  <c r="Q719"/>
  <c r="R719"/>
  <c r="U719"/>
  <c r="V719"/>
  <c r="W719"/>
  <c r="X719"/>
  <c r="Y719"/>
  <c r="AB719"/>
  <c r="AC719"/>
  <c r="AD719"/>
  <c r="AE719"/>
  <c r="AF719"/>
  <c r="G720"/>
  <c r="H720"/>
  <c r="I720"/>
  <c r="J720"/>
  <c r="K720"/>
  <c r="N720"/>
  <c r="O720"/>
  <c r="P720"/>
  <c r="Q720"/>
  <c r="R720"/>
  <c r="U720"/>
  <c r="V720"/>
  <c r="W720"/>
  <c r="X720"/>
  <c r="Y720"/>
  <c r="AB720"/>
  <c r="AC720"/>
  <c r="AD720"/>
  <c r="AE720"/>
  <c r="AF720"/>
  <c r="G721"/>
  <c r="L721"/>
  <c r="H721"/>
  <c r="I721"/>
  <c r="J721"/>
  <c r="K721"/>
  <c r="N721"/>
  <c r="O721"/>
  <c r="P721"/>
  <c r="Q721"/>
  <c r="R721"/>
  <c r="U721"/>
  <c r="V721"/>
  <c r="W721"/>
  <c r="X721"/>
  <c r="Y721"/>
  <c r="AB721"/>
  <c r="AC721"/>
  <c r="AD721"/>
  <c r="AE721"/>
  <c r="AF721"/>
  <c r="F722"/>
  <c r="G722"/>
  <c r="H722"/>
  <c r="I722"/>
  <c r="J722"/>
  <c r="K722"/>
  <c r="N722"/>
  <c r="O722"/>
  <c r="P722"/>
  <c r="Q722"/>
  <c r="R722"/>
  <c r="S722"/>
  <c r="U722"/>
  <c r="V722"/>
  <c r="W722"/>
  <c r="X722"/>
  <c r="Y722"/>
  <c r="AB722"/>
  <c r="AC722"/>
  <c r="AD722"/>
  <c r="AE722"/>
  <c r="AF722"/>
  <c r="AN722"/>
  <c r="AO722"/>
  <c r="AO723"/>
  <c r="AO724"/>
  <c r="AO725"/>
  <c r="AO726"/>
  <c r="AO727"/>
  <c r="AO728"/>
  <c r="AO717"/>
  <c r="AP722"/>
  <c r="AQ722"/>
  <c r="AQ723"/>
  <c r="AQ724"/>
  <c r="AQ725"/>
  <c r="AQ726"/>
  <c r="AQ727"/>
  <c r="AQ728"/>
  <c r="AQ717"/>
  <c r="F723"/>
  <c r="L723"/>
  <c r="S723"/>
  <c r="Z723"/>
  <c r="AG723"/>
  <c r="AN723"/>
  <c r="AP723"/>
  <c r="F724"/>
  <c r="L724"/>
  <c r="S724"/>
  <c r="Z724"/>
  <c r="AG724"/>
  <c r="AN724"/>
  <c r="AP724"/>
  <c r="F725"/>
  <c r="L725"/>
  <c r="S725"/>
  <c r="Z725"/>
  <c r="AG725"/>
  <c r="AN725"/>
  <c r="AP725"/>
  <c r="AR725"/>
  <c r="F726"/>
  <c r="L726"/>
  <c r="S726"/>
  <c r="Z726"/>
  <c r="AG726"/>
  <c r="AN726"/>
  <c r="AP726"/>
  <c r="F727"/>
  <c r="L727"/>
  <c r="S727"/>
  <c r="Z727"/>
  <c r="AG727"/>
  <c r="AN727"/>
  <c r="AP727"/>
  <c r="F728"/>
  <c r="L728"/>
  <c r="S728"/>
  <c r="Z728"/>
  <c r="AG728"/>
  <c r="AN728"/>
  <c r="AP728"/>
  <c r="AR728"/>
  <c r="G730"/>
  <c r="H730"/>
  <c r="I730"/>
  <c r="J730"/>
  <c r="K730"/>
  <c r="N730"/>
  <c r="O730"/>
  <c r="P730"/>
  <c r="Q730"/>
  <c r="R730"/>
  <c r="U730"/>
  <c r="V730"/>
  <c r="W730"/>
  <c r="X730"/>
  <c r="Y730"/>
  <c r="AB730"/>
  <c r="AC730"/>
  <c r="AD730"/>
  <c r="AE730"/>
  <c r="AF730"/>
  <c r="AJ730"/>
  <c r="AK730"/>
  <c r="AL730"/>
  <c r="G731"/>
  <c r="H731"/>
  <c r="I731"/>
  <c r="J731"/>
  <c r="K731"/>
  <c r="N731"/>
  <c r="O731"/>
  <c r="P731"/>
  <c r="Q731"/>
  <c r="R731"/>
  <c r="U731"/>
  <c r="V731"/>
  <c r="W731"/>
  <c r="X731"/>
  <c r="Y731"/>
  <c r="AB731"/>
  <c r="AC731"/>
  <c r="AD731"/>
  <c r="AE731"/>
  <c r="AF731"/>
  <c r="G732"/>
  <c r="H732"/>
  <c r="I732"/>
  <c r="J732"/>
  <c r="K732"/>
  <c r="N732"/>
  <c r="O732"/>
  <c r="P732"/>
  <c r="Q732"/>
  <c r="R732"/>
  <c r="U732"/>
  <c r="V732"/>
  <c r="W732"/>
  <c r="X732"/>
  <c r="Y732"/>
  <c r="AB732"/>
  <c r="AC732"/>
  <c r="AD732"/>
  <c r="AE732"/>
  <c r="AF732"/>
  <c r="G733"/>
  <c r="H733"/>
  <c r="I733"/>
  <c r="J733"/>
  <c r="K733"/>
  <c r="N733"/>
  <c r="O733"/>
  <c r="P733"/>
  <c r="Q733"/>
  <c r="R733"/>
  <c r="U733"/>
  <c r="V733"/>
  <c r="W733"/>
  <c r="X733"/>
  <c r="Y733"/>
  <c r="AB733"/>
  <c r="AC733"/>
  <c r="AD733"/>
  <c r="AE733"/>
  <c r="AF733"/>
  <c r="G734"/>
  <c r="H734"/>
  <c r="I734"/>
  <c r="J734"/>
  <c r="K734"/>
  <c r="N734"/>
  <c r="O734"/>
  <c r="P734"/>
  <c r="Q734"/>
  <c r="R734"/>
  <c r="U734"/>
  <c r="V734"/>
  <c r="W734"/>
  <c r="X734"/>
  <c r="Y734"/>
  <c r="AB734"/>
  <c r="AC734"/>
  <c r="AD734"/>
  <c r="AE734"/>
  <c r="AF734"/>
  <c r="F735"/>
  <c r="G735"/>
  <c r="H735"/>
  <c r="I735"/>
  <c r="J735"/>
  <c r="K735"/>
  <c r="N735"/>
  <c r="O735"/>
  <c r="P735"/>
  <c r="Q735"/>
  <c r="R735"/>
  <c r="U735"/>
  <c r="V735"/>
  <c r="W735"/>
  <c r="X735"/>
  <c r="Y735"/>
  <c r="Z735"/>
  <c r="AB735"/>
  <c r="AC735"/>
  <c r="AD735"/>
  <c r="AE735"/>
  <c r="AF735"/>
  <c r="AN735"/>
  <c r="AO735"/>
  <c r="AP735"/>
  <c r="AQ735"/>
  <c r="F736"/>
  <c r="L736"/>
  <c r="S736"/>
  <c r="Z736"/>
  <c r="AG736"/>
  <c r="AN736"/>
  <c r="AO736"/>
  <c r="AP736"/>
  <c r="AP737"/>
  <c r="AP738"/>
  <c r="AP739"/>
  <c r="AP740"/>
  <c r="AP741"/>
  <c r="AP730"/>
  <c r="AQ736"/>
  <c r="F737"/>
  <c r="L737"/>
  <c r="S737"/>
  <c r="Z737"/>
  <c r="AG737"/>
  <c r="AN737"/>
  <c r="AO737"/>
  <c r="AQ737"/>
  <c r="F738"/>
  <c r="L738"/>
  <c r="S738"/>
  <c r="Z738"/>
  <c r="AG738"/>
  <c r="AN738"/>
  <c r="AO738"/>
  <c r="AQ738"/>
  <c r="F739"/>
  <c r="L739"/>
  <c r="S739"/>
  <c r="Z739"/>
  <c r="AG739"/>
  <c r="AN739"/>
  <c r="AO739"/>
  <c r="AQ739"/>
  <c r="F740"/>
  <c r="L740"/>
  <c r="S740"/>
  <c r="Z740"/>
  <c r="AG740"/>
  <c r="AN740"/>
  <c r="AO740"/>
  <c r="AQ740"/>
  <c r="F741"/>
  <c r="L741"/>
  <c r="S741"/>
  <c r="Z741"/>
  <c r="AG741"/>
  <c r="AN741"/>
  <c r="AO741"/>
  <c r="AQ741"/>
  <c r="G743"/>
  <c r="H743"/>
  <c r="I743"/>
  <c r="J743"/>
  <c r="K743"/>
  <c r="N743"/>
  <c r="O743"/>
  <c r="P743"/>
  <c r="Q743"/>
  <c r="R743"/>
  <c r="U743"/>
  <c r="V743"/>
  <c r="W743"/>
  <c r="X743"/>
  <c r="Y743"/>
  <c r="AB743"/>
  <c r="AC743"/>
  <c r="AD743"/>
  <c r="AE743"/>
  <c r="AF743"/>
  <c r="AJ743"/>
  <c r="AK743"/>
  <c r="AL743"/>
  <c r="G744"/>
  <c r="H744"/>
  <c r="I744"/>
  <c r="J744"/>
  <c r="K744"/>
  <c r="N744"/>
  <c r="O744"/>
  <c r="P744"/>
  <c r="Q744"/>
  <c r="R744"/>
  <c r="U744"/>
  <c r="V744"/>
  <c r="W744"/>
  <c r="X744"/>
  <c r="Y744"/>
  <c r="AB744"/>
  <c r="AC744"/>
  <c r="AD744"/>
  <c r="AE744"/>
  <c r="AF744"/>
  <c r="G745"/>
  <c r="H745"/>
  <c r="I745"/>
  <c r="J745"/>
  <c r="K745"/>
  <c r="N745"/>
  <c r="O745"/>
  <c r="P745"/>
  <c r="Q745"/>
  <c r="R745"/>
  <c r="U745"/>
  <c r="V745"/>
  <c r="W745"/>
  <c r="X745"/>
  <c r="Y745"/>
  <c r="AB745"/>
  <c r="AC745"/>
  <c r="AD745"/>
  <c r="AE745"/>
  <c r="AF745"/>
  <c r="G746"/>
  <c r="H746"/>
  <c r="I746"/>
  <c r="J746"/>
  <c r="K746"/>
  <c r="N746"/>
  <c r="O746"/>
  <c r="P746"/>
  <c r="Q746"/>
  <c r="R746"/>
  <c r="U746"/>
  <c r="V746"/>
  <c r="W746"/>
  <c r="X746"/>
  <c r="Y746"/>
  <c r="AB746"/>
  <c r="AC746"/>
  <c r="AD746"/>
  <c r="AE746"/>
  <c r="AF746"/>
  <c r="G747"/>
  <c r="H747"/>
  <c r="I747"/>
  <c r="J747"/>
  <c r="K747"/>
  <c r="N747"/>
  <c r="O747"/>
  <c r="P747"/>
  <c r="Q747"/>
  <c r="R747"/>
  <c r="U747"/>
  <c r="Z747"/>
  <c r="V747"/>
  <c r="W747"/>
  <c r="X747"/>
  <c r="Y747"/>
  <c r="AB747"/>
  <c r="AC747"/>
  <c r="AG747"/>
  <c r="AD747"/>
  <c r="AE747"/>
  <c r="AF747"/>
  <c r="F748"/>
  <c r="G748"/>
  <c r="H748"/>
  <c r="I748"/>
  <c r="J748"/>
  <c r="K748"/>
  <c r="N748"/>
  <c r="O748"/>
  <c r="P748"/>
  <c r="Q748"/>
  <c r="R748"/>
  <c r="U748"/>
  <c r="V748"/>
  <c r="W748"/>
  <c r="X748"/>
  <c r="Y748"/>
  <c r="AB748"/>
  <c r="AC748"/>
  <c r="AD748"/>
  <c r="AE748"/>
  <c r="AF748"/>
  <c r="AN748"/>
  <c r="AO748"/>
  <c r="AP748"/>
  <c r="AQ748"/>
  <c r="F749"/>
  <c r="L749"/>
  <c r="S749"/>
  <c r="Z749"/>
  <c r="AG749"/>
  <c r="AN749"/>
  <c r="AO749"/>
  <c r="AP749"/>
  <c r="AQ749"/>
  <c r="F750"/>
  <c r="L750"/>
  <c r="S750"/>
  <c r="Z750"/>
  <c r="AG750"/>
  <c r="AN750"/>
  <c r="AO750"/>
  <c r="AP750"/>
  <c r="AQ750"/>
  <c r="F751"/>
  <c r="L751"/>
  <c r="S751"/>
  <c r="Z751"/>
  <c r="AG751"/>
  <c r="AN751"/>
  <c r="AO751"/>
  <c r="AP751"/>
  <c r="AQ751"/>
  <c r="AR751"/>
  <c r="F752"/>
  <c r="L752"/>
  <c r="S752"/>
  <c r="Z752"/>
  <c r="AG752"/>
  <c r="AN752"/>
  <c r="AO752"/>
  <c r="AP752"/>
  <c r="AQ752"/>
  <c r="F753"/>
  <c r="L753"/>
  <c r="S753"/>
  <c r="Z753"/>
  <c r="AG753"/>
  <c r="AN753"/>
  <c r="AO753"/>
  <c r="AP753"/>
  <c r="AQ753"/>
  <c r="F754"/>
  <c r="L754"/>
  <c r="S754"/>
  <c r="Z754"/>
  <c r="AG754"/>
  <c r="AN754"/>
  <c r="AO754"/>
  <c r="AP754"/>
  <c r="AQ754"/>
  <c r="AR754"/>
  <c r="G756"/>
  <c r="H756"/>
  <c r="I756"/>
  <c r="J756"/>
  <c r="K756"/>
  <c r="N756"/>
  <c r="O756"/>
  <c r="P756"/>
  <c r="Q756"/>
  <c r="R756"/>
  <c r="U756"/>
  <c r="V756"/>
  <c r="W756"/>
  <c r="X756"/>
  <c r="Y756"/>
  <c r="AB756"/>
  <c r="AC756"/>
  <c r="AD756"/>
  <c r="AE756"/>
  <c r="AF756"/>
  <c r="AJ756"/>
  <c r="AK756"/>
  <c r="AL756"/>
  <c r="G757"/>
  <c r="H757"/>
  <c r="I757"/>
  <c r="J757"/>
  <c r="K757"/>
  <c r="N757"/>
  <c r="O757"/>
  <c r="P757"/>
  <c r="Q757"/>
  <c r="R757"/>
  <c r="U757"/>
  <c r="V757"/>
  <c r="W757"/>
  <c r="X757"/>
  <c r="Y757"/>
  <c r="AB757"/>
  <c r="AC757"/>
  <c r="AD757"/>
  <c r="AE757"/>
  <c r="AF757"/>
  <c r="G758"/>
  <c r="H758"/>
  <c r="I758"/>
  <c r="J758"/>
  <c r="K758"/>
  <c r="N758"/>
  <c r="O758"/>
  <c r="P758"/>
  <c r="Q758"/>
  <c r="R758"/>
  <c r="U758"/>
  <c r="V758"/>
  <c r="W758"/>
  <c r="X758"/>
  <c r="Y758"/>
  <c r="AB758"/>
  <c r="AC758"/>
  <c r="AG758"/>
  <c r="AD758"/>
  <c r="AE758"/>
  <c r="AF758"/>
  <c r="G759"/>
  <c r="H759"/>
  <c r="I759"/>
  <c r="J759"/>
  <c r="K759"/>
  <c r="N759"/>
  <c r="O759"/>
  <c r="P759"/>
  <c r="Q759"/>
  <c r="R759"/>
  <c r="U759"/>
  <c r="V759"/>
  <c r="W759"/>
  <c r="X759"/>
  <c r="Y759"/>
  <c r="AB759"/>
  <c r="AC759"/>
  <c r="AD759"/>
  <c r="AE759"/>
  <c r="AF759"/>
  <c r="G760"/>
  <c r="H760"/>
  <c r="I760"/>
  <c r="J760"/>
  <c r="K760"/>
  <c r="N760"/>
  <c r="O760"/>
  <c r="P760"/>
  <c r="Q760"/>
  <c r="R760"/>
  <c r="U760"/>
  <c r="V760"/>
  <c r="W760"/>
  <c r="X760"/>
  <c r="Y760"/>
  <c r="AB760"/>
  <c r="AC760"/>
  <c r="AD760"/>
  <c r="AE760"/>
  <c r="AF760"/>
  <c r="F761"/>
  <c r="G761"/>
  <c r="H761"/>
  <c r="I761"/>
  <c r="J761"/>
  <c r="K761"/>
  <c r="N761"/>
  <c r="O761"/>
  <c r="P761"/>
  <c r="Q761"/>
  <c r="R761"/>
  <c r="U761"/>
  <c r="V761"/>
  <c r="W761"/>
  <c r="X761"/>
  <c r="Y761"/>
  <c r="Z761"/>
  <c r="AB761"/>
  <c r="AC761"/>
  <c r="AD761"/>
  <c r="AE761"/>
  <c r="AF761"/>
  <c r="AN761"/>
  <c r="AO761"/>
  <c r="AO762"/>
  <c r="AO763"/>
  <c r="AO764"/>
  <c r="AO765"/>
  <c r="AO766"/>
  <c r="AO767"/>
  <c r="AO756"/>
  <c r="AP761"/>
  <c r="AQ761"/>
  <c r="F762"/>
  <c r="L762"/>
  <c r="S762"/>
  <c r="Z762"/>
  <c r="AG762"/>
  <c r="AN762"/>
  <c r="AP762"/>
  <c r="AQ762"/>
  <c r="F763"/>
  <c r="L763"/>
  <c r="S763"/>
  <c r="Z763"/>
  <c r="AG763"/>
  <c r="AN763"/>
  <c r="AP763"/>
  <c r="AQ763"/>
  <c r="F764"/>
  <c r="L764"/>
  <c r="S764"/>
  <c r="Z764"/>
  <c r="AG764"/>
  <c r="AN764"/>
  <c r="AP764"/>
  <c r="AQ764"/>
  <c r="F765"/>
  <c r="L765"/>
  <c r="S765"/>
  <c r="Z765"/>
  <c r="AG765"/>
  <c r="AN765"/>
  <c r="AP765"/>
  <c r="AQ765"/>
  <c r="F766"/>
  <c r="L766"/>
  <c r="S766"/>
  <c r="Z766"/>
  <c r="AG766"/>
  <c r="AN766"/>
  <c r="AP766"/>
  <c r="AQ766"/>
  <c r="F767"/>
  <c r="L767"/>
  <c r="S767"/>
  <c r="Z767"/>
  <c r="AG767"/>
  <c r="AN767"/>
  <c r="AP767"/>
  <c r="AQ767"/>
  <c r="G769"/>
  <c r="H769"/>
  <c r="I769"/>
  <c r="J769"/>
  <c r="K769"/>
  <c r="N769"/>
  <c r="O769"/>
  <c r="P769"/>
  <c r="Q769"/>
  <c r="R769"/>
  <c r="U769"/>
  <c r="V769"/>
  <c r="W769"/>
  <c r="X769"/>
  <c r="Y769"/>
  <c r="AB769"/>
  <c r="AC769"/>
  <c r="AD769"/>
  <c r="AE769"/>
  <c r="AF769"/>
  <c r="AJ769"/>
  <c r="AK769"/>
  <c r="AL769"/>
  <c r="G770"/>
  <c r="H770"/>
  <c r="I770"/>
  <c r="J770"/>
  <c r="K770"/>
  <c r="N770"/>
  <c r="O770"/>
  <c r="P770"/>
  <c r="Q770"/>
  <c r="R770"/>
  <c r="U770"/>
  <c r="V770"/>
  <c r="W770"/>
  <c r="X770"/>
  <c r="Y770"/>
  <c r="AB770"/>
  <c r="AC770"/>
  <c r="AD770"/>
  <c r="AE770"/>
  <c r="AF770"/>
  <c r="G771"/>
  <c r="H771"/>
  <c r="I771"/>
  <c r="J771"/>
  <c r="K771"/>
  <c r="N771"/>
  <c r="O771"/>
  <c r="P771"/>
  <c r="Q771"/>
  <c r="R771"/>
  <c r="U771"/>
  <c r="V771"/>
  <c r="W771"/>
  <c r="X771"/>
  <c r="Y771"/>
  <c r="AB771"/>
  <c r="AC771"/>
  <c r="AG771"/>
  <c r="AD771"/>
  <c r="AE771"/>
  <c r="AF771"/>
  <c r="G772"/>
  <c r="H772"/>
  <c r="I772"/>
  <c r="J772"/>
  <c r="K772"/>
  <c r="N772"/>
  <c r="O772"/>
  <c r="P772"/>
  <c r="Q772"/>
  <c r="R772"/>
  <c r="U772"/>
  <c r="V772"/>
  <c r="W772"/>
  <c r="X772"/>
  <c r="Y772"/>
  <c r="AB772"/>
  <c r="AC772"/>
  <c r="AD772"/>
  <c r="AE772"/>
  <c r="AF772"/>
  <c r="G773"/>
  <c r="H773"/>
  <c r="I773"/>
  <c r="J773"/>
  <c r="K773"/>
  <c r="N773"/>
  <c r="O773"/>
  <c r="P773"/>
  <c r="Q773"/>
  <c r="R773"/>
  <c r="U773"/>
  <c r="V773"/>
  <c r="W773"/>
  <c r="X773"/>
  <c r="Y773"/>
  <c r="AB773"/>
  <c r="AC773"/>
  <c r="AD773"/>
  <c r="AE773"/>
  <c r="AF773"/>
  <c r="F774"/>
  <c r="G774"/>
  <c r="H774"/>
  <c r="I774"/>
  <c r="J774"/>
  <c r="K774"/>
  <c r="N774"/>
  <c r="O774"/>
  <c r="P774"/>
  <c r="Q774"/>
  <c r="R774"/>
  <c r="U774"/>
  <c r="V774"/>
  <c r="W774"/>
  <c r="X774"/>
  <c r="Y774"/>
  <c r="AB774"/>
  <c r="AC774"/>
  <c r="AD774"/>
  <c r="AE774"/>
  <c r="AF774"/>
  <c r="AN774"/>
  <c r="AO774"/>
  <c r="AP774"/>
  <c r="AQ774"/>
  <c r="F775"/>
  <c r="L775"/>
  <c r="S775"/>
  <c r="Z775"/>
  <c r="AG775"/>
  <c r="AN775"/>
  <c r="AO775"/>
  <c r="AP775"/>
  <c r="AQ775"/>
  <c r="F776"/>
  <c r="L776"/>
  <c r="S776"/>
  <c r="Z776"/>
  <c r="AG776"/>
  <c r="AN776"/>
  <c r="AO776"/>
  <c r="AP776"/>
  <c r="AQ776"/>
  <c r="F777"/>
  <c r="L777"/>
  <c r="S777"/>
  <c r="Z777"/>
  <c r="AG777"/>
  <c r="AN777"/>
  <c r="AO777"/>
  <c r="AP777"/>
  <c r="AQ777"/>
  <c r="F778"/>
  <c r="L778"/>
  <c r="S778"/>
  <c r="Z778"/>
  <c r="AG778"/>
  <c r="AN778"/>
  <c r="AO778"/>
  <c r="AP778"/>
  <c r="AQ778"/>
  <c r="F779"/>
  <c r="L779"/>
  <c r="S779"/>
  <c r="Z779"/>
  <c r="AG779"/>
  <c r="AN779"/>
  <c r="AO779"/>
  <c r="AP779"/>
  <c r="AQ779"/>
  <c r="F780"/>
  <c r="L780"/>
  <c r="S780"/>
  <c r="Z780"/>
  <c r="AG780"/>
  <c r="AN780"/>
  <c r="AO780"/>
  <c r="AP780"/>
  <c r="AQ780"/>
  <c r="G782"/>
  <c r="H782"/>
  <c r="I782"/>
  <c r="J782"/>
  <c r="K782"/>
  <c r="N782"/>
  <c r="O782"/>
  <c r="P782"/>
  <c r="Q782"/>
  <c r="R782"/>
  <c r="U782"/>
  <c r="V782"/>
  <c r="W782"/>
  <c r="X782"/>
  <c r="Y782"/>
  <c r="AB782"/>
  <c r="AC782"/>
  <c r="AD782"/>
  <c r="AE782"/>
  <c r="AF782"/>
  <c r="AJ782"/>
  <c r="AK782"/>
  <c r="AL782"/>
  <c r="G783"/>
  <c r="H783"/>
  <c r="I783"/>
  <c r="J783"/>
  <c r="K783"/>
  <c r="N783"/>
  <c r="O783"/>
  <c r="P783"/>
  <c r="Q783"/>
  <c r="R783"/>
  <c r="U783"/>
  <c r="V783"/>
  <c r="W783"/>
  <c r="X783"/>
  <c r="Y783"/>
  <c r="AB783"/>
  <c r="AC783"/>
  <c r="AD783"/>
  <c r="AE783"/>
  <c r="AF783"/>
  <c r="G784"/>
  <c r="H784"/>
  <c r="I784"/>
  <c r="J784"/>
  <c r="K784"/>
  <c r="N784"/>
  <c r="O784"/>
  <c r="P784"/>
  <c r="Q784"/>
  <c r="R784"/>
  <c r="U784"/>
  <c r="V784"/>
  <c r="W784"/>
  <c r="X784"/>
  <c r="Y784"/>
  <c r="AB784"/>
  <c r="AC784"/>
  <c r="AD784"/>
  <c r="AE784"/>
  <c r="AF784"/>
  <c r="G785"/>
  <c r="H785"/>
  <c r="I785"/>
  <c r="J785"/>
  <c r="K785"/>
  <c r="N785"/>
  <c r="O785"/>
  <c r="P785"/>
  <c r="Q785"/>
  <c r="R785"/>
  <c r="U785"/>
  <c r="V785"/>
  <c r="W785"/>
  <c r="X785"/>
  <c r="Y785"/>
  <c r="AB785"/>
  <c r="AC785"/>
  <c r="AD785"/>
  <c r="AE785"/>
  <c r="AF785"/>
  <c r="G786"/>
  <c r="H786"/>
  <c r="I786"/>
  <c r="J786"/>
  <c r="K786"/>
  <c r="N786"/>
  <c r="O786"/>
  <c r="P786"/>
  <c r="Q786"/>
  <c r="R786"/>
  <c r="U786"/>
  <c r="V786"/>
  <c r="W786"/>
  <c r="X786"/>
  <c r="Y786"/>
  <c r="AB786"/>
  <c r="AC786"/>
  <c r="AD786"/>
  <c r="AE786"/>
  <c r="AF786"/>
  <c r="F787"/>
  <c r="G787"/>
  <c r="H787"/>
  <c r="I787"/>
  <c r="J787"/>
  <c r="K787"/>
  <c r="N787"/>
  <c r="O787"/>
  <c r="P787"/>
  <c r="Q787"/>
  <c r="R787"/>
  <c r="U787"/>
  <c r="V787"/>
  <c r="W787"/>
  <c r="X787"/>
  <c r="Y787"/>
  <c r="AB787"/>
  <c r="AC787"/>
  <c r="AD787"/>
  <c r="AE787"/>
  <c r="AF787"/>
  <c r="AN787"/>
  <c r="AO787"/>
  <c r="AP787"/>
  <c r="AQ787"/>
  <c r="F788"/>
  <c r="L788"/>
  <c r="S788"/>
  <c r="Z788"/>
  <c r="AG788"/>
  <c r="AN788"/>
  <c r="AO788"/>
  <c r="AP788"/>
  <c r="AQ788"/>
  <c r="F789"/>
  <c r="L789"/>
  <c r="S789"/>
  <c r="Z789"/>
  <c r="AG789"/>
  <c r="AN789"/>
  <c r="AO789"/>
  <c r="AP789"/>
  <c r="AQ789"/>
  <c r="F790"/>
  <c r="L790"/>
  <c r="S790"/>
  <c r="Z790"/>
  <c r="AG790"/>
  <c r="AN790"/>
  <c r="AO790"/>
  <c r="AP790"/>
  <c r="AQ790"/>
  <c r="F791"/>
  <c r="L791"/>
  <c r="S791"/>
  <c r="Z791"/>
  <c r="AG791"/>
  <c r="AN791"/>
  <c r="AO791"/>
  <c r="AP791"/>
  <c r="AQ791"/>
  <c r="F792"/>
  <c r="L792"/>
  <c r="S792"/>
  <c r="Z792"/>
  <c r="AG792"/>
  <c r="AN792"/>
  <c r="AO792"/>
  <c r="AP792"/>
  <c r="AQ792"/>
  <c r="F793"/>
  <c r="L793"/>
  <c r="S793"/>
  <c r="Z793"/>
  <c r="AG793"/>
  <c r="AN793"/>
  <c r="AO793"/>
  <c r="AP793"/>
  <c r="AQ793"/>
  <c r="G795"/>
  <c r="H795"/>
  <c r="I795"/>
  <c r="J795"/>
  <c r="K795"/>
  <c r="N795"/>
  <c r="O795"/>
  <c r="P795"/>
  <c r="Q795"/>
  <c r="R795"/>
  <c r="U795"/>
  <c r="V795"/>
  <c r="W795"/>
  <c r="X795"/>
  <c r="Y795"/>
  <c r="AB795"/>
  <c r="AC795"/>
  <c r="AD795"/>
  <c r="AE795"/>
  <c r="AF795"/>
  <c r="AJ795"/>
  <c r="AK795"/>
  <c r="AL795"/>
  <c r="G796"/>
  <c r="H796"/>
  <c r="I796"/>
  <c r="J796"/>
  <c r="K796"/>
  <c r="N796"/>
  <c r="O796"/>
  <c r="P796"/>
  <c r="Q796"/>
  <c r="R796"/>
  <c r="U796"/>
  <c r="V796"/>
  <c r="W796"/>
  <c r="X796"/>
  <c r="Y796"/>
  <c r="AB796"/>
  <c r="AC796"/>
  <c r="AD796"/>
  <c r="AE796"/>
  <c r="AF796"/>
  <c r="G797"/>
  <c r="H797"/>
  <c r="I797"/>
  <c r="J797"/>
  <c r="K797"/>
  <c r="N797"/>
  <c r="O797"/>
  <c r="P797"/>
  <c r="Q797"/>
  <c r="R797"/>
  <c r="U797"/>
  <c r="V797"/>
  <c r="W797"/>
  <c r="X797"/>
  <c r="Y797"/>
  <c r="AB797"/>
  <c r="AC797"/>
  <c r="AD797"/>
  <c r="AE797"/>
  <c r="AF797"/>
  <c r="G798"/>
  <c r="H798"/>
  <c r="I798"/>
  <c r="J798"/>
  <c r="K798"/>
  <c r="N798"/>
  <c r="O798"/>
  <c r="P798"/>
  <c r="Q798"/>
  <c r="R798"/>
  <c r="U798"/>
  <c r="V798"/>
  <c r="W798"/>
  <c r="X798"/>
  <c r="Y798"/>
  <c r="AB798"/>
  <c r="AC798"/>
  <c r="AD798"/>
  <c r="AE798"/>
  <c r="AF798"/>
  <c r="G799"/>
  <c r="H799"/>
  <c r="I799"/>
  <c r="J799"/>
  <c r="K799"/>
  <c r="N799"/>
  <c r="O799"/>
  <c r="P799"/>
  <c r="Q799"/>
  <c r="R799"/>
  <c r="U799"/>
  <c r="V799"/>
  <c r="W799"/>
  <c r="X799"/>
  <c r="Y799"/>
  <c r="AB799"/>
  <c r="AC799"/>
  <c r="AD799"/>
  <c r="AE799"/>
  <c r="AF799"/>
  <c r="F800"/>
  <c r="G800"/>
  <c r="H800"/>
  <c r="I800"/>
  <c r="J800"/>
  <c r="K800"/>
  <c r="N800"/>
  <c r="O800"/>
  <c r="P800"/>
  <c r="Q800"/>
  <c r="R800"/>
  <c r="U800"/>
  <c r="V800"/>
  <c r="W800"/>
  <c r="X800"/>
  <c r="Y800"/>
  <c r="AB800"/>
  <c r="AC800"/>
  <c r="AD800"/>
  <c r="AE800"/>
  <c r="AF800"/>
  <c r="AN800"/>
  <c r="AO800"/>
  <c r="AP800"/>
  <c r="AQ800"/>
  <c r="F801"/>
  <c r="L801"/>
  <c r="S801"/>
  <c r="Z801"/>
  <c r="AG801"/>
  <c r="AN801"/>
  <c r="AO801"/>
  <c r="AP801"/>
  <c r="AQ801"/>
  <c r="F802"/>
  <c r="L802"/>
  <c r="S802"/>
  <c r="Z802"/>
  <c r="AG802"/>
  <c r="AN802"/>
  <c r="AO802"/>
  <c r="AP802"/>
  <c r="AQ802"/>
  <c r="F803"/>
  <c r="L803"/>
  <c r="S803"/>
  <c r="Z803"/>
  <c r="AG803"/>
  <c r="AN803"/>
  <c r="AO803"/>
  <c r="AP803"/>
  <c r="AQ803"/>
  <c r="F804"/>
  <c r="L804"/>
  <c r="S804"/>
  <c r="Z804"/>
  <c r="AG804"/>
  <c r="AN804"/>
  <c r="AO804"/>
  <c r="AP804"/>
  <c r="AQ804"/>
  <c r="F805"/>
  <c r="L805"/>
  <c r="S805"/>
  <c r="Z805"/>
  <c r="AG805"/>
  <c r="AN805"/>
  <c r="AO805"/>
  <c r="AP805"/>
  <c r="AQ805"/>
  <c r="F806"/>
  <c r="L806"/>
  <c r="S806"/>
  <c r="Z806"/>
  <c r="AG806"/>
  <c r="AN806"/>
  <c r="AO806"/>
  <c r="AP806"/>
  <c r="AQ806"/>
  <c r="G808"/>
  <c r="H808"/>
  <c r="I808"/>
  <c r="J808"/>
  <c r="K808"/>
  <c r="N808"/>
  <c r="O808"/>
  <c r="P808"/>
  <c r="Q808"/>
  <c r="R808"/>
  <c r="U808"/>
  <c r="V808"/>
  <c r="W808"/>
  <c r="X808"/>
  <c r="Y808"/>
  <c r="AB808"/>
  <c r="AC808"/>
  <c r="AD808"/>
  <c r="AE808"/>
  <c r="AF808"/>
  <c r="AJ808"/>
  <c r="AK808"/>
  <c r="AL808"/>
  <c r="G809"/>
  <c r="H809"/>
  <c r="I809"/>
  <c r="J809"/>
  <c r="K809"/>
  <c r="N809"/>
  <c r="O809"/>
  <c r="P809"/>
  <c r="Q809"/>
  <c r="R809"/>
  <c r="U809"/>
  <c r="V809"/>
  <c r="W809"/>
  <c r="X809"/>
  <c r="Y809"/>
  <c r="AB809"/>
  <c r="AC809"/>
  <c r="AD809"/>
  <c r="AE809"/>
  <c r="AF809"/>
  <c r="G810"/>
  <c r="H810"/>
  <c r="I810"/>
  <c r="J810"/>
  <c r="K810"/>
  <c r="N810"/>
  <c r="O810"/>
  <c r="P810"/>
  <c r="Q810"/>
  <c r="R810"/>
  <c r="U810"/>
  <c r="V810"/>
  <c r="W810"/>
  <c r="X810"/>
  <c r="Y810"/>
  <c r="AB810"/>
  <c r="AC810"/>
  <c r="AD810"/>
  <c r="AE810"/>
  <c r="AF810"/>
  <c r="G811"/>
  <c r="H811"/>
  <c r="I811"/>
  <c r="J811"/>
  <c r="K811"/>
  <c r="N811"/>
  <c r="O811"/>
  <c r="P811"/>
  <c r="Q811"/>
  <c r="R811"/>
  <c r="U811"/>
  <c r="V811"/>
  <c r="W811"/>
  <c r="X811"/>
  <c r="Y811"/>
  <c r="AB811"/>
  <c r="AC811"/>
  <c r="AD811"/>
  <c r="AE811"/>
  <c r="AF811"/>
  <c r="G812"/>
  <c r="H812"/>
  <c r="I812"/>
  <c r="J812"/>
  <c r="K812"/>
  <c r="N812"/>
  <c r="O812"/>
  <c r="P812"/>
  <c r="Q812"/>
  <c r="R812"/>
  <c r="U812"/>
  <c r="V812"/>
  <c r="W812"/>
  <c r="X812"/>
  <c r="Y812"/>
  <c r="AB812"/>
  <c r="AC812"/>
  <c r="AD812"/>
  <c r="AE812"/>
  <c r="AF812"/>
  <c r="F813"/>
  <c r="G813"/>
  <c r="H813"/>
  <c r="I813"/>
  <c r="J813"/>
  <c r="K813"/>
  <c r="N813"/>
  <c r="O813"/>
  <c r="P813"/>
  <c r="Q813"/>
  <c r="R813"/>
  <c r="U813"/>
  <c r="V813"/>
  <c r="W813"/>
  <c r="X813"/>
  <c r="Y813"/>
  <c r="AB813"/>
  <c r="AC813"/>
  <c r="AD813"/>
  <c r="AE813"/>
  <c r="AF813"/>
  <c r="AN813"/>
  <c r="AO813"/>
  <c r="AP813"/>
  <c r="AQ813"/>
  <c r="F814"/>
  <c r="L814"/>
  <c r="S814"/>
  <c r="Z814"/>
  <c r="AG814"/>
  <c r="AN814"/>
  <c r="AO814"/>
  <c r="AP814"/>
  <c r="AQ814"/>
  <c r="F815"/>
  <c r="L815"/>
  <c r="S815"/>
  <c r="Z815"/>
  <c r="AG815"/>
  <c r="AN815"/>
  <c r="AO815"/>
  <c r="AP815"/>
  <c r="AQ815"/>
  <c r="F816"/>
  <c r="L816"/>
  <c r="S816"/>
  <c r="Z816"/>
  <c r="AG816"/>
  <c r="AN816"/>
  <c r="AO816"/>
  <c r="AP816"/>
  <c r="AQ816"/>
  <c r="F817"/>
  <c r="L817"/>
  <c r="S817"/>
  <c r="Z817"/>
  <c r="AG817"/>
  <c r="AN817"/>
  <c r="AO817"/>
  <c r="AP817"/>
  <c r="AQ817"/>
  <c r="F818"/>
  <c r="L818"/>
  <c r="S818"/>
  <c r="Z818"/>
  <c r="AG818"/>
  <c r="AN818"/>
  <c r="AO818"/>
  <c r="AP818"/>
  <c r="AQ818"/>
  <c r="F819"/>
  <c r="L819"/>
  <c r="S819"/>
  <c r="Z819"/>
  <c r="AG819"/>
  <c r="AN819"/>
  <c r="AO819"/>
  <c r="AP819"/>
  <c r="AQ819"/>
  <c r="G821"/>
  <c r="H821"/>
  <c r="I821"/>
  <c r="J821"/>
  <c r="K821"/>
  <c r="N821"/>
  <c r="O821"/>
  <c r="P821"/>
  <c r="Q821"/>
  <c r="R821"/>
  <c r="U821"/>
  <c r="V821"/>
  <c r="W821"/>
  <c r="X821"/>
  <c r="Y821"/>
  <c r="AB821"/>
  <c r="AC821"/>
  <c r="AD821"/>
  <c r="AE821"/>
  <c r="AF821"/>
  <c r="AJ821"/>
  <c r="AK821"/>
  <c r="AL821"/>
  <c r="G822"/>
  <c r="H822"/>
  <c r="I822"/>
  <c r="J822"/>
  <c r="K822"/>
  <c r="N822"/>
  <c r="O822"/>
  <c r="P822"/>
  <c r="Q822"/>
  <c r="R822"/>
  <c r="U822"/>
  <c r="V822"/>
  <c r="W822"/>
  <c r="X822"/>
  <c r="Y822"/>
  <c r="AB822"/>
  <c r="AC822"/>
  <c r="AD822"/>
  <c r="AE822"/>
  <c r="AF822"/>
  <c r="G823"/>
  <c r="H823"/>
  <c r="I823"/>
  <c r="J823"/>
  <c r="K823"/>
  <c r="N823"/>
  <c r="O823"/>
  <c r="P823"/>
  <c r="Q823"/>
  <c r="R823"/>
  <c r="U823"/>
  <c r="V823"/>
  <c r="W823"/>
  <c r="X823"/>
  <c r="Y823"/>
  <c r="AB823"/>
  <c r="AC823"/>
  <c r="AD823"/>
  <c r="AE823"/>
  <c r="AF823"/>
  <c r="G824"/>
  <c r="H824"/>
  <c r="I824"/>
  <c r="J824"/>
  <c r="K824"/>
  <c r="N824"/>
  <c r="O824"/>
  <c r="P824"/>
  <c r="Q824"/>
  <c r="R824"/>
  <c r="U824"/>
  <c r="V824"/>
  <c r="W824"/>
  <c r="X824"/>
  <c r="Y824"/>
  <c r="AB824"/>
  <c r="AC824"/>
  <c r="AD824"/>
  <c r="AE824"/>
  <c r="AF824"/>
  <c r="G825"/>
  <c r="H825"/>
  <c r="I825"/>
  <c r="J825"/>
  <c r="K825"/>
  <c r="N825"/>
  <c r="O825"/>
  <c r="P825"/>
  <c r="Q825"/>
  <c r="R825"/>
  <c r="U825"/>
  <c r="V825"/>
  <c r="W825"/>
  <c r="X825"/>
  <c r="Y825"/>
  <c r="AB825"/>
  <c r="AC825"/>
  <c r="AD825"/>
  <c r="AE825"/>
  <c r="AF825"/>
  <c r="F826"/>
  <c r="G826"/>
  <c r="H826"/>
  <c r="I826"/>
  <c r="J826"/>
  <c r="K826"/>
  <c r="N826"/>
  <c r="O826"/>
  <c r="P826"/>
  <c r="Q826"/>
  <c r="R826"/>
  <c r="U826"/>
  <c r="V826"/>
  <c r="W826"/>
  <c r="X826"/>
  <c r="Y826"/>
  <c r="AB826"/>
  <c r="AC826"/>
  <c r="AD826"/>
  <c r="AE826"/>
  <c r="AF826"/>
  <c r="AN826"/>
  <c r="AO826"/>
  <c r="AP826"/>
  <c r="AQ826"/>
  <c r="F827"/>
  <c r="L827"/>
  <c r="S827"/>
  <c r="Z827"/>
  <c r="AG827"/>
  <c r="AN827"/>
  <c r="AO827"/>
  <c r="AP827"/>
  <c r="AQ827"/>
  <c r="F828"/>
  <c r="L828"/>
  <c r="S828"/>
  <c r="Z828"/>
  <c r="AG828"/>
  <c r="AN828"/>
  <c r="AO828"/>
  <c r="AP828"/>
  <c r="AQ828"/>
  <c r="F829"/>
  <c r="L829"/>
  <c r="S829"/>
  <c r="Z829"/>
  <c r="AG829"/>
  <c r="AN829"/>
  <c r="AO829"/>
  <c r="AP829"/>
  <c r="AQ829"/>
  <c r="F830"/>
  <c r="L830"/>
  <c r="S830"/>
  <c r="Z830"/>
  <c r="AG830"/>
  <c r="AN830"/>
  <c r="AO830"/>
  <c r="AP830"/>
  <c r="AQ830"/>
  <c r="F831"/>
  <c r="L831"/>
  <c r="S831"/>
  <c r="Z831"/>
  <c r="AG831"/>
  <c r="AN831"/>
  <c r="AO831"/>
  <c r="AP831"/>
  <c r="AQ831"/>
  <c r="F832"/>
  <c r="L832"/>
  <c r="S832"/>
  <c r="Z832"/>
  <c r="AG832"/>
  <c r="AN832"/>
  <c r="AO832"/>
  <c r="AP832"/>
  <c r="AQ832"/>
  <c r="G834"/>
  <c r="H834"/>
  <c r="I834"/>
  <c r="J834"/>
  <c r="K834"/>
  <c r="N834"/>
  <c r="O834"/>
  <c r="P834"/>
  <c r="Q834"/>
  <c r="R834"/>
  <c r="U834"/>
  <c r="V834"/>
  <c r="W834"/>
  <c r="X834"/>
  <c r="Y834"/>
  <c r="AB834"/>
  <c r="AC834"/>
  <c r="AD834"/>
  <c r="AE834"/>
  <c r="AF834"/>
  <c r="AJ834"/>
  <c r="AK834"/>
  <c r="AL834"/>
  <c r="G835"/>
  <c r="H835"/>
  <c r="I835"/>
  <c r="J835"/>
  <c r="K835"/>
  <c r="N835"/>
  <c r="O835"/>
  <c r="P835"/>
  <c r="Q835"/>
  <c r="R835"/>
  <c r="U835"/>
  <c r="V835"/>
  <c r="W835"/>
  <c r="X835"/>
  <c r="Y835"/>
  <c r="AB835"/>
  <c r="AC835"/>
  <c r="AD835"/>
  <c r="AE835"/>
  <c r="AF835"/>
  <c r="G836"/>
  <c r="H836"/>
  <c r="I836"/>
  <c r="J836"/>
  <c r="K836"/>
  <c r="N836"/>
  <c r="O836"/>
  <c r="P836"/>
  <c r="Q836"/>
  <c r="R836"/>
  <c r="U836"/>
  <c r="V836"/>
  <c r="W836"/>
  <c r="X836"/>
  <c r="Y836"/>
  <c r="AB836"/>
  <c r="AC836"/>
  <c r="AD836"/>
  <c r="AE836"/>
  <c r="AF836"/>
  <c r="G837"/>
  <c r="H837"/>
  <c r="I837"/>
  <c r="J837"/>
  <c r="K837"/>
  <c r="N837"/>
  <c r="O837"/>
  <c r="P837"/>
  <c r="Q837"/>
  <c r="R837"/>
  <c r="U837"/>
  <c r="V837"/>
  <c r="W837"/>
  <c r="X837"/>
  <c r="Y837"/>
  <c r="AB837"/>
  <c r="AC837"/>
  <c r="AD837"/>
  <c r="AE837"/>
  <c r="AF837"/>
  <c r="G838"/>
  <c r="H838"/>
  <c r="I838"/>
  <c r="J838"/>
  <c r="K838"/>
  <c r="N838"/>
  <c r="O838"/>
  <c r="P838"/>
  <c r="Q838"/>
  <c r="R838"/>
  <c r="U838"/>
  <c r="V838"/>
  <c r="W838"/>
  <c r="X838"/>
  <c r="Y838"/>
  <c r="AB838"/>
  <c r="AC838"/>
  <c r="AD838"/>
  <c r="AE838"/>
  <c r="AF838"/>
  <c r="F839"/>
  <c r="G839"/>
  <c r="H839"/>
  <c r="I839"/>
  <c r="J839"/>
  <c r="K839"/>
  <c r="N839"/>
  <c r="O839"/>
  <c r="P839"/>
  <c r="Q839"/>
  <c r="R839"/>
  <c r="U839"/>
  <c r="V839"/>
  <c r="W839"/>
  <c r="X839"/>
  <c r="Y839"/>
  <c r="AB839"/>
  <c r="AC839"/>
  <c r="AD839"/>
  <c r="AE839"/>
  <c r="AF839"/>
  <c r="AN839"/>
  <c r="AO839"/>
  <c r="AP839"/>
  <c r="AQ839"/>
  <c r="F840"/>
  <c r="L840"/>
  <c r="S840"/>
  <c r="Z840"/>
  <c r="AG840"/>
  <c r="AN840"/>
  <c r="AO840"/>
  <c r="AP840"/>
  <c r="AQ840"/>
  <c r="F841"/>
  <c r="L841"/>
  <c r="S841"/>
  <c r="Z841"/>
  <c r="AG841"/>
  <c r="AN841"/>
  <c r="AO841"/>
  <c r="AP841"/>
  <c r="AQ841"/>
  <c r="F842"/>
  <c r="L842"/>
  <c r="S842"/>
  <c r="Z842"/>
  <c r="AG842"/>
  <c r="AN842"/>
  <c r="AO842"/>
  <c r="AP842"/>
  <c r="AQ842"/>
  <c r="F843"/>
  <c r="L843"/>
  <c r="S843"/>
  <c r="Z843"/>
  <c r="AG843"/>
  <c r="AN843"/>
  <c r="AO843"/>
  <c r="AP843"/>
  <c r="AQ843"/>
  <c r="F844"/>
  <c r="L844"/>
  <c r="S844"/>
  <c r="Z844"/>
  <c r="AG844"/>
  <c r="AN844"/>
  <c r="AO844"/>
  <c r="AP844"/>
  <c r="AQ844"/>
  <c r="F845"/>
  <c r="L845"/>
  <c r="S845"/>
  <c r="Z845"/>
  <c r="AG845"/>
  <c r="AN845"/>
  <c r="AO845"/>
  <c r="AP845"/>
  <c r="AQ845"/>
  <c r="G847"/>
  <c r="H847"/>
  <c r="I847"/>
  <c r="J847"/>
  <c r="K847"/>
  <c r="N847"/>
  <c r="O847"/>
  <c r="P847"/>
  <c r="Q847"/>
  <c r="R847"/>
  <c r="U847"/>
  <c r="V847"/>
  <c r="W847"/>
  <c r="X847"/>
  <c r="Y847"/>
  <c r="AB847"/>
  <c r="AC847"/>
  <c r="AD847"/>
  <c r="AE847"/>
  <c r="AF847"/>
  <c r="AJ847"/>
  <c r="AK847"/>
  <c r="AL847"/>
  <c r="G848"/>
  <c r="H848"/>
  <c r="I848"/>
  <c r="J848"/>
  <c r="K848"/>
  <c r="N848"/>
  <c r="O848"/>
  <c r="P848"/>
  <c r="Q848"/>
  <c r="R848"/>
  <c r="U848"/>
  <c r="V848"/>
  <c r="W848"/>
  <c r="X848"/>
  <c r="Y848"/>
  <c r="AB848"/>
  <c r="AC848"/>
  <c r="AD848"/>
  <c r="AE848"/>
  <c r="AF848"/>
  <c r="G849"/>
  <c r="H849"/>
  <c r="I849"/>
  <c r="J849"/>
  <c r="K849"/>
  <c r="N849"/>
  <c r="O849"/>
  <c r="P849"/>
  <c r="Q849"/>
  <c r="R849"/>
  <c r="U849"/>
  <c r="V849"/>
  <c r="W849"/>
  <c r="X849"/>
  <c r="Y849"/>
  <c r="AB849"/>
  <c r="AC849"/>
  <c r="AD849"/>
  <c r="AE849"/>
  <c r="AF849"/>
  <c r="G850"/>
  <c r="H850"/>
  <c r="I850"/>
  <c r="J850"/>
  <c r="K850"/>
  <c r="N850"/>
  <c r="O850"/>
  <c r="P850"/>
  <c r="Q850"/>
  <c r="R850"/>
  <c r="U850"/>
  <c r="V850"/>
  <c r="W850"/>
  <c r="X850"/>
  <c r="Y850"/>
  <c r="AB850"/>
  <c r="AC850"/>
  <c r="AD850"/>
  <c r="AE850"/>
  <c r="AF850"/>
  <c r="G851"/>
  <c r="H851"/>
  <c r="I851"/>
  <c r="J851"/>
  <c r="K851"/>
  <c r="N851"/>
  <c r="O851"/>
  <c r="P851"/>
  <c r="Q851"/>
  <c r="R851"/>
  <c r="U851"/>
  <c r="V851"/>
  <c r="W851"/>
  <c r="X851"/>
  <c r="Y851"/>
  <c r="AB851"/>
  <c r="AC851"/>
  <c r="AD851"/>
  <c r="AE851"/>
  <c r="AF851"/>
  <c r="F852"/>
  <c r="G852"/>
  <c r="H852"/>
  <c r="I852"/>
  <c r="J852"/>
  <c r="K852"/>
  <c r="N852"/>
  <c r="O852"/>
  <c r="P852"/>
  <c r="Q852"/>
  <c r="R852"/>
  <c r="U852"/>
  <c r="V852"/>
  <c r="W852"/>
  <c r="X852"/>
  <c r="Y852"/>
  <c r="AB852"/>
  <c r="AC852"/>
  <c r="AD852"/>
  <c r="AE852"/>
  <c r="AF852"/>
  <c r="AN852"/>
  <c r="AO852"/>
  <c r="AP852"/>
  <c r="AQ852"/>
  <c r="F853"/>
  <c r="L853"/>
  <c r="S853"/>
  <c r="Z853"/>
  <c r="AG853"/>
  <c r="AN853"/>
  <c r="AO853"/>
  <c r="AP853"/>
  <c r="AQ853"/>
  <c r="F854"/>
  <c r="L854"/>
  <c r="S854"/>
  <c r="Z854"/>
  <c r="AG854"/>
  <c r="AN854"/>
  <c r="AO854"/>
  <c r="AP854"/>
  <c r="AQ854"/>
  <c r="F855"/>
  <c r="L855"/>
  <c r="S855"/>
  <c r="Z855"/>
  <c r="AG855"/>
  <c r="AN855"/>
  <c r="AO855"/>
  <c r="AP855"/>
  <c r="AQ855"/>
  <c r="F856"/>
  <c r="L856"/>
  <c r="S856"/>
  <c r="Z856"/>
  <c r="AG856"/>
  <c r="AN856"/>
  <c r="AO856"/>
  <c r="AP856"/>
  <c r="AQ856"/>
  <c r="F857"/>
  <c r="L857"/>
  <c r="S857"/>
  <c r="Z857"/>
  <c r="AG857"/>
  <c r="AN857"/>
  <c r="AO857"/>
  <c r="AP857"/>
  <c r="AQ857"/>
  <c r="F858"/>
  <c r="L858"/>
  <c r="S858"/>
  <c r="Z858"/>
  <c r="AG858"/>
  <c r="AN858"/>
  <c r="AO858"/>
  <c r="AP858"/>
  <c r="AQ858"/>
  <c r="G860"/>
  <c r="H860"/>
  <c r="I860"/>
  <c r="J860"/>
  <c r="K860"/>
  <c r="N860"/>
  <c r="O860"/>
  <c r="P860"/>
  <c r="Q860"/>
  <c r="R860"/>
  <c r="U860"/>
  <c r="V860"/>
  <c r="W860"/>
  <c r="X860"/>
  <c r="Y860"/>
  <c r="AB860"/>
  <c r="AC860"/>
  <c r="AD860"/>
  <c r="AE860"/>
  <c r="AF860"/>
  <c r="AJ860"/>
  <c r="AK860"/>
  <c r="AL860"/>
  <c r="G861"/>
  <c r="H861"/>
  <c r="I861"/>
  <c r="J861"/>
  <c r="K861"/>
  <c r="N861"/>
  <c r="O861"/>
  <c r="P861"/>
  <c r="Q861"/>
  <c r="R861"/>
  <c r="U861"/>
  <c r="V861"/>
  <c r="W861"/>
  <c r="X861"/>
  <c r="Y861"/>
  <c r="AB861"/>
  <c r="AC861"/>
  <c r="AD861"/>
  <c r="AE861"/>
  <c r="AF861"/>
  <c r="G862"/>
  <c r="H862"/>
  <c r="I862"/>
  <c r="J862"/>
  <c r="K862"/>
  <c r="N862"/>
  <c r="O862"/>
  <c r="P862"/>
  <c r="Q862"/>
  <c r="R862"/>
  <c r="U862"/>
  <c r="V862"/>
  <c r="W862"/>
  <c r="X862"/>
  <c r="Y862"/>
  <c r="AB862"/>
  <c r="AC862"/>
  <c r="AD862"/>
  <c r="AE862"/>
  <c r="AF862"/>
  <c r="G863"/>
  <c r="H863"/>
  <c r="I863"/>
  <c r="J863"/>
  <c r="K863"/>
  <c r="N863"/>
  <c r="O863"/>
  <c r="P863"/>
  <c r="Q863"/>
  <c r="R863"/>
  <c r="U863"/>
  <c r="V863"/>
  <c r="W863"/>
  <c r="X863"/>
  <c r="Y863"/>
  <c r="AB863"/>
  <c r="AC863"/>
  <c r="AD863"/>
  <c r="AE863"/>
  <c r="AF863"/>
  <c r="G864"/>
  <c r="H864"/>
  <c r="I864"/>
  <c r="J864"/>
  <c r="K864"/>
  <c r="N864"/>
  <c r="O864"/>
  <c r="P864"/>
  <c r="Q864"/>
  <c r="R864"/>
  <c r="U864"/>
  <c r="V864"/>
  <c r="W864"/>
  <c r="X864"/>
  <c r="Y864"/>
  <c r="AB864"/>
  <c r="AC864"/>
  <c r="AD864"/>
  <c r="AE864"/>
  <c r="AF864"/>
  <c r="F865"/>
  <c r="G865"/>
  <c r="H865"/>
  <c r="I865"/>
  <c r="J865"/>
  <c r="K865"/>
  <c r="N865"/>
  <c r="O865"/>
  <c r="P865"/>
  <c r="Q865"/>
  <c r="R865"/>
  <c r="U865"/>
  <c r="V865"/>
  <c r="W865"/>
  <c r="X865"/>
  <c r="Y865"/>
  <c r="AB865"/>
  <c r="AC865"/>
  <c r="AD865"/>
  <c r="AE865"/>
  <c r="AF865"/>
  <c r="AN865"/>
  <c r="AO865"/>
  <c r="AP865"/>
  <c r="AQ865"/>
  <c r="F866"/>
  <c r="L866"/>
  <c r="S866"/>
  <c r="Z866"/>
  <c r="AG866"/>
  <c r="AN866"/>
  <c r="AO866"/>
  <c r="AP866"/>
  <c r="AQ866"/>
  <c r="F867"/>
  <c r="L867"/>
  <c r="S867"/>
  <c r="Z867"/>
  <c r="AG867"/>
  <c r="AN867"/>
  <c r="AO867"/>
  <c r="AP867"/>
  <c r="AQ867"/>
  <c r="F868"/>
  <c r="L868"/>
  <c r="S868"/>
  <c r="Z868"/>
  <c r="AG868"/>
  <c r="AN868"/>
  <c r="AO868"/>
  <c r="AP868"/>
  <c r="AQ868"/>
  <c r="F869"/>
  <c r="L869"/>
  <c r="S869"/>
  <c r="Z869"/>
  <c r="AG869"/>
  <c r="AN869"/>
  <c r="AO869"/>
  <c r="AP869"/>
  <c r="AQ869"/>
  <c r="F870"/>
  <c r="L870"/>
  <c r="S870"/>
  <c r="Z870"/>
  <c r="AG870"/>
  <c r="AN870"/>
  <c r="AO870"/>
  <c r="AP870"/>
  <c r="AQ870"/>
  <c r="F871"/>
  <c r="L871"/>
  <c r="S871"/>
  <c r="Z871"/>
  <c r="AG871"/>
  <c r="AN871"/>
  <c r="AO871"/>
  <c r="AP871"/>
  <c r="AQ871"/>
  <c r="G873"/>
  <c r="H873"/>
  <c r="I873"/>
  <c r="J873"/>
  <c r="K873"/>
  <c r="N873"/>
  <c r="O873"/>
  <c r="P873"/>
  <c r="Q873"/>
  <c r="R873"/>
  <c r="U873"/>
  <c r="V873"/>
  <c r="W873"/>
  <c r="X873"/>
  <c r="Y873"/>
  <c r="AB873"/>
  <c r="AC873"/>
  <c r="AD873"/>
  <c r="AE873"/>
  <c r="AF873"/>
  <c r="AJ873"/>
  <c r="AK873"/>
  <c r="AL873"/>
  <c r="G874"/>
  <c r="H874"/>
  <c r="I874"/>
  <c r="J874"/>
  <c r="K874"/>
  <c r="N874"/>
  <c r="O874"/>
  <c r="P874"/>
  <c r="Q874"/>
  <c r="R874"/>
  <c r="U874"/>
  <c r="V874"/>
  <c r="W874"/>
  <c r="X874"/>
  <c r="Y874"/>
  <c r="AB874"/>
  <c r="AC874"/>
  <c r="AD874"/>
  <c r="AE874"/>
  <c r="AF874"/>
  <c r="G875"/>
  <c r="H875"/>
  <c r="I875"/>
  <c r="J875"/>
  <c r="K875"/>
  <c r="N875"/>
  <c r="O875"/>
  <c r="P875"/>
  <c r="Q875"/>
  <c r="R875"/>
  <c r="U875"/>
  <c r="V875"/>
  <c r="W875"/>
  <c r="X875"/>
  <c r="Y875"/>
  <c r="AB875"/>
  <c r="AC875"/>
  <c r="AD875"/>
  <c r="AE875"/>
  <c r="AF875"/>
  <c r="G876"/>
  <c r="H876"/>
  <c r="I876"/>
  <c r="J876"/>
  <c r="K876"/>
  <c r="N876"/>
  <c r="O876"/>
  <c r="P876"/>
  <c r="Q876"/>
  <c r="R876"/>
  <c r="U876"/>
  <c r="V876"/>
  <c r="W876"/>
  <c r="X876"/>
  <c r="Y876"/>
  <c r="AB876"/>
  <c r="AC876"/>
  <c r="AD876"/>
  <c r="AE876"/>
  <c r="AF876"/>
  <c r="G877"/>
  <c r="H877"/>
  <c r="I877"/>
  <c r="J877"/>
  <c r="K877"/>
  <c r="N877"/>
  <c r="O877"/>
  <c r="P877"/>
  <c r="Q877"/>
  <c r="R877"/>
  <c r="U877"/>
  <c r="V877"/>
  <c r="W877"/>
  <c r="X877"/>
  <c r="Y877"/>
  <c r="AB877"/>
  <c r="AC877"/>
  <c r="AD877"/>
  <c r="AE877"/>
  <c r="AF877"/>
  <c r="F878"/>
  <c r="G878"/>
  <c r="H878"/>
  <c r="I878"/>
  <c r="J878"/>
  <c r="K878"/>
  <c r="N878"/>
  <c r="O878"/>
  <c r="P878"/>
  <c r="Q878"/>
  <c r="R878"/>
  <c r="U878"/>
  <c r="V878"/>
  <c r="W878"/>
  <c r="X878"/>
  <c r="Y878"/>
  <c r="AB878"/>
  <c r="AC878"/>
  <c r="AD878"/>
  <c r="AE878"/>
  <c r="AF878"/>
  <c r="AN878"/>
  <c r="AO878"/>
  <c r="AP878"/>
  <c r="AQ878"/>
  <c r="F879"/>
  <c r="L879"/>
  <c r="S879"/>
  <c r="Z879"/>
  <c r="AG879"/>
  <c r="AN879"/>
  <c r="AO879"/>
  <c r="AP879"/>
  <c r="AQ879"/>
  <c r="F880"/>
  <c r="L880"/>
  <c r="S880"/>
  <c r="Z880"/>
  <c r="AG880"/>
  <c r="AN880"/>
  <c r="AO880"/>
  <c r="AP880"/>
  <c r="AQ880"/>
  <c r="F881"/>
  <c r="L881"/>
  <c r="S881"/>
  <c r="Z881"/>
  <c r="AG881"/>
  <c r="AN881"/>
  <c r="AO881"/>
  <c r="AP881"/>
  <c r="AQ881"/>
  <c r="F882"/>
  <c r="L882"/>
  <c r="S882"/>
  <c r="Z882"/>
  <c r="AG882"/>
  <c r="AN882"/>
  <c r="AO882"/>
  <c r="AP882"/>
  <c r="AQ882"/>
  <c r="F883"/>
  <c r="L883"/>
  <c r="S883"/>
  <c r="Z883"/>
  <c r="AG883"/>
  <c r="AN883"/>
  <c r="AO883"/>
  <c r="AP883"/>
  <c r="AQ883"/>
  <c r="F884"/>
  <c r="L884"/>
  <c r="S884"/>
  <c r="Z884"/>
  <c r="AG884"/>
  <c r="AN884"/>
  <c r="AO884"/>
  <c r="AP884"/>
  <c r="AQ884"/>
  <c r="G886"/>
  <c r="H886"/>
  <c r="I886"/>
  <c r="J886"/>
  <c r="K886"/>
  <c r="N886"/>
  <c r="O886"/>
  <c r="P886"/>
  <c r="Q886"/>
  <c r="R886"/>
  <c r="U886"/>
  <c r="V886"/>
  <c r="W886"/>
  <c r="X886"/>
  <c r="Y886"/>
  <c r="AB886"/>
  <c r="AC886"/>
  <c r="AD886"/>
  <c r="AE886"/>
  <c r="AF886"/>
  <c r="AJ886"/>
  <c r="AK886"/>
  <c r="AL886"/>
  <c r="G887"/>
  <c r="H887"/>
  <c r="I887"/>
  <c r="J887"/>
  <c r="K887"/>
  <c r="N887"/>
  <c r="O887"/>
  <c r="P887"/>
  <c r="Q887"/>
  <c r="R887"/>
  <c r="U887"/>
  <c r="V887"/>
  <c r="W887"/>
  <c r="X887"/>
  <c r="Y887"/>
  <c r="AB887"/>
  <c r="AC887"/>
  <c r="AD887"/>
  <c r="AE887"/>
  <c r="AF887"/>
  <c r="G888"/>
  <c r="H888"/>
  <c r="I888"/>
  <c r="J888"/>
  <c r="K888"/>
  <c r="N888"/>
  <c r="O888"/>
  <c r="P888"/>
  <c r="Q888"/>
  <c r="R888"/>
  <c r="U888"/>
  <c r="V888"/>
  <c r="W888"/>
  <c r="X888"/>
  <c r="Y888"/>
  <c r="AB888"/>
  <c r="AC888"/>
  <c r="AD888"/>
  <c r="AE888"/>
  <c r="AF888"/>
  <c r="G889"/>
  <c r="H889"/>
  <c r="I889"/>
  <c r="J889"/>
  <c r="K889"/>
  <c r="N889"/>
  <c r="O889"/>
  <c r="P889"/>
  <c r="Q889"/>
  <c r="R889"/>
  <c r="U889"/>
  <c r="V889"/>
  <c r="W889"/>
  <c r="X889"/>
  <c r="Y889"/>
  <c r="AB889"/>
  <c r="AC889"/>
  <c r="AD889"/>
  <c r="AE889"/>
  <c r="AF889"/>
  <c r="G890"/>
  <c r="H890"/>
  <c r="I890"/>
  <c r="J890"/>
  <c r="K890"/>
  <c r="N890"/>
  <c r="O890"/>
  <c r="P890"/>
  <c r="Q890"/>
  <c r="R890"/>
  <c r="U890"/>
  <c r="V890"/>
  <c r="W890"/>
  <c r="X890"/>
  <c r="Y890"/>
  <c r="AB890"/>
  <c r="AC890"/>
  <c r="AD890"/>
  <c r="AE890"/>
  <c r="AF890"/>
  <c r="F891"/>
  <c r="G891"/>
  <c r="H891"/>
  <c r="I891"/>
  <c r="J891"/>
  <c r="K891"/>
  <c r="N891"/>
  <c r="O891"/>
  <c r="P891"/>
  <c r="Q891"/>
  <c r="R891"/>
  <c r="U891"/>
  <c r="V891"/>
  <c r="W891"/>
  <c r="X891"/>
  <c r="Y891"/>
  <c r="AB891"/>
  <c r="AC891"/>
  <c r="AD891"/>
  <c r="AE891"/>
  <c r="AF891"/>
  <c r="AN891"/>
  <c r="AO891"/>
  <c r="AP891"/>
  <c r="AQ891"/>
  <c r="F892"/>
  <c r="L892"/>
  <c r="S892"/>
  <c r="Z892"/>
  <c r="AG892"/>
  <c r="AN892"/>
  <c r="AO892"/>
  <c r="AP892"/>
  <c r="AQ892"/>
  <c r="F893"/>
  <c r="L893"/>
  <c r="S893"/>
  <c r="Z893"/>
  <c r="AG893"/>
  <c r="AN893"/>
  <c r="AO893"/>
  <c r="AP893"/>
  <c r="AQ893"/>
  <c r="F894"/>
  <c r="L894"/>
  <c r="S894"/>
  <c r="Z894"/>
  <c r="AG894"/>
  <c r="AN894"/>
  <c r="AO894"/>
  <c r="AP894"/>
  <c r="AQ894"/>
  <c r="F895"/>
  <c r="L895"/>
  <c r="S895"/>
  <c r="Z895"/>
  <c r="AG895"/>
  <c r="AN895"/>
  <c r="AO895"/>
  <c r="AP895"/>
  <c r="AQ895"/>
  <c r="F896"/>
  <c r="L896"/>
  <c r="S896"/>
  <c r="Z896"/>
  <c r="AG896"/>
  <c r="AN896"/>
  <c r="AO896"/>
  <c r="AP896"/>
  <c r="AQ896"/>
  <c r="F897"/>
  <c r="L897"/>
  <c r="S897"/>
  <c r="Z897"/>
  <c r="AG897"/>
  <c r="AN897"/>
  <c r="AO897"/>
  <c r="AP897"/>
  <c r="AQ897"/>
  <c r="G899"/>
  <c r="H899"/>
  <c r="I899"/>
  <c r="J899"/>
  <c r="K899"/>
  <c r="N899"/>
  <c r="O899"/>
  <c r="P899"/>
  <c r="Q899"/>
  <c r="R899"/>
  <c r="U899"/>
  <c r="V899"/>
  <c r="W899"/>
  <c r="X899"/>
  <c r="Y899"/>
  <c r="AB899"/>
  <c r="AC899"/>
  <c r="AD899"/>
  <c r="AE899"/>
  <c r="AF899"/>
  <c r="AJ899"/>
  <c r="AK899"/>
  <c r="AL899"/>
  <c r="G900"/>
  <c r="H900"/>
  <c r="I900"/>
  <c r="J900"/>
  <c r="K900"/>
  <c r="N900"/>
  <c r="O900"/>
  <c r="P900"/>
  <c r="Q900"/>
  <c r="R900"/>
  <c r="U900"/>
  <c r="V900"/>
  <c r="W900"/>
  <c r="X900"/>
  <c r="Y900"/>
  <c r="AB900"/>
  <c r="AC900"/>
  <c r="AD900"/>
  <c r="AE900"/>
  <c r="AF900"/>
  <c r="G901"/>
  <c r="H901"/>
  <c r="I901"/>
  <c r="J901"/>
  <c r="K901"/>
  <c r="N901"/>
  <c r="O901"/>
  <c r="P901"/>
  <c r="Q901"/>
  <c r="R901"/>
  <c r="U901"/>
  <c r="V901"/>
  <c r="W901"/>
  <c r="X901"/>
  <c r="Y901"/>
  <c r="AB901"/>
  <c r="AC901"/>
  <c r="AD901"/>
  <c r="AE901"/>
  <c r="AF901"/>
  <c r="G902"/>
  <c r="H902"/>
  <c r="I902"/>
  <c r="J902"/>
  <c r="K902"/>
  <c r="N902"/>
  <c r="O902"/>
  <c r="P902"/>
  <c r="Q902"/>
  <c r="R902"/>
  <c r="U902"/>
  <c r="V902"/>
  <c r="W902"/>
  <c r="X902"/>
  <c r="Y902"/>
  <c r="AB902"/>
  <c r="AC902"/>
  <c r="AD902"/>
  <c r="AE902"/>
  <c r="AF902"/>
  <c r="G903"/>
  <c r="H903"/>
  <c r="I903"/>
  <c r="J903"/>
  <c r="K903"/>
  <c r="N903"/>
  <c r="O903"/>
  <c r="P903"/>
  <c r="Q903"/>
  <c r="R903"/>
  <c r="U903"/>
  <c r="V903"/>
  <c r="W903"/>
  <c r="X903"/>
  <c r="Y903"/>
  <c r="AB903"/>
  <c r="AC903"/>
  <c r="AD903"/>
  <c r="AE903"/>
  <c r="AF903"/>
  <c r="F904"/>
  <c r="G904"/>
  <c r="H904"/>
  <c r="I904"/>
  <c r="J904"/>
  <c r="K904"/>
  <c r="N904"/>
  <c r="O904"/>
  <c r="P904"/>
  <c r="Q904"/>
  <c r="R904"/>
  <c r="U904"/>
  <c r="V904"/>
  <c r="W904"/>
  <c r="X904"/>
  <c r="Y904"/>
  <c r="AB904"/>
  <c r="AC904"/>
  <c r="AD904"/>
  <c r="AE904"/>
  <c r="AF904"/>
  <c r="AN904"/>
  <c r="AO904"/>
  <c r="AP904"/>
  <c r="AQ904"/>
  <c r="F905"/>
  <c r="L905"/>
  <c r="S905"/>
  <c r="Z905"/>
  <c r="AG905"/>
  <c r="AN905"/>
  <c r="AO905"/>
  <c r="AP905"/>
  <c r="AQ905"/>
  <c r="F906"/>
  <c r="L906"/>
  <c r="S906"/>
  <c r="Z906"/>
  <c r="AG906"/>
  <c r="AN906"/>
  <c r="AO906"/>
  <c r="AP906"/>
  <c r="AQ906"/>
  <c r="F907"/>
  <c r="L907"/>
  <c r="S907"/>
  <c r="Z907"/>
  <c r="AG907"/>
  <c r="AN907"/>
  <c r="AO907"/>
  <c r="AP907"/>
  <c r="AQ907"/>
  <c r="F908"/>
  <c r="L908"/>
  <c r="S908"/>
  <c r="Z908"/>
  <c r="AG908"/>
  <c r="AN908"/>
  <c r="AO908"/>
  <c r="AP908"/>
  <c r="AQ908"/>
  <c r="F909"/>
  <c r="L909"/>
  <c r="S909"/>
  <c r="Z909"/>
  <c r="AG909"/>
  <c r="AN909"/>
  <c r="AO909"/>
  <c r="AP909"/>
  <c r="AQ909"/>
  <c r="F910"/>
  <c r="L910"/>
  <c r="S910"/>
  <c r="Z910"/>
  <c r="AG910"/>
  <c r="AN910"/>
  <c r="AO910"/>
  <c r="AP910"/>
  <c r="AQ910"/>
  <c r="G912"/>
  <c r="H912"/>
  <c r="I912"/>
  <c r="J912"/>
  <c r="K912"/>
  <c r="N912"/>
  <c r="O912"/>
  <c r="P912"/>
  <c r="Q912"/>
  <c r="R912"/>
  <c r="U912"/>
  <c r="V912"/>
  <c r="W912"/>
  <c r="X912"/>
  <c r="Y912"/>
  <c r="AB912"/>
  <c r="AC912"/>
  <c r="AD912"/>
  <c r="AE912"/>
  <c r="AF912"/>
  <c r="AJ912"/>
  <c r="AK912"/>
  <c r="AL912"/>
  <c r="G913"/>
  <c r="H913"/>
  <c r="I913"/>
  <c r="J913"/>
  <c r="K913"/>
  <c r="N913"/>
  <c r="O913"/>
  <c r="P913"/>
  <c r="Q913"/>
  <c r="R913"/>
  <c r="U913"/>
  <c r="V913"/>
  <c r="W913"/>
  <c r="X913"/>
  <c r="Y913"/>
  <c r="AB913"/>
  <c r="AC913"/>
  <c r="AD913"/>
  <c r="AE913"/>
  <c r="AF913"/>
  <c r="G914"/>
  <c r="H914"/>
  <c r="I914"/>
  <c r="J914"/>
  <c r="K914"/>
  <c r="N914"/>
  <c r="O914"/>
  <c r="P914"/>
  <c r="Q914"/>
  <c r="R914"/>
  <c r="U914"/>
  <c r="V914"/>
  <c r="W914"/>
  <c r="X914"/>
  <c r="Y914"/>
  <c r="AB914"/>
  <c r="AC914"/>
  <c r="AD914"/>
  <c r="AE914"/>
  <c r="AF914"/>
  <c r="G915"/>
  <c r="H915"/>
  <c r="I915"/>
  <c r="J915"/>
  <c r="K915"/>
  <c r="N915"/>
  <c r="O915"/>
  <c r="P915"/>
  <c r="Q915"/>
  <c r="R915"/>
  <c r="U915"/>
  <c r="V915"/>
  <c r="W915"/>
  <c r="X915"/>
  <c r="Y915"/>
  <c r="AB915"/>
  <c r="AC915"/>
  <c r="AD915"/>
  <c r="AE915"/>
  <c r="AF915"/>
  <c r="G916"/>
  <c r="H916"/>
  <c r="I916"/>
  <c r="J916"/>
  <c r="K916"/>
  <c r="N916"/>
  <c r="O916"/>
  <c r="P916"/>
  <c r="Q916"/>
  <c r="R916"/>
  <c r="U916"/>
  <c r="V916"/>
  <c r="W916"/>
  <c r="X916"/>
  <c r="Y916"/>
  <c r="AB916"/>
  <c r="AC916"/>
  <c r="AD916"/>
  <c r="AE916"/>
  <c r="AF916"/>
  <c r="F917"/>
  <c r="G917"/>
  <c r="H917"/>
  <c r="I917"/>
  <c r="J917"/>
  <c r="K917"/>
  <c r="N917"/>
  <c r="O917"/>
  <c r="P917"/>
  <c r="Q917"/>
  <c r="R917"/>
  <c r="U917"/>
  <c r="V917"/>
  <c r="W917"/>
  <c r="X917"/>
  <c r="Y917"/>
  <c r="AB917"/>
  <c r="AC917"/>
  <c r="AD917"/>
  <c r="AE917"/>
  <c r="AF917"/>
  <c r="AN917"/>
  <c r="AO917"/>
  <c r="AP917"/>
  <c r="AQ917"/>
  <c r="F918"/>
  <c r="L918"/>
  <c r="S918"/>
  <c r="Z918"/>
  <c r="AG918"/>
  <c r="AN918"/>
  <c r="AO918"/>
  <c r="AP918"/>
  <c r="AQ918"/>
  <c r="F919"/>
  <c r="L919"/>
  <c r="S919"/>
  <c r="Z919"/>
  <c r="AG919"/>
  <c r="AN919"/>
  <c r="AO919"/>
  <c r="AP919"/>
  <c r="AQ919"/>
  <c r="F920"/>
  <c r="L920"/>
  <c r="S920"/>
  <c r="Z920"/>
  <c r="AG920"/>
  <c r="AN920"/>
  <c r="AO920"/>
  <c r="AP920"/>
  <c r="AQ920"/>
  <c r="F921"/>
  <c r="L921"/>
  <c r="S921"/>
  <c r="Z921"/>
  <c r="AG921"/>
  <c r="AN921"/>
  <c r="AO921"/>
  <c r="AP921"/>
  <c r="AQ921"/>
  <c r="F922"/>
  <c r="L922"/>
  <c r="S922"/>
  <c r="Z922"/>
  <c r="AG922"/>
  <c r="AN922"/>
  <c r="AO922"/>
  <c r="AP922"/>
  <c r="AQ922"/>
  <c r="F923"/>
  <c r="L923"/>
  <c r="S923"/>
  <c r="Z923"/>
  <c r="AG923"/>
  <c r="AN923"/>
  <c r="AO923"/>
  <c r="AP923"/>
  <c r="AQ923"/>
  <c r="G925"/>
  <c r="H925"/>
  <c r="I925"/>
  <c r="J925"/>
  <c r="K925"/>
  <c r="N925"/>
  <c r="O925"/>
  <c r="P925"/>
  <c r="Q925"/>
  <c r="R925"/>
  <c r="U925"/>
  <c r="V925"/>
  <c r="W925"/>
  <c r="X925"/>
  <c r="Y925"/>
  <c r="AB925"/>
  <c r="AC925"/>
  <c r="AD925"/>
  <c r="AE925"/>
  <c r="AF925"/>
  <c r="AJ925"/>
  <c r="AK925"/>
  <c r="AL925"/>
  <c r="G926"/>
  <c r="H926"/>
  <c r="I926"/>
  <c r="J926"/>
  <c r="K926"/>
  <c r="N926"/>
  <c r="O926"/>
  <c r="P926"/>
  <c r="Q926"/>
  <c r="R926"/>
  <c r="U926"/>
  <c r="V926"/>
  <c r="W926"/>
  <c r="X926"/>
  <c r="Y926"/>
  <c r="AB926"/>
  <c r="AC926"/>
  <c r="AD926"/>
  <c r="AE926"/>
  <c r="AF926"/>
  <c r="G927"/>
  <c r="H927"/>
  <c r="I927"/>
  <c r="J927"/>
  <c r="K927"/>
  <c r="N927"/>
  <c r="O927"/>
  <c r="P927"/>
  <c r="Q927"/>
  <c r="R927"/>
  <c r="U927"/>
  <c r="V927"/>
  <c r="W927"/>
  <c r="X927"/>
  <c r="Y927"/>
  <c r="AB927"/>
  <c r="AC927"/>
  <c r="AD927"/>
  <c r="AE927"/>
  <c r="AF927"/>
  <c r="G928"/>
  <c r="H928"/>
  <c r="I928"/>
  <c r="J928"/>
  <c r="K928"/>
  <c r="N928"/>
  <c r="O928"/>
  <c r="P928"/>
  <c r="Q928"/>
  <c r="R928"/>
  <c r="U928"/>
  <c r="V928"/>
  <c r="W928"/>
  <c r="X928"/>
  <c r="Y928"/>
  <c r="AB928"/>
  <c r="AC928"/>
  <c r="AD928"/>
  <c r="AE928"/>
  <c r="AF928"/>
  <c r="G929"/>
  <c r="H929"/>
  <c r="I929"/>
  <c r="J929"/>
  <c r="K929"/>
  <c r="N929"/>
  <c r="O929"/>
  <c r="P929"/>
  <c r="Q929"/>
  <c r="R929"/>
  <c r="U929"/>
  <c r="V929"/>
  <c r="W929"/>
  <c r="X929"/>
  <c r="Y929"/>
  <c r="AB929"/>
  <c r="AC929"/>
  <c r="AD929"/>
  <c r="AE929"/>
  <c r="AF929"/>
  <c r="F930"/>
  <c r="G930"/>
  <c r="H930"/>
  <c r="I930"/>
  <c r="J930"/>
  <c r="K930"/>
  <c r="N930"/>
  <c r="O930"/>
  <c r="P930"/>
  <c r="Q930"/>
  <c r="R930"/>
  <c r="U930"/>
  <c r="V930"/>
  <c r="W930"/>
  <c r="X930"/>
  <c r="Y930"/>
  <c r="Z930"/>
  <c r="AB930"/>
  <c r="AC930"/>
  <c r="AD930"/>
  <c r="AE930"/>
  <c r="AF930"/>
  <c r="AN930"/>
  <c r="AO930"/>
  <c r="AP930"/>
  <c r="AQ930"/>
  <c r="F931"/>
  <c r="L931"/>
  <c r="S931"/>
  <c r="Z931"/>
  <c r="AG931"/>
  <c r="AN931"/>
  <c r="AO931"/>
  <c r="AP931"/>
  <c r="AQ931"/>
  <c r="F932"/>
  <c r="L932"/>
  <c r="S932"/>
  <c r="Z932"/>
  <c r="AG932"/>
  <c r="AN932"/>
  <c r="AO932"/>
  <c r="AP932"/>
  <c r="AQ932"/>
  <c r="F933"/>
  <c r="L933"/>
  <c r="S933"/>
  <c r="Z933"/>
  <c r="AG933"/>
  <c r="AN933"/>
  <c r="AO933"/>
  <c r="AP933"/>
  <c r="AQ933"/>
  <c r="F934"/>
  <c r="L934"/>
  <c r="S934"/>
  <c r="Z934"/>
  <c r="AG934"/>
  <c r="AN934"/>
  <c r="AO934"/>
  <c r="AP934"/>
  <c r="AQ934"/>
  <c r="F935"/>
  <c r="L935"/>
  <c r="S935"/>
  <c r="Z935"/>
  <c r="AG935"/>
  <c r="AN935"/>
  <c r="AO935"/>
  <c r="AP935"/>
  <c r="AQ935"/>
  <c r="F936"/>
  <c r="L936"/>
  <c r="S936"/>
  <c r="Z936"/>
  <c r="AG936"/>
  <c r="AN936"/>
  <c r="AO936"/>
  <c r="AP936"/>
  <c r="AQ936"/>
  <c r="G938"/>
  <c r="H938"/>
  <c r="I938"/>
  <c r="J938"/>
  <c r="K938"/>
  <c r="N938"/>
  <c r="O938"/>
  <c r="P938"/>
  <c r="Q938"/>
  <c r="R938"/>
  <c r="U938"/>
  <c r="V938"/>
  <c r="W938"/>
  <c r="X938"/>
  <c r="Y938"/>
  <c r="AB938"/>
  <c r="AC938"/>
  <c r="AD938"/>
  <c r="AE938"/>
  <c r="AF938"/>
  <c r="AJ938"/>
  <c r="AK938"/>
  <c r="AL938"/>
  <c r="G939"/>
  <c r="H939"/>
  <c r="I939"/>
  <c r="J939"/>
  <c r="K939"/>
  <c r="N939"/>
  <c r="O939"/>
  <c r="P939"/>
  <c r="Q939"/>
  <c r="R939"/>
  <c r="U939"/>
  <c r="V939"/>
  <c r="W939"/>
  <c r="X939"/>
  <c r="Y939"/>
  <c r="AB939"/>
  <c r="AC939"/>
  <c r="AD939"/>
  <c r="AE939"/>
  <c r="AF939"/>
  <c r="G940"/>
  <c r="H940"/>
  <c r="I940"/>
  <c r="J940"/>
  <c r="K940"/>
  <c r="N940"/>
  <c r="O940"/>
  <c r="P940"/>
  <c r="Q940"/>
  <c r="R940"/>
  <c r="U940"/>
  <c r="V940"/>
  <c r="W940"/>
  <c r="X940"/>
  <c r="Y940"/>
  <c r="AB940"/>
  <c r="AC940"/>
  <c r="AD940"/>
  <c r="AE940"/>
  <c r="AF940"/>
  <c r="G941"/>
  <c r="H941"/>
  <c r="I941"/>
  <c r="J941"/>
  <c r="K941"/>
  <c r="N941"/>
  <c r="O941"/>
  <c r="P941"/>
  <c r="Q941"/>
  <c r="R941"/>
  <c r="U941"/>
  <c r="V941"/>
  <c r="W941"/>
  <c r="X941"/>
  <c r="Y941"/>
  <c r="AB941"/>
  <c r="AC941"/>
  <c r="AD941"/>
  <c r="AE941"/>
  <c r="AF941"/>
  <c r="G942"/>
  <c r="H942"/>
  <c r="I942"/>
  <c r="J942"/>
  <c r="K942"/>
  <c r="N942"/>
  <c r="O942"/>
  <c r="P942"/>
  <c r="Q942"/>
  <c r="R942"/>
  <c r="U942"/>
  <c r="V942"/>
  <c r="W942"/>
  <c r="X942"/>
  <c r="Y942"/>
  <c r="AB942"/>
  <c r="AC942"/>
  <c r="AD942"/>
  <c r="AE942"/>
  <c r="AF942"/>
  <c r="F943"/>
  <c r="G943"/>
  <c r="H943"/>
  <c r="I943"/>
  <c r="J943"/>
  <c r="K943"/>
  <c r="N943"/>
  <c r="O943"/>
  <c r="P943"/>
  <c r="Q943"/>
  <c r="R943"/>
  <c r="U943"/>
  <c r="V943"/>
  <c r="W943"/>
  <c r="X943"/>
  <c r="Y943"/>
  <c r="AB943"/>
  <c r="AC943"/>
  <c r="AD943"/>
  <c r="AE943"/>
  <c r="AF943"/>
  <c r="AN943"/>
  <c r="AO943"/>
  <c r="AP943"/>
  <c r="AQ943"/>
  <c r="F944"/>
  <c r="L944"/>
  <c r="S944"/>
  <c r="Z944"/>
  <c r="AG944"/>
  <c r="AN944"/>
  <c r="AO944"/>
  <c r="AP944"/>
  <c r="AQ944"/>
  <c r="F945"/>
  <c r="L945"/>
  <c r="S945"/>
  <c r="Z945"/>
  <c r="AG945"/>
  <c r="AN945"/>
  <c r="AO945"/>
  <c r="AP945"/>
  <c r="AQ945"/>
  <c r="F946"/>
  <c r="L946"/>
  <c r="S946"/>
  <c r="Z946"/>
  <c r="AG946"/>
  <c r="AN946"/>
  <c r="AO946"/>
  <c r="AP946"/>
  <c r="AQ946"/>
  <c r="F947"/>
  <c r="L947"/>
  <c r="S947"/>
  <c r="Z947"/>
  <c r="AG947"/>
  <c r="AN947"/>
  <c r="AO947"/>
  <c r="AP947"/>
  <c r="AQ947"/>
  <c r="F948"/>
  <c r="L948"/>
  <c r="S948"/>
  <c r="Z948"/>
  <c r="AG948"/>
  <c r="AN948"/>
  <c r="AO948"/>
  <c r="AP948"/>
  <c r="AQ948"/>
  <c r="F949"/>
  <c r="L949"/>
  <c r="S949"/>
  <c r="Z949"/>
  <c r="AG949"/>
  <c r="AN949"/>
  <c r="AO949"/>
  <c r="AP949"/>
  <c r="AQ949"/>
  <c r="G951"/>
  <c r="H951"/>
  <c r="I951"/>
  <c r="J951"/>
  <c r="K951"/>
  <c r="N951"/>
  <c r="O951"/>
  <c r="P951"/>
  <c r="Q951"/>
  <c r="R951"/>
  <c r="U951"/>
  <c r="V951"/>
  <c r="W951"/>
  <c r="X951"/>
  <c r="Y951"/>
  <c r="AB951"/>
  <c r="AC951"/>
  <c r="AD951"/>
  <c r="AE951"/>
  <c r="AF951"/>
  <c r="AJ951"/>
  <c r="AK951"/>
  <c r="AL951"/>
  <c r="G952"/>
  <c r="H952"/>
  <c r="I952"/>
  <c r="J952"/>
  <c r="K952"/>
  <c r="N952"/>
  <c r="O952"/>
  <c r="P952"/>
  <c r="Q952"/>
  <c r="R952"/>
  <c r="U952"/>
  <c r="V952"/>
  <c r="W952"/>
  <c r="X952"/>
  <c r="Y952"/>
  <c r="AB952"/>
  <c r="AC952"/>
  <c r="AD952"/>
  <c r="AE952"/>
  <c r="AF952"/>
  <c r="G953"/>
  <c r="H953"/>
  <c r="I953"/>
  <c r="J953"/>
  <c r="K953"/>
  <c r="N953"/>
  <c r="O953"/>
  <c r="P953"/>
  <c r="Q953"/>
  <c r="R953"/>
  <c r="U953"/>
  <c r="V953"/>
  <c r="W953"/>
  <c r="X953"/>
  <c r="Y953"/>
  <c r="AB953"/>
  <c r="AC953"/>
  <c r="AD953"/>
  <c r="AE953"/>
  <c r="AF953"/>
  <c r="G954"/>
  <c r="H954"/>
  <c r="I954"/>
  <c r="J954"/>
  <c r="K954"/>
  <c r="N954"/>
  <c r="O954"/>
  <c r="P954"/>
  <c r="Q954"/>
  <c r="R954"/>
  <c r="U954"/>
  <c r="V954"/>
  <c r="W954"/>
  <c r="X954"/>
  <c r="Y954"/>
  <c r="AB954"/>
  <c r="AC954"/>
  <c r="AD954"/>
  <c r="AE954"/>
  <c r="AF954"/>
  <c r="G955"/>
  <c r="H955"/>
  <c r="I955"/>
  <c r="J955"/>
  <c r="K955"/>
  <c r="N955"/>
  <c r="O955"/>
  <c r="P955"/>
  <c r="Q955"/>
  <c r="R955"/>
  <c r="U955"/>
  <c r="V955"/>
  <c r="W955"/>
  <c r="X955"/>
  <c r="Y955"/>
  <c r="AB955"/>
  <c r="AC955"/>
  <c r="AD955"/>
  <c r="AE955"/>
  <c r="AF955"/>
  <c r="F956"/>
  <c r="G956"/>
  <c r="H956"/>
  <c r="I956"/>
  <c r="J956"/>
  <c r="K956"/>
  <c r="N956"/>
  <c r="O956"/>
  <c r="P956"/>
  <c r="Q956"/>
  <c r="R956"/>
  <c r="U956"/>
  <c r="V956"/>
  <c r="W956"/>
  <c r="X956"/>
  <c r="Y956"/>
  <c r="AB956"/>
  <c r="AC956"/>
  <c r="AD956"/>
  <c r="AE956"/>
  <c r="AF956"/>
  <c r="AN956"/>
  <c r="AO956"/>
  <c r="AP956"/>
  <c r="AQ956"/>
  <c r="F957"/>
  <c r="L957"/>
  <c r="S957"/>
  <c r="Z957"/>
  <c r="AG957"/>
  <c r="AN957"/>
  <c r="AO957"/>
  <c r="AP957"/>
  <c r="AQ957"/>
  <c r="F958"/>
  <c r="L958"/>
  <c r="S958"/>
  <c r="Z958"/>
  <c r="AG958"/>
  <c r="AN958"/>
  <c r="AO958"/>
  <c r="AP958"/>
  <c r="AQ958"/>
  <c r="F959"/>
  <c r="L959"/>
  <c r="S959"/>
  <c r="Z959"/>
  <c r="AG959"/>
  <c r="AN959"/>
  <c r="AO959"/>
  <c r="AP959"/>
  <c r="AQ959"/>
  <c r="F960"/>
  <c r="L960"/>
  <c r="S960"/>
  <c r="Z960"/>
  <c r="AG960"/>
  <c r="AN960"/>
  <c r="AO960"/>
  <c r="AP960"/>
  <c r="AQ960"/>
  <c r="F961"/>
  <c r="L961"/>
  <c r="S961"/>
  <c r="Z961"/>
  <c r="AG961"/>
  <c r="AN961"/>
  <c r="AO961"/>
  <c r="AP961"/>
  <c r="AQ961"/>
  <c r="F962"/>
  <c r="L962"/>
  <c r="S962"/>
  <c r="Z962"/>
  <c r="AG962"/>
  <c r="AN962"/>
  <c r="AO962"/>
  <c r="AP962"/>
  <c r="AQ962"/>
  <c r="G964"/>
  <c r="H964"/>
  <c r="I964"/>
  <c r="J964"/>
  <c r="K964"/>
  <c r="N964"/>
  <c r="O964"/>
  <c r="P964"/>
  <c r="Q964"/>
  <c r="R964"/>
  <c r="U964"/>
  <c r="V964"/>
  <c r="W964"/>
  <c r="X964"/>
  <c r="Y964"/>
  <c r="AB964"/>
  <c r="AC964"/>
  <c r="AD964"/>
  <c r="AE964"/>
  <c r="AF964"/>
  <c r="AJ964"/>
  <c r="AK964"/>
  <c r="AL964"/>
  <c r="G965"/>
  <c r="H965"/>
  <c r="I965"/>
  <c r="J965"/>
  <c r="K965"/>
  <c r="N965"/>
  <c r="O965"/>
  <c r="P965"/>
  <c r="Q965"/>
  <c r="R965"/>
  <c r="U965"/>
  <c r="V965"/>
  <c r="W965"/>
  <c r="X965"/>
  <c r="Y965"/>
  <c r="AB965"/>
  <c r="AC965"/>
  <c r="AD965"/>
  <c r="AE965"/>
  <c r="AF965"/>
  <c r="G966"/>
  <c r="H966"/>
  <c r="I966"/>
  <c r="J966"/>
  <c r="K966"/>
  <c r="N966"/>
  <c r="O966"/>
  <c r="P966"/>
  <c r="Q966"/>
  <c r="R966"/>
  <c r="U966"/>
  <c r="V966"/>
  <c r="W966"/>
  <c r="X966"/>
  <c r="Y966"/>
  <c r="AB966"/>
  <c r="AC966"/>
  <c r="AD966"/>
  <c r="AE966"/>
  <c r="AF966"/>
  <c r="G967"/>
  <c r="H967"/>
  <c r="I967"/>
  <c r="J967"/>
  <c r="K967"/>
  <c r="N967"/>
  <c r="O967"/>
  <c r="P967"/>
  <c r="Q967"/>
  <c r="R967"/>
  <c r="U967"/>
  <c r="V967"/>
  <c r="W967"/>
  <c r="X967"/>
  <c r="Y967"/>
  <c r="AB967"/>
  <c r="AC967"/>
  <c r="AD967"/>
  <c r="AE967"/>
  <c r="AF967"/>
  <c r="G968"/>
  <c r="H968"/>
  <c r="I968"/>
  <c r="J968"/>
  <c r="K968"/>
  <c r="N968"/>
  <c r="O968"/>
  <c r="P968"/>
  <c r="Q968"/>
  <c r="R968"/>
  <c r="U968"/>
  <c r="V968"/>
  <c r="W968"/>
  <c r="X968"/>
  <c r="Y968"/>
  <c r="AB968"/>
  <c r="AC968"/>
  <c r="AD968"/>
  <c r="AE968"/>
  <c r="AF968"/>
  <c r="F969"/>
  <c r="G969"/>
  <c r="H969"/>
  <c r="I969"/>
  <c r="J969"/>
  <c r="K969"/>
  <c r="N969"/>
  <c r="O969"/>
  <c r="P969"/>
  <c r="Q969"/>
  <c r="R969"/>
  <c r="U969"/>
  <c r="V969"/>
  <c r="W969"/>
  <c r="X969"/>
  <c r="Y969"/>
  <c r="AB969"/>
  <c r="AC969"/>
  <c r="AD969"/>
  <c r="AE969"/>
  <c r="AF969"/>
  <c r="AN969"/>
  <c r="AO969"/>
  <c r="AP969"/>
  <c r="AQ969"/>
  <c r="F970"/>
  <c r="L970"/>
  <c r="S970"/>
  <c r="Z970"/>
  <c r="AG970"/>
  <c r="AN970"/>
  <c r="AO970"/>
  <c r="AP970"/>
  <c r="AQ970"/>
  <c r="F971"/>
  <c r="L971"/>
  <c r="S971"/>
  <c r="Z971"/>
  <c r="AG971"/>
  <c r="AN971"/>
  <c r="AO971"/>
  <c r="AP971"/>
  <c r="AQ971"/>
  <c r="F972"/>
  <c r="L972"/>
  <c r="S972"/>
  <c r="Z972"/>
  <c r="AG972"/>
  <c r="AN972"/>
  <c r="AO972"/>
  <c r="AP972"/>
  <c r="AQ972"/>
  <c r="F973"/>
  <c r="L973"/>
  <c r="S973"/>
  <c r="Z973"/>
  <c r="AG973"/>
  <c r="AN973"/>
  <c r="AO973"/>
  <c r="AP973"/>
  <c r="AQ973"/>
  <c r="F974"/>
  <c r="L974"/>
  <c r="S974"/>
  <c r="Z974"/>
  <c r="AG974"/>
  <c r="AN974"/>
  <c r="AO974"/>
  <c r="AP974"/>
  <c r="AQ974"/>
  <c r="F975"/>
  <c r="L975"/>
  <c r="S975"/>
  <c r="Z975"/>
  <c r="AG975"/>
  <c r="AN975"/>
  <c r="AO975"/>
  <c r="AP975"/>
  <c r="AQ975"/>
  <c r="G977"/>
  <c r="H977"/>
  <c r="I977"/>
  <c r="J977"/>
  <c r="K977"/>
  <c r="N977"/>
  <c r="O977"/>
  <c r="P977"/>
  <c r="Q977"/>
  <c r="R977"/>
  <c r="U977"/>
  <c r="V977"/>
  <c r="W977"/>
  <c r="X977"/>
  <c r="Y977"/>
  <c r="AB977"/>
  <c r="AC977"/>
  <c r="AD977"/>
  <c r="AE977"/>
  <c r="AF977"/>
  <c r="AJ977"/>
  <c r="AK977"/>
  <c r="AL977"/>
  <c r="G978"/>
  <c r="H978"/>
  <c r="I978"/>
  <c r="J978"/>
  <c r="K978"/>
  <c r="N978"/>
  <c r="O978"/>
  <c r="P978"/>
  <c r="Q978"/>
  <c r="R978"/>
  <c r="U978"/>
  <c r="V978"/>
  <c r="W978"/>
  <c r="X978"/>
  <c r="Y978"/>
  <c r="AB978"/>
  <c r="AC978"/>
  <c r="AD978"/>
  <c r="AE978"/>
  <c r="AF978"/>
  <c r="G979"/>
  <c r="H979"/>
  <c r="I979"/>
  <c r="J979"/>
  <c r="K979"/>
  <c r="N979"/>
  <c r="O979"/>
  <c r="P979"/>
  <c r="Q979"/>
  <c r="R979"/>
  <c r="U979"/>
  <c r="V979"/>
  <c r="W979"/>
  <c r="X979"/>
  <c r="Y979"/>
  <c r="AB979"/>
  <c r="AC979"/>
  <c r="AD979"/>
  <c r="AE979"/>
  <c r="AF979"/>
  <c r="G980"/>
  <c r="H980"/>
  <c r="I980"/>
  <c r="J980"/>
  <c r="K980"/>
  <c r="N980"/>
  <c r="O980"/>
  <c r="P980"/>
  <c r="Q980"/>
  <c r="R980"/>
  <c r="U980"/>
  <c r="V980"/>
  <c r="W980"/>
  <c r="X980"/>
  <c r="Y980"/>
  <c r="AB980"/>
  <c r="AC980"/>
  <c r="AD980"/>
  <c r="AE980"/>
  <c r="AF980"/>
  <c r="G981"/>
  <c r="H981"/>
  <c r="I981"/>
  <c r="J981"/>
  <c r="K981"/>
  <c r="N981"/>
  <c r="O981"/>
  <c r="P981"/>
  <c r="Q981"/>
  <c r="R981"/>
  <c r="U981"/>
  <c r="V981"/>
  <c r="W981"/>
  <c r="X981"/>
  <c r="Y981"/>
  <c r="AB981"/>
  <c r="AC981"/>
  <c r="AD981"/>
  <c r="AE981"/>
  <c r="AF981"/>
  <c r="F982"/>
  <c r="G982"/>
  <c r="H982"/>
  <c r="I982"/>
  <c r="J982"/>
  <c r="K982"/>
  <c r="N982"/>
  <c r="O982"/>
  <c r="P982"/>
  <c r="Q982"/>
  <c r="R982"/>
  <c r="U982"/>
  <c r="V982"/>
  <c r="W982"/>
  <c r="X982"/>
  <c r="Y982"/>
  <c r="AB982"/>
  <c r="AC982"/>
  <c r="AD982"/>
  <c r="AE982"/>
  <c r="AF982"/>
  <c r="AN982"/>
  <c r="AO982"/>
  <c r="AP982"/>
  <c r="AQ982"/>
  <c r="F983"/>
  <c r="L983"/>
  <c r="S983"/>
  <c r="Z983"/>
  <c r="AG983"/>
  <c r="AN983"/>
  <c r="AO983"/>
  <c r="AP983"/>
  <c r="AQ983"/>
  <c r="F984"/>
  <c r="L984"/>
  <c r="S984"/>
  <c r="Z984"/>
  <c r="AG984"/>
  <c r="AN984"/>
  <c r="AO984"/>
  <c r="AP984"/>
  <c r="AQ984"/>
  <c r="F985"/>
  <c r="L985"/>
  <c r="S985"/>
  <c r="Z985"/>
  <c r="AG985"/>
  <c r="AN985"/>
  <c r="AO985"/>
  <c r="AP985"/>
  <c r="AQ985"/>
  <c r="F986"/>
  <c r="L986"/>
  <c r="S986"/>
  <c r="Z986"/>
  <c r="AG986"/>
  <c r="AN986"/>
  <c r="AO986"/>
  <c r="AP986"/>
  <c r="AQ986"/>
  <c r="F987"/>
  <c r="L987"/>
  <c r="S987"/>
  <c r="Z987"/>
  <c r="AG987"/>
  <c r="AN987"/>
  <c r="AO987"/>
  <c r="AP987"/>
  <c r="AQ987"/>
  <c r="F988"/>
  <c r="L988"/>
  <c r="S988"/>
  <c r="Z988"/>
  <c r="AG988"/>
  <c r="AN988"/>
  <c r="AO988"/>
  <c r="AP988"/>
  <c r="AQ988"/>
  <c r="G990"/>
  <c r="H990"/>
  <c r="I990"/>
  <c r="J990"/>
  <c r="K990"/>
  <c r="N990"/>
  <c r="O990"/>
  <c r="P990"/>
  <c r="Q990"/>
  <c r="R990"/>
  <c r="U990"/>
  <c r="V990"/>
  <c r="W990"/>
  <c r="X990"/>
  <c r="Y990"/>
  <c r="AB990"/>
  <c r="AC990"/>
  <c r="AD990"/>
  <c r="AE990"/>
  <c r="AF990"/>
  <c r="AJ990"/>
  <c r="AK990"/>
  <c r="AL990"/>
  <c r="G991"/>
  <c r="H991"/>
  <c r="I991"/>
  <c r="J991"/>
  <c r="K991"/>
  <c r="N991"/>
  <c r="O991"/>
  <c r="P991"/>
  <c r="Q991"/>
  <c r="R991"/>
  <c r="U991"/>
  <c r="V991"/>
  <c r="W991"/>
  <c r="X991"/>
  <c r="Y991"/>
  <c r="AB991"/>
  <c r="AC991"/>
  <c r="AD991"/>
  <c r="AE991"/>
  <c r="AF991"/>
  <c r="G992"/>
  <c r="H992"/>
  <c r="I992"/>
  <c r="J992"/>
  <c r="K992"/>
  <c r="N992"/>
  <c r="O992"/>
  <c r="P992"/>
  <c r="Q992"/>
  <c r="R992"/>
  <c r="U992"/>
  <c r="V992"/>
  <c r="W992"/>
  <c r="X992"/>
  <c r="Y992"/>
  <c r="AB992"/>
  <c r="AC992"/>
  <c r="AD992"/>
  <c r="AE992"/>
  <c r="AF992"/>
  <c r="G993"/>
  <c r="H993"/>
  <c r="I993"/>
  <c r="J993"/>
  <c r="K993"/>
  <c r="N993"/>
  <c r="O993"/>
  <c r="P993"/>
  <c r="Q993"/>
  <c r="R993"/>
  <c r="U993"/>
  <c r="V993"/>
  <c r="W993"/>
  <c r="X993"/>
  <c r="Y993"/>
  <c r="AB993"/>
  <c r="AC993"/>
  <c r="AD993"/>
  <c r="AE993"/>
  <c r="AF993"/>
  <c r="G994"/>
  <c r="H994"/>
  <c r="I994"/>
  <c r="J994"/>
  <c r="K994"/>
  <c r="N994"/>
  <c r="O994"/>
  <c r="P994"/>
  <c r="Q994"/>
  <c r="R994"/>
  <c r="U994"/>
  <c r="V994"/>
  <c r="W994"/>
  <c r="X994"/>
  <c r="Y994"/>
  <c r="AB994"/>
  <c r="AC994"/>
  <c r="AD994"/>
  <c r="AE994"/>
  <c r="AF994"/>
  <c r="F995"/>
  <c r="G995"/>
  <c r="H995"/>
  <c r="I995"/>
  <c r="J995"/>
  <c r="K995"/>
  <c r="N995"/>
  <c r="O995"/>
  <c r="P995"/>
  <c r="Q995"/>
  <c r="R995"/>
  <c r="U995"/>
  <c r="V995"/>
  <c r="W995"/>
  <c r="X995"/>
  <c r="Y995"/>
  <c r="AB995"/>
  <c r="AC995"/>
  <c r="AD995"/>
  <c r="AE995"/>
  <c r="AF995"/>
  <c r="AN995"/>
  <c r="AO995"/>
  <c r="AP995"/>
  <c r="AQ995"/>
  <c r="F996"/>
  <c r="L996"/>
  <c r="S996"/>
  <c r="Z996"/>
  <c r="AG996"/>
  <c r="AN996"/>
  <c r="AO996"/>
  <c r="AP996"/>
  <c r="AQ996"/>
  <c r="F997"/>
  <c r="L997"/>
  <c r="S997"/>
  <c r="Z997"/>
  <c r="AG997"/>
  <c r="AN997"/>
  <c r="AO997"/>
  <c r="AP997"/>
  <c r="AQ997"/>
  <c r="F998"/>
  <c r="L998"/>
  <c r="S998"/>
  <c r="Z998"/>
  <c r="AG998"/>
  <c r="AN998"/>
  <c r="AO998"/>
  <c r="AP998"/>
  <c r="AQ998"/>
  <c r="F999"/>
  <c r="L999"/>
  <c r="S999"/>
  <c r="Z999"/>
  <c r="AG999"/>
  <c r="AN999"/>
  <c r="AO999"/>
  <c r="AP999"/>
  <c r="AQ999"/>
  <c r="F1000"/>
  <c r="L1000"/>
  <c r="S1000"/>
  <c r="Z1000"/>
  <c r="AG1000"/>
  <c r="AN1000"/>
  <c r="AO1000"/>
  <c r="AP1000"/>
  <c r="AQ1000"/>
  <c r="F1001"/>
  <c r="L1001"/>
  <c r="S1001"/>
  <c r="Z1001"/>
  <c r="AG1001"/>
  <c r="AN1001"/>
  <c r="AO1001"/>
  <c r="AP1001"/>
  <c r="AQ1001"/>
  <c r="G1003"/>
  <c r="H1003"/>
  <c r="I1003"/>
  <c r="J1003"/>
  <c r="K1003"/>
  <c r="N1003"/>
  <c r="O1003"/>
  <c r="P1003"/>
  <c r="Q1003"/>
  <c r="R1003"/>
  <c r="U1003"/>
  <c r="V1003"/>
  <c r="W1003"/>
  <c r="X1003"/>
  <c r="Y1003"/>
  <c r="AB1003"/>
  <c r="AC1003"/>
  <c r="AD1003"/>
  <c r="AE1003"/>
  <c r="AF1003"/>
  <c r="AJ1003"/>
  <c r="AK1003"/>
  <c r="AL1003"/>
  <c r="G1004"/>
  <c r="H1004"/>
  <c r="I1004"/>
  <c r="J1004"/>
  <c r="K1004"/>
  <c r="N1004"/>
  <c r="O1004"/>
  <c r="P1004"/>
  <c r="Q1004"/>
  <c r="R1004"/>
  <c r="U1004"/>
  <c r="V1004"/>
  <c r="W1004"/>
  <c r="X1004"/>
  <c r="Y1004"/>
  <c r="AB1004"/>
  <c r="AC1004"/>
  <c r="AD1004"/>
  <c r="AE1004"/>
  <c r="AF1004"/>
  <c r="G1005"/>
  <c r="H1005"/>
  <c r="I1005"/>
  <c r="J1005"/>
  <c r="K1005"/>
  <c r="N1005"/>
  <c r="O1005"/>
  <c r="P1005"/>
  <c r="Q1005"/>
  <c r="R1005"/>
  <c r="U1005"/>
  <c r="V1005"/>
  <c r="W1005"/>
  <c r="X1005"/>
  <c r="Y1005"/>
  <c r="AB1005"/>
  <c r="AC1005"/>
  <c r="AD1005"/>
  <c r="AE1005"/>
  <c r="AF1005"/>
  <c r="G1006"/>
  <c r="H1006"/>
  <c r="I1006"/>
  <c r="J1006"/>
  <c r="K1006"/>
  <c r="N1006"/>
  <c r="O1006"/>
  <c r="P1006"/>
  <c r="Q1006"/>
  <c r="R1006"/>
  <c r="U1006"/>
  <c r="V1006"/>
  <c r="W1006"/>
  <c r="X1006"/>
  <c r="Y1006"/>
  <c r="AB1006"/>
  <c r="AC1006"/>
  <c r="AD1006"/>
  <c r="AE1006"/>
  <c r="AF1006"/>
  <c r="G1007"/>
  <c r="H1007"/>
  <c r="I1007"/>
  <c r="J1007"/>
  <c r="K1007"/>
  <c r="N1007"/>
  <c r="O1007"/>
  <c r="P1007"/>
  <c r="Q1007"/>
  <c r="R1007"/>
  <c r="U1007"/>
  <c r="V1007"/>
  <c r="W1007"/>
  <c r="X1007"/>
  <c r="Y1007"/>
  <c r="AB1007"/>
  <c r="AC1007"/>
  <c r="AD1007"/>
  <c r="AE1007"/>
  <c r="AF1007"/>
  <c r="F1008"/>
  <c r="G1008"/>
  <c r="H1008"/>
  <c r="I1008"/>
  <c r="J1008"/>
  <c r="K1008"/>
  <c r="N1008"/>
  <c r="O1008"/>
  <c r="P1008"/>
  <c r="Q1008"/>
  <c r="R1008"/>
  <c r="U1008"/>
  <c r="V1008"/>
  <c r="W1008"/>
  <c r="X1008"/>
  <c r="Y1008"/>
  <c r="AB1008"/>
  <c r="AC1008"/>
  <c r="AD1008"/>
  <c r="AE1008"/>
  <c r="AF1008"/>
  <c r="AN1008"/>
  <c r="AO1008"/>
  <c r="AP1008"/>
  <c r="AQ1008"/>
  <c r="F1009"/>
  <c r="L1009"/>
  <c r="S1009"/>
  <c r="Z1009"/>
  <c r="AG1009"/>
  <c r="AN1009"/>
  <c r="AO1009"/>
  <c r="AP1009"/>
  <c r="AQ1009"/>
  <c r="F1010"/>
  <c r="L1010"/>
  <c r="S1010"/>
  <c r="Z1010"/>
  <c r="AG1010"/>
  <c r="AN1010"/>
  <c r="AO1010"/>
  <c r="AP1010"/>
  <c r="AQ1010"/>
  <c r="F1011"/>
  <c r="L1011"/>
  <c r="S1011"/>
  <c r="Z1011"/>
  <c r="AG1011"/>
  <c r="AN1011"/>
  <c r="AO1011"/>
  <c r="AP1011"/>
  <c r="AQ1011"/>
  <c r="F1012"/>
  <c r="L1012"/>
  <c r="S1012"/>
  <c r="Z1012"/>
  <c r="AG1012"/>
  <c r="AN1012"/>
  <c r="AO1012"/>
  <c r="AP1012"/>
  <c r="AQ1012"/>
  <c r="F1013"/>
  <c r="L1013"/>
  <c r="S1013"/>
  <c r="Z1013"/>
  <c r="AG1013"/>
  <c r="AN1013"/>
  <c r="AO1013"/>
  <c r="AP1013"/>
  <c r="AQ1013"/>
  <c r="F1014"/>
  <c r="L1014"/>
  <c r="S1014"/>
  <c r="Z1014"/>
  <c r="AG1014"/>
  <c r="AN1014"/>
  <c r="AO1014"/>
  <c r="AP1014"/>
  <c r="AQ1014"/>
  <c r="G1016"/>
  <c r="H1016"/>
  <c r="I1016"/>
  <c r="J1016"/>
  <c r="K1016"/>
  <c r="N1016"/>
  <c r="O1016"/>
  <c r="P1016"/>
  <c r="Q1016"/>
  <c r="R1016"/>
  <c r="U1016"/>
  <c r="V1016"/>
  <c r="W1016"/>
  <c r="X1016"/>
  <c r="Y1016"/>
  <c r="AB1016"/>
  <c r="AC1016"/>
  <c r="AD1016"/>
  <c r="AE1016"/>
  <c r="AF1016"/>
  <c r="AJ1016"/>
  <c r="AK1016"/>
  <c r="AL1016"/>
  <c r="G1017"/>
  <c r="H1017"/>
  <c r="I1017"/>
  <c r="J1017"/>
  <c r="K1017"/>
  <c r="N1017"/>
  <c r="O1017"/>
  <c r="P1017"/>
  <c r="Q1017"/>
  <c r="R1017"/>
  <c r="U1017"/>
  <c r="V1017"/>
  <c r="W1017"/>
  <c r="X1017"/>
  <c r="Y1017"/>
  <c r="AB1017"/>
  <c r="AC1017"/>
  <c r="AD1017"/>
  <c r="AE1017"/>
  <c r="AF1017"/>
  <c r="G1018"/>
  <c r="H1018"/>
  <c r="I1018"/>
  <c r="J1018"/>
  <c r="K1018"/>
  <c r="N1018"/>
  <c r="O1018"/>
  <c r="P1018"/>
  <c r="Q1018"/>
  <c r="R1018"/>
  <c r="U1018"/>
  <c r="V1018"/>
  <c r="W1018"/>
  <c r="X1018"/>
  <c r="Y1018"/>
  <c r="AB1018"/>
  <c r="AC1018"/>
  <c r="AD1018"/>
  <c r="AE1018"/>
  <c r="AF1018"/>
  <c r="G1019"/>
  <c r="H1019"/>
  <c r="I1019"/>
  <c r="J1019"/>
  <c r="K1019"/>
  <c r="N1019"/>
  <c r="O1019"/>
  <c r="P1019"/>
  <c r="Q1019"/>
  <c r="R1019"/>
  <c r="U1019"/>
  <c r="V1019"/>
  <c r="W1019"/>
  <c r="X1019"/>
  <c r="Y1019"/>
  <c r="AB1019"/>
  <c r="AC1019"/>
  <c r="AD1019"/>
  <c r="AE1019"/>
  <c r="AF1019"/>
  <c r="G1020"/>
  <c r="H1020"/>
  <c r="I1020"/>
  <c r="J1020"/>
  <c r="K1020"/>
  <c r="N1020"/>
  <c r="O1020"/>
  <c r="P1020"/>
  <c r="Q1020"/>
  <c r="R1020"/>
  <c r="U1020"/>
  <c r="V1020"/>
  <c r="W1020"/>
  <c r="X1020"/>
  <c r="Y1020"/>
  <c r="AB1020"/>
  <c r="AC1020"/>
  <c r="AD1020"/>
  <c r="AE1020"/>
  <c r="AF1020"/>
  <c r="F1021"/>
  <c r="G1021"/>
  <c r="H1021"/>
  <c r="I1021"/>
  <c r="J1021"/>
  <c r="K1021"/>
  <c r="N1021"/>
  <c r="O1021"/>
  <c r="P1021"/>
  <c r="Q1021"/>
  <c r="R1021"/>
  <c r="U1021"/>
  <c r="V1021"/>
  <c r="W1021"/>
  <c r="X1021"/>
  <c r="Y1021"/>
  <c r="AB1021"/>
  <c r="AC1021"/>
  <c r="AD1021"/>
  <c r="AE1021"/>
  <c r="AF1021"/>
  <c r="AN1021"/>
  <c r="AO1021"/>
  <c r="AP1021"/>
  <c r="AQ1021"/>
  <c r="F1022"/>
  <c r="L1022"/>
  <c r="S1022"/>
  <c r="Z1022"/>
  <c r="AG1022"/>
  <c r="AN1022"/>
  <c r="AO1022"/>
  <c r="AP1022"/>
  <c r="AQ1022"/>
  <c r="F1023"/>
  <c r="L1023"/>
  <c r="S1023"/>
  <c r="Z1023"/>
  <c r="AG1023"/>
  <c r="AN1023"/>
  <c r="AO1023"/>
  <c r="AP1023"/>
  <c r="AQ1023"/>
  <c r="F1024"/>
  <c r="L1024"/>
  <c r="S1024"/>
  <c r="Z1024"/>
  <c r="AG1024"/>
  <c r="AN1024"/>
  <c r="AO1024"/>
  <c r="AP1024"/>
  <c r="AQ1024"/>
  <c r="F1025"/>
  <c r="L1025"/>
  <c r="S1025"/>
  <c r="Z1025"/>
  <c r="AG1025"/>
  <c r="AN1025"/>
  <c r="AO1025"/>
  <c r="AP1025"/>
  <c r="AQ1025"/>
  <c r="F1026"/>
  <c r="L1026"/>
  <c r="S1026"/>
  <c r="Z1026"/>
  <c r="AG1026"/>
  <c r="AN1026"/>
  <c r="AO1026"/>
  <c r="AP1026"/>
  <c r="AQ1026"/>
  <c r="F1027"/>
  <c r="L1027"/>
  <c r="S1027"/>
  <c r="Z1027"/>
  <c r="AG1027"/>
  <c r="AN1027"/>
  <c r="AO1027"/>
  <c r="AP1027"/>
  <c r="AQ1027"/>
  <c r="G1029"/>
  <c r="H1029"/>
  <c r="I1029"/>
  <c r="J1029"/>
  <c r="K1029"/>
  <c r="N1029"/>
  <c r="O1029"/>
  <c r="P1029"/>
  <c r="Q1029"/>
  <c r="R1029"/>
  <c r="U1029"/>
  <c r="V1029"/>
  <c r="W1029"/>
  <c r="X1029"/>
  <c r="Y1029"/>
  <c r="AB1029"/>
  <c r="AC1029"/>
  <c r="AD1029"/>
  <c r="AE1029"/>
  <c r="AF1029"/>
  <c r="AJ1029"/>
  <c r="AK1029"/>
  <c r="AL1029"/>
  <c r="G1030"/>
  <c r="H1030"/>
  <c r="I1030"/>
  <c r="J1030"/>
  <c r="K1030"/>
  <c r="N1030"/>
  <c r="O1030"/>
  <c r="P1030"/>
  <c r="Q1030"/>
  <c r="R1030"/>
  <c r="U1030"/>
  <c r="V1030"/>
  <c r="W1030"/>
  <c r="X1030"/>
  <c r="Y1030"/>
  <c r="AB1030"/>
  <c r="AC1030"/>
  <c r="AD1030"/>
  <c r="AE1030"/>
  <c r="AF1030"/>
  <c r="G1031"/>
  <c r="H1031"/>
  <c r="I1031"/>
  <c r="J1031"/>
  <c r="K1031"/>
  <c r="N1031"/>
  <c r="O1031"/>
  <c r="P1031"/>
  <c r="Q1031"/>
  <c r="R1031"/>
  <c r="U1031"/>
  <c r="V1031"/>
  <c r="W1031"/>
  <c r="X1031"/>
  <c r="Y1031"/>
  <c r="AB1031"/>
  <c r="AC1031"/>
  <c r="AD1031"/>
  <c r="AE1031"/>
  <c r="AF1031"/>
  <c r="G1032"/>
  <c r="H1032"/>
  <c r="I1032"/>
  <c r="J1032"/>
  <c r="K1032"/>
  <c r="N1032"/>
  <c r="O1032"/>
  <c r="P1032"/>
  <c r="Q1032"/>
  <c r="R1032"/>
  <c r="U1032"/>
  <c r="V1032"/>
  <c r="W1032"/>
  <c r="X1032"/>
  <c r="Y1032"/>
  <c r="AB1032"/>
  <c r="AC1032"/>
  <c r="AD1032"/>
  <c r="AE1032"/>
  <c r="AF1032"/>
  <c r="G1033"/>
  <c r="H1033"/>
  <c r="I1033"/>
  <c r="J1033"/>
  <c r="K1033"/>
  <c r="N1033"/>
  <c r="O1033"/>
  <c r="P1033"/>
  <c r="Q1033"/>
  <c r="R1033"/>
  <c r="U1033"/>
  <c r="V1033"/>
  <c r="W1033"/>
  <c r="X1033"/>
  <c r="Y1033"/>
  <c r="AB1033"/>
  <c r="AC1033"/>
  <c r="AD1033"/>
  <c r="AE1033"/>
  <c r="AF1033"/>
  <c r="F1034"/>
  <c r="G1034"/>
  <c r="H1034"/>
  <c r="I1034"/>
  <c r="J1034"/>
  <c r="K1034"/>
  <c r="N1034"/>
  <c r="O1034"/>
  <c r="P1034"/>
  <c r="Q1034"/>
  <c r="R1034"/>
  <c r="U1034"/>
  <c r="V1034"/>
  <c r="W1034"/>
  <c r="X1034"/>
  <c r="Y1034"/>
  <c r="AB1034"/>
  <c r="AC1034"/>
  <c r="AD1034"/>
  <c r="AE1034"/>
  <c r="AF1034"/>
  <c r="AN1034"/>
  <c r="AO1034"/>
  <c r="AP1034"/>
  <c r="AQ1034"/>
  <c r="F1035"/>
  <c r="L1035"/>
  <c r="S1035"/>
  <c r="Z1035"/>
  <c r="AG1035"/>
  <c r="AN1035"/>
  <c r="AO1035"/>
  <c r="AP1035"/>
  <c r="AQ1035"/>
  <c r="F1036"/>
  <c r="L1036"/>
  <c r="S1036"/>
  <c r="Z1036"/>
  <c r="AG1036"/>
  <c r="AN1036"/>
  <c r="AO1036"/>
  <c r="AP1036"/>
  <c r="AQ1036"/>
  <c r="F1037"/>
  <c r="L1037"/>
  <c r="S1037"/>
  <c r="Z1037"/>
  <c r="AG1037"/>
  <c r="AN1037"/>
  <c r="AO1037"/>
  <c r="AP1037"/>
  <c r="AQ1037"/>
  <c r="F1038"/>
  <c r="L1038"/>
  <c r="S1038"/>
  <c r="Z1038"/>
  <c r="AG1038"/>
  <c r="AN1038"/>
  <c r="AO1038"/>
  <c r="AP1038"/>
  <c r="AQ1038"/>
  <c r="F1039"/>
  <c r="L1039"/>
  <c r="S1039"/>
  <c r="Z1039"/>
  <c r="AG1039"/>
  <c r="AN1039"/>
  <c r="AO1039"/>
  <c r="AP1039"/>
  <c r="AQ1039"/>
  <c r="F1040"/>
  <c r="L1040"/>
  <c r="S1040"/>
  <c r="Z1040"/>
  <c r="AG1040"/>
  <c r="AN1040"/>
  <c r="AO1040"/>
  <c r="AP1040"/>
  <c r="AQ1040"/>
  <c r="G1042"/>
  <c r="H1042"/>
  <c r="I1042"/>
  <c r="J1042"/>
  <c r="K1042"/>
  <c r="N1042"/>
  <c r="O1042"/>
  <c r="P1042"/>
  <c r="Q1042"/>
  <c r="R1042"/>
  <c r="U1042"/>
  <c r="V1042"/>
  <c r="W1042"/>
  <c r="X1042"/>
  <c r="Y1042"/>
  <c r="AB1042"/>
  <c r="AC1042"/>
  <c r="AD1042"/>
  <c r="AE1042"/>
  <c r="AF1042"/>
  <c r="AJ1042"/>
  <c r="AK1042"/>
  <c r="AL1042"/>
  <c r="G1043"/>
  <c r="H1043"/>
  <c r="I1043"/>
  <c r="J1043"/>
  <c r="K1043"/>
  <c r="N1043"/>
  <c r="O1043"/>
  <c r="P1043"/>
  <c r="Q1043"/>
  <c r="R1043"/>
  <c r="U1043"/>
  <c r="V1043"/>
  <c r="W1043"/>
  <c r="X1043"/>
  <c r="Y1043"/>
  <c r="AB1043"/>
  <c r="AC1043"/>
  <c r="AD1043"/>
  <c r="AE1043"/>
  <c r="AF1043"/>
  <c r="G1044"/>
  <c r="H1044"/>
  <c r="I1044"/>
  <c r="J1044"/>
  <c r="K1044"/>
  <c r="N1044"/>
  <c r="O1044"/>
  <c r="P1044"/>
  <c r="Q1044"/>
  <c r="R1044"/>
  <c r="U1044"/>
  <c r="V1044"/>
  <c r="W1044"/>
  <c r="X1044"/>
  <c r="Y1044"/>
  <c r="AB1044"/>
  <c r="AC1044"/>
  <c r="AD1044"/>
  <c r="AE1044"/>
  <c r="AF1044"/>
  <c r="G1045"/>
  <c r="H1045"/>
  <c r="I1045"/>
  <c r="J1045"/>
  <c r="K1045"/>
  <c r="N1045"/>
  <c r="O1045"/>
  <c r="P1045"/>
  <c r="Q1045"/>
  <c r="R1045"/>
  <c r="U1045"/>
  <c r="V1045"/>
  <c r="W1045"/>
  <c r="X1045"/>
  <c r="Y1045"/>
  <c r="AB1045"/>
  <c r="AC1045"/>
  <c r="AD1045"/>
  <c r="AE1045"/>
  <c r="AF1045"/>
  <c r="G1046"/>
  <c r="H1046"/>
  <c r="I1046"/>
  <c r="J1046"/>
  <c r="K1046"/>
  <c r="N1046"/>
  <c r="O1046"/>
  <c r="P1046"/>
  <c r="Q1046"/>
  <c r="R1046"/>
  <c r="U1046"/>
  <c r="V1046"/>
  <c r="W1046"/>
  <c r="X1046"/>
  <c r="Y1046"/>
  <c r="AB1046"/>
  <c r="AC1046"/>
  <c r="AD1046"/>
  <c r="AE1046"/>
  <c r="AF1046"/>
  <c r="F1047"/>
  <c r="G1047"/>
  <c r="H1047"/>
  <c r="I1047"/>
  <c r="J1047"/>
  <c r="K1047"/>
  <c r="N1047"/>
  <c r="O1047"/>
  <c r="P1047"/>
  <c r="Q1047"/>
  <c r="R1047"/>
  <c r="U1047"/>
  <c r="V1047"/>
  <c r="W1047"/>
  <c r="X1047"/>
  <c r="Y1047"/>
  <c r="Z1047"/>
  <c r="AB1047"/>
  <c r="AC1047"/>
  <c r="AD1047"/>
  <c r="AE1047"/>
  <c r="AF1047"/>
  <c r="AN1047"/>
  <c r="AO1047"/>
  <c r="AP1047"/>
  <c r="AQ1047"/>
  <c r="F1048"/>
  <c r="L1048"/>
  <c r="S1048"/>
  <c r="Z1048"/>
  <c r="AG1048"/>
  <c r="AN1048"/>
  <c r="AO1048"/>
  <c r="AP1048"/>
  <c r="AQ1048"/>
  <c r="F1049"/>
  <c r="L1049"/>
  <c r="S1049"/>
  <c r="Z1049"/>
  <c r="AG1049"/>
  <c r="AN1049"/>
  <c r="AO1049"/>
  <c r="AP1049"/>
  <c r="AQ1049"/>
  <c r="F1050"/>
  <c r="L1050"/>
  <c r="S1050"/>
  <c r="Z1050"/>
  <c r="AG1050"/>
  <c r="AN1050"/>
  <c r="AO1050"/>
  <c r="AP1050"/>
  <c r="AQ1050"/>
  <c r="F1051"/>
  <c r="L1051"/>
  <c r="S1051"/>
  <c r="Z1051"/>
  <c r="AG1051"/>
  <c r="AN1051"/>
  <c r="AO1051"/>
  <c r="AP1051"/>
  <c r="AQ1051"/>
  <c r="F1052"/>
  <c r="L1052"/>
  <c r="S1052"/>
  <c r="Z1052"/>
  <c r="AG1052"/>
  <c r="AN1052"/>
  <c r="AO1052"/>
  <c r="AP1052"/>
  <c r="AQ1052"/>
  <c r="F1053"/>
  <c r="L1053"/>
  <c r="S1053"/>
  <c r="Z1053"/>
  <c r="AG1053"/>
  <c r="AN1053"/>
  <c r="AO1053"/>
  <c r="AP1053"/>
  <c r="AQ1053"/>
  <c r="G1055"/>
  <c r="H1055"/>
  <c r="I1055"/>
  <c r="J1055"/>
  <c r="K1055"/>
  <c r="N1055"/>
  <c r="O1055"/>
  <c r="P1055"/>
  <c r="Q1055"/>
  <c r="R1055"/>
  <c r="U1055"/>
  <c r="V1055"/>
  <c r="W1055"/>
  <c r="X1055"/>
  <c r="Y1055"/>
  <c r="AB1055"/>
  <c r="AC1055"/>
  <c r="AD1055"/>
  <c r="AE1055"/>
  <c r="AF1055"/>
  <c r="AJ1055"/>
  <c r="AK1055"/>
  <c r="AL1055"/>
  <c r="G1056"/>
  <c r="H1056"/>
  <c r="I1056"/>
  <c r="J1056"/>
  <c r="K1056"/>
  <c r="N1056"/>
  <c r="O1056"/>
  <c r="P1056"/>
  <c r="Q1056"/>
  <c r="R1056"/>
  <c r="U1056"/>
  <c r="V1056"/>
  <c r="W1056"/>
  <c r="X1056"/>
  <c r="Y1056"/>
  <c r="AB1056"/>
  <c r="AC1056"/>
  <c r="AD1056"/>
  <c r="AE1056"/>
  <c r="AF1056"/>
  <c r="G1057"/>
  <c r="H1057"/>
  <c r="I1057"/>
  <c r="J1057"/>
  <c r="K1057"/>
  <c r="N1057"/>
  <c r="O1057"/>
  <c r="P1057"/>
  <c r="Q1057"/>
  <c r="R1057"/>
  <c r="U1057"/>
  <c r="V1057"/>
  <c r="W1057"/>
  <c r="X1057"/>
  <c r="Y1057"/>
  <c r="AB1057"/>
  <c r="AC1057"/>
  <c r="AD1057"/>
  <c r="AE1057"/>
  <c r="AF1057"/>
  <c r="G1058"/>
  <c r="H1058"/>
  <c r="I1058"/>
  <c r="J1058"/>
  <c r="K1058"/>
  <c r="N1058"/>
  <c r="O1058"/>
  <c r="P1058"/>
  <c r="Q1058"/>
  <c r="R1058"/>
  <c r="U1058"/>
  <c r="V1058"/>
  <c r="W1058"/>
  <c r="X1058"/>
  <c r="Y1058"/>
  <c r="AB1058"/>
  <c r="AC1058"/>
  <c r="AD1058"/>
  <c r="AE1058"/>
  <c r="AF1058"/>
  <c r="G1059"/>
  <c r="H1059"/>
  <c r="I1059"/>
  <c r="J1059"/>
  <c r="K1059"/>
  <c r="N1059"/>
  <c r="O1059"/>
  <c r="P1059"/>
  <c r="Q1059"/>
  <c r="R1059"/>
  <c r="U1059"/>
  <c r="V1059"/>
  <c r="W1059"/>
  <c r="X1059"/>
  <c r="Y1059"/>
  <c r="AB1059"/>
  <c r="AC1059"/>
  <c r="AD1059"/>
  <c r="AE1059"/>
  <c r="AF1059"/>
  <c r="F1060"/>
  <c r="G1060"/>
  <c r="H1060"/>
  <c r="I1060"/>
  <c r="J1060"/>
  <c r="K1060"/>
  <c r="N1060"/>
  <c r="O1060"/>
  <c r="P1060"/>
  <c r="Q1060"/>
  <c r="R1060"/>
  <c r="U1060"/>
  <c r="V1060"/>
  <c r="W1060"/>
  <c r="X1060"/>
  <c r="Y1060"/>
  <c r="AB1060"/>
  <c r="AC1060"/>
  <c r="AD1060"/>
  <c r="AE1060"/>
  <c r="AF1060"/>
  <c r="AN1060"/>
  <c r="AO1060"/>
  <c r="AP1060"/>
  <c r="AQ1060"/>
  <c r="F1061"/>
  <c r="L1061"/>
  <c r="S1061"/>
  <c r="Z1061"/>
  <c r="AG1061"/>
  <c r="AN1061"/>
  <c r="AO1061"/>
  <c r="AP1061"/>
  <c r="AQ1061"/>
  <c r="F1062"/>
  <c r="L1062"/>
  <c r="S1062"/>
  <c r="Z1062"/>
  <c r="AG1062"/>
  <c r="AN1062"/>
  <c r="AO1062"/>
  <c r="AP1062"/>
  <c r="AQ1062"/>
  <c r="F1063"/>
  <c r="L1063"/>
  <c r="S1063"/>
  <c r="Z1063"/>
  <c r="AG1063"/>
  <c r="AN1063"/>
  <c r="AO1063"/>
  <c r="AP1063"/>
  <c r="AQ1063"/>
  <c r="F1064"/>
  <c r="L1064"/>
  <c r="S1064"/>
  <c r="Z1064"/>
  <c r="AG1064"/>
  <c r="AN1064"/>
  <c r="AO1064"/>
  <c r="AP1064"/>
  <c r="AQ1064"/>
  <c r="F1065"/>
  <c r="L1065"/>
  <c r="S1065"/>
  <c r="Z1065"/>
  <c r="AG1065"/>
  <c r="AN1065"/>
  <c r="AO1065"/>
  <c r="AP1065"/>
  <c r="AQ1065"/>
  <c r="F1066"/>
  <c r="L1066"/>
  <c r="S1066"/>
  <c r="Z1066"/>
  <c r="AG1066"/>
  <c r="AN1066"/>
  <c r="AO1066"/>
  <c r="AP1066"/>
  <c r="AQ1066"/>
  <c r="G1068"/>
  <c r="H1068"/>
  <c r="I1068"/>
  <c r="J1068"/>
  <c r="K1068"/>
  <c r="N1068"/>
  <c r="O1068"/>
  <c r="P1068"/>
  <c r="Q1068"/>
  <c r="R1068"/>
  <c r="U1068"/>
  <c r="V1068"/>
  <c r="W1068"/>
  <c r="X1068"/>
  <c r="Y1068"/>
  <c r="AB1068"/>
  <c r="AC1068"/>
  <c r="AD1068"/>
  <c r="AE1068"/>
  <c r="AF1068"/>
  <c r="AJ1068"/>
  <c r="AK1068"/>
  <c r="AL1068"/>
  <c r="G1069"/>
  <c r="H1069"/>
  <c r="I1069"/>
  <c r="J1069"/>
  <c r="K1069"/>
  <c r="N1069"/>
  <c r="O1069"/>
  <c r="P1069"/>
  <c r="Q1069"/>
  <c r="R1069"/>
  <c r="U1069"/>
  <c r="V1069"/>
  <c r="W1069"/>
  <c r="X1069"/>
  <c r="Y1069"/>
  <c r="AB1069"/>
  <c r="AC1069"/>
  <c r="AD1069"/>
  <c r="AE1069"/>
  <c r="AF1069"/>
  <c r="G1070"/>
  <c r="H1070"/>
  <c r="I1070"/>
  <c r="J1070"/>
  <c r="K1070"/>
  <c r="N1070"/>
  <c r="O1070"/>
  <c r="P1070"/>
  <c r="Q1070"/>
  <c r="R1070"/>
  <c r="U1070"/>
  <c r="V1070"/>
  <c r="W1070"/>
  <c r="X1070"/>
  <c r="Y1070"/>
  <c r="AB1070"/>
  <c r="AC1070"/>
  <c r="AD1070"/>
  <c r="AE1070"/>
  <c r="AF1070"/>
  <c r="G1071"/>
  <c r="H1071"/>
  <c r="I1071"/>
  <c r="J1071"/>
  <c r="K1071"/>
  <c r="N1071"/>
  <c r="O1071"/>
  <c r="P1071"/>
  <c r="Q1071"/>
  <c r="R1071"/>
  <c r="U1071"/>
  <c r="V1071"/>
  <c r="W1071"/>
  <c r="X1071"/>
  <c r="Y1071"/>
  <c r="AB1071"/>
  <c r="AC1071"/>
  <c r="AD1071"/>
  <c r="AE1071"/>
  <c r="AF1071"/>
  <c r="G1072"/>
  <c r="H1072"/>
  <c r="I1072"/>
  <c r="J1072"/>
  <c r="K1072"/>
  <c r="N1072"/>
  <c r="O1072"/>
  <c r="P1072"/>
  <c r="Q1072"/>
  <c r="R1072"/>
  <c r="U1072"/>
  <c r="V1072"/>
  <c r="W1072"/>
  <c r="X1072"/>
  <c r="Y1072"/>
  <c r="AB1072"/>
  <c r="AC1072"/>
  <c r="AD1072"/>
  <c r="AE1072"/>
  <c r="AF1072"/>
  <c r="F1073"/>
  <c r="G1073"/>
  <c r="H1073"/>
  <c r="I1073"/>
  <c r="J1073"/>
  <c r="K1073"/>
  <c r="N1073"/>
  <c r="O1073"/>
  <c r="P1073"/>
  <c r="Q1073"/>
  <c r="R1073"/>
  <c r="U1073"/>
  <c r="V1073"/>
  <c r="W1073"/>
  <c r="X1073"/>
  <c r="Y1073"/>
  <c r="AB1073"/>
  <c r="AC1073"/>
  <c r="AD1073"/>
  <c r="AE1073"/>
  <c r="AF1073"/>
  <c r="AN1073"/>
  <c r="AO1073"/>
  <c r="AP1073"/>
  <c r="AQ1073"/>
  <c r="F1074"/>
  <c r="L1074"/>
  <c r="S1074"/>
  <c r="Z1074"/>
  <c r="AG1074"/>
  <c r="AN1074"/>
  <c r="AO1074"/>
  <c r="AP1074"/>
  <c r="AQ1074"/>
  <c r="F1075"/>
  <c r="L1075"/>
  <c r="S1075"/>
  <c r="Z1075"/>
  <c r="AG1075"/>
  <c r="AN1075"/>
  <c r="AO1075"/>
  <c r="AP1075"/>
  <c r="AQ1075"/>
  <c r="F1076"/>
  <c r="L1076"/>
  <c r="S1076"/>
  <c r="Z1076"/>
  <c r="AG1076"/>
  <c r="AN1076"/>
  <c r="AO1076"/>
  <c r="AP1076"/>
  <c r="AQ1076"/>
  <c r="F1077"/>
  <c r="L1077"/>
  <c r="S1077"/>
  <c r="Z1077"/>
  <c r="AG1077"/>
  <c r="AN1077"/>
  <c r="AO1077"/>
  <c r="AP1077"/>
  <c r="AQ1077"/>
  <c r="F1078"/>
  <c r="L1078"/>
  <c r="S1078"/>
  <c r="Z1078"/>
  <c r="AG1078"/>
  <c r="AN1078"/>
  <c r="AO1078"/>
  <c r="AP1078"/>
  <c r="AQ1078"/>
  <c r="F1079"/>
  <c r="L1079"/>
  <c r="S1079"/>
  <c r="Z1079"/>
  <c r="AG1079"/>
  <c r="AN1079"/>
  <c r="AO1079"/>
  <c r="AP1079"/>
  <c r="AQ1079"/>
  <c r="G1081"/>
  <c r="H1081"/>
  <c r="I1081"/>
  <c r="J1081"/>
  <c r="K1081"/>
  <c r="N1081"/>
  <c r="O1081"/>
  <c r="P1081"/>
  <c r="Q1081"/>
  <c r="R1081"/>
  <c r="U1081"/>
  <c r="V1081"/>
  <c r="W1081"/>
  <c r="X1081"/>
  <c r="Y1081"/>
  <c r="AB1081"/>
  <c r="AC1081"/>
  <c r="AD1081"/>
  <c r="AE1081"/>
  <c r="AF1081"/>
  <c r="AJ1081"/>
  <c r="AK1081"/>
  <c r="AL1081"/>
  <c r="G1082"/>
  <c r="H1082"/>
  <c r="I1082"/>
  <c r="J1082"/>
  <c r="K1082"/>
  <c r="N1082"/>
  <c r="O1082"/>
  <c r="P1082"/>
  <c r="Q1082"/>
  <c r="R1082"/>
  <c r="U1082"/>
  <c r="V1082"/>
  <c r="W1082"/>
  <c r="X1082"/>
  <c r="Y1082"/>
  <c r="AB1082"/>
  <c r="AC1082"/>
  <c r="AD1082"/>
  <c r="AE1082"/>
  <c r="AF1082"/>
  <c r="G1083"/>
  <c r="H1083"/>
  <c r="I1083"/>
  <c r="J1083"/>
  <c r="K1083"/>
  <c r="N1083"/>
  <c r="O1083"/>
  <c r="P1083"/>
  <c r="Q1083"/>
  <c r="R1083"/>
  <c r="U1083"/>
  <c r="V1083"/>
  <c r="W1083"/>
  <c r="X1083"/>
  <c r="Y1083"/>
  <c r="AB1083"/>
  <c r="AC1083"/>
  <c r="AD1083"/>
  <c r="AE1083"/>
  <c r="AF1083"/>
  <c r="G1084"/>
  <c r="H1084"/>
  <c r="I1084"/>
  <c r="J1084"/>
  <c r="K1084"/>
  <c r="N1084"/>
  <c r="O1084"/>
  <c r="P1084"/>
  <c r="Q1084"/>
  <c r="R1084"/>
  <c r="U1084"/>
  <c r="V1084"/>
  <c r="W1084"/>
  <c r="X1084"/>
  <c r="Y1084"/>
  <c r="AB1084"/>
  <c r="AC1084"/>
  <c r="AD1084"/>
  <c r="AE1084"/>
  <c r="AF1084"/>
  <c r="G1085"/>
  <c r="H1085"/>
  <c r="I1085"/>
  <c r="J1085"/>
  <c r="K1085"/>
  <c r="N1085"/>
  <c r="O1085"/>
  <c r="P1085"/>
  <c r="Q1085"/>
  <c r="R1085"/>
  <c r="U1085"/>
  <c r="V1085"/>
  <c r="W1085"/>
  <c r="X1085"/>
  <c r="Y1085"/>
  <c r="AB1085"/>
  <c r="AC1085"/>
  <c r="AD1085"/>
  <c r="AE1085"/>
  <c r="AF1085"/>
  <c r="F1086"/>
  <c r="G1086"/>
  <c r="H1086"/>
  <c r="I1086"/>
  <c r="J1086"/>
  <c r="K1086"/>
  <c r="N1086"/>
  <c r="O1086"/>
  <c r="P1086"/>
  <c r="Q1086"/>
  <c r="R1086"/>
  <c r="U1086"/>
  <c r="V1086"/>
  <c r="W1086"/>
  <c r="X1086"/>
  <c r="Y1086"/>
  <c r="AB1086"/>
  <c r="AC1086"/>
  <c r="AD1086"/>
  <c r="AE1086"/>
  <c r="AF1086"/>
  <c r="AN1086"/>
  <c r="AO1086"/>
  <c r="AP1086"/>
  <c r="AQ1086"/>
  <c r="F1087"/>
  <c r="L1087"/>
  <c r="S1087"/>
  <c r="Z1087"/>
  <c r="AG1087"/>
  <c r="AN1087"/>
  <c r="AO1087"/>
  <c r="AP1087"/>
  <c r="AQ1087"/>
  <c r="F1088"/>
  <c r="L1088"/>
  <c r="S1088"/>
  <c r="Z1088"/>
  <c r="AG1088"/>
  <c r="AN1088"/>
  <c r="AO1088"/>
  <c r="AP1088"/>
  <c r="AQ1088"/>
  <c r="F1089"/>
  <c r="L1089"/>
  <c r="S1089"/>
  <c r="Z1089"/>
  <c r="AG1089"/>
  <c r="AN1089"/>
  <c r="AO1089"/>
  <c r="AP1089"/>
  <c r="AQ1089"/>
  <c r="F1090"/>
  <c r="L1090"/>
  <c r="S1090"/>
  <c r="Z1090"/>
  <c r="AG1090"/>
  <c r="AN1090"/>
  <c r="AO1090"/>
  <c r="AP1090"/>
  <c r="AQ1090"/>
  <c r="F1091"/>
  <c r="L1091"/>
  <c r="S1091"/>
  <c r="Z1091"/>
  <c r="AG1091"/>
  <c r="AN1091"/>
  <c r="AO1091"/>
  <c r="AP1091"/>
  <c r="AQ1091"/>
  <c r="F1092"/>
  <c r="L1092"/>
  <c r="S1092"/>
  <c r="Z1092"/>
  <c r="AG1092"/>
  <c r="AN1092"/>
  <c r="AO1092"/>
  <c r="AP1092"/>
  <c r="AQ1092"/>
  <c r="G1094"/>
  <c r="H1094"/>
  <c r="I1094"/>
  <c r="J1094"/>
  <c r="K1094"/>
  <c r="N1094"/>
  <c r="O1094"/>
  <c r="P1094"/>
  <c r="Q1094"/>
  <c r="R1094"/>
  <c r="U1094"/>
  <c r="V1094"/>
  <c r="W1094"/>
  <c r="X1094"/>
  <c r="Y1094"/>
  <c r="AB1094"/>
  <c r="AC1094"/>
  <c r="AD1094"/>
  <c r="AE1094"/>
  <c r="AF1094"/>
  <c r="AJ1094"/>
  <c r="AK1094"/>
  <c r="AL1094"/>
  <c r="G1095"/>
  <c r="H1095"/>
  <c r="I1095"/>
  <c r="J1095"/>
  <c r="K1095"/>
  <c r="N1095"/>
  <c r="O1095"/>
  <c r="P1095"/>
  <c r="Q1095"/>
  <c r="R1095"/>
  <c r="U1095"/>
  <c r="V1095"/>
  <c r="W1095"/>
  <c r="X1095"/>
  <c r="Y1095"/>
  <c r="AB1095"/>
  <c r="AC1095"/>
  <c r="AD1095"/>
  <c r="AE1095"/>
  <c r="AF1095"/>
  <c r="G1096"/>
  <c r="H1096"/>
  <c r="I1096"/>
  <c r="J1096"/>
  <c r="K1096"/>
  <c r="N1096"/>
  <c r="O1096"/>
  <c r="P1096"/>
  <c r="Q1096"/>
  <c r="R1096"/>
  <c r="U1096"/>
  <c r="V1096"/>
  <c r="W1096"/>
  <c r="X1096"/>
  <c r="Y1096"/>
  <c r="AB1096"/>
  <c r="AC1096"/>
  <c r="AD1096"/>
  <c r="AE1096"/>
  <c r="AF1096"/>
  <c r="G1097"/>
  <c r="H1097"/>
  <c r="I1097"/>
  <c r="J1097"/>
  <c r="K1097"/>
  <c r="N1097"/>
  <c r="O1097"/>
  <c r="P1097"/>
  <c r="Q1097"/>
  <c r="R1097"/>
  <c r="U1097"/>
  <c r="V1097"/>
  <c r="W1097"/>
  <c r="X1097"/>
  <c r="Y1097"/>
  <c r="AB1097"/>
  <c r="AC1097"/>
  <c r="AD1097"/>
  <c r="AE1097"/>
  <c r="AF1097"/>
  <c r="G1098"/>
  <c r="H1098"/>
  <c r="I1098"/>
  <c r="J1098"/>
  <c r="K1098"/>
  <c r="N1098"/>
  <c r="O1098"/>
  <c r="P1098"/>
  <c r="Q1098"/>
  <c r="R1098"/>
  <c r="U1098"/>
  <c r="V1098"/>
  <c r="W1098"/>
  <c r="X1098"/>
  <c r="Y1098"/>
  <c r="AB1098"/>
  <c r="AC1098"/>
  <c r="AD1098"/>
  <c r="AE1098"/>
  <c r="AF1098"/>
  <c r="F1099"/>
  <c r="G1099"/>
  <c r="H1099"/>
  <c r="I1099"/>
  <c r="J1099"/>
  <c r="K1099"/>
  <c r="N1099"/>
  <c r="O1099"/>
  <c r="P1099"/>
  <c r="Q1099"/>
  <c r="R1099"/>
  <c r="U1099"/>
  <c r="V1099"/>
  <c r="W1099"/>
  <c r="X1099"/>
  <c r="Y1099"/>
  <c r="AB1099"/>
  <c r="AC1099"/>
  <c r="AD1099"/>
  <c r="AE1099"/>
  <c r="AF1099"/>
  <c r="AN1099"/>
  <c r="AO1099"/>
  <c r="AP1099"/>
  <c r="AQ1099"/>
  <c r="F1100"/>
  <c r="L1100"/>
  <c r="S1100"/>
  <c r="Z1100"/>
  <c r="AG1100"/>
  <c r="AN1100"/>
  <c r="AO1100"/>
  <c r="AP1100"/>
  <c r="AQ1100"/>
  <c r="F1101"/>
  <c r="L1101"/>
  <c r="S1101"/>
  <c r="Z1101"/>
  <c r="AG1101"/>
  <c r="AN1101"/>
  <c r="AO1101"/>
  <c r="AP1101"/>
  <c r="AQ1101"/>
  <c r="F1102"/>
  <c r="L1102"/>
  <c r="S1102"/>
  <c r="Z1102"/>
  <c r="AG1102"/>
  <c r="AN1102"/>
  <c r="AO1102"/>
  <c r="AP1102"/>
  <c r="AQ1102"/>
  <c r="F1103"/>
  <c r="L1103"/>
  <c r="S1103"/>
  <c r="Z1103"/>
  <c r="AG1103"/>
  <c r="AN1103"/>
  <c r="AO1103"/>
  <c r="AP1103"/>
  <c r="AQ1103"/>
  <c r="F1104"/>
  <c r="L1104"/>
  <c r="S1104"/>
  <c r="Z1104"/>
  <c r="AG1104"/>
  <c r="AN1104"/>
  <c r="AO1104"/>
  <c r="AP1104"/>
  <c r="AQ1104"/>
  <c r="F1105"/>
  <c r="L1105"/>
  <c r="S1105"/>
  <c r="Z1105"/>
  <c r="AG1105"/>
  <c r="AN1105"/>
  <c r="AO1105"/>
  <c r="AP1105"/>
  <c r="AQ1105"/>
  <c r="G1107"/>
  <c r="H1107"/>
  <c r="I1107"/>
  <c r="J1107"/>
  <c r="K1107"/>
  <c r="N1107"/>
  <c r="O1107"/>
  <c r="P1107"/>
  <c r="Q1107"/>
  <c r="R1107"/>
  <c r="U1107"/>
  <c r="V1107"/>
  <c r="W1107"/>
  <c r="X1107"/>
  <c r="Y1107"/>
  <c r="AB1107"/>
  <c r="AC1107"/>
  <c r="AD1107"/>
  <c r="AE1107"/>
  <c r="AF1107"/>
  <c r="AJ1107"/>
  <c r="AK1107"/>
  <c r="AL1107"/>
  <c r="G1108"/>
  <c r="H1108"/>
  <c r="I1108"/>
  <c r="J1108"/>
  <c r="K1108"/>
  <c r="N1108"/>
  <c r="O1108"/>
  <c r="P1108"/>
  <c r="Q1108"/>
  <c r="R1108"/>
  <c r="U1108"/>
  <c r="V1108"/>
  <c r="W1108"/>
  <c r="X1108"/>
  <c r="Y1108"/>
  <c r="AB1108"/>
  <c r="AC1108"/>
  <c r="AD1108"/>
  <c r="AE1108"/>
  <c r="AF1108"/>
  <c r="G1109"/>
  <c r="H1109"/>
  <c r="I1109"/>
  <c r="J1109"/>
  <c r="K1109"/>
  <c r="N1109"/>
  <c r="O1109"/>
  <c r="P1109"/>
  <c r="Q1109"/>
  <c r="R1109"/>
  <c r="U1109"/>
  <c r="V1109"/>
  <c r="W1109"/>
  <c r="X1109"/>
  <c r="Y1109"/>
  <c r="AB1109"/>
  <c r="AC1109"/>
  <c r="AD1109"/>
  <c r="AE1109"/>
  <c r="AF1109"/>
  <c r="G1110"/>
  <c r="H1110"/>
  <c r="I1110"/>
  <c r="J1110"/>
  <c r="K1110"/>
  <c r="N1110"/>
  <c r="O1110"/>
  <c r="P1110"/>
  <c r="Q1110"/>
  <c r="R1110"/>
  <c r="U1110"/>
  <c r="V1110"/>
  <c r="W1110"/>
  <c r="X1110"/>
  <c r="Y1110"/>
  <c r="AB1110"/>
  <c r="AC1110"/>
  <c r="AD1110"/>
  <c r="AE1110"/>
  <c r="AF1110"/>
  <c r="G1111"/>
  <c r="H1111"/>
  <c r="I1111"/>
  <c r="J1111"/>
  <c r="K1111"/>
  <c r="N1111"/>
  <c r="O1111"/>
  <c r="P1111"/>
  <c r="Q1111"/>
  <c r="R1111"/>
  <c r="U1111"/>
  <c r="V1111"/>
  <c r="W1111"/>
  <c r="X1111"/>
  <c r="Y1111"/>
  <c r="AB1111"/>
  <c r="AC1111"/>
  <c r="AD1111"/>
  <c r="AE1111"/>
  <c r="AF1111"/>
  <c r="F1112"/>
  <c r="G1112"/>
  <c r="H1112"/>
  <c r="I1112"/>
  <c r="J1112"/>
  <c r="K1112"/>
  <c r="N1112"/>
  <c r="O1112"/>
  <c r="P1112"/>
  <c r="Q1112"/>
  <c r="R1112"/>
  <c r="U1112"/>
  <c r="V1112"/>
  <c r="W1112"/>
  <c r="X1112"/>
  <c r="Y1112"/>
  <c r="AB1112"/>
  <c r="AC1112"/>
  <c r="AD1112"/>
  <c r="AE1112"/>
  <c r="AF1112"/>
  <c r="AN1112"/>
  <c r="AO1112"/>
  <c r="AP1112"/>
  <c r="AQ1112"/>
  <c r="F1113"/>
  <c r="L1113"/>
  <c r="S1113"/>
  <c r="Z1113"/>
  <c r="AG1113"/>
  <c r="AN1113"/>
  <c r="AO1113"/>
  <c r="AP1113"/>
  <c r="AQ1113"/>
  <c r="F1114"/>
  <c r="L1114"/>
  <c r="S1114"/>
  <c r="Z1114"/>
  <c r="AG1114"/>
  <c r="AN1114"/>
  <c r="AO1114"/>
  <c r="AP1114"/>
  <c r="AQ1114"/>
  <c r="F1115"/>
  <c r="L1115"/>
  <c r="S1115"/>
  <c r="Z1115"/>
  <c r="AG1115"/>
  <c r="AN1115"/>
  <c r="AO1115"/>
  <c r="AP1115"/>
  <c r="AQ1115"/>
  <c r="F1116"/>
  <c r="L1116"/>
  <c r="S1116"/>
  <c r="Z1116"/>
  <c r="AG1116"/>
  <c r="AN1116"/>
  <c r="AO1116"/>
  <c r="AP1116"/>
  <c r="AQ1116"/>
  <c r="F1117"/>
  <c r="L1117"/>
  <c r="S1117"/>
  <c r="Z1117"/>
  <c r="AG1117"/>
  <c r="AN1117"/>
  <c r="AO1117"/>
  <c r="AP1117"/>
  <c r="AQ1117"/>
  <c r="F1118"/>
  <c r="L1118"/>
  <c r="S1118"/>
  <c r="Z1118"/>
  <c r="AG1118"/>
  <c r="AN1118"/>
  <c r="AO1118"/>
  <c r="AP1118"/>
  <c r="AQ1118"/>
  <c r="G1120"/>
  <c r="H1120"/>
  <c r="I1120"/>
  <c r="J1120"/>
  <c r="K1120"/>
  <c r="N1120"/>
  <c r="O1120"/>
  <c r="P1120"/>
  <c r="Q1120"/>
  <c r="R1120"/>
  <c r="U1120"/>
  <c r="V1120"/>
  <c r="W1120"/>
  <c r="X1120"/>
  <c r="Y1120"/>
  <c r="AB1120"/>
  <c r="AC1120"/>
  <c r="AD1120"/>
  <c r="AE1120"/>
  <c r="AF1120"/>
  <c r="AJ1120"/>
  <c r="AK1120"/>
  <c r="AL1120"/>
  <c r="G1121"/>
  <c r="H1121"/>
  <c r="I1121"/>
  <c r="J1121"/>
  <c r="K1121"/>
  <c r="N1121"/>
  <c r="O1121"/>
  <c r="P1121"/>
  <c r="Q1121"/>
  <c r="R1121"/>
  <c r="U1121"/>
  <c r="V1121"/>
  <c r="W1121"/>
  <c r="X1121"/>
  <c r="Y1121"/>
  <c r="AB1121"/>
  <c r="AC1121"/>
  <c r="AD1121"/>
  <c r="AE1121"/>
  <c r="AF1121"/>
  <c r="G1122"/>
  <c r="H1122"/>
  <c r="I1122"/>
  <c r="J1122"/>
  <c r="K1122"/>
  <c r="N1122"/>
  <c r="O1122"/>
  <c r="P1122"/>
  <c r="Q1122"/>
  <c r="R1122"/>
  <c r="U1122"/>
  <c r="V1122"/>
  <c r="W1122"/>
  <c r="X1122"/>
  <c r="Y1122"/>
  <c r="AB1122"/>
  <c r="AC1122"/>
  <c r="AD1122"/>
  <c r="AE1122"/>
  <c r="AF1122"/>
  <c r="G1123"/>
  <c r="H1123"/>
  <c r="I1123"/>
  <c r="J1123"/>
  <c r="K1123"/>
  <c r="N1123"/>
  <c r="O1123"/>
  <c r="P1123"/>
  <c r="Q1123"/>
  <c r="R1123"/>
  <c r="U1123"/>
  <c r="V1123"/>
  <c r="W1123"/>
  <c r="X1123"/>
  <c r="Y1123"/>
  <c r="AB1123"/>
  <c r="AC1123"/>
  <c r="AD1123"/>
  <c r="AE1123"/>
  <c r="AF1123"/>
  <c r="G1124"/>
  <c r="H1124"/>
  <c r="I1124"/>
  <c r="J1124"/>
  <c r="K1124"/>
  <c r="N1124"/>
  <c r="O1124"/>
  <c r="P1124"/>
  <c r="Q1124"/>
  <c r="R1124"/>
  <c r="U1124"/>
  <c r="V1124"/>
  <c r="W1124"/>
  <c r="X1124"/>
  <c r="Y1124"/>
  <c r="AB1124"/>
  <c r="AC1124"/>
  <c r="AD1124"/>
  <c r="AE1124"/>
  <c r="AF1124"/>
  <c r="F1125"/>
  <c r="G1125"/>
  <c r="H1125"/>
  <c r="I1125"/>
  <c r="J1125"/>
  <c r="K1125"/>
  <c r="N1125"/>
  <c r="O1125"/>
  <c r="P1125"/>
  <c r="Q1125"/>
  <c r="R1125"/>
  <c r="U1125"/>
  <c r="V1125"/>
  <c r="W1125"/>
  <c r="X1125"/>
  <c r="Y1125"/>
  <c r="AB1125"/>
  <c r="AC1125"/>
  <c r="AD1125"/>
  <c r="AE1125"/>
  <c r="AF1125"/>
  <c r="AN1125"/>
  <c r="AO1125"/>
  <c r="AP1125"/>
  <c r="AQ1125"/>
  <c r="F1126"/>
  <c r="L1126"/>
  <c r="S1126"/>
  <c r="Z1126"/>
  <c r="AG1126"/>
  <c r="AN1126"/>
  <c r="AO1126"/>
  <c r="AP1126"/>
  <c r="AQ1126"/>
  <c r="F1127"/>
  <c r="L1127"/>
  <c r="S1127"/>
  <c r="Z1127"/>
  <c r="AG1127"/>
  <c r="AN1127"/>
  <c r="AO1127"/>
  <c r="AP1127"/>
  <c r="AQ1127"/>
  <c r="F1128"/>
  <c r="L1128"/>
  <c r="S1128"/>
  <c r="Z1128"/>
  <c r="AG1128"/>
  <c r="AN1128"/>
  <c r="AO1128"/>
  <c r="AP1128"/>
  <c r="AQ1128"/>
  <c r="F1129"/>
  <c r="L1129"/>
  <c r="S1129"/>
  <c r="Z1129"/>
  <c r="AG1129"/>
  <c r="AN1129"/>
  <c r="AO1129"/>
  <c r="AP1129"/>
  <c r="AQ1129"/>
  <c r="F1130"/>
  <c r="L1130"/>
  <c r="S1130"/>
  <c r="Z1130"/>
  <c r="AG1130"/>
  <c r="AN1130"/>
  <c r="AO1130"/>
  <c r="AP1130"/>
  <c r="AQ1130"/>
  <c r="F1131"/>
  <c r="L1131"/>
  <c r="S1131"/>
  <c r="Z1131"/>
  <c r="AG1131"/>
  <c r="AN1131"/>
  <c r="AO1131"/>
  <c r="AP1131"/>
  <c r="AQ1131"/>
  <c r="G1133"/>
  <c r="H1133"/>
  <c r="I1133"/>
  <c r="J1133"/>
  <c r="K1133"/>
  <c r="N1133"/>
  <c r="O1133"/>
  <c r="P1133"/>
  <c r="Q1133"/>
  <c r="R1133"/>
  <c r="U1133"/>
  <c r="V1133"/>
  <c r="W1133"/>
  <c r="X1133"/>
  <c r="Y1133"/>
  <c r="AB1133"/>
  <c r="AC1133"/>
  <c r="AD1133"/>
  <c r="AE1133"/>
  <c r="AF1133"/>
  <c r="AJ1133"/>
  <c r="AK1133"/>
  <c r="AL1133"/>
  <c r="G1134"/>
  <c r="H1134"/>
  <c r="I1134"/>
  <c r="J1134"/>
  <c r="K1134"/>
  <c r="N1134"/>
  <c r="O1134"/>
  <c r="P1134"/>
  <c r="Q1134"/>
  <c r="R1134"/>
  <c r="U1134"/>
  <c r="V1134"/>
  <c r="W1134"/>
  <c r="X1134"/>
  <c r="Y1134"/>
  <c r="AB1134"/>
  <c r="AC1134"/>
  <c r="AD1134"/>
  <c r="AE1134"/>
  <c r="AF1134"/>
  <c r="G1135"/>
  <c r="H1135"/>
  <c r="I1135"/>
  <c r="J1135"/>
  <c r="K1135"/>
  <c r="N1135"/>
  <c r="O1135"/>
  <c r="P1135"/>
  <c r="Q1135"/>
  <c r="R1135"/>
  <c r="U1135"/>
  <c r="V1135"/>
  <c r="W1135"/>
  <c r="X1135"/>
  <c r="Y1135"/>
  <c r="AB1135"/>
  <c r="AC1135"/>
  <c r="AD1135"/>
  <c r="AE1135"/>
  <c r="AF1135"/>
  <c r="G1136"/>
  <c r="H1136"/>
  <c r="I1136"/>
  <c r="J1136"/>
  <c r="K1136"/>
  <c r="N1136"/>
  <c r="O1136"/>
  <c r="P1136"/>
  <c r="Q1136"/>
  <c r="R1136"/>
  <c r="U1136"/>
  <c r="V1136"/>
  <c r="W1136"/>
  <c r="X1136"/>
  <c r="Y1136"/>
  <c r="AB1136"/>
  <c r="AC1136"/>
  <c r="AD1136"/>
  <c r="AE1136"/>
  <c r="AF1136"/>
  <c r="G1137"/>
  <c r="H1137"/>
  <c r="I1137"/>
  <c r="J1137"/>
  <c r="K1137"/>
  <c r="N1137"/>
  <c r="O1137"/>
  <c r="P1137"/>
  <c r="Q1137"/>
  <c r="R1137"/>
  <c r="U1137"/>
  <c r="V1137"/>
  <c r="W1137"/>
  <c r="X1137"/>
  <c r="Y1137"/>
  <c r="AB1137"/>
  <c r="AC1137"/>
  <c r="AD1137"/>
  <c r="AE1137"/>
  <c r="AF1137"/>
  <c r="F1138"/>
  <c r="G1138"/>
  <c r="H1138"/>
  <c r="I1138"/>
  <c r="J1138"/>
  <c r="K1138"/>
  <c r="N1138"/>
  <c r="O1138"/>
  <c r="P1138"/>
  <c r="Q1138"/>
  <c r="R1138"/>
  <c r="U1138"/>
  <c r="V1138"/>
  <c r="W1138"/>
  <c r="X1138"/>
  <c r="Y1138"/>
  <c r="AB1138"/>
  <c r="AC1138"/>
  <c r="AD1138"/>
  <c r="AE1138"/>
  <c r="AF1138"/>
  <c r="AN1138"/>
  <c r="AO1138"/>
  <c r="AP1138"/>
  <c r="AQ1138"/>
  <c r="F1139"/>
  <c r="L1139"/>
  <c r="S1139"/>
  <c r="Z1139"/>
  <c r="AG1139"/>
  <c r="AN1139"/>
  <c r="AO1139"/>
  <c r="AP1139"/>
  <c r="AQ1139"/>
  <c r="F1140"/>
  <c r="L1140"/>
  <c r="S1140"/>
  <c r="Z1140"/>
  <c r="AG1140"/>
  <c r="AN1140"/>
  <c r="AO1140"/>
  <c r="AP1140"/>
  <c r="AQ1140"/>
  <c r="F1141"/>
  <c r="L1141"/>
  <c r="S1141"/>
  <c r="Z1141"/>
  <c r="AG1141"/>
  <c r="AN1141"/>
  <c r="AO1141"/>
  <c r="AP1141"/>
  <c r="AQ1141"/>
  <c r="F1142"/>
  <c r="L1142"/>
  <c r="S1142"/>
  <c r="Z1142"/>
  <c r="AG1142"/>
  <c r="AN1142"/>
  <c r="AO1142"/>
  <c r="AP1142"/>
  <c r="AQ1142"/>
  <c r="F1143"/>
  <c r="L1143"/>
  <c r="S1143"/>
  <c r="Z1143"/>
  <c r="AG1143"/>
  <c r="AN1143"/>
  <c r="AO1143"/>
  <c r="AP1143"/>
  <c r="AQ1143"/>
  <c r="F1144"/>
  <c r="L1144"/>
  <c r="S1144"/>
  <c r="Z1144"/>
  <c r="AG1144"/>
  <c r="AN1144"/>
  <c r="AO1144"/>
  <c r="AP1144"/>
  <c r="AQ1144"/>
  <c r="G1146"/>
  <c r="H1146"/>
  <c r="I1146"/>
  <c r="J1146"/>
  <c r="K1146"/>
  <c r="N1146"/>
  <c r="O1146"/>
  <c r="P1146"/>
  <c r="Q1146"/>
  <c r="R1146"/>
  <c r="U1146"/>
  <c r="V1146"/>
  <c r="W1146"/>
  <c r="X1146"/>
  <c r="Y1146"/>
  <c r="AB1146"/>
  <c r="AC1146"/>
  <c r="AD1146"/>
  <c r="AE1146"/>
  <c r="AF1146"/>
  <c r="AJ1146"/>
  <c r="AK1146"/>
  <c r="AL1146"/>
  <c r="G1147"/>
  <c r="H1147"/>
  <c r="I1147"/>
  <c r="J1147"/>
  <c r="K1147"/>
  <c r="N1147"/>
  <c r="O1147"/>
  <c r="P1147"/>
  <c r="Q1147"/>
  <c r="R1147"/>
  <c r="U1147"/>
  <c r="V1147"/>
  <c r="W1147"/>
  <c r="X1147"/>
  <c r="Y1147"/>
  <c r="AB1147"/>
  <c r="AC1147"/>
  <c r="AD1147"/>
  <c r="AE1147"/>
  <c r="AF1147"/>
  <c r="G1148"/>
  <c r="H1148"/>
  <c r="I1148"/>
  <c r="J1148"/>
  <c r="K1148"/>
  <c r="N1148"/>
  <c r="O1148"/>
  <c r="P1148"/>
  <c r="Q1148"/>
  <c r="R1148"/>
  <c r="U1148"/>
  <c r="V1148"/>
  <c r="W1148"/>
  <c r="X1148"/>
  <c r="Y1148"/>
  <c r="AB1148"/>
  <c r="AC1148"/>
  <c r="AD1148"/>
  <c r="AE1148"/>
  <c r="AF1148"/>
  <c r="G1149"/>
  <c r="H1149"/>
  <c r="I1149"/>
  <c r="J1149"/>
  <c r="K1149"/>
  <c r="N1149"/>
  <c r="O1149"/>
  <c r="P1149"/>
  <c r="Q1149"/>
  <c r="R1149"/>
  <c r="U1149"/>
  <c r="V1149"/>
  <c r="W1149"/>
  <c r="X1149"/>
  <c r="Y1149"/>
  <c r="AB1149"/>
  <c r="AC1149"/>
  <c r="AD1149"/>
  <c r="AE1149"/>
  <c r="AF1149"/>
  <c r="G1150"/>
  <c r="H1150"/>
  <c r="I1150"/>
  <c r="J1150"/>
  <c r="K1150"/>
  <c r="N1150"/>
  <c r="O1150"/>
  <c r="P1150"/>
  <c r="Q1150"/>
  <c r="R1150"/>
  <c r="U1150"/>
  <c r="V1150"/>
  <c r="W1150"/>
  <c r="X1150"/>
  <c r="Y1150"/>
  <c r="AB1150"/>
  <c r="AC1150"/>
  <c r="AD1150"/>
  <c r="AE1150"/>
  <c r="AF1150"/>
  <c r="F1151"/>
  <c r="G1151"/>
  <c r="H1151"/>
  <c r="I1151"/>
  <c r="J1151"/>
  <c r="K1151"/>
  <c r="N1151"/>
  <c r="O1151"/>
  <c r="P1151"/>
  <c r="Q1151"/>
  <c r="R1151"/>
  <c r="U1151"/>
  <c r="V1151"/>
  <c r="W1151"/>
  <c r="X1151"/>
  <c r="Y1151"/>
  <c r="AB1151"/>
  <c r="AC1151"/>
  <c r="AD1151"/>
  <c r="AE1151"/>
  <c r="AF1151"/>
  <c r="AN1151"/>
  <c r="AO1151"/>
  <c r="AP1151"/>
  <c r="AQ1151"/>
  <c r="F1152"/>
  <c r="L1152"/>
  <c r="S1152"/>
  <c r="Z1152"/>
  <c r="AG1152"/>
  <c r="AN1152"/>
  <c r="AO1152"/>
  <c r="AP1152"/>
  <c r="AQ1152"/>
  <c r="F1153"/>
  <c r="L1153"/>
  <c r="S1153"/>
  <c r="Z1153"/>
  <c r="AG1153"/>
  <c r="AN1153"/>
  <c r="AO1153"/>
  <c r="AP1153"/>
  <c r="AQ1153"/>
  <c r="F1154"/>
  <c r="L1154"/>
  <c r="S1154"/>
  <c r="Z1154"/>
  <c r="AG1154"/>
  <c r="AN1154"/>
  <c r="AO1154"/>
  <c r="AP1154"/>
  <c r="AQ1154"/>
  <c r="F1155"/>
  <c r="L1155"/>
  <c r="S1155"/>
  <c r="Z1155"/>
  <c r="AG1155"/>
  <c r="AN1155"/>
  <c r="AO1155"/>
  <c r="AP1155"/>
  <c r="AQ1155"/>
  <c r="F1156"/>
  <c r="L1156"/>
  <c r="S1156"/>
  <c r="Z1156"/>
  <c r="AG1156"/>
  <c r="AN1156"/>
  <c r="AO1156"/>
  <c r="AP1156"/>
  <c r="AQ1156"/>
  <c r="F1157"/>
  <c r="L1157"/>
  <c r="S1157"/>
  <c r="Z1157"/>
  <c r="AG1157"/>
  <c r="AN1157"/>
  <c r="AO1157"/>
  <c r="AP1157"/>
  <c r="AQ1157"/>
  <c r="G1159"/>
  <c r="H1159"/>
  <c r="I1159"/>
  <c r="J1159"/>
  <c r="K1159"/>
  <c r="N1159"/>
  <c r="O1159"/>
  <c r="P1159"/>
  <c r="Q1159"/>
  <c r="R1159"/>
  <c r="U1159"/>
  <c r="V1159"/>
  <c r="W1159"/>
  <c r="X1159"/>
  <c r="Y1159"/>
  <c r="AB1159"/>
  <c r="AC1159"/>
  <c r="AD1159"/>
  <c r="AE1159"/>
  <c r="AF1159"/>
  <c r="AJ1159"/>
  <c r="AK1159"/>
  <c r="AL1159"/>
  <c r="G1160"/>
  <c r="H1160"/>
  <c r="I1160"/>
  <c r="J1160"/>
  <c r="K1160"/>
  <c r="N1160"/>
  <c r="O1160"/>
  <c r="P1160"/>
  <c r="Q1160"/>
  <c r="R1160"/>
  <c r="U1160"/>
  <c r="V1160"/>
  <c r="W1160"/>
  <c r="X1160"/>
  <c r="Y1160"/>
  <c r="AB1160"/>
  <c r="AC1160"/>
  <c r="AD1160"/>
  <c r="AE1160"/>
  <c r="AF1160"/>
  <c r="G1161"/>
  <c r="H1161"/>
  <c r="I1161"/>
  <c r="J1161"/>
  <c r="K1161"/>
  <c r="N1161"/>
  <c r="O1161"/>
  <c r="P1161"/>
  <c r="Q1161"/>
  <c r="R1161"/>
  <c r="U1161"/>
  <c r="V1161"/>
  <c r="W1161"/>
  <c r="X1161"/>
  <c r="Y1161"/>
  <c r="AB1161"/>
  <c r="AC1161"/>
  <c r="AD1161"/>
  <c r="AE1161"/>
  <c r="AF1161"/>
  <c r="G1162"/>
  <c r="H1162"/>
  <c r="I1162"/>
  <c r="J1162"/>
  <c r="K1162"/>
  <c r="N1162"/>
  <c r="O1162"/>
  <c r="P1162"/>
  <c r="Q1162"/>
  <c r="R1162"/>
  <c r="U1162"/>
  <c r="V1162"/>
  <c r="W1162"/>
  <c r="X1162"/>
  <c r="Y1162"/>
  <c r="AB1162"/>
  <c r="AC1162"/>
  <c r="AD1162"/>
  <c r="AE1162"/>
  <c r="AF1162"/>
  <c r="G1163"/>
  <c r="H1163"/>
  <c r="I1163"/>
  <c r="J1163"/>
  <c r="K1163"/>
  <c r="N1163"/>
  <c r="O1163"/>
  <c r="P1163"/>
  <c r="Q1163"/>
  <c r="R1163"/>
  <c r="U1163"/>
  <c r="V1163"/>
  <c r="W1163"/>
  <c r="X1163"/>
  <c r="Y1163"/>
  <c r="AB1163"/>
  <c r="AC1163"/>
  <c r="AD1163"/>
  <c r="AE1163"/>
  <c r="AF1163"/>
  <c r="F1164"/>
  <c r="G1164"/>
  <c r="H1164"/>
  <c r="I1164"/>
  <c r="J1164"/>
  <c r="K1164"/>
  <c r="N1164"/>
  <c r="O1164"/>
  <c r="P1164"/>
  <c r="Q1164"/>
  <c r="R1164"/>
  <c r="U1164"/>
  <c r="V1164"/>
  <c r="W1164"/>
  <c r="X1164"/>
  <c r="Y1164"/>
  <c r="AB1164"/>
  <c r="AC1164"/>
  <c r="AD1164"/>
  <c r="AE1164"/>
  <c r="AF1164"/>
  <c r="AN1164"/>
  <c r="AO1164"/>
  <c r="AP1164"/>
  <c r="AQ1164"/>
  <c r="F1165"/>
  <c r="L1165"/>
  <c r="S1165"/>
  <c r="Z1165"/>
  <c r="AG1165"/>
  <c r="AN1165"/>
  <c r="AO1165"/>
  <c r="AP1165"/>
  <c r="AQ1165"/>
  <c r="F1166"/>
  <c r="L1166"/>
  <c r="S1166"/>
  <c r="Z1166"/>
  <c r="AG1166"/>
  <c r="AN1166"/>
  <c r="AO1166"/>
  <c r="AP1166"/>
  <c r="AQ1166"/>
  <c r="F1167"/>
  <c r="L1167"/>
  <c r="S1167"/>
  <c r="Z1167"/>
  <c r="AG1167"/>
  <c r="AN1167"/>
  <c r="AO1167"/>
  <c r="AP1167"/>
  <c r="AQ1167"/>
  <c r="F1168"/>
  <c r="L1168"/>
  <c r="S1168"/>
  <c r="Z1168"/>
  <c r="AG1168"/>
  <c r="AN1168"/>
  <c r="AO1168"/>
  <c r="AP1168"/>
  <c r="AQ1168"/>
  <c r="F1169"/>
  <c r="L1169"/>
  <c r="S1169"/>
  <c r="Z1169"/>
  <c r="AG1169"/>
  <c r="AN1169"/>
  <c r="AO1169"/>
  <c r="AP1169"/>
  <c r="AQ1169"/>
  <c r="F1170"/>
  <c r="L1170"/>
  <c r="S1170"/>
  <c r="Z1170"/>
  <c r="AG1170"/>
  <c r="AN1170"/>
  <c r="AO1170"/>
  <c r="AP1170"/>
  <c r="AQ1170"/>
  <c r="G1172"/>
  <c r="H1172"/>
  <c r="I1172"/>
  <c r="J1172"/>
  <c r="K1172"/>
  <c r="N1172"/>
  <c r="O1172"/>
  <c r="P1172"/>
  <c r="Q1172"/>
  <c r="R1172"/>
  <c r="U1172"/>
  <c r="V1172"/>
  <c r="W1172"/>
  <c r="X1172"/>
  <c r="Y1172"/>
  <c r="AB1172"/>
  <c r="AC1172"/>
  <c r="AD1172"/>
  <c r="AE1172"/>
  <c r="AF1172"/>
  <c r="AJ1172"/>
  <c r="AK1172"/>
  <c r="AL1172"/>
  <c r="G1173"/>
  <c r="H1173"/>
  <c r="I1173"/>
  <c r="J1173"/>
  <c r="K1173"/>
  <c r="N1173"/>
  <c r="O1173"/>
  <c r="P1173"/>
  <c r="Q1173"/>
  <c r="R1173"/>
  <c r="U1173"/>
  <c r="V1173"/>
  <c r="W1173"/>
  <c r="X1173"/>
  <c r="Y1173"/>
  <c r="AB1173"/>
  <c r="AC1173"/>
  <c r="AD1173"/>
  <c r="AE1173"/>
  <c r="AF1173"/>
  <c r="G1174"/>
  <c r="H1174"/>
  <c r="I1174"/>
  <c r="J1174"/>
  <c r="K1174"/>
  <c r="N1174"/>
  <c r="O1174"/>
  <c r="P1174"/>
  <c r="Q1174"/>
  <c r="R1174"/>
  <c r="U1174"/>
  <c r="V1174"/>
  <c r="W1174"/>
  <c r="X1174"/>
  <c r="Y1174"/>
  <c r="AB1174"/>
  <c r="AC1174"/>
  <c r="AD1174"/>
  <c r="AE1174"/>
  <c r="AF1174"/>
  <c r="G1175"/>
  <c r="H1175"/>
  <c r="I1175"/>
  <c r="J1175"/>
  <c r="K1175"/>
  <c r="N1175"/>
  <c r="O1175"/>
  <c r="P1175"/>
  <c r="Q1175"/>
  <c r="R1175"/>
  <c r="U1175"/>
  <c r="V1175"/>
  <c r="W1175"/>
  <c r="X1175"/>
  <c r="Y1175"/>
  <c r="AB1175"/>
  <c r="AC1175"/>
  <c r="AD1175"/>
  <c r="AE1175"/>
  <c r="AF1175"/>
  <c r="G1176"/>
  <c r="H1176"/>
  <c r="I1176"/>
  <c r="J1176"/>
  <c r="K1176"/>
  <c r="N1176"/>
  <c r="O1176"/>
  <c r="P1176"/>
  <c r="Q1176"/>
  <c r="R1176"/>
  <c r="U1176"/>
  <c r="V1176"/>
  <c r="W1176"/>
  <c r="X1176"/>
  <c r="Y1176"/>
  <c r="AB1176"/>
  <c r="AC1176"/>
  <c r="AD1176"/>
  <c r="AE1176"/>
  <c r="AF1176"/>
  <c r="F1177"/>
  <c r="G1177"/>
  <c r="H1177"/>
  <c r="I1177"/>
  <c r="J1177"/>
  <c r="K1177"/>
  <c r="N1177"/>
  <c r="O1177"/>
  <c r="P1177"/>
  <c r="Q1177"/>
  <c r="R1177"/>
  <c r="U1177"/>
  <c r="V1177"/>
  <c r="W1177"/>
  <c r="X1177"/>
  <c r="Y1177"/>
  <c r="AB1177"/>
  <c r="AC1177"/>
  <c r="AD1177"/>
  <c r="AE1177"/>
  <c r="AF1177"/>
  <c r="AN1177"/>
  <c r="AO1177"/>
  <c r="AP1177"/>
  <c r="AQ1177"/>
  <c r="F1178"/>
  <c r="L1178"/>
  <c r="S1178"/>
  <c r="Z1178"/>
  <c r="AG1178"/>
  <c r="AN1178"/>
  <c r="AO1178"/>
  <c r="AP1178"/>
  <c r="AQ1178"/>
  <c r="F1179"/>
  <c r="L1179"/>
  <c r="S1179"/>
  <c r="Z1179"/>
  <c r="AG1179"/>
  <c r="AN1179"/>
  <c r="AO1179"/>
  <c r="AP1179"/>
  <c r="AQ1179"/>
  <c r="F1180"/>
  <c r="L1180"/>
  <c r="S1180"/>
  <c r="Z1180"/>
  <c r="AG1180"/>
  <c r="AN1180"/>
  <c r="AO1180"/>
  <c r="AP1180"/>
  <c r="AQ1180"/>
  <c r="F1181"/>
  <c r="L1181"/>
  <c r="S1181"/>
  <c r="Z1181"/>
  <c r="AG1181"/>
  <c r="AN1181"/>
  <c r="AO1181"/>
  <c r="AP1181"/>
  <c r="AQ1181"/>
  <c r="F1182"/>
  <c r="L1182"/>
  <c r="S1182"/>
  <c r="Z1182"/>
  <c r="AG1182"/>
  <c r="AN1182"/>
  <c r="AO1182"/>
  <c r="AP1182"/>
  <c r="AQ1182"/>
  <c r="F1183"/>
  <c r="L1183"/>
  <c r="S1183"/>
  <c r="Z1183"/>
  <c r="AG1183"/>
  <c r="AN1183"/>
  <c r="AO1183"/>
  <c r="AP1183"/>
  <c r="AQ1183"/>
  <c r="G1185"/>
  <c r="H1185"/>
  <c r="I1185"/>
  <c r="J1185"/>
  <c r="K1185"/>
  <c r="N1185"/>
  <c r="O1185"/>
  <c r="P1185"/>
  <c r="Q1185"/>
  <c r="R1185"/>
  <c r="U1185"/>
  <c r="V1185"/>
  <c r="W1185"/>
  <c r="X1185"/>
  <c r="Y1185"/>
  <c r="AB1185"/>
  <c r="AC1185"/>
  <c r="AD1185"/>
  <c r="AE1185"/>
  <c r="AF1185"/>
  <c r="AJ1185"/>
  <c r="AK1185"/>
  <c r="AL1185"/>
  <c r="G1186"/>
  <c r="H1186"/>
  <c r="I1186"/>
  <c r="J1186"/>
  <c r="K1186"/>
  <c r="N1186"/>
  <c r="O1186"/>
  <c r="P1186"/>
  <c r="Q1186"/>
  <c r="R1186"/>
  <c r="U1186"/>
  <c r="V1186"/>
  <c r="W1186"/>
  <c r="X1186"/>
  <c r="Y1186"/>
  <c r="AB1186"/>
  <c r="AC1186"/>
  <c r="AD1186"/>
  <c r="AE1186"/>
  <c r="AF1186"/>
  <c r="G1187"/>
  <c r="H1187"/>
  <c r="I1187"/>
  <c r="J1187"/>
  <c r="K1187"/>
  <c r="N1187"/>
  <c r="O1187"/>
  <c r="P1187"/>
  <c r="Q1187"/>
  <c r="R1187"/>
  <c r="U1187"/>
  <c r="V1187"/>
  <c r="W1187"/>
  <c r="X1187"/>
  <c r="Y1187"/>
  <c r="AB1187"/>
  <c r="AC1187"/>
  <c r="AD1187"/>
  <c r="AE1187"/>
  <c r="AF1187"/>
  <c r="G1188"/>
  <c r="H1188"/>
  <c r="I1188"/>
  <c r="J1188"/>
  <c r="K1188"/>
  <c r="N1188"/>
  <c r="O1188"/>
  <c r="P1188"/>
  <c r="Q1188"/>
  <c r="R1188"/>
  <c r="U1188"/>
  <c r="V1188"/>
  <c r="W1188"/>
  <c r="X1188"/>
  <c r="Y1188"/>
  <c r="AB1188"/>
  <c r="AC1188"/>
  <c r="AD1188"/>
  <c r="AE1188"/>
  <c r="AF1188"/>
  <c r="G1189"/>
  <c r="H1189"/>
  <c r="I1189"/>
  <c r="J1189"/>
  <c r="K1189"/>
  <c r="N1189"/>
  <c r="O1189"/>
  <c r="P1189"/>
  <c r="Q1189"/>
  <c r="R1189"/>
  <c r="U1189"/>
  <c r="V1189"/>
  <c r="W1189"/>
  <c r="X1189"/>
  <c r="Y1189"/>
  <c r="AB1189"/>
  <c r="AC1189"/>
  <c r="AD1189"/>
  <c r="AE1189"/>
  <c r="AF1189"/>
  <c r="F1190"/>
  <c r="G1190"/>
  <c r="H1190"/>
  <c r="I1190"/>
  <c r="J1190"/>
  <c r="K1190"/>
  <c r="N1190"/>
  <c r="O1190"/>
  <c r="P1190"/>
  <c r="Q1190"/>
  <c r="R1190"/>
  <c r="U1190"/>
  <c r="V1190"/>
  <c r="W1190"/>
  <c r="X1190"/>
  <c r="Y1190"/>
  <c r="AB1190"/>
  <c r="AC1190"/>
  <c r="AD1190"/>
  <c r="AE1190"/>
  <c r="AF1190"/>
  <c r="AN1190"/>
  <c r="AO1190"/>
  <c r="AP1190"/>
  <c r="AQ1190"/>
  <c r="F1191"/>
  <c r="L1191"/>
  <c r="S1191"/>
  <c r="Z1191"/>
  <c r="AG1191"/>
  <c r="AN1191"/>
  <c r="AO1191"/>
  <c r="AP1191"/>
  <c r="AQ1191"/>
  <c r="F1192"/>
  <c r="L1192"/>
  <c r="S1192"/>
  <c r="Z1192"/>
  <c r="AG1192"/>
  <c r="AN1192"/>
  <c r="AO1192"/>
  <c r="AP1192"/>
  <c r="AQ1192"/>
  <c r="F1193"/>
  <c r="L1193"/>
  <c r="S1193"/>
  <c r="Z1193"/>
  <c r="AG1193"/>
  <c r="AN1193"/>
  <c r="AO1193"/>
  <c r="AP1193"/>
  <c r="AQ1193"/>
  <c r="F1194"/>
  <c r="L1194"/>
  <c r="S1194"/>
  <c r="Z1194"/>
  <c r="AG1194"/>
  <c r="AN1194"/>
  <c r="AO1194"/>
  <c r="AP1194"/>
  <c r="AQ1194"/>
  <c r="F1195"/>
  <c r="L1195"/>
  <c r="S1195"/>
  <c r="Z1195"/>
  <c r="AG1195"/>
  <c r="AN1195"/>
  <c r="AO1195"/>
  <c r="AP1195"/>
  <c r="AQ1195"/>
  <c r="F1196"/>
  <c r="L1196"/>
  <c r="S1196"/>
  <c r="Z1196"/>
  <c r="AG1196"/>
  <c r="AN1196"/>
  <c r="AO1196"/>
  <c r="AP1196"/>
  <c r="AQ1196"/>
  <c r="G1198"/>
  <c r="H1198"/>
  <c r="I1198"/>
  <c r="J1198"/>
  <c r="K1198"/>
  <c r="N1198"/>
  <c r="O1198"/>
  <c r="P1198"/>
  <c r="Q1198"/>
  <c r="R1198"/>
  <c r="U1198"/>
  <c r="V1198"/>
  <c r="W1198"/>
  <c r="X1198"/>
  <c r="Y1198"/>
  <c r="AB1198"/>
  <c r="AC1198"/>
  <c r="AD1198"/>
  <c r="AE1198"/>
  <c r="AF1198"/>
  <c r="AJ1198"/>
  <c r="AK1198"/>
  <c r="AL1198"/>
  <c r="G1199"/>
  <c r="H1199"/>
  <c r="I1199"/>
  <c r="J1199"/>
  <c r="K1199"/>
  <c r="N1199"/>
  <c r="O1199"/>
  <c r="P1199"/>
  <c r="Q1199"/>
  <c r="R1199"/>
  <c r="U1199"/>
  <c r="V1199"/>
  <c r="W1199"/>
  <c r="X1199"/>
  <c r="Y1199"/>
  <c r="AB1199"/>
  <c r="AC1199"/>
  <c r="AD1199"/>
  <c r="AE1199"/>
  <c r="AF1199"/>
  <c r="G1200"/>
  <c r="H1200"/>
  <c r="I1200"/>
  <c r="J1200"/>
  <c r="K1200"/>
  <c r="N1200"/>
  <c r="O1200"/>
  <c r="P1200"/>
  <c r="Q1200"/>
  <c r="R1200"/>
  <c r="U1200"/>
  <c r="V1200"/>
  <c r="W1200"/>
  <c r="X1200"/>
  <c r="Y1200"/>
  <c r="AB1200"/>
  <c r="AC1200"/>
  <c r="AD1200"/>
  <c r="AE1200"/>
  <c r="AF1200"/>
  <c r="G1201"/>
  <c r="H1201"/>
  <c r="I1201"/>
  <c r="J1201"/>
  <c r="K1201"/>
  <c r="N1201"/>
  <c r="O1201"/>
  <c r="P1201"/>
  <c r="Q1201"/>
  <c r="R1201"/>
  <c r="U1201"/>
  <c r="V1201"/>
  <c r="W1201"/>
  <c r="X1201"/>
  <c r="Y1201"/>
  <c r="AB1201"/>
  <c r="AC1201"/>
  <c r="AD1201"/>
  <c r="AE1201"/>
  <c r="AF1201"/>
  <c r="G1202"/>
  <c r="H1202"/>
  <c r="I1202"/>
  <c r="J1202"/>
  <c r="K1202"/>
  <c r="N1202"/>
  <c r="O1202"/>
  <c r="P1202"/>
  <c r="Q1202"/>
  <c r="R1202"/>
  <c r="U1202"/>
  <c r="V1202"/>
  <c r="W1202"/>
  <c r="X1202"/>
  <c r="Y1202"/>
  <c r="AB1202"/>
  <c r="AC1202"/>
  <c r="AD1202"/>
  <c r="AE1202"/>
  <c r="AF1202"/>
  <c r="F1203"/>
  <c r="G1203"/>
  <c r="H1203"/>
  <c r="I1203"/>
  <c r="J1203"/>
  <c r="K1203"/>
  <c r="N1203"/>
  <c r="O1203"/>
  <c r="P1203"/>
  <c r="Q1203"/>
  <c r="R1203"/>
  <c r="U1203"/>
  <c r="V1203"/>
  <c r="W1203"/>
  <c r="X1203"/>
  <c r="Y1203"/>
  <c r="AB1203"/>
  <c r="AC1203"/>
  <c r="AD1203"/>
  <c r="AE1203"/>
  <c r="AF1203"/>
  <c r="AN1203"/>
  <c r="AO1203"/>
  <c r="AP1203"/>
  <c r="AQ1203"/>
  <c r="F1204"/>
  <c r="L1204"/>
  <c r="S1204"/>
  <c r="Z1204"/>
  <c r="AG1204"/>
  <c r="AN1204"/>
  <c r="AO1204"/>
  <c r="AP1204"/>
  <c r="AQ1204"/>
  <c r="F1205"/>
  <c r="L1205"/>
  <c r="S1205"/>
  <c r="Z1205"/>
  <c r="AG1205"/>
  <c r="AN1205"/>
  <c r="AO1205"/>
  <c r="AP1205"/>
  <c r="AQ1205"/>
  <c r="F1206"/>
  <c r="L1206"/>
  <c r="S1206"/>
  <c r="Z1206"/>
  <c r="AG1206"/>
  <c r="AN1206"/>
  <c r="AO1206"/>
  <c r="AP1206"/>
  <c r="AQ1206"/>
  <c r="F1207"/>
  <c r="L1207"/>
  <c r="S1207"/>
  <c r="Z1207"/>
  <c r="AG1207"/>
  <c r="AN1207"/>
  <c r="AO1207"/>
  <c r="AP1207"/>
  <c r="AQ1207"/>
  <c r="F1208"/>
  <c r="L1208"/>
  <c r="S1208"/>
  <c r="Z1208"/>
  <c r="AG1208"/>
  <c r="AN1208"/>
  <c r="AO1208"/>
  <c r="AP1208"/>
  <c r="AQ1208"/>
  <c r="F1209"/>
  <c r="L1209"/>
  <c r="S1209"/>
  <c r="Z1209"/>
  <c r="AG1209"/>
  <c r="AN1209"/>
  <c r="AO1209"/>
  <c r="AP1209"/>
  <c r="AQ1209"/>
  <c r="G1211"/>
  <c r="H1211"/>
  <c r="I1211"/>
  <c r="J1211"/>
  <c r="K1211"/>
  <c r="N1211"/>
  <c r="O1211"/>
  <c r="P1211"/>
  <c r="Q1211"/>
  <c r="R1211"/>
  <c r="U1211"/>
  <c r="V1211"/>
  <c r="W1211"/>
  <c r="X1211"/>
  <c r="Y1211"/>
  <c r="AB1211"/>
  <c r="AC1211"/>
  <c r="AD1211"/>
  <c r="AE1211"/>
  <c r="AF1211"/>
  <c r="AJ1211"/>
  <c r="AK1211"/>
  <c r="AL1211"/>
  <c r="G1212"/>
  <c r="H1212"/>
  <c r="I1212"/>
  <c r="J1212"/>
  <c r="K1212"/>
  <c r="N1212"/>
  <c r="O1212"/>
  <c r="P1212"/>
  <c r="Q1212"/>
  <c r="R1212"/>
  <c r="U1212"/>
  <c r="V1212"/>
  <c r="W1212"/>
  <c r="X1212"/>
  <c r="Y1212"/>
  <c r="AB1212"/>
  <c r="AC1212"/>
  <c r="AD1212"/>
  <c r="AE1212"/>
  <c r="AF1212"/>
  <c r="G1213"/>
  <c r="H1213"/>
  <c r="I1213"/>
  <c r="J1213"/>
  <c r="K1213"/>
  <c r="N1213"/>
  <c r="O1213"/>
  <c r="P1213"/>
  <c r="Q1213"/>
  <c r="R1213"/>
  <c r="U1213"/>
  <c r="V1213"/>
  <c r="W1213"/>
  <c r="X1213"/>
  <c r="Y1213"/>
  <c r="AB1213"/>
  <c r="AC1213"/>
  <c r="AD1213"/>
  <c r="AE1213"/>
  <c r="AF1213"/>
  <c r="G1214"/>
  <c r="H1214"/>
  <c r="I1214"/>
  <c r="J1214"/>
  <c r="K1214"/>
  <c r="N1214"/>
  <c r="O1214"/>
  <c r="P1214"/>
  <c r="Q1214"/>
  <c r="R1214"/>
  <c r="U1214"/>
  <c r="V1214"/>
  <c r="W1214"/>
  <c r="X1214"/>
  <c r="Y1214"/>
  <c r="AB1214"/>
  <c r="AC1214"/>
  <c r="AD1214"/>
  <c r="AE1214"/>
  <c r="AF1214"/>
  <c r="G1215"/>
  <c r="H1215"/>
  <c r="I1215"/>
  <c r="J1215"/>
  <c r="K1215"/>
  <c r="N1215"/>
  <c r="O1215"/>
  <c r="P1215"/>
  <c r="Q1215"/>
  <c r="R1215"/>
  <c r="U1215"/>
  <c r="V1215"/>
  <c r="W1215"/>
  <c r="X1215"/>
  <c r="Y1215"/>
  <c r="AB1215"/>
  <c r="AC1215"/>
  <c r="AD1215"/>
  <c r="AE1215"/>
  <c r="AF1215"/>
  <c r="F1216"/>
  <c r="G1216"/>
  <c r="H1216"/>
  <c r="I1216"/>
  <c r="J1216"/>
  <c r="K1216"/>
  <c r="N1216"/>
  <c r="O1216"/>
  <c r="P1216"/>
  <c r="Q1216"/>
  <c r="R1216"/>
  <c r="U1216"/>
  <c r="V1216"/>
  <c r="W1216"/>
  <c r="X1216"/>
  <c r="Y1216"/>
  <c r="AB1216"/>
  <c r="AC1216"/>
  <c r="AD1216"/>
  <c r="AE1216"/>
  <c r="AF1216"/>
  <c r="AN1216"/>
  <c r="AO1216"/>
  <c r="AP1216"/>
  <c r="AQ1216"/>
  <c r="F1217"/>
  <c r="L1217"/>
  <c r="S1217"/>
  <c r="Z1217"/>
  <c r="AG1217"/>
  <c r="AN1217"/>
  <c r="AO1217"/>
  <c r="AP1217"/>
  <c r="AQ1217"/>
  <c r="F1218"/>
  <c r="L1218"/>
  <c r="S1218"/>
  <c r="Z1218"/>
  <c r="AG1218"/>
  <c r="AN1218"/>
  <c r="AO1218"/>
  <c r="AP1218"/>
  <c r="AQ1218"/>
  <c r="F1219"/>
  <c r="L1219"/>
  <c r="S1219"/>
  <c r="Z1219"/>
  <c r="AG1219"/>
  <c r="AN1219"/>
  <c r="AO1219"/>
  <c r="AP1219"/>
  <c r="AQ1219"/>
  <c r="F1220"/>
  <c r="L1220"/>
  <c r="S1220"/>
  <c r="Z1220"/>
  <c r="AG1220"/>
  <c r="AN1220"/>
  <c r="AO1220"/>
  <c r="AP1220"/>
  <c r="AQ1220"/>
  <c r="F1221"/>
  <c r="L1221"/>
  <c r="S1221"/>
  <c r="Z1221"/>
  <c r="AG1221"/>
  <c r="AN1221"/>
  <c r="AO1221"/>
  <c r="AP1221"/>
  <c r="AQ1221"/>
  <c r="F1222"/>
  <c r="L1222"/>
  <c r="S1222"/>
  <c r="Z1222"/>
  <c r="AG1222"/>
  <c r="AN1222"/>
  <c r="AO1222"/>
  <c r="AP1222"/>
  <c r="AQ1222"/>
  <c r="G1224"/>
  <c r="H1224"/>
  <c r="I1224"/>
  <c r="J1224"/>
  <c r="K1224"/>
  <c r="N1224"/>
  <c r="O1224"/>
  <c r="P1224"/>
  <c r="Q1224"/>
  <c r="R1224"/>
  <c r="U1224"/>
  <c r="V1224"/>
  <c r="W1224"/>
  <c r="X1224"/>
  <c r="Y1224"/>
  <c r="AB1224"/>
  <c r="AC1224"/>
  <c r="AD1224"/>
  <c r="AE1224"/>
  <c r="AF1224"/>
  <c r="AJ1224"/>
  <c r="AK1224"/>
  <c r="AL1224"/>
  <c r="G1225"/>
  <c r="H1225"/>
  <c r="I1225"/>
  <c r="J1225"/>
  <c r="K1225"/>
  <c r="N1225"/>
  <c r="O1225"/>
  <c r="P1225"/>
  <c r="Q1225"/>
  <c r="R1225"/>
  <c r="U1225"/>
  <c r="V1225"/>
  <c r="W1225"/>
  <c r="X1225"/>
  <c r="Y1225"/>
  <c r="AB1225"/>
  <c r="AC1225"/>
  <c r="AD1225"/>
  <c r="AE1225"/>
  <c r="AF1225"/>
  <c r="G1226"/>
  <c r="H1226"/>
  <c r="I1226"/>
  <c r="J1226"/>
  <c r="K1226"/>
  <c r="N1226"/>
  <c r="O1226"/>
  <c r="P1226"/>
  <c r="Q1226"/>
  <c r="R1226"/>
  <c r="U1226"/>
  <c r="V1226"/>
  <c r="W1226"/>
  <c r="X1226"/>
  <c r="Y1226"/>
  <c r="AB1226"/>
  <c r="AC1226"/>
  <c r="AD1226"/>
  <c r="AE1226"/>
  <c r="AF1226"/>
  <c r="G1227"/>
  <c r="H1227"/>
  <c r="I1227"/>
  <c r="J1227"/>
  <c r="K1227"/>
  <c r="N1227"/>
  <c r="O1227"/>
  <c r="P1227"/>
  <c r="Q1227"/>
  <c r="R1227"/>
  <c r="U1227"/>
  <c r="V1227"/>
  <c r="W1227"/>
  <c r="X1227"/>
  <c r="Y1227"/>
  <c r="AB1227"/>
  <c r="AC1227"/>
  <c r="AD1227"/>
  <c r="AE1227"/>
  <c r="AF1227"/>
  <c r="G1228"/>
  <c r="H1228"/>
  <c r="I1228"/>
  <c r="J1228"/>
  <c r="K1228"/>
  <c r="N1228"/>
  <c r="O1228"/>
  <c r="P1228"/>
  <c r="Q1228"/>
  <c r="R1228"/>
  <c r="U1228"/>
  <c r="V1228"/>
  <c r="W1228"/>
  <c r="X1228"/>
  <c r="Y1228"/>
  <c r="AB1228"/>
  <c r="AC1228"/>
  <c r="AD1228"/>
  <c r="AE1228"/>
  <c r="AF1228"/>
  <c r="F1229"/>
  <c r="G1229"/>
  <c r="H1229"/>
  <c r="I1229"/>
  <c r="J1229"/>
  <c r="K1229"/>
  <c r="N1229"/>
  <c r="O1229"/>
  <c r="P1229"/>
  <c r="Q1229"/>
  <c r="R1229"/>
  <c r="U1229"/>
  <c r="V1229"/>
  <c r="W1229"/>
  <c r="X1229"/>
  <c r="Y1229"/>
  <c r="AB1229"/>
  <c r="AC1229"/>
  <c r="AD1229"/>
  <c r="AE1229"/>
  <c r="AF1229"/>
  <c r="AN1229"/>
  <c r="AO1229"/>
  <c r="AP1229"/>
  <c r="AQ1229"/>
  <c r="F1230"/>
  <c r="L1230"/>
  <c r="S1230"/>
  <c r="Z1230"/>
  <c r="AG1230"/>
  <c r="AN1230"/>
  <c r="AO1230"/>
  <c r="AP1230"/>
  <c r="AQ1230"/>
  <c r="F1231"/>
  <c r="L1231"/>
  <c r="S1231"/>
  <c r="Z1231"/>
  <c r="AG1231"/>
  <c r="AN1231"/>
  <c r="AO1231"/>
  <c r="AP1231"/>
  <c r="AQ1231"/>
  <c r="F1232"/>
  <c r="L1232"/>
  <c r="S1232"/>
  <c r="Z1232"/>
  <c r="AG1232"/>
  <c r="AN1232"/>
  <c r="AO1232"/>
  <c r="AP1232"/>
  <c r="AQ1232"/>
  <c r="F1233"/>
  <c r="L1233"/>
  <c r="S1233"/>
  <c r="Z1233"/>
  <c r="AG1233"/>
  <c r="AN1233"/>
  <c r="AO1233"/>
  <c r="AP1233"/>
  <c r="AQ1233"/>
  <c r="F1234"/>
  <c r="L1234"/>
  <c r="S1234"/>
  <c r="Z1234"/>
  <c r="AG1234"/>
  <c r="AN1234"/>
  <c r="AO1234"/>
  <c r="AP1234"/>
  <c r="AQ1234"/>
  <c r="F1235"/>
  <c r="L1235"/>
  <c r="S1235"/>
  <c r="Z1235"/>
  <c r="AG1235"/>
  <c r="AN1235"/>
  <c r="AO1235"/>
  <c r="AP1235"/>
  <c r="AQ1235"/>
  <c r="G1237"/>
  <c r="H1237"/>
  <c r="I1237"/>
  <c r="J1237"/>
  <c r="K1237"/>
  <c r="N1237"/>
  <c r="O1237"/>
  <c r="P1237"/>
  <c r="Q1237"/>
  <c r="R1237"/>
  <c r="U1237"/>
  <c r="V1237"/>
  <c r="W1237"/>
  <c r="X1237"/>
  <c r="Y1237"/>
  <c r="AB1237"/>
  <c r="AC1237"/>
  <c r="AD1237"/>
  <c r="AE1237"/>
  <c r="AF1237"/>
  <c r="AJ1237"/>
  <c r="AK1237"/>
  <c r="AL1237"/>
  <c r="G1238"/>
  <c r="H1238"/>
  <c r="I1238"/>
  <c r="J1238"/>
  <c r="K1238"/>
  <c r="N1238"/>
  <c r="O1238"/>
  <c r="P1238"/>
  <c r="Q1238"/>
  <c r="R1238"/>
  <c r="U1238"/>
  <c r="V1238"/>
  <c r="W1238"/>
  <c r="X1238"/>
  <c r="Y1238"/>
  <c r="AB1238"/>
  <c r="AC1238"/>
  <c r="AD1238"/>
  <c r="AE1238"/>
  <c r="AF1238"/>
  <c r="G1239"/>
  <c r="H1239"/>
  <c r="I1239"/>
  <c r="J1239"/>
  <c r="K1239"/>
  <c r="N1239"/>
  <c r="O1239"/>
  <c r="P1239"/>
  <c r="Q1239"/>
  <c r="R1239"/>
  <c r="U1239"/>
  <c r="V1239"/>
  <c r="W1239"/>
  <c r="X1239"/>
  <c r="Y1239"/>
  <c r="AB1239"/>
  <c r="AC1239"/>
  <c r="AD1239"/>
  <c r="AE1239"/>
  <c r="AF1239"/>
  <c r="G1240"/>
  <c r="H1240"/>
  <c r="I1240"/>
  <c r="J1240"/>
  <c r="K1240"/>
  <c r="N1240"/>
  <c r="O1240"/>
  <c r="P1240"/>
  <c r="Q1240"/>
  <c r="R1240"/>
  <c r="U1240"/>
  <c r="V1240"/>
  <c r="W1240"/>
  <c r="X1240"/>
  <c r="Y1240"/>
  <c r="AB1240"/>
  <c r="AC1240"/>
  <c r="AD1240"/>
  <c r="AE1240"/>
  <c r="AF1240"/>
  <c r="G1241"/>
  <c r="H1241"/>
  <c r="I1241"/>
  <c r="J1241"/>
  <c r="K1241"/>
  <c r="N1241"/>
  <c r="O1241"/>
  <c r="P1241"/>
  <c r="Q1241"/>
  <c r="R1241"/>
  <c r="U1241"/>
  <c r="V1241"/>
  <c r="W1241"/>
  <c r="X1241"/>
  <c r="Y1241"/>
  <c r="AB1241"/>
  <c r="AC1241"/>
  <c r="AD1241"/>
  <c r="AE1241"/>
  <c r="AF1241"/>
  <c r="F1242"/>
  <c r="G1242"/>
  <c r="H1242"/>
  <c r="I1242"/>
  <c r="J1242"/>
  <c r="K1242"/>
  <c r="N1242"/>
  <c r="O1242"/>
  <c r="P1242"/>
  <c r="Q1242"/>
  <c r="R1242"/>
  <c r="U1242"/>
  <c r="V1242"/>
  <c r="W1242"/>
  <c r="X1242"/>
  <c r="Y1242"/>
  <c r="AB1242"/>
  <c r="AC1242"/>
  <c r="AD1242"/>
  <c r="AE1242"/>
  <c r="AF1242"/>
  <c r="AN1242"/>
  <c r="AO1242"/>
  <c r="AP1242"/>
  <c r="AQ1242"/>
  <c r="F1243"/>
  <c r="L1243"/>
  <c r="S1243"/>
  <c r="Z1243"/>
  <c r="AG1243"/>
  <c r="AN1243"/>
  <c r="AO1243"/>
  <c r="AP1243"/>
  <c r="AQ1243"/>
  <c r="F1244"/>
  <c r="L1244"/>
  <c r="S1244"/>
  <c r="Z1244"/>
  <c r="AG1244"/>
  <c r="AN1244"/>
  <c r="AO1244"/>
  <c r="AP1244"/>
  <c r="AQ1244"/>
  <c r="F1245"/>
  <c r="L1245"/>
  <c r="S1245"/>
  <c r="Z1245"/>
  <c r="AG1245"/>
  <c r="AN1245"/>
  <c r="AO1245"/>
  <c r="AP1245"/>
  <c r="AQ1245"/>
  <c r="F1246"/>
  <c r="L1246"/>
  <c r="S1246"/>
  <c r="Z1246"/>
  <c r="AG1246"/>
  <c r="AN1246"/>
  <c r="AO1246"/>
  <c r="AP1246"/>
  <c r="AQ1246"/>
  <c r="F1247"/>
  <c r="L1247"/>
  <c r="S1247"/>
  <c r="Z1247"/>
  <c r="AG1247"/>
  <c r="AN1247"/>
  <c r="AO1247"/>
  <c r="AP1247"/>
  <c r="AQ1247"/>
  <c r="F1248"/>
  <c r="L1248"/>
  <c r="S1248"/>
  <c r="Z1248"/>
  <c r="AG1248"/>
  <c r="AN1248"/>
  <c r="AO1248"/>
  <c r="AP1248"/>
  <c r="AQ1248"/>
  <c r="G1250"/>
  <c r="H1250"/>
  <c r="I1250"/>
  <c r="J1250"/>
  <c r="K1250"/>
  <c r="N1250"/>
  <c r="O1250"/>
  <c r="P1250"/>
  <c r="Q1250"/>
  <c r="R1250"/>
  <c r="U1250"/>
  <c r="V1250"/>
  <c r="W1250"/>
  <c r="X1250"/>
  <c r="Y1250"/>
  <c r="AB1250"/>
  <c r="AC1250"/>
  <c r="AD1250"/>
  <c r="AE1250"/>
  <c r="AF1250"/>
  <c r="AJ1250"/>
  <c r="AK1250"/>
  <c r="AL1250"/>
  <c r="G1251"/>
  <c r="H1251"/>
  <c r="I1251"/>
  <c r="J1251"/>
  <c r="K1251"/>
  <c r="N1251"/>
  <c r="O1251"/>
  <c r="P1251"/>
  <c r="Q1251"/>
  <c r="R1251"/>
  <c r="U1251"/>
  <c r="V1251"/>
  <c r="W1251"/>
  <c r="X1251"/>
  <c r="Y1251"/>
  <c r="AB1251"/>
  <c r="AC1251"/>
  <c r="AD1251"/>
  <c r="AE1251"/>
  <c r="AF1251"/>
  <c r="G1252"/>
  <c r="H1252"/>
  <c r="I1252"/>
  <c r="J1252"/>
  <c r="K1252"/>
  <c r="N1252"/>
  <c r="O1252"/>
  <c r="P1252"/>
  <c r="Q1252"/>
  <c r="R1252"/>
  <c r="U1252"/>
  <c r="V1252"/>
  <c r="W1252"/>
  <c r="X1252"/>
  <c r="Y1252"/>
  <c r="AB1252"/>
  <c r="AC1252"/>
  <c r="AD1252"/>
  <c r="AE1252"/>
  <c r="AF1252"/>
  <c r="G1253"/>
  <c r="H1253"/>
  <c r="I1253"/>
  <c r="J1253"/>
  <c r="K1253"/>
  <c r="N1253"/>
  <c r="O1253"/>
  <c r="P1253"/>
  <c r="Q1253"/>
  <c r="R1253"/>
  <c r="U1253"/>
  <c r="V1253"/>
  <c r="W1253"/>
  <c r="X1253"/>
  <c r="Y1253"/>
  <c r="AB1253"/>
  <c r="AC1253"/>
  <c r="AD1253"/>
  <c r="AE1253"/>
  <c r="AF1253"/>
  <c r="G1254"/>
  <c r="H1254"/>
  <c r="I1254"/>
  <c r="J1254"/>
  <c r="K1254"/>
  <c r="N1254"/>
  <c r="O1254"/>
  <c r="P1254"/>
  <c r="Q1254"/>
  <c r="R1254"/>
  <c r="U1254"/>
  <c r="V1254"/>
  <c r="W1254"/>
  <c r="X1254"/>
  <c r="Y1254"/>
  <c r="AB1254"/>
  <c r="AC1254"/>
  <c r="AD1254"/>
  <c r="AE1254"/>
  <c r="AF1254"/>
  <c r="F1255"/>
  <c r="G1255"/>
  <c r="H1255"/>
  <c r="I1255"/>
  <c r="J1255"/>
  <c r="K1255"/>
  <c r="N1255"/>
  <c r="O1255"/>
  <c r="P1255"/>
  <c r="Q1255"/>
  <c r="R1255"/>
  <c r="U1255"/>
  <c r="V1255"/>
  <c r="W1255"/>
  <c r="X1255"/>
  <c r="Y1255"/>
  <c r="AB1255"/>
  <c r="AC1255"/>
  <c r="AD1255"/>
  <c r="AE1255"/>
  <c r="AF1255"/>
  <c r="AN1255"/>
  <c r="AO1255"/>
  <c r="AP1255"/>
  <c r="AQ1255"/>
  <c r="F1256"/>
  <c r="L1256"/>
  <c r="S1256"/>
  <c r="Z1256"/>
  <c r="AG1256"/>
  <c r="AN1256"/>
  <c r="AO1256"/>
  <c r="AP1256"/>
  <c r="AQ1256"/>
  <c r="F1257"/>
  <c r="L1257"/>
  <c r="S1257"/>
  <c r="Z1257"/>
  <c r="AG1257"/>
  <c r="AN1257"/>
  <c r="AO1257"/>
  <c r="AP1257"/>
  <c r="AQ1257"/>
  <c r="F1258"/>
  <c r="L1258"/>
  <c r="S1258"/>
  <c r="Z1258"/>
  <c r="AG1258"/>
  <c r="AN1258"/>
  <c r="AO1258"/>
  <c r="AP1258"/>
  <c r="AQ1258"/>
  <c r="F1259"/>
  <c r="L1259"/>
  <c r="S1259"/>
  <c r="Z1259"/>
  <c r="AG1259"/>
  <c r="AN1259"/>
  <c r="AO1259"/>
  <c r="AP1259"/>
  <c r="AQ1259"/>
  <c r="F1260"/>
  <c r="L1260"/>
  <c r="S1260"/>
  <c r="Z1260"/>
  <c r="AG1260"/>
  <c r="AN1260"/>
  <c r="AO1260"/>
  <c r="AP1260"/>
  <c r="AQ1260"/>
  <c r="F1261"/>
  <c r="L1261"/>
  <c r="S1261"/>
  <c r="Z1261"/>
  <c r="AG1261"/>
  <c r="AN1261"/>
  <c r="AO1261"/>
  <c r="AP1261"/>
  <c r="AQ1261"/>
  <c r="G1263"/>
  <c r="H1263"/>
  <c r="I1263"/>
  <c r="J1263"/>
  <c r="K1263"/>
  <c r="N1263"/>
  <c r="O1263"/>
  <c r="P1263"/>
  <c r="Q1263"/>
  <c r="R1263"/>
  <c r="U1263"/>
  <c r="V1263"/>
  <c r="W1263"/>
  <c r="X1263"/>
  <c r="Y1263"/>
  <c r="AB1263"/>
  <c r="AC1263"/>
  <c r="AD1263"/>
  <c r="AE1263"/>
  <c r="AF1263"/>
  <c r="AJ1263"/>
  <c r="AK1263"/>
  <c r="AL1263"/>
  <c r="G1264"/>
  <c r="H1264"/>
  <c r="I1264"/>
  <c r="J1264"/>
  <c r="K1264"/>
  <c r="N1264"/>
  <c r="O1264"/>
  <c r="P1264"/>
  <c r="Q1264"/>
  <c r="R1264"/>
  <c r="U1264"/>
  <c r="V1264"/>
  <c r="W1264"/>
  <c r="X1264"/>
  <c r="Y1264"/>
  <c r="AB1264"/>
  <c r="AC1264"/>
  <c r="AD1264"/>
  <c r="AE1264"/>
  <c r="AF1264"/>
  <c r="G1265"/>
  <c r="H1265"/>
  <c r="I1265"/>
  <c r="J1265"/>
  <c r="K1265"/>
  <c r="N1265"/>
  <c r="O1265"/>
  <c r="P1265"/>
  <c r="Q1265"/>
  <c r="R1265"/>
  <c r="U1265"/>
  <c r="V1265"/>
  <c r="W1265"/>
  <c r="X1265"/>
  <c r="Y1265"/>
  <c r="AB1265"/>
  <c r="AC1265"/>
  <c r="AD1265"/>
  <c r="AE1265"/>
  <c r="AF1265"/>
  <c r="G1266"/>
  <c r="H1266"/>
  <c r="I1266"/>
  <c r="J1266"/>
  <c r="K1266"/>
  <c r="N1266"/>
  <c r="O1266"/>
  <c r="P1266"/>
  <c r="Q1266"/>
  <c r="R1266"/>
  <c r="U1266"/>
  <c r="V1266"/>
  <c r="W1266"/>
  <c r="X1266"/>
  <c r="Y1266"/>
  <c r="AB1266"/>
  <c r="AC1266"/>
  <c r="AD1266"/>
  <c r="AE1266"/>
  <c r="AF1266"/>
  <c r="G1267"/>
  <c r="H1267"/>
  <c r="I1267"/>
  <c r="J1267"/>
  <c r="K1267"/>
  <c r="N1267"/>
  <c r="O1267"/>
  <c r="P1267"/>
  <c r="Q1267"/>
  <c r="R1267"/>
  <c r="U1267"/>
  <c r="V1267"/>
  <c r="W1267"/>
  <c r="X1267"/>
  <c r="Y1267"/>
  <c r="AB1267"/>
  <c r="AC1267"/>
  <c r="AD1267"/>
  <c r="AE1267"/>
  <c r="AF1267"/>
  <c r="F1268"/>
  <c r="G1268"/>
  <c r="H1268"/>
  <c r="I1268"/>
  <c r="J1268"/>
  <c r="K1268"/>
  <c r="N1268"/>
  <c r="O1268"/>
  <c r="P1268"/>
  <c r="Q1268"/>
  <c r="R1268"/>
  <c r="U1268"/>
  <c r="V1268"/>
  <c r="W1268"/>
  <c r="X1268"/>
  <c r="Y1268"/>
  <c r="AB1268"/>
  <c r="AC1268"/>
  <c r="AD1268"/>
  <c r="AE1268"/>
  <c r="AF1268"/>
  <c r="AN1268"/>
  <c r="AO1268"/>
  <c r="AP1268"/>
  <c r="AQ1268"/>
  <c r="F1269"/>
  <c r="L1269"/>
  <c r="S1269"/>
  <c r="Z1269"/>
  <c r="AG1269"/>
  <c r="AN1269"/>
  <c r="AO1269"/>
  <c r="AP1269"/>
  <c r="AQ1269"/>
  <c r="F1270"/>
  <c r="L1270"/>
  <c r="S1270"/>
  <c r="Z1270"/>
  <c r="AG1270"/>
  <c r="AN1270"/>
  <c r="AO1270"/>
  <c r="AP1270"/>
  <c r="AQ1270"/>
  <c r="F1271"/>
  <c r="L1271"/>
  <c r="S1271"/>
  <c r="Z1271"/>
  <c r="AG1271"/>
  <c r="AN1271"/>
  <c r="AO1271"/>
  <c r="AP1271"/>
  <c r="AQ1271"/>
  <c r="F1272"/>
  <c r="L1272"/>
  <c r="S1272"/>
  <c r="Z1272"/>
  <c r="AG1272"/>
  <c r="AN1272"/>
  <c r="AO1272"/>
  <c r="AP1272"/>
  <c r="AQ1272"/>
  <c r="F1273"/>
  <c r="L1273"/>
  <c r="S1273"/>
  <c r="Z1273"/>
  <c r="AG1273"/>
  <c r="AN1273"/>
  <c r="AO1273"/>
  <c r="AP1273"/>
  <c r="AQ1273"/>
  <c r="F1274"/>
  <c r="L1274"/>
  <c r="S1274"/>
  <c r="Z1274"/>
  <c r="AG1274"/>
  <c r="AN1274"/>
  <c r="AO1274"/>
  <c r="AP1274"/>
  <c r="AQ1274"/>
  <c r="G1276"/>
  <c r="H1276"/>
  <c r="I1276"/>
  <c r="J1276"/>
  <c r="K1276"/>
  <c r="N1276"/>
  <c r="O1276"/>
  <c r="P1276"/>
  <c r="Q1276"/>
  <c r="R1276"/>
  <c r="U1276"/>
  <c r="V1276"/>
  <c r="W1276"/>
  <c r="X1276"/>
  <c r="Y1276"/>
  <c r="AB1276"/>
  <c r="AC1276"/>
  <c r="AD1276"/>
  <c r="AE1276"/>
  <c r="AF1276"/>
  <c r="AJ1276"/>
  <c r="AK1276"/>
  <c r="AL1276"/>
  <c r="G1277"/>
  <c r="H1277"/>
  <c r="I1277"/>
  <c r="J1277"/>
  <c r="K1277"/>
  <c r="N1277"/>
  <c r="O1277"/>
  <c r="P1277"/>
  <c r="Q1277"/>
  <c r="R1277"/>
  <c r="U1277"/>
  <c r="V1277"/>
  <c r="W1277"/>
  <c r="X1277"/>
  <c r="Y1277"/>
  <c r="AB1277"/>
  <c r="AC1277"/>
  <c r="AD1277"/>
  <c r="AE1277"/>
  <c r="AF1277"/>
  <c r="G1278"/>
  <c r="H1278"/>
  <c r="I1278"/>
  <c r="J1278"/>
  <c r="K1278"/>
  <c r="N1278"/>
  <c r="O1278"/>
  <c r="P1278"/>
  <c r="Q1278"/>
  <c r="R1278"/>
  <c r="U1278"/>
  <c r="V1278"/>
  <c r="W1278"/>
  <c r="X1278"/>
  <c r="Y1278"/>
  <c r="AB1278"/>
  <c r="AC1278"/>
  <c r="AD1278"/>
  <c r="AE1278"/>
  <c r="AF1278"/>
  <c r="G1279"/>
  <c r="H1279"/>
  <c r="I1279"/>
  <c r="J1279"/>
  <c r="K1279"/>
  <c r="N1279"/>
  <c r="O1279"/>
  <c r="P1279"/>
  <c r="Q1279"/>
  <c r="R1279"/>
  <c r="U1279"/>
  <c r="V1279"/>
  <c r="W1279"/>
  <c r="X1279"/>
  <c r="Y1279"/>
  <c r="AB1279"/>
  <c r="AC1279"/>
  <c r="AD1279"/>
  <c r="AE1279"/>
  <c r="AF1279"/>
  <c r="G1280"/>
  <c r="H1280"/>
  <c r="I1280"/>
  <c r="J1280"/>
  <c r="K1280"/>
  <c r="N1280"/>
  <c r="O1280"/>
  <c r="P1280"/>
  <c r="Q1280"/>
  <c r="R1280"/>
  <c r="U1280"/>
  <c r="V1280"/>
  <c r="W1280"/>
  <c r="X1280"/>
  <c r="Y1280"/>
  <c r="AB1280"/>
  <c r="AC1280"/>
  <c r="AD1280"/>
  <c r="AE1280"/>
  <c r="AF1280"/>
  <c r="F1281"/>
  <c r="G1281"/>
  <c r="H1281"/>
  <c r="I1281"/>
  <c r="J1281"/>
  <c r="K1281"/>
  <c r="N1281"/>
  <c r="O1281"/>
  <c r="P1281"/>
  <c r="Q1281"/>
  <c r="R1281"/>
  <c r="U1281"/>
  <c r="V1281"/>
  <c r="W1281"/>
  <c r="X1281"/>
  <c r="Y1281"/>
  <c r="AB1281"/>
  <c r="AC1281"/>
  <c r="AD1281"/>
  <c r="AE1281"/>
  <c r="AF1281"/>
  <c r="AN1281"/>
  <c r="AO1281"/>
  <c r="AP1281"/>
  <c r="AQ1281"/>
  <c r="F1282"/>
  <c r="L1282"/>
  <c r="S1282"/>
  <c r="Z1282"/>
  <c r="AG1282"/>
  <c r="AN1282"/>
  <c r="AO1282"/>
  <c r="AP1282"/>
  <c r="AQ1282"/>
  <c r="F1283"/>
  <c r="L1283"/>
  <c r="S1283"/>
  <c r="Z1283"/>
  <c r="AG1283"/>
  <c r="AN1283"/>
  <c r="AO1283"/>
  <c r="AP1283"/>
  <c r="AQ1283"/>
  <c r="F1284"/>
  <c r="L1284"/>
  <c r="S1284"/>
  <c r="Z1284"/>
  <c r="AG1284"/>
  <c r="AN1284"/>
  <c r="AO1284"/>
  <c r="AP1284"/>
  <c r="AQ1284"/>
  <c r="F1285"/>
  <c r="L1285"/>
  <c r="S1285"/>
  <c r="Z1285"/>
  <c r="AG1285"/>
  <c r="AN1285"/>
  <c r="AO1285"/>
  <c r="AP1285"/>
  <c r="AQ1285"/>
  <c r="F1286"/>
  <c r="L1286"/>
  <c r="S1286"/>
  <c r="Z1286"/>
  <c r="AG1286"/>
  <c r="AN1286"/>
  <c r="AO1286"/>
  <c r="AP1286"/>
  <c r="AQ1286"/>
  <c r="F1287"/>
  <c r="L1287"/>
  <c r="S1287"/>
  <c r="Z1287"/>
  <c r="AG1287"/>
  <c r="AN1287"/>
  <c r="AO1287"/>
  <c r="AP1287"/>
  <c r="AQ1287"/>
  <c r="G1289"/>
  <c r="H1289"/>
  <c r="I1289"/>
  <c r="J1289"/>
  <c r="K1289"/>
  <c r="N1289"/>
  <c r="O1289"/>
  <c r="P1289"/>
  <c r="Q1289"/>
  <c r="R1289"/>
  <c r="U1289"/>
  <c r="V1289"/>
  <c r="W1289"/>
  <c r="X1289"/>
  <c r="Y1289"/>
  <c r="AB1289"/>
  <c r="AC1289"/>
  <c r="AD1289"/>
  <c r="AE1289"/>
  <c r="AF1289"/>
  <c r="AJ1289"/>
  <c r="AK1289"/>
  <c r="AL1289"/>
  <c r="G1290"/>
  <c r="H1290"/>
  <c r="I1290"/>
  <c r="J1290"/>
  <c r="K1290"/>
  <c r="N1290"/>
  <c r="O1290"/>
  <c r="P1290"/>
  <c r="Q1290"/>
  <c r="R1290"/>
  <c r="U1290"/>
  <c r="V1290"/>
  <c r="W1290"/>
  <c r="X1290"/>
  <c r="Y1290"/>
  <c r="AB1290"/>
  <c r="AC1290"/>
  <c r="AD1290"/>
  <c r="AE1290"/>
  <c r="AF1290"/>
  <c r="G1291"/>
  <c r="H1291"/>
  <c r="I1291"/>
  <c r="J1291"/>
  <c r="K1291"/>
  <c r="N1291"/>
  <c r="O1291"/>
  <c r="P1291"/>
  <c r="Q1291"/>
  <c r="R1291"/>
  <c r="U1291"/>
  <c r="V1291"/>
  <c r="W1291"/>
  <c r="X1291"/>
  <c r="Y1291"/>
  <c r="AB1291"/>
  <c r="AC1291"/>
  <c r="AD1291"/>
  <c r="AE1291"/>
  <c r="AF1291"/>
  <c r="G1292"/>
  <c r="H1292"/>
  <c r="I1292"/>
  <c r="J1292"/>
  <c r="K1292"/>
  <c r="N1292"/>
  <c r="O1292"/>
  <c r="P1292"/>
  <c r="Q1292"/>
  <c r="R1292"/>
  <c r="U1292"/>
  <c r="V1292"/>
  <c r="W1292"/>
  <c r="X1292"/>
  <c r="Y1292"/>
  <c r="AB1292"/>
  <c r="AC1292"/>
  <c r="AD1292"/>
  <c r="AE1292"/>
  <c r="AF1292"/>
  <c r="G1293"/>
  <c r="H1293"/>
  <c r="I1293"/>
  <c r="J1293"/>
  <c r="K1293"/>
  <c r="N1293"/>
  <c r="O1293"/>
  <c r="P1293"/>
  <c r="Q1293"/>
  <c r="R1293"/>
  <c r="U1293"/>
  <c r="V1293"/>
  <c r="W1293"/>
  <c r="X1293"/>
  <c r="Y1293"/>
  <c r="AB1293"/>
  <c r="AC1293"/>
  <c r="AD1293"/>
  <c r="AE1293"/>
  <c r="AF1293"/>
  <c r="F1294"/>
  <c r="G1294"/>
  <c r="H1294"/>
  <c r="I1294"/>
  <c r="J1294"/>
  <c r="K1294"/>
  <c r="N1294"/>
  <c r="O1294"/>
  <c r="P1294"/>
  <c r="Q1294"/>
  <c r="R1294"/>
  <c r="U1294"/>
  <c r="V1294"/>
  <c r="W1294"/>
  <c r="X1294"/>
  <c r="Y1294"/>
  <c r="AB1294"/>
  <c r="AC1294"/>
  <c r="AD1294"/>
  <c r="AE1294"/>
  <c r="AF1294"/>
  <c r="AN1294"/>
  <c r="AO1294"/>
  <c r="AP1294"/>
  <c r="AQ1294"/>
  <c r="F1295"/>
  <c r="L1295"/>
  <c r="S1295"/>
  <c r="Z1295"/>
  <c r="AG1295"/>
  <c r="AN1295"/>
  <c r="AO1295"/>
  <c r="AP1295"/>
  <c r="AQ1295"/>
  <c r="F1296"/>
  <c r="L1296"/>
  <c r="S1296"/>
  <c r="Z1296"/>
  <c r="AG1296"/>
  <c r="AN1296"/>
  <c r="AO1296"/>
  <c r="AP1296"/>
  <c r="AQ1296"/>
  <c r="F1297"/>
  <c r="L1297"/>
  <c r="S1297"/>
  <c r="Z1297"/>
  <c r="AG1297"/>
  <c r="AN1297"/>
  <c r="AO1297"/>
  <c r="AP1297"/>
  <c r="AQ1297"/>
  <c r="F1298"/>
  <c r="L1298"/>
  <c r="S1298"/>
  <c r="Z1298"/>
  <c r="AG1298"/>
  <c r="AN1298"/>
  <c r="AO1298"/>
  <c r="AP1298"/>
  <c r="AQ1298"/>
  <c r="F1299"/>
  <c r="L1299"/>
  <c r="S1299"/>
  <c r="Z1299"/>
  <c r="AG1299"/>
  <c r="AN1299"/>
  <c r="AO1299"/>
  <c r="AP1299"/>
  <c r="AQ1299"/>
  <c r="F1300"/>
  <c r="L1300"/>
  <c r="S1300"/>
  <c r="Z1300"/>
  <c r="AG1300"/>
  <c r="AN1300"/>
  <c r="AO1300"/>
  <c r="AP1300"/>
  <c r="AQ1300"/>
  <c r="G1302"/>
  <c r="H1302"/>
  <c r="I1302"/>
  <c r="J1302"/>
  <c r="K1302"/>
  <c r="N1302"/>
  <c r="O1302"/>
  <c r="P1302"/>
  <c r="Q1302"/>
  <c r="R1302"/>
  <c r="U1302"/>
  <c r="V1302"/>
  <c r="W1302"/>
  <c r="X1302"/>
  <c r="Y1302"/>
  <c r="AB1302"/>
  <c r="AC1302"/>
  <c r="AD1302"/>
  <c r="AE1302"/>
  <c r="AF1302"/>
  <c r="AJ1302"/>
  <c r="AK1302"/>
  <c r="AL1302"/>
  <c r="G1303"/>
  <c r="H1303"/>
  <c r="I1303"/>
  <c r="J1303"/>
  <c r="K1303"/>
  <c r="N1303"/>
  <c r="O1303"/>
  <c r="P1303"/>
  <c r="Q1303"/>
  <c r="R1303"/>
  <c r="U1303"/>
  <c r="V1303"/>
  <c r="W1303"/>
  <c r="X1303"/>
  <c r="Y1303"/>
  <c r="AB1303"/>
  <c r="AC1303"/>
  <c r="AD1303"/>
  <c r="AE1303"/>
  <c r="AF1303"/>
  <c r="G1304"/>
  <c r="H1304"/>
  <c r="I1304"/>
  <c r="J1304"/>
  <c r="K1304"/>
  <c r="N1304"/>
  <c r="O1304"/>
  <c r="P1304"/>
  <c r="Q1304"/>
  <c r="R1304"/>
  <c r="U1304"/>
  <c r="V1304"/>
  <c r="W1304"/>
  <c r="X1304"/>
  <c r="Y1304"/>
  <c r="AB1304"/>
  <c r="AC1304"/>
  <c r="AD1304"/>
  <c r="AE1304"/>
  <c r="AF1304"/>
  <c r="G1305"/>
  <c r="H1305"/>
  <c r="I1305"/>
  <c r="J1305"/>
  <c r="K1305"/>
  <c r="N1305"/>
  <c r="O1305"/>
  <c r="P1305"/>
  <c r="Q1305"/>
  <c r="R1305"/>
  <c r="U1305"/>
  <c r="V1305"/>
  <c r="W1305"/>
  <c r="X1305"/>
  <c r="Y1305"/>
  <c r="AB1305"/>
  <c r="AC1305"/>
  <c r="AD1305"/>
  <c r="AE1305"/>
  <c r="AF1305"/>
  <c r="G1306"/>
  <c r="H1306"/>
  <c r="I1306"/>
  <c r="J1306"/>
  <c r="K1306"/>
  <c r="N1306"/>
  <c r="O1306"/>
  <c r="P1306"/>
  <c r="Q1306"/>
  <c r="R1306"/>
  <c r="U1306"/>
  <c r="V1306"/>
  <c r="W1306"/>
  <c r="X1306"/>
  <c r="Y1306"/>
  <c r="AB1306"/>
  <c r="AC1306"/>
  <c r="AD1306"/>
  <c r="AE1306"/>
  <c r="AF1306"/>
  <c r="F1307"/>
  <c r="G1307"/>
  <c r="H1307"/>
  <c r="I1307"/>
  <c r="J1307"/>
  <c r="K1307"/>
  <c r="N1307"/>
  <c r="O1307"/>
  <c r="P1307"/>
  <c r="Q1307"/>
  <c r="R1307"/>
  <c r="U1307"/>
  <c r="V1307"/>
  <c r="W1307"/>
  <c r="X1307"/>
  <c r="Y1307"/>
  <c r="AB1307"/>
  <c r="AC1307"/>
  <c r="AD1307"/>
  <c r="AE1307"/>
  <c r="AF1307"/>
  <c r="AN1307"/>
  <c r="AO1307"/>
  <c r="AP1307"/>
  <c r="AQ1307"/>
  <c r="F1308"/>
  <c r="L1308"/>
  <c r="S1308"/>
  <c r="Z1308"/>
  <c r="AG1308"/>
  <c r="AN1308"/>
  <c r="AO1308"/>
  <c r="AP1308"/>
  <c r="AQ1308"/>
  <c r="F1309"/>
  <c r="L1309"/>
  <c r="S1309"/>
  <c r="Z1309"/>
  <c r="AG1309"/>
  <c r="AN1309"/>
  <c r="AO1309"/>
  <c r="AP1309"/>
  <c r="AQ1309"/>
  <c r="F1310"/>
  <c r="L1310"/>
  <c r="S1310"/>
  <c r="Z1310"/>
  <c r="AG1310"/>
  <c r="AN1310"/>
  <c r="AO1310"/>
  <c r="AP1310"/>
  <c r="AQ1310"/>
  <c r="F1311"/>
  <c r="L1311"/>
  <c r="S1311"/>
  <c r="Z1311"/>
  <c r="AG1311"/>
  <c r="AN1311"/>
  <c r="AO1311"/>
  <c r="AP1311"/>
  <c r="AQ1311"/>
  <c r="F1312"/>
  <c r="L1312"/>
  <c r="S1312"/>
  <c r="Z1312"/>
  <c r="AG1312"/>
  <c r="AN1312"/>
  <c r="AO1312"/>
  <c r="AP1312"/>
  <c r="AQ1312"/>
  <c r="F1313"/>
  <c r="L1313"/>
  <c r="S1313"/>
  <c r="Z1313"/>
  <c r="AG1313"/>
  <c r="AN1313"/>
  <c r="AO1313"/>
  <c r="AP1313"/>
  <c r="AQ1313"/>
  <c r="G1315"/>
  <c r="H1315"/>
  <c r="I1315"/>
  <c r="J1315"/>
  <c r="K1315"/>
  <c r="N1315"/>
  <c r="O1315"/>
  <c r="P1315"/>
  <c r="Q1315"/>
  <c r="R1315"/>
  <c r="U1315"/>
  <c r="V1315"/>
  <c r="W1315"/>
  <c r="X1315"/>
  <c r="Y1315"/>
  <c r="AB1315"/>
  <c r="AC1315"/>
  <c r="AD1315"/>
  <c r="AE1315"/>
  <c r="AF1315"/>
  <c r="AJ1315"/>
  <c r="AK1315"/>
  <c r="AL1315"/>
  <c r="G1316"/>
  <c r="H1316"/>
  <c r="I1316"/>
  <c r="J1316"/>
  <c r="K1316"/>
  <c r="N1316"/>
  <c r="O1316"/>
  <c r="P1316"/>
  <c r="Q1316"/>
  <c r="R1316"/>
  <c r="U1316"/>
  <c r="V1316"/>
  <c r="W1316"/>
  <c r="X1316"/>
  <c r="Y1316"/>
  <c r="AB1316"/>
  <c r="AC1316"/>
  <c r="AD1316"/>
  <c r="AE1316"/>
  <c r="AF1316"/>
  <c r="G1317"/>
  <c r="H1317"/>
  <c r="I1317"/>
  <c r="J1317"/>
  <c r="K1317"/>
  <c r="N1317"/>
  <c r="O1317"/>
  <c r="P1317"/>
  <c r="Q1317"/>
  <c r="R1317"/>
  <c r="U1317"/>
  <c r="V1317"/>
  <c r="W1317"/>
  <c r="X1317"/>
  <c r="Y1317"/>
  <c r="AB1317"/>
  <c r="AC1317"/>
  <c r="AD1317"/>
  <c r="AE1317"/>
  <c r="AF1317"/>
  <c r="G1318"/>
  <c r="H1318"/>
  <c r="I1318"/>
  <c r="J1318"/>
  <c r="K1318"/>
  <c r="N1318"/>
  <c r="O1318"/>
  <c r="P1318"/>
  <c r="Q1318"/>
  <c r="R1318"/>
  <c r="U1318"/>
  <c r="V1318"/>
  <c r="W1318"/>
  <c r="X1318"/>
  <c r="Y1318"/>
  <c r="AB1318"/>
  <c r="AC1318"/>
  <c r="AD1318"/>
  <c r="AE1318"/>
  <c r="AF1318"/>
  <c r="G1319"/>
  <c r="H1319"/>
  <c r="I1319"/>
  <c r="J1319"/>
  <c r="K1319"/>
  <c r="N1319"/>
  <c r="O1319"/>
  <c r="P1319"/>
  <c r="Q1319"/>
  <c r="R1319"/>
  <c r="U1319"/>
  <c r="V1319"/>
  <c r="W1319"/>
  <c r="X1319"/>
  <c r="Y1319"/>
  <c r="AB1319"/>
  <c r="AC1319"/>
  <c r="AD1319"/>
  <c r="AE1319"/>
  <c r="AF1319"/>
  <c r="F1320"/>
  <c r="G1320"/>
  <c r="H1320"/>
  <c r="I1320"/>
  <c r="J1320"/>
  <c r="K1320"/>
  <c r="N1320"/>
  <c r="O1320"/>
  <c r="P1320"/>
  <c r="Q1320"/>
  <c r="R1320"/>
  <c r="U1320"/>
  <c r="V1320"/>
  <c r="W1320"/>
  <c r="X1320"/>
  <c r="Y1320"/>
  <c r="AB1320"/>
  <c r="AC1320"/>
  <c r="AD1320"/>
  <c r="AE1320"/>
  <c r="AF1320"/>
  <c r="AN1320"/>
  <c r="AO1320"/>
  <c r="AP1320"/>
  <c r="AQ1320"/>
  <c r="F1321"/>
  <c r="L1321"/>
  <c r="S1321"/>
  <c r="Z1321"/>
  <c r="AG1321"/>
  <c r="AN1321"/>
  <c r="AO1321"/>
  <c r="AP1321"/>
  <c r="AQ1321"/>
  <c r="F1322"/>
  <c r="L1322"/>
  <c r="S1322"/>
  <c r="Z1322"/>
  <c r="AG1322"/>
  <c r="AN1322"/>
  <c r="AO1322"/>
  <c r="AP1322"/>
  <c r="AQ1322"/>
  <c r="F1323"/>
  <c r="L1323"/>
  <c r="S1323"/>
  <c r="Z1323"/>
  <c r="AG1323"/>
  <c r="AN1323"/>
  <c r="AO1323"/>
  <c r="AP1323"/>
  <c r="AQ1323"/>
  <c r="F1324"/>
  <c r="L1324"/>
  <c r="S1324"/>
  <c r="Z1324"/>
  <c r="AG1324"/>
  <c r="AN1324"/>
  <c r="AO1324"/>
  <c r="AP1324"/>
  <c r="AQ1324"/>
  <c r="F1325"/>
  <c r="L1325"/>
  <c r="S1325"/>
  <c r="Z1325"/>
  <c r="AG1325"/>
  <c r="AN1325"/>
  <c r="AO1325"/>
  <c r="AP1325"/>
  <c r="AQ1325"/>
  <c r="F1326"/>
  <c r="L1326"/>
  <c r="S1326"/>
  <c r="Z1326"/>
  <c r="AG1326"/>
  <c r="AN1326"/>
  <c r="AO1326"/>
  <c r="AP1326"/>
  <c r="AQ1326"/>
  <c r="G1328"/>
  <c r="H1328"/>
  <c r="I1328"/>
  <c r="J1328"/>
  <c r="K1328"/>
  <c r="N1328"/>
  <c r="O1328"/>
  <c r="P1328"/>
  <c r="Q1328"/>
  <c r="R1328"/>
  <c r="U1328"/>
  <c r="V1328"/>
  <c r="W1328"/>
  <c r="X1328"/>
  <c r="Y1328"/>
  <c r="AB1328"/>
  <c r="AC1328"/>
  <c r="AD1328"/>
  <c r="AE1328"/>
  <c r="AF1328"/>
  <c r="AJ1328"/>
  <c r="AK1328"/>
  <c r="AL1328"/>
  <c r="G1329"/>
  <c r="H1329"/>
  <c r="I1329"/>
  <c r="J1329"/>
  <c r="K1329"/>
  <c r="N1329"/>
  <c r="O1329"/>
  <c r="P1329"/>
  <c r="Q1329"/>
  <c r="R1329"/>
  <c r="U1329"/>
  <c r="V1329"/>
  <c r="W1329"/>
  <c r="X1329"/>
  <c r="Y1329"/>
  <c r="AB1329"/>
  <c r="AC1329"/>
  <c r="AD1329"/>
  <c r="AE1329"/>
  <c r="AF1329"/>
  <c r="G1330"/>
  <c r="H1330"/>
  <c r="I1330"/>
  <c r="J1330"/>
  <c r="K1330"/>
  <c r="N1330"/>
  <c r="O1330"/>
  <c r="P1330"/>
  <c r="Q1330"/>
  <c r="R1330"/>
  <c r="U1330"/>
  <c r="V1330"/>
  <c r="W1330"/>
  <c r="X1330"/>
  <c r="Y1330"/>
  <c r="AB1330"/>
  <c r="AC1330"/>
  <c r="AD1330"/>
  <c r="AE1330"/>
  <c r="AF1330"/>
  <c r="G1331"/>
  <c r="H1331"/>
  <c r="I1331"/>
  <c r="J1331"/>
  <c r="K1331"/>
  <c r="N1331"/>
  <c r="O1331"/>
  <c r="P1331"/>
  <c r="Q1331"/>
  <c r="R1331"/>
  <c r="U1331"/>
  <c r="V1331"/>
  <c r="W1331"/>
  <c r="X1331"/>
  <c r="Y1331"/>
  <c r="AB1331"/>
  <c r="AC1331"/>
  <c r="AD1331"/>
  <c r="AE1331"/>
  <c r="AF1331"/>
  <c r="G1332"/>
  <c r="H1332"/>
  <c r="I1332"/>
  <c r="J1332"/>
  <c r="K1332"/>
  <c r="N1332"/>
  <c r="O1332"/>
  <c r="P1332"/>
  <c r="Q1332"/>
  <c r="R1332"/>
  <c r="U1332"/>
  <c r="V1332"/>
  <c r="W1332"/>
  <c r="X1332"/>
  <c r="Y1332"/>
  <c r="AB1332"/>
  <c r="AC1332"/>
  <c r="AD1332"/>
  <c r="AE1332"/>
  <c r="AF1332"/>
  <c r="F1333"/>
  <c r="G1333"/>
  <c r="H1333"/>
  <c r="I1333"/>
  <c r="J1333"/>
  <c r="K1333"/>
  <c r="N1333"/>
  <c r="O1333"/>
  <c r="P1333"/>
  <c r="Q1333"/>
  <c r="R1333"/>
  <c r="U1333"/>
  <c r="V1333"/>
  <c r="W1333"/>
  <c r="X1333"/>
  <c r="Y1333"/>
  <c r="AB1333"/>
  <c r="AC1333"/>
  <c r="AD1333"/>
  <c r="AE1333"/>
  <c r="AF1333"/>
  <c r="AN1333"/>
  <c r="AO1333"/>
  <c r="AP1333"/>
  <c r="AQ1333"/>
  <c r="F1334"/>
  <c r="L1334"/>
  <c r="S1334"/>
  <c r="Z1334"/>
  <c r="AG1334"/>
  <c r="AN1334"/>
  <c r="AO1334"/>
  <c r="AP1334"/>
  <c r="AQ1334"/>
  <c r="F1335"/>
  <c r="L1335"/>
  <c r="S1335"/>
  <c r="Z1335"/>
  <c r="AG1335"/>
  <c r="AN1335"/>
  <c r="AO1335"/>
  <c r="AP1335"/>
  <c r="AQ1335"/>
  <c r="F1336"/>
  <c r="L1336"/>
  <c r="S1336"/>
  <c r="Z1336"/>
  <c r="AG1336"/>
  <c r="AN1336"/>
  <c r="AO1336"/>
  <c r="AP1336"/>
  <c r="AQ1336"/>
  <c r="F1337"/>
  <c r="L1337"/>
  <c r="S1337"/>
  <c r="Z1337"/>
  <c r="AG1337"/>
  <c r="AN1337"/>
  <c r="AO1337"/>
  <c r="AP1337"/>
  <c r="AQ1337"/>
  <c r="F1338"/>
  <c r="L1338"/>
  <c r="S1338"/>
  <c r="Z1338"/>
  <c r="AG1338"/>
  <c r="AN1338"/>
  <c r="AO1338"/>
  <c r="AP1338"/>
  <c r="AQ1338"/>
  <c r="F1339"/>
  <c r="L1339"/>
  <c r="S1339"/>
  <c r="Z1339"/>
  <c r="AG1339"/>
  <c r="AN1339"/>
  <c r="AO1339"/>
  <c r="AP1339"/>
  <c r="AQ1339"/>
  <c r="Z421"/>
  <c r="AG472"/>
  <c r="AG369"/>
  <c r="AR377"/>
  <c r="L357"/>
  <c r="AR623"/>
  <c r="AR416"/>
  <c r="AR701"/>
  <c r="AR390"/>
  <c r="AR364"/>
  <c r="AR476"/>
  <c r="AR645"/>
  <c r="AG628"/>
  <c r="AG590"/>
  <c r="Z357"/>
  <c r="AG563"/>
  <c r="AN548"/>
  <c r="Z514"/>
  <c r="AR478"/>
  <c r="Z459"/>
  <c r="L433"/>
  <c r="Z409"/>
  <c r="Z396"/>
  <c r="Z383"/>
  <c r="Z370"/>
  <c r="AG355"/>
  <c r="S642"/>
  <c r="AR597"/>
  <c r="S552"/>
  <c r="AR502"/>
  <c r="AG473"/>
  <c r="AR452"/>
  <c r="Z420"/>
  <c r="Z407"/>
  <c r="S397"/>
  <c r="Z394"/>
  <c r="S384"/>
  <c r="Z381"/>
  <c r="S371"/>
  <c r="Z368"/>
  <c r="S357"/>
  <c r="Z709"/>
  <c r="AG654"/>
  <c r="S615"/>
  <c r="AR569"/>
  <c r="AG500"/>
  <c r="S473"/>
  <c r="S460"/>
  <c r="AR438"/>
  <c r="L434"/>
  <c r="AR426"/>
  <c r="AR414"/>
  <c r="L407"/>
  <c r="AR401"/>
  <c r="L394"/>
  <c r="AR388"/>
  <c r="L381"/>
  <c r="AR375"/>
  <c r="L368"/>
  <c r="AR362"/>
  <c r="AG499"/>
  <c r="S459"/>
  <c r="L355"/>
  <c r="L890"/>
  <c r="S617"/>
  <c r="S968"/>
  <c r="S824"/>
  <c r="AN730"/>
  <c r="AG706"/>
  <c r="AR636"/>
  <c r="S578"/>
  <c r="S891"/>
  <c r="AP756"/>
  <c r="AN665"/>
  <c r="AG641"/>
  <c r="AR894"/>
  <c r="AQ808"/>
  <c r="S773"/>
  <c r="S746"/>
  <c r="AQ691"/>
  <c r="AG615"/>
  <c r="S733"/>
  <c r="L696"/>
  <c r="Z654"/>
  <c r="AO626"/>
  <c r="AQ600"/>
  <c r="L590"/>
  <c r="S563"/>
  <c r="S525"/>
  <c r="AG486"/>
  <c r="AG447"/>
  <c r="S422"/>
  <c r="S409"/>
  <c r="Z356"/>
  <c r="L695"/>
  <c r="AR646"/>
  <c r="AR635"/>
  <c r="L628"/>
  <c r="L616"/>
  <c r="AG552"/>
  <c r="AG538"/>
  <c r="AG526"/>
  <c r="S512"/>
  <c r="AQ496"/>
  <c r="AR491"/>
  <c r="AN470"/>
  <c r="AO444"/>
  <c r="AG446"/>
  <c r="L422"/>
  <c r="S420"/>
  <c r="L409"/>
  <c r="S407"/>
  <c r="AQ392"/>
  <c r="L396"/>
  <c r="AQ379"/>
  <c r="L383"/>
  <c r="AQ366"/>
  <c r="AG371"/>
  <c r="L370"/>
  <c r="AG733"/>
  <c r="L722"/>
  <c r="Z693"/>
  <c r="AP665"/>
  <c r="AO652"/>
  <c r="AR648"/>
  <c r="L641"/>
  <c r="AQ626"/>
  <c r="Z628"/>
  <c r="AO600"/>
  <c r="L602"/>
  <c r="AO587"/>
  <c r="L589"/>
  <c r="Z579"/>
  <c r="AG550"/>
  <c r="AG537"/>
  <c r="AG524"/>
  <c r="AQ483"/>
  <c r="S474"/>
  <c r="S461"/>
  <c r="AN444"/>
  <c r="AQ431"/>
  <c r="L421"/>
  <c r="L408"/>
  <c r="L395"/>
  <c r="L382"/>
  <c r="L369"/>
  <c r="L578"/>
  <c r="AN561"/>
  <c r="L565"/>
  <c r="Z553"/>
  <c r="AR531"/>
  <c r="L525"/>
  <c r="L512"/>
  <c r="Z499"/>
  <c r="L488"/>
  <c r="Z487"/>
  <c r="AO470"/>
  <c r="AN457"/>
  <c r="AO457"/>
  <c r="AP457"/>
  <c r="AQ457"/>
  <c r="AR457"/>
  <c r="L460"/>
  <c r="AR451"/>
  <c r="AQ444"/>
  <c r="Z449"/>
  <c r="Z447"/>
  <c r="S436"/>
  <c r="Z435"/>
  <c r="Z434"/>
  <c r="AR429"/>
  <c r="AG422"/>
  <c r="AG420"/>
  <c r="AG409"/>
  <c r="AG407"/>
  <c r="AR387"/>
  <c r="S383"/>
  <c r="S370"/>
  <c r="S368"/>
  <c r="AO353"/>
  <c r="AG358"/>
  <c r="AG357"/>
  <c r="L356"/>
  <c r="AR557"/>
  <c r="L551"/>
  <c r="AQ535"/>
  <c r="L527"/>
  <c r="AO496"/>
  <c r="AN483"/>
  <c r="AO483"/>
  <c r="L486"/>
  <c r="AR477"/>
  <c r="Z475"/>
  <c r="Z473"/>
  <c r="Z462"/>
  <c r="AR453"/>
  <c r="L448"/>
  <c r="L446"/>
  <c r="Z433"/>
  <c r="AQ418"/>
  <c r="AG423"/>
  <c r="S421"/>
  <c r="AQ405"/>
  <c r="AO405"/>
  <c r="AG410"/>
  <c r="AR402"/>
  <c r="AO392"/>
  <c r="AG397"/>
  <c r="S396"/>
  <c r="S394"/>
  <c r="AO379"/>
  <c r="AG384"/>
  <c r="AG383"/>
  <c r="AG381"/>
  <c r="AO366"/>
  <c r="AG370"/>
  <c r="AG368"/>
  <c r="AN353"/>
  <c r="S356"/>
  <c r="L577"/>
  <c r="AQ561"/>
  <c r="L553"/>
  <c r="AO522"/>
  <c r="L524"/>
  <c r="AO509"/>
  <c r="L511"/>
  <c r="Z501"/>
  <c r="Z488"/>
  <c r="AR479"/>
  <c r="AQ470"/>
  <c r="L474"/>
  <c r="L472"/>
  <c r="L449"/>
  <c r="AR442"/>
  <c r="AR439"/>
  <c r="L435"/>
  <c r="AR424"/>
  <c r="AP405"/>
  <c r="AR410"/>
  <c r="AN405"/>
  <c r="AG408"/>
  <c r="AP392"/>
  <c r="AR397"/>
  <c r="AP379"/>
  <c r="AR384"/>
  <c r="S382"/>
  <c r="AR372"/>
  <c r="AR371"/>
  <c r="S369"/>
  <c r="AP353"/>
  <c r="AQ353"/>
  <c r="S358"/>
  <c r="AG356"/>
  <c r="L1255"/>
  <c r="Z839"/>
  <c r="AR644"/>
  <c r="L358"/>
  <c r="L865"/>
  <c r="AR358"/>
  <c r="Z917"/>
  <c r="AQ899"/>
  <c r="AR866"/>
  <c r="S836"/>
  <c r="S812"/>
  <c r="AG798"/>
  <c r="Z774"/>
  <c r="S760"/>
  <c r="AO730"/>
  <c r="L839"/>
  <c r="S799"/>
  <c r="AG785"/>
  <c r="Z904"/>
  <c r="AG877"/>
  <c r="AR840"/>
  <c r="AR818"/>
  <c r="AG797"/>
  <c r="AN769"/>
  <c r="S759"/>
  <c r="L745"/>
  <c r="AO782"/>
  <c r="L735"/>
  <c r="AG709"/>
  <c r="AG683"/>
  <c r="L668"/>
  <c r="S644"/>
  <c r="AO613"/>
  <c r="S592"/>
  <c r="S540"/>
  <c r="S514"/>
  <c r="S488"/>
  <c r="S462"/>
  <c r="L436"/>
  <c r="AR739"/>
  <c r="L732"/>
  <c r="AR698"/>
  <c r="AR672"/>
  <c r="AR663"/>
  <c r="AR657"/>
  <c r="L644"/>
  <c r="AR631"/>
  <c r="AG617"/>
  <c r="AG605"/>
  <c r="AG553"/>
  <c r="AG501"/>
  <c r="AG475"/>
  <c r="AG449"/>
  <c r="Z732"/>
  <c r="L720"/>
  <c r="AR700"/>
  <c r="L682"/>
  <c r="S657"/>
  <c r="AG644"/>
  <c r="AG616"/>
  <c r="Z615"/>
  <c r="AP600"/>
  <c r="AR594"/>
  <c r="Z589"/>
  <c r="AP574"/>
  <c r="AR568"/>
  <c r="Z563"/>
  <c r="AP548"/>
  <c r="AR542"/>
  <c r="Z537"/>
  <c r="AP522"/>
  <c r="AR516"/>
  <c r="Z513"/>
  <c r="Z511"/>
  <c r="AR507"/>
  <c r="AP496"/>
  <c r="AR490"/>
  <c r="Z486"/>
  <c r="AR481"/>
  <c r="AP470"/>
  <c r="Z474"/>
  <c r="Z472"/>
  <c r="AR464"/>
  <c r="Z460"/>
  <c r="AR455"/>
  <c r="AP444"/>
  <c r="Z448"/>
  <c r="Z446"/>
  <c r="AR670"/>
  <c r="AG592"/>
  <c r="AG566"/>
  <c r="AG540"/>
  <c r="AR518"/>
  <c r="AG514"/>
  <c r="S501"/>
  <c r="L500"/>
  <c r="L498"/>
  <c r="AR492"/>
  <c r="AG488"/>
  <c r="L487"/>
  <c r="L485"/>
  <c r="S475"/>
  <c r="L473"/>
  <c r="AR466"/>
  <c r="AG462"/>
  <c r="L461"/>
  <c r="L459"/>
  <c r="S449"/>
  <c r="L447"/>
  <c r="AG434"/>
  <c r="Z384"/>
  <c r="Z616"/>
  <c r="Z604"/>
  <c r="AR598"/>
  <c r="Z590"/>
  <c r="Z578"/>
  <c r="AR572"/>
  <c r="Z564"/>
  <c r="Z552"/>
  <c r="AR546"/>
  <c r="Z538"/>
  <c r="Z526"/>
  <c r="AR520"/>
  <c r="AP509"/>
  <c r="Z512"/>
  <c r="AR503"/>
  <c r="Z500"/>
  <c r="Z498"/>
  <c r="AR494"/>
  <c r="AP483"/>
  <c r="Z485"/>
  <c r="L410"/>
  <c r="AR441"/>
  <c r="AO431"/>
  <c r="AG436"/>
  <c r="S435"/>
  <c r="S433"/>
  <c r="Z423"/>
  <c r="AR411"/>
  <c r="AN392"/>
  <c r="AR392"/>
  <c r="L397"/>
  <c r="AG394"/>
  <c r="AR389"/>
  <c r="S381"/>
  <c r="AR374"/>
  <c r="Z371"/>
  <c r="AR359"/>
  <c r="AR605"/>
  <c r="AR579"/>
  <c r="AR553"/>
  <c r="AR527"/>
  <c r="AR514"/>
  <c r="AR501"/>
  <c r="AR488"/>
  <c r="AR475"/>
  <c r="AR462"/>
  <c r="AR449"/>
  <c r="AR436"/>
  <c r="AN431"/>
  <c r="AG435"/>
  <c r="AG433"/>
  <c r="AR428"/>
  <c r="AO418"/>
  <c r="AR413"/>
  <c r="Z410"/>
  <c r="AR398"/>
  <c r="S395"/>
  <c r="AN379"/>
  <c r="L384"/>
  <c r="AR376"/>
  <c r="AR361"/>
  <c r="Z358"/>
  <c r="AR437"/>
  <c r="S434"/>
  <c r="AN418"/>
  <c r="AP418"/>
  <c r="AR418"/>
  <c r="L423"/>
  <c r="AG421"/>
  <c r="AR415"/>
  <c r="S408"/>
  <c r="AR400"/>
  <c r="Z397"/>
  <c r="AG396"/>
  <c r="AG395"/>
  <c r="AR385"/>
  <c r="AN366"/>
  <c r="L371"/>
  <c r="AP366"/>
  <c r="AR363"/>
  <c r="S355"/>
  <c r="C148" i="13"/>
  <c r="C163"/>
  <c r="I20" i="4"/>
  <c r="AR405"/>
  <c r="C142" i="13"/>
  <c r="C155"/>
  <c r="E76"/>
  <c r="E82"/>
  <c r="E81"/>
  <c r="E80"/>
  <c r="E79"/>
  <c r="E78"/>
  <c r="E77"/>
  <c r="E75"/>
  <c r="E74"/>
  <c r="E73"/>
  <c r="E72"/>
  <c r="E71"/>
  <c r="E64"/>
  <c r="E69"/>
  <c r="E68"/>
  <c r="E67"/>
  <c r="E66"/>
  <c r="E65"/>
  <c r="E63"/>
  <c r="E62"/>
  <c r="E61"/>
  <c r="E60"/>
  <c r="E59"/>
  <c r="E58"/>
  <c r="E57"/>
  <c r="E56"/>
  <c r="E55"/>
  <c r="E54"/>
  <c r="E53"/>
  <c r="E52"/>
  <c r="E51"/>
  <c r="E49"/>
  <c r="E46"/>
  <c r="E38"/>
  <c r="AQ346" i="4"/>
  <c r="AP346"/>
  <c r="AO346"/>
  <c r="AN346"/>
  <c r="AQ333"/>
  <c r="AP333"/>
  <c r="AO333"/>
  <c r="AN333"/>
  <c r="AN332"/>
  <c r="AN334"/>
  <c r="AN335"/>
  <c r="AN336"/>
  <c r="AN337"/>
  <c r="AN338"/>
  <c r="AN327"/>
  <c r="AQ320"/>
  <c r="AP320"/>
  <c r="AO320"/>
  <c r="AN320"/>
  <c r="AR320"/>
  <c r="C13" i="7"/>
  <c r="E106" i="13"/>
  <c r="X264" i="4"/>
  <c r="X187"/>
  <c r="W187"/>
  <c r="W188"/>
  <c r="X188"/>
  <c r="U187"/>
  <c r="S186"/>
  <c r="AE187"/>
  <c r="V188"/>
  <c r="Y188"/>
  <c r="O187"/>
  <c r="Q187"/>
  <c r="AB187"/>
  <c r="AD187"/>
  <c r="F29" i="7"/>
  <c r="E29"/>
  <c r="U188" i="4"/>
  <c r="AE188"/>
  <c r="D116" i="8"/>
  <c r="C116"/>
  <c r="D115"/>
  <c r="C115"/>
  <c r="D114"/>
  <c r="C114"/>
  <c r="D113"/>
  <c r="C113"/>
  <c r="D112"/>
  <c r="C112"/>
  <c r="D111"/>
  <c r="C111"/>
  <c r="D109"/>
  <c r="C109"/>
  <c r="D108"/>
  <c r="C108"/>
  <c r="D107"/>
  <c r="C107"/>
  <c r="F104"/>
  <c r="G104"/>
  <c r="H104"/>
  <c r="F102"/>
  <c r="G102"/>
  <c r="H102"/>
  <c r="F100"/>
  <c r="G100"/>
  <c r="H100"/>
  <c r="F93"/>
  <c r="G93"/>
  <c r="H93"/>
  <c r="F84"/>
  <c r="G84"/>
  <c r="H84"/>
  <c r="F83"/>
  <c r="G83"/>
  <c r="H83"/>
  <c r="F76"/>
  <c r="G76"/>
  <c r="H76"/>
  <c r="F75"/>
  <c r="G75"/>
  <c r="H75"/>
  <c r="F74"/>
  <c r="G74"/>
  <c r="H74"/>
  <c r="F72"/>
  <c r="G72"/>
  <c r="H72"/>
  <c r="F65"/>
  <c r="G65"/>
  <c r="H65"/>
  <c r="F64"/>
  <c r="G64"/>
  <c r="H64"/>
  <c r="F63"/>
  <c r="G63"/>
  <c r="E18" i="10"/>
  <c r="H63" i="8"/>
  <c r="D153"/>
  <c r="G162" i="17"/>
  <c r="G150"/>
  <c r="G144"/>
  <c r="G138"/>
  <c r="G68" i="8"/>
  <c r="V36" i="17"/>
  <c r="AC188" i="4"/>
  <c r="AB188"/>
  <c r="AD188"/>
  <c r="AF188"/>
  <c r="AS53" i="17"/>
  <c r="AR34"/>
  <c r="BC34"/>
  <c r="AR123"/>
  <c r="AF51"/>
  <c r="AF31"/>
  <c r="V31"/>
  <c r="V32"/>
  <c r="V34"/>
  <c r="V35"/>
  <c r="V37"/>
  <c r="V38"/>
  <c r="V39"/>
  <c r="V40"/>
  <c r="V41"/>
  <c r="V42"/>
  <c r="V43"/>
  <c r="V45"/>
  <c r="V46"/>
  <c r="V47"/>
  <c r="V48"/>
  <c r="V49"/>
  <c r="V50"/>
  <c r="V51"/>
  <c r="V52"/>
  <c r="V53"/>
  <c r="V54"/>
  <c r="V55"/>
  <c r="V56"/>
  <c r="V57"/>
  <c r="V58"/>
  <c r="V59"/>
  <c r="V61"/>
  <c r="V62"/>
  <c r="V63"/>
  <c r="V64"/>
  <c r="V65"/>
  <c r="V66"/>
  <c r="V67"/>
  <c r="V68"/>
  <c r="V69"/>
  <c r="V70"/>
  <c r="V71"/>
  <c r="V72"/>
  <c r="V74"/>
  <c r="V75"/>
  <c r="V76"/>
  <c r="V77"/>
  <c r="V78"/>
  <c r="V79"/>
  <c r="V80"/>
  <c r="V81"/>
  <c r="V82"/>
  <c r="V83"/>
  <c r="V84"/>
  <c r="V85"/>
  <c r="V86"/>
  <c r="V87"/>
  <c r="V88"/>
  <c r="V89"/>
  <c r="V90"/>
  <c r="V91"/>
  <c r="V92"/>
  <c r="V93"/>
  <c r="V94"/>
  <c r="V95"/>
  <c r="V96"/>
  <c r="V97"/>
  <c r="V98"/>
  <c r="V99"/>
  <c r="V100"/>
  <c r="V102"/>
  <c r="V103"/>
  <c r="V104"/>
  <c r="V105"/>
  <c r="V106"/>
  <c r="V107"/>
  <c r="V108"/>
  <c r="V109"/>
  <c r="V110"/>
  <c r="V111"/>
  <c r="V112"/>
  <c r="V113"/>
  <c r="V114"/>
  <c r="V115"/>
  <c r="V116"/>
  <c r="V117"/>
  <c r="V118"/>
  <c r="V119"/>
  <c r="V120"/>
  <c r="V121"/>
  <c r="V122"/>
  <c r="V123"/>
  <c r="V124"/>
  <c r="V125"/>
  <c r="V126"/>
  <c r="AC127"/>
  <c r="AH127"/>
  <c r="Q19"/>
  <c r="H1364" i="4"/>
  <c r="H1361"/>
  <c r="H1360"/>
  <c r="I43"/>
  <c r="J43"/>
  <c r="K43"/>
  <c r="F82" i="8"/>
  <c r="G82"/>
  <c r="G81"/>
  <c r="H82"/>
  <c r="E82"/>
  <c r="D18" i="10"/>
  <c r="F18"/>
  <c r="C6"/>
  <c r="F162" i="17"/>
  <c r="D207"/>
  <c r="D206"/>
  <c r="D205"/>
  <c r="D204"/>
  <c r="D203"/>
  <c r="D201"/>
  <c r="D202"/>
  <c r="D200"/>
  <c r="D199"/>
  <c r="D198"/>
  <c r="D197"/>
  <c r="D196"/>
  <c r="D195"/>
  <c r="D194"/>
  <c r="D193"/>
  <c r="D191"/>
  <c r="D190"/>
  <c r="D189"/>
  <c r="D188"/>
  <c r="D187"/>
  <c r="D186"/>
  <c r="D185"/>
  <c r="D184"/>
  <c r="D183"/>
  <c r="D182"/>
  <c r="AR54"/>
  <c r="V26"/>
  <c r="AI41" i="4"/>
  <c r="E6" i="18"/>
  <c r="D9" i="1"/>
  <c r="E9" i="13"/>
  <c r="E8"/>
  <c r="B8"/>
  <c r="E7"/>
  <c r="B7"/>
  <c r="F8" i="17"/>
  <c r="E8" i="4"/>
  <c r="E50" i="8"/>
  <c r="F50"/>
  <c r="G50"/>
  <c r="H50"/>
  <c r="E51"/>
  <c r="F51"/>
  <c r="G51"/>
  <c r="H51"/>
  <c r="E52"/>
  <c r="E49"/>
  <c r="F52"/>
  <c r="G52"/>
  <c r="H52"/>
  <c r="E54"/>
  <c r="E110"/>
  <c r="F54"/>
  <c r="G54"/>
  <c r="G110"/>
  <c r="H54"/>
  <c r="E55"/>
  <c r="F55"/>
  <c r="G55"/>
  <c r="H55"/>
  <c r="E63"/>
  <c r="E64"/>
  <c r="E65"/>
  <c r="E68"/>
  <c r="E73"/>
  <c r="F73"/>
  <c r="G73"/>
  <c r="H73"/>
  <c r="E74"/>
  <c r="E75"/>
  <c r="E76"/>
  <c r="E83"/>
  <c r="D83"/>
  <c r="C83"/>
  <c r="E84"/>
  <c r="E93"/>
  <c r="E97"/>
  <c r="F97"/>
  <c r="G97"/>
  <c r="H97"/>
  <c r="D97"/>
  <c r="C97"/>
  <c r="E100"/>
  <c r="E101"/>
  <c r="F101"/>
  <c r="G101"/>
  <c r="H101"/>
  <c r="E102"/>
  <c r="D102"/>
  <c r="C102"/>
  <c r="F103"/>
  <c r="G103"/>
  <c r="H103"/>
  <c r="E104"/>
  <c r="D48"/>
  <c r="C48"/>
  <c r="AF343" i="4"/>
  <c r="AE343"/>
  <c r="AD343"/>
  <c r="AC343"/>
  <c r="AB343"/>
  <c r="AG343"/>
  <c r="Y343"/>
  <c r="X343"/>
  <c r="W343"/>
  <c r="V343"/>
  <c r="U343"/>
  <c r="R343"/>
  <c r="Q343"/>
  <c r="P343"/>
  <c r="O343"/>
  <c r="N343"/>
  <c r="K343"/>
  <c r="J343"/>
  <c r="I343"/>
  <c r="H343"/>
  <c r="L343"/>
  <c r="G343"/>
  <c r="AF330"/>
  <c r="AE330"/>
  <c r="AD330"/>
  <c r="AC330"/>
  <c r="AB330"/>
  <c r="AG330"/>
  <c r="Y330"/>
  <c r="X330"/>
  <c r="W330"/>
  <c r="V330"/>
  <c r="Z330"/>
  <c r="U330"/>
  <c r="R330"/>
  <c r="Q330"/>
  <c r="P330"/>
  <c r="O330"/>
  <c r="N330"/>
  <c r="S330"/>
  <c r="K330"/>
  <c r="J330"/>
  <c r="I330"/>
  <c r="H330"/>
  <c r="G330"/>
  <c r="AF317"/>
  <c r="AE317"/>
  <c r="AD317"/>
  <c r="AC317"/>
  <c r="AB317"/>
  <c r="AG317"/>
  <c r="Y317"/>
  <c r="X317"/>
  <c r="W317"/>
  <c r="V317"/>
  <c r="Z317"/>
  <c r="U317"/>
  <c r="R317"/>
  <c r="Q317"/>
  <c r="P317"/>
  <c r="O317"/>
  <c r="N317"/>
  <c r="G317"/>
  <c r="K317"/>
  <c r="J317"/>
  <c r="I317"/>
  <c r="H317"/>
  <c r="AF265"/>
  <c r="AE265"/>
  <c r="AD265"/>
  <c r="Y265"/>
  <c r="X265"/>
  <c r="W265"/>
  <c r="R265"/>
  <c r="Q265"/>
  <c r="P265"/>
  <c r="K265"/>
  <c r="J265"/>
  <c r="I265"/>
  <c r="AC239"/>
  <c r="AB239"/>
  <c r="V239"/>
  <c r="U239"/>
  <c r="O239"/>
  <c r="N239"/>
  <c r="H239"/>
  <c r="L239"/>
  <c r="G239"/>
  <c r="AC109"/>
  <c r="AB109"/>
  <c r="V109"/>
  <c r="U109"/>
  <c r="O109"/>
  <c r="N109"/>
  <c r="H109"/>
  <c r="G109"/>
  <c r="E163" i="13"/>
  <c r="G79" i="8"/>
  <c r="F163" i="13"/>
  <c r="H79" i="8"/>
  <c r="AZ101" i="17"/>
  <c r="AZ73"/>
  <c r="AZ60"/>
  <c r="AQ103"/>
  <c r="BB103"/>
  <c r="AR103"/>
  <c r="BC103"/>
  <c r="AS103"/>
  <c r="AT103"/>
  <c r="BE103"/>
  <c r="AQ104"/>
  <c r="BB104"/>
  <c r="AR104"/>
  <c r="AT104"/>
  <c r="BK104"/>
  <c r="AQ105"/>
  <c r="BB105"/>
  <c r="AS105"/>
  <c r="AT105"/>
  <c r="BE105"/>
  <c r="AR106"/>
  <c r="BC106"/>
  <c r="AS106"/>
  <c r="AT106"/>
  <c r="BK106"/>
  <c r="AQ107"/>
  <c r="AR107"/>
  <c r="BI107"/>
  <c r="AS107"/>
  <c r="AT107"/>
  <c r="AQ108"/>
  <c r="BB108"/>
  <c r="AR108"/>
  <c r="AS108"/>
  <c r="AT108"/>
  <c r="BK108"/>
  <c r="AQ109"/>
  <c r="AR109"/>
  <c r="BC109"/>
  <c r="AS109"/>
  <c r="AT109"/>
  <c r="BK109"/>
  <c r="AQ110"/>
  <c r="BH110"/>
  <c r="AR110"/>
  <c r="BC110"/>
  <c r="AS110"/>
  <c r="AT110"/>
  <c r="AQ111"/>
  <c r="BB111"/>
  <c r="AR111"/>
  <c r="AS111"/>
  <c r="AT111"/>
  <c r="BK111"/>
  <c r="AQ112"/>
  <c r="BH112"/>
  <c r="AR112"/>
  <c r="BI112"/>
  <c r="AS112"/>
  <c r="AT112"/>
  <c r="AQ113"/>
  <c r="BH113"/>
  <c r="AR113"/>
  <c r="BC113"/>
  <c r="AS113"/>
  <c r="BJ113"/>
  <c r="AT113"/>
  <c r="BK113"/>
  <c r="AQ114"/>
  <c r="BH114"/>
  <c r="AR114"/>
  <c r="BC114"/>
  <c r="AS114"/>
  <c r="AT114"/>
  <c r="AQ115"/>
  <c r="BB115"/>
  <c r="AR115"/>
  <c r="AS115"/>
  <c r="BJ115"/>
  <c r="AT115"/>
  <c r="BK115"/>
  <c r="AQ116"/>
  <c r="BH116"/>
  <c r="AR116"/>
  <c r="BC116"/>
  <c r="AS116"/>
  <c r="BJ116"/>
  <c r="AT116"/>
  <c r="AQ117"/>
  <c r="BH117"/>
  <c r="AR117"/>
  <c r="AS117"/>
  <c r="AT117"/>
  <c r="BE117"/>
  <c r="AQ118"/>
  <c r="BH118"/>
  <c r="AR118"/>
  <c r="BI118"/>
  <c r="AS118"/>
  <c r="BD118"/>
  <c r="AT118"/>
  <c r="AQ119"/>
  <c r="BH119"/>
  <c r="AR119"/>
  <c r="AS119"/>
  <c r="AT119"/>
  <c r="BE119"/>
  <c r="AQ120"/>
  <c r="BH120"/>
  <c r="AR120"/>
  <c r="BI120"/>
  <c r="AS120"/>
  <c r="AT120"/>
  <c r="AQ121"/>
  <c r="BH121"/>
  <c r="AR121"/>
  <c r="AS121"/>
  <c r="BJ121"/>
  <c r="AT121"/>
  <c r="BK121"/>
  <c r="AQ122"/>
  <c r="BH122"/>
  <c r="AR122"/>
  <c r="BI122"/>
  <c r="AS122"/>
  <c r="AT122"/>
  <c r="BK122"/>
  <c r="AQ123"/>
  <c r="BH123"/>
  <c r="AS123"/>
  <c r="BJ123"/>
  <c r="AT123"/>
  <c r="BE123"/>
  <c r="AQ124"/>
  <c r="AR124"/>
  <c r="BC124"/>
  <c r="AS124"/>
  <c r="BD124"/>
  <c r="AT124"/>
  <c r="AQ125"/>
  <c r="BH125"/>
  <c r="AR125"/>
  <c r="BC125"/>
  <c r="AS125"/>
  <c r="BJ125"/>
  <c r="AT125"/>
  <c r="BE125"/>
  <c r="AQ126"/>
  <c r="AR126"/>
  <c r="BI126"/>
  <c r="AS126"/>
  <c r="AT126"/>
  <c r="BE126"/>
  <c r="AR102"/>
  <c r="AR75"/>
  <c r="BI75"/>
  <c r="AS76"/>
  <c r="BJ76"/>
  <c r="AT76"/>
  <c r="BK76"/>
  <c r="AQ77"/>
  <c r="BH77"/>
  <c r="AR78"/>
  <c r="BI78"/>
  <c r="AS78"/>
  <c r="BJ78"/>
  <c r="AT78"/>
  <c r="AR79"/>
  <c r="AT79"/>
  <c r="BK79"/>
  <c r="AQ80"/>
  <c r="BB80"/>
  <c r="AS80"/>
  <c r="BD80"/>
  <c r="AQ81"/>
  <c r="BB81"/>
  <c r="AR81"/>
  <c r="BI81"/>
  <c r="AT81"/>
  <c r="AS82"/>
  <c r="BJ82"/>
  <c r="AR83"/>
  <c r="BI83"/>
  <c r="AT83"/>
  <c r="AR84"/>
  <c r="BI84"/>
  <c r="AT84"/>
  <c r="AQ85"/>
  <c r="BB85"/>
  <c r="AR85"/>
  <c r="BC85"/>
  <c r="AS85"/>
  <c r="BD85"/>
  <c r="AT85"/>
  <c r="BE85"/>
  <c r="AQ86"/>
  <c r="BB86"/>
  <c r="AR86"/>
  <c r="BC86"/>
  <c r="AS86"/>
  <c r="AT86"/>
  <c r="AQ87"/>
  <c r="BB87"/>
  <c r="AR87"/>
  <c r="BC87"/>
  <c r="AS87"/>
  <c r="BD87"/>
  <c r="AT87"/>
  <c r="AQ88"/>
  <c r="BB88"/>
  <c r="AR88"/>
  <c r="BI88"/>
  <c r="AS88"/>
  <c r="AT88"/>
  <c r="AQ89"/>
  <c r="BH89"/>
  <c r="AR89"/>
  <c r="BC89"/>
  <c r="AS89"/>
  <c r="BD89"/>
  <c r="AT89"/>
  <c r="AQ90"/>
  <c r="BH90"/>
  <c r="AR90"/>
  <c r="BI90"/>
  <c r="AS90"/>
  <c r="AT90"/>
  <c r="AQ91"/>
  <c r="BH91"/>
  <c r="AR91"/>
  <c r="BI91"/>
  <c r="AS91"/>
  <c r="BJ91"/>
  <c r="AT91"/>
  <c r="BE91"/>
  <c r="AQ92"/>
  <c r="AR92"/>
  <c r="BI92"/>
  <c r="AS92"/>
  <c r="AT92"/>
  <c r="AQ93"/>
  <c r="BH93"/>
  <c r="AR93"/>
  <c r="BC93"/>
  <c r="AS93"/>
  <c r="BD93"/>
  <c r="AT93"/>
  <c r="AQ94"/>
  <c r="BB94"/>
  <c r="AR94"/>
  <c r="BI94"/>
  <c r="BL94"/>
  <c r="AS94"/>
  <c r="AT94"/>
  <c r="BK94"/>
  <c r="AQ95"/>
  <c r="BB95"/>
  <c r="AR95"/>
  <c r="BC95"/>
  <c r="AS95"/>
  <c r="BD95"/>
  <c r="AT95"/>
  <c r="BE95"/>
  <c r="AQ96"/>
  <c r="AR96"/>
  <c r="BI96"/>
  <c r="AS96"/>
  <c r="AT96"/>
  <c r="AQ97"/>
  <c r="BB97"/>
  <c r="AR97"/>
  <c r="BC97"/>
  <c r="AS97"/>
  <c r="BD97"/>
  <c r="AT97"/>
  <c r="AQ98"/>
  <c r="AR98"/>
  <c r="BC98"/>
  <c r="AS98"/>
  <c r="AT98"/>
  <c r="AQ99"/>
  <c r="BB99"/>
  <c r="AR99"/>
  <c r="BC99"/>
  <c r="AS99"/>
  <c r="BD99"/>
  <c r="AT99"/>
  <c r="AQ100"/>
  <c r="BB100"/>
  <c r="AR100"/>
  <c r="BI100"/>
  <c r="AS100"/>
  <c r="AT100"/>
  <c r="AR74"/>
  <c r="BI74"/>
  <c r="AQ62"/>
  <c r="AR62"/>
  <c r="AS62"/>
  <c r="BJ62"/>
  <c r="AT62"/>
  <c r="AQ63"/>
  <c r="AR63"/>
  <c r="AS63"/>
  <c r="BJ63"/>
  <c r="AT63"/>
  <c r="AQ64"/>
  <c r="AR64"/>
  <c r="AS64"/>
  <c r="BJ64"/>
  <c r="AT64"/>
  <c r="AQ65"/>
  <c r="BH65"/>
  <c r="AR65"/>
  <c r="AS65"/>
  <c r="BD65"/>
  <c r="AT65"/>
  <c r="AQ66"/>
  <c r="AR66"/>
  <c r="AS66"/>
  <c r="BJ66"/>
  <c r="AT66"/>
  <c r="AQ67"/>
  <c r="BH67"/>
  <c r="AR67"/>
  <c r="AS67"/>
  <c r="BD67"/>
  <c r="AT67"/>
  <c r="AQ68"/>
  <c r="AR68"/>
  <c r="AS68"/>
  <c r="AT68"/>
  <c r="AQ69"/>
  <c r="AR69"/>
  <c r="AS69"/>
  <c r="BD69"/>
  <c r="AT69"/>
  <c r="AQ70"/>
  <c r="AR70"/>
  <c r="AS70"/>
  <c r="BD70"/>
  <c r="AT70"/>
  <c r="AQ71"/>
  <c r="AR71"/>
  <c r="AS71"/>
  <c r="BJ71"/>
  <c r="AT71"/>
  <c r="AQ72"/>
  <c r="AR72"/>
  <c r="AS72"/>
  <c r="AT72"/>
  <c r="AR61"/>
  <c r="BC61"/>
  <c r="AT61"/>
  <c r="BK61"/>
  <c r="AQ61"/>
  <c r="BH61"/>
  <c r="AQ46"/>
  <c r="BH46"/>
  <c r="AR46"/>
  <c r="BI46"/>
  <c r="AT46"/>
  <c r="AQ47"/>
  <c r="BH47"/>
  <c r="AS47"/>
  <c r="AQ48"/>
  <c r="BH48"/>
  <c r="AR48"/>
  <c r="AS48"/>
  <c r="BD48"/>
  <c r="AT48"/>
  <c r="AQ49"/>
  <c r="BH49"/>
  <c r="BL49"/>
  <c r="AR49"/>
  <c r="AS49"/>
  <c r="BJ49"/>
  <c r="AT49"/>
  <c r="AQ50"/>
  <c r="AR50"/>
  <c r="AS50"/>
  <c r="BD50"/>
  <c r="AT50"/>
  <c r="AQ51"/>
  <c r="BH51"/>
  <c r="BL51"/>
  <c r="AR51"/>
  <c r="AS51"/>
  <c r="AT51"/>
  <c r="AQ52"/>
  <c r="BH52"/>
  <c r="AR52"/>
  <c r="AS52"/>
  <c r="AT52"/>
  <c r="AQ53"/>
  <c r="BH53"/>
  <c r="BL53"/>
  <c r="AR53"/>
  <c r="BI53"/>
  <c r="AT53"/>
  <c r="AQ54"/>
  <c r="AS54"/>
  <c r="BD54"/>
  <c r="AT54"/>
  <c r="AQ55"/>
  <c r="AR55"/>
  <c r="AS55"/>
  <c r="BJ55"/>
  <c r="AT55"/>
  <c r="AQ56"/>
  <c r="BB56"/>
  <c r="AR56"/>
  <c r="AS56"/>
  <c r="BD56"/>
  <c r="AT56"/>
  <c r="BE56"/>
  <c r="AQ57"/>
  <c r="BB57"/>
  <c r="AR57"/>
  <c r="AS57"/>
  <c r="BD57"/>
  <c r="AT57"/>
  <c r="BE57"/>
  <c r="AQ58"/>
  <c r="BB58"/>
  <c r="AR58"/>
  <c r="AS58"/>
  <c r="BJ58"/>
  <c r="AT58"/>
  <c r="BE58"/>
  <c r="AQ59"/>
  <c r="BB59"/>
  <c r="AR59"/>
  <c r="AS59"/>
  <c r="BD59"/>
  <c r="AT59"/>
  <c r="BE59"/>
  <c r="AR45"/>
  <c r="BC45"/>
  <c r="AS45"/>
  <c r="BJ45"/>
  <c r="AQ30"/>
  <c r="BB30"/>
  <c r="AS30"/>
  <c r="BJ30"/>
  <c r="AS31"/>
  <c r="BJ31"/>
  <c r="AQ32"/>
  <c r="AR32"/>
  <c r="BC32"/>
  <c r="AS32"/>
  <c r="AT32"/>
  <c r="BE32"/>
  <c r="AQ34"/>
  <c r="AS34"/>
  <c r="BJ34"/>
  <c r="AT34"/>
  <c r="AQ35"/>
  <c r="BH35"/>
  <c r="AR35"/>
  <c r="AS35"/>
  <c r="BJ35"/>
  <c r="AT35"/>
  <c r="AQ36"/>
  <c r="BB36"/>
  <c r="AR36"/>
  <c r="AS36"/>
  <c r="BJ36"/>
  <c r="AT36"/>
  <c r="AQ37"/>
  <c r="BB37"/>
  <c r="AR37"/>
  <c r="AS37"/>
  <c r="BJ37"/>
  <c r="AT37"/>
  <c r="AQ38"/>
  <c r="BH38"/>
  <c r="AR38"/>
  <c r="AS38"/>
  <c r="BD38"/>
  <c r="AT38"/>
  <c r="AQ39"/>
  <c r="BH39"/>
  <c r="AR39"/>
  <c r="BI39"/>
  <c r="AS39"/>
  <c r="BD39"/>
  <c r="AT39"/>
  <c r="BE39"/>
  <c r="AQ40"/>
  <c r="BB40"/>
  <c r="AR40"/>
  <c r="AS40"/>
  <c r="BJ40"/>
  <c r="AT40"/>
  <c r="AQ41"/>
  <c r="BB41"/>
  <c r="AR41"/>
  <c r="AS41"/>
  <c r="BD41"/>
  <c r="AT41"/>
  <c r="AQ42"/>
  <c r="BH42"/>
  <c r="AR42"/>
  <c r="AS42"/>
  <c r="BJ42"/>
  <c r="AT42"/>
  <c r="AQ43"/>
  <c r="BB43"/>
  <c r="AR43"/>
  <c r="AS43"/>
  <c r="BD43"/>
  <c r="AT43"/>
  <c r="AR29"/>
  <c r="BC29"/>
  <c r="AS29"/>
  <c r="BD29"/>
  <c r="AT29"/>
  <c r="BE29"/>
  <c r="AS19"/>
  <c r="AS20"/>
  <c r="AS21"/>
  <c r="BJ21"/>
  <c r="AT21"/>
  <c r="BK21"/>
  <c r="AR22"/>
  <c r="BC22"/>
  <c r="AS22"/>
  <c r="BJ22"/>
  <c r="AT22"/>
  <c r="BE22"/>
  <c r="AR23"/>
  <c r="BI23"/>
  <c r="AR24"/>
  <c r="AS24"/>
  <c r="BJ24"/>
  <c r="AT24"/>
  <c r="AR25"/>
  <c r="BI25"/>
  <c r="AS25"/>
  <c r="AT25"/>
  <c r="BE25"/>
  <c r="AR26"/>
  <c r="AS26"/>
  <c r="BJ26"/>
  <c r="AT26"/>
  <c r="AR27"/>
  <c r="BC27"/>
  <c r="AS27"/>
  <c r="AT27"/>
  <c r="BE27"/>
  <c r="AQ21"/>
  <c r="BH21"/>
  <c r="AQ22"/>
  <c r="BH22"/>
  <c r="AQ24"/>
  <c r="BB24"/>
  <c r="AQ25"/>
  <c r="BB25"/>
  <c r="AQ26"/>
  <c r="BH26"/>
  <c r="AQ27"/>
  <c r="BB27"/>
  <c r="D8" i="10"/>
  <c r="E8"/>
  <c r="F8"/>
  <c r="G8"/>
  <c r="C8"/>
  <c r="H1363" i="4"/>
  <c r="H1362"/>
  <c r="AF1343"/>
  <c r="AE1343"/>
  <c r="AD1343"/>
  <c r="AF1341"/>
  <c r="AE1341"/>
  <c r="AD1341"/>
  <c r="Y1343"/>
  <c r="X1343"/>
  <c r="W1343"/>
  <c r="Y1341"/>
  <c r="X1341"/>
  <c r="W1341"/>
  <c r="R1343"/>
  <c r="Q1343"/>
  <c r="P1343"/>
  <c r="R1341"/>
  <c r="Q1341"/>
  <c r="P1341"/>
  <c r="K1343"/>
  <c r="J1343"/>
  <c r="I1343"/>
  <c r="K1341"/>
  <c r="J1341"/>
  <c r="I1341"/>
  <c r="AQ351"/>
  <c r="AP351"/>
  <c r="AO351"/>
  <c r="AN351"/>
  <c r="AQ350"/>
  <c r="AP350"/>
  <c r="AO350"/>
  <c r="AN350"/>
  <c r="AQ349"/>
  <c r="AP349"/>
  <c r="AO349"/>
  <c r="AN349"/>
  <c r="AQ348"/>
  <c r="AP348"/>
  <c r="AO348"/>
  <c r="AN348"/>
  <c r="AQ347"/>
  <c r="AP347"/>
  <c r="AO347"/>
  <c r="AN347"/>
  <c r="AQ345"/>
  <c r="AP345"/>
  <c r="AO345"/>
  <c r="AO340"/>
  <c r="AN345"/>
  <c r="AQ338"/>
  <c r="AP338"/>
  <c r="AO338"/>
  <c r="AQ337"/>
  <c r="AP337"/>
  <c r="AO337"/>
  <c r="AQ336"/>
  <c r="AP336"/>
  <c r="AO336"/>
  <c r="AQ335"/>
  <c r="AP335"/>
  <c r="AO335"/>
  <c r="AQ334"/>
  <c r="AP334"/>
  <c r="AO334"/>
  <c r="AQ332"/>
  <c r="AP332"/>
  <c r="AO332"/>
  <c r="AO327"/>
  <c r="AQ325"/>
  <c r="AP325"/>
  <c r="AO325"/>
  <c r="AN325"/>
  <c r="AQ324"/>
  <c r="AP324"/>
  <c r="AO324"/>
  <c r="AN324"/>
  <c r="AQ323"/>
  <c r="AP323"/>
  <c r="AO323"/>
  <c r="AN323"/>
  <c r="AQ322"/>
  <c r="AP322"/>
  <c r="AO322"/>
  <c r="AN322"/>
  <c r="AQ321"/>
  <c r="AP321"/>
  <c r="AO321"/>
  <c r="AN321"/>
  <c r="AQ319"/>
  <c r="AP319"/>
  <c r="AO319"/>
  <c r="AO314"/>
  <c r="AN319"/>
  <c r="AN340"/>
  <c r="AP327"/>
  <c r="F6" i="17"/>
  <c r="AF342" i="4"/>
  <c r="AE342"/>
  <c r="AD342"/>
  <c r="AC342"/>
  <c r="AB342"/>
  <c r="Y342"/>
  <c r="X342"/>
  <c r="W342"/>
  <c r="V342"/>
  <c r="U342"/>
  <c r="R342"/>
  <c r="Q342"/>
  <c r="P342"/>
  <c r="O342"/>
  <c r="N342"/>
  <c r="K342"/>
  <c r="J342"/>
  <c r="I342"/>
  <c r="H342"/>
  <c r="G342"/>
  <c r="AF329"/>
  <c r="AE329"/>
  <c r="AD329"/>
  <c r="AC329"/>
  <c r="AB329"/>
  <c r="Y329"/>
  <c r="X329"/>
  <c r="W329"/>
  <c r="V329"/>
  <c r="U329"/>
  <c r="R329"/>
  <c r="Q329"/>
  <c r="P329"/>
  <c r="O329"/>
  <c r="N329"/>
  <c r="K329"/>
  <c r="J329"/>
  <c r="I329"/>
  <c r="H329"/>
  <c r="G329"/>
  <c r="AF316"/>
  <c r="AE316"/>
  <c r="AD316"/>
  <c r="AC316"/>
  <c r="AB316"/>
  <c r="Y316"/>
  <c r="X316"/>
  <c r="W316"/>
  <c r="V316"/>
  <c r="U316"/>
  <c r="R316"/>
  <c r="Q316"/>
  <c r="P316"/>
  <c r="O316"/>
  <c r="N316"/>
  <c r="K316"/>
  <c r="J316"/>
  <c r="I316"/>
  <c r="H316"/>
  <c r="G316"/>
  <c r="AF264"/>
  <c r="AE264"/>
  <c r="AD264"/>
  <c r="Y264"/>
  <c r="W264"/>
  <c r="R264"/>
  <c r="Q264"/>
  <c r="P264"/>
  <c r="K264"/>
  <c r="J264"/>
  <c r="I264"/>
  <c r="AC238"/>
  <c r="AB238"/>
  <c r="V238"/>
  <c r="U238"/>
  <c r="O238"/>
  <c r="N238"/>
  <c r="H238"/>
  <c r="G238"/>
  <c r="I161"/>
  <c r="AC108"/>
  <c r="AB108"/>
  <c r="V108"/>
  <c r="U108"/>
  <c r="O108"/>
  <c r="N108"/>
  <c r="H108"/>
  <c r="G108"/>
  <c r="J161"/>
  <c r="G161"/>
  <c r="K161"/>
  <c r="H161"/>
  <c r="AL28" i="17"/>
  <c r="AM28"/>
  <c r="AN28"/>
  <c r="AO28"/>
  <c r="AF43" i="4"/>
  <c r="AE43"/>
  <c r="AG43"/>
  <c r="AD43"/>
  <c r="Y43"/>
  <c r="X43"/>
  <c r="W43"/>
  <c r="Z43"/>
  <c r="R43"/>
  <c r="Q43"/>
  <c r="P43"/>
  <c r="S28" i="17"/>
  <c r="AC28"/>
  <c r="F138"/>
  <c r="I127"/>
  <c r="J26" i="1"/>
  <c r="Q18"/>
  <c r="H23"/>
  <c r="L127" i="17"/>
  <c r="O18" i="1"/>
  <c r="K127" i="17"/>
  <c r="G138" i="8"/>
  <c r="M18" i="1"/>
  <c r="J127" i="17"/>
  <c r="F138" i="8"/>
  <c r="K18" i="1"/>
  <c r="L22"/>
  <c r="N22"/>
  <c r="P22"/>
  <c r="J23"/>
  <c r="L23"/>
  <c r="N23"/>
  <c r="P23"/>
  <c r="P21"/>
  <c r="H21"/>
  <c r="N21"/>
  <c r="L21"/>
  <c r="Q23"/>
  <c r="O23"/>
  <c r="M23"/>
  <c r="K23"/>
  <c r="Q22"/>
  <c r="O22"/>
  <c r="M22"/>
  <c r="K22"/>
  <c r="R28" i="17"/>
  <c r="AB28"/>
  <c r="T28"/>
  <c r="Y28"/>
  <c r="AD28"/>
  <c r="U28"/>
  <c r="Z28"/>
  <c r="BE109"/>
  <c r="G111" i="4"/>
  <c r="H111"/>
  <c r="AC111"/>
  <c r="AB111"/>
  <c r="V111"/>
  <c r="U111"/>
  <c r="N111"/>
  <c r="O111"/>
  <c r="H57"/>
  <c r="L69"/>
  <c r="G106"/>
  <c r="G107"/>
  <c r="G110"/>
  <c r="H106"/>
  <c r="H107"/>
  <c r="H110"/>
  <c r="L134"/>
  <c r="L173"/>
  <c r="H174"/>
  <c r="L186"/>
  <c r="J187"/>
  <c r="L199"/>
  <c r="J200"/>
  <c r="L212"/>
  <c r="J213"/>
  <c r="L225"/>
  <c r="J226"/>
  <c r="I262"/>
  <c r="I266"/>
  <c r="I263"/>
  <c r="K262"/>
  <c r="K263"/>
  <c r="G314"/>
  <c r="G315"/>
  <c r="H314"/>
  <c r="H318"/>
  <c r="H315"/>
  <c r="I315"/>
  <c r="J314"/>
  <c r="J318"/>
  <c r="J315"/>
  <c r="K314"/>
  <c r="G327"/>
  <c r="G331"/>
  <c r="G328"/>
  <c r="I327"/>
  <c r="I331"/>
  <c r="L331"/>
  <c r="I328"/>
  <c r="K327"/>
  <c r="K331"/>
  <c r="K328"/>
  <c r="H341"/>
  <c r="H340"/>
  <c r="J340"/>
  <c r="A54"/>
  <c r="AI54"/>
  <c r="AB340"/>
  <c r="AB344"/>
  <c r="AB341"/>
  <c r="AC341"/>
  <c r="AC340"/>
  <c r="AD340"/>
  <c r="AD344"/>
  <c r="AD341"/>
  <c r="AE341"/>
  <c r="AE340"/>
  <c r="AF340"/>
  <c r="AF344"/>
  <c r="AF341"/>
  <c r="U341"/>
  <c r="U344"/>
  <c r="U340"/>
  <c r="V340"/>
  <c r="V344"/>
  <c r="V341"/>
  <c r="W341"/>
  <c r="W344"/>
  <c r="W340"/>
  <c r="X340"/>
  <c r="X344"/>
  <c r="X341"/>
  <c r="Y341"/>
  <c r="Y344"/>
  <c r="Y340"/>
  <c r="F351"/>
  <c r="F350"/>
  <c r="F349"/>
  <c r="F348"/>
  <c r="F347"/>
  <c r="F346"/>
  <c r="F345"/>
  <c r="AL340"/>
  <c r="AK340"/>
  <c r="AJ340"/>
  <c r="W327"/>
  <c r="Y327"/>
  <c r="O328"/>
  <c r="Q328"/>
  <c r="F338"/>
  <c r="F337"/>
  <c r="F336"/>
  <c r="F335"/>
  <c r="F334"/>
  <c r="F333"/>
  <c r="F332"/>
  <c r="AL327"/>
  <c r="AK327"/>
  <c r="AJ327"/>
  <c r="AB314"/>
  <c r="AB318"/>
  <c r="AC315"/>
  <c r="AD314"/>
  <c r="AD318"/>
  <c r="AE315"/>
  <c r="AF314"/>
  <c r="AF318"/>
  <c r="U315"/>
  <c r="V314"/>
  <c r="V318"/>
  <c r="W315"/>
  <c r="X315"/>
  <c r="X314"/>
  <c r="X318"/>
  <c r="Y315"/>
  <c r="N315"/>
  <c r="F325"/>
  <c r="F324"/>
  <c r="F323"/>
  <c r="F322"/>
  <c r="F321"/>
  <c r="F320"/>
  <c r="F319"/>
  <c r="AL314"/>
  <c r="AK314"/>
  <c r="AJ314"/>
  <c r="AG303"/>
  <c r="F312"/>
  <c r="F311"/>
  <c r="F310"/>
  <c r="F309"/>
  <c r="F308"/>
  <c r="F307"/>
  <c r="F306"/>
  <c r="AL301"/>
  <c r="AK301"/>
  <c r="AJ301"/>
  <c r="S290"/>
  <c r="O291"/>
  <c r="F299"/>
  <c r="F298"/>
  <c r="F297"/>
  <c r="F296"/>
  <c r="F295"/>
  <c r="F294"/>
  <c r="F293"/>
  <c r="AL288"/>
  <c r="AK288"/>
  <c r="AJ288"/>
  <c r="F286"/>
  <c r="F285"/>
  <c r="F284"/>
  <c r="F283"/>
  <c r="F282"/>
  <c r="F281"/>
  <c r="F280"/>
  <c r="AL275"/>
  <c r="AK275"/>
  <c r="AJ275"/>
  <c r="W263"/>
  <c r="Y263"/>
  <c r="P263"/>
  <c r="P262"/>
  <c r="P266"/>
  <c r="Q262"/>
  <c r="Q266"/>
  <c r="Q263"/>
  <c r="R263"/>
  <c r="R262"/>
  <c r="R266"/>
  <c r="F273"/>
  <c r="F272"/>
  <c r="F271"/>
  <c r="F270"/>
  <c r="F269"/>
  <c r="F268"/>
  <c r="F267"/>
  <c r="AL262"/>
  <c r="AK262"/>
  <c r="AJ262"/>
  <c r="Z251"/>
  <c r="U252"/>
  <c r="F260"/>
  <c r="F259"/>
  <c r="F258"/>
  <c r="F257"/>
  <c r="F256"/>
  <c r="F255"/>
  <c r="F254"/>
  <c r="AL249"/>
  <c r="AK249"/>
  <c r="AJ249"/>
  <c r="AC237"/>
  <c r="U236"/>
  <c r="U240"/>
  <c r="U237"/>
  <c r="V237"/>
  <c r="V236"/>
  <c r="V240"/>
  <c r="N237"/>
  <c r="N240"/>
  <c r="N236"/>
  <c r="O236"/>
  <c r="O240"/>
  <c r="O237"/>
  <c r="F247"/>
  <c r="F246"/>
  <c r="F245"/>
  <c r="F244"/>
  <c r="F243"/>
  <c r="F242"/>
  <c r="F241"/>
  <c r="AL236"/>
  <c r="AK236"/>
  <c r="AJ236"/>
  <c r="F234"/>
  <c r="F233"/>
  <c r="F232"/>
  <c r="F231"/>
  <c r="F230"/>
  <c r="F229"/>
  <c r="F228"/>
  <c r="AL223"/>
  <c r="AK223"/>
  <c r="AJ223"/>
  <c r="AG212"/>
  <c r="AF213"/>
  <c r="Z212"/>
  <c r="V213"/>
  <c r="S212"/>
  <c r="R213"/>
  <c r="F221"/>
  <c r="F220"/>
  <c r="F219"/>
  <c r="F218"/>
  <c r="F217"/>
  <c r="F216"/>
  <c r="F215"/>
  <c r="AL210"/>
  <c r="AK210"/>
  <c r="AJ210"/>
  <c r="AG199"/>
  <c r="AF200"/>
  <c r="Z199"/>
  <c r="S199"/>
  <c r="N200"/>
  <c r="F208"/>
  <c r="F207"/>
  <c r="F206"/>
  <c r="F205"/>
  <c r="F204"/>
  <c r="F203"/>
  <c r="F202"/>
  <c r="AL197"/>
  <c r="AK197"/>
  <c r="AJ197"/>
  <c r="AG173"/>
  <c r="AD174"/>
  <c r="Z173"/>
  <c r="W174"/>
  <c r="S173"/>
  <c r="F195"/>
  <c r="F194"/>
  <c r="F193"/>
  <c r="F192"/>
  <c r="F191"/>
  <c r="F190"/>
  <c r="F189"/>
  <c r="AL184"/>
  <c r="AK184"/>
  <c r="AJ184"/>
  <c r="S69"/>
  <c r="F182"/>
  <c r="F181"/>
  <c r="F180"/>
  <c r="F179"/>
  <c r="F178"/>
  <c r="F177"/>
  <c r="F176"/>
  <c r="AL171"/>
  <c r="AK171"/>
  <c r="AJ171"/>
  <c r="F169"/>
  <c r="F168"/>
  <c r="F167"/>
  <c r="F166"/>
  <c r="F165"/>
  <c r="F164"/>
  <c r="F163"/>
  <c r="AL158"/>
  <c r="AK158"/>
  <c r="AJ158"/>
  <c r="F156"/>
  <c r="F155"/>
  <c r="F154"/>
  <c r="F153"/>
  <c r="F152"/>
  <c r="F151"/>
  <c r="F150"/>
  <c r="AL145"/>
  <c r="AK145"/>
  <c r="AJ145"/>
  <c r="F143"/>
  <c r="F142"/>
  <c r="F141"/>
  <c r="F140"/>
  <c r="F139"/>
  <c r="F138"/>
  <c r="F137"/>
  <c r="AL132"/>
  <c r="AK132"/>
  <c r="AJ132"/>
  <c r="S121"/>
  <c r="Q122"/>
  <c r="F130"/>
  <c r="F129"/>
  <c r="F128"/>
  <c r="F127"/>
  <c r="F126"/>
  <c r="F125"/>
  <c r="F124"/>
  <c r="AL119"/>
  <c r="AK119"/>
  <c r="AJ119"/>
  <c r="F117"/>
  <c r="F116"/>
  <c r="F115"/>
  <c r="F114"/>
  <c r="F113"/>
  <c r="F112"/>
  <c r="F111"/>
  <c r="AL106"/>
  <c r="AK106"/>
  <c r="AJ106"/>
  <c r="F104"/>
  <c r="F103"/>
  <c r="F102"/>
  <c r="F101"/>
  <c r="F100"/>
  <c r="F99"/>
  <c r="F98"/>
  <c r="AL93"/>
  <c r="AK93"/>
  <c r="AJ93"/>
  <c r="F91"/>
  <c r="F90"/>
  <c r="F89"/>
  <c r="F88"/>
  <c r="F87"/>
  <c r="F86"/>
  <c r="F85"/>
  <c r="AL80"/>
  <c r="AK80"/>
  <c r="AJ80"/>
  <c r="Z69"/>
  <c r="F78"/>
  <c r="F77"/>
  <c r="F76"/>
  <c r="F75"/>
  <c r="F74"/>
  <c r="F73"/>
  <c r="F72"/>
  <c r="AL67"/>
  <c r="AK67"/>
  <c r="AJ67"/>
  <c r="Z56"/>
  <c r="Y57"/>
  <c r="F65"/>
  <c r="F64"/>
  <c r="F63"/>
  <c r="F62"/>
  <c r="F61"/>
  <c r="F60"/>
  <c r="F59"/>
  <c r="AL54"/>
  <c r="AK54"/>
  <c r="AJ54"/>
  <c r="F52"/>
  <c r="AC107"/>
  <c r="AB107"/>
  <c r="AB106"/>
  <c r="AC106"/>
  <c r="AC110"/>
  <c r="V107"/>
  <c r="V106"/>
  <c r="V110"/>
  <c r="AB110"/>
  <c r="O107"/>
  <c r="O106"/>
  <c r="O110"/>
  <c r="U107"/>
  <c r="U106"/>
  <c r="N106"/>
  <c r="N107"/>
  <c r="E100" i="13"/>
  <c r="E101"/>
  <c r="E102"/>
  <c r="E103"/>
  <c r="E104"/>
  <c r="E99"/>
  <c r="C143"/>
  <c r="F156"/>
  <c r="E85"/>
  <c r="E90"/>
  <c r="E40"/>
  <c r="E41"/>
  <c r="E42"/>
  <c r="E43"/>
  <c r="E44"/>
  <c r="E45"/>
  <c r="E47"/>
  <c r="E48"/>
  <c r="E83"/>
  <c r="E84"/>
  <c r="E86"/>
  <c r="E87"/>
  <c r="E88"/>
  <c r="E89"/>
  <c r="AF20" i="17"/>
  <c r="U110" i="4"/>
  <c r="N110"/>
  <c r="Q109" i="17"/>
  <c r="AA109"/>
  <c r="AF109"/>
  <c r="AK109"/>
  <c r="AP109"/>
  <c r="J44"/>
  <c r="F134" i="8"/>
  <c r="K44" i="17"/>
  <c r="G134" i="8"/>
  <c r="L44" i="17"/>
  <c r="H134" i="8"/>
  <c r="I44" i="17"/>
  <c r="E134" i="8"/>
  <c r="BC104" i="17"/>
  <c r="BB107"/>
  <c r="BK107"/>
  <c r="BH108"/>
  <c r="BI108"/>
  <c r="BB109"/>
  <c r="BE110"/>
  <c r="BC111"/>
  <c r="BK112"/>
  <c r="BI113"/>
  <c r="BK114"/>
  <c r="BI115"/>
  <c r="BE116"/>
  <c r="BC117"/>
  <c r="BE118"/>
  <c r="BC119"/>
  <c r="BK120"/>
  <c r="BI121"/>
  <c r="BC122"/>
  <c r="BB124"/>
  <c r="BJ124"/>
  <c r="BH126"/>
  <c r="BJ126"/>
  <c r="AO127"/>
  <c r="AN127"/>
  <c r="AM127"/>
  <c r="AL127"/>
  <c r="AP126"/>
  <c r="AP125"/>
  <c r="AP124"/>
  <c r="AP123"/>
  <c r="AP122"/>
  <c r="AP121"/>
  <c r="AP120"/>
  <c r="AP119"/>
  <c r="AP118"/>
  <c r="AP117"/>
  <c r="AP116"/>
  <c r="AP115"/>
  <c r="AP114"/>
  <c r="AP113"/>
  <c r="AP112"/>
  <c r="AP111"/>
  <c r="AP110"/>
  <c r="AP108"/>
  <c r="AP107"/>
  <c r="AP106"/>
  <c r="AP105"/>
  <c r="AP104"/>
  <c r="AP103"/>
  <c r="AP102"/>
  <c r="AG127"/>
  <c r="AK126"/>
  <c r="AK125"/>
  <c r="AK124"/>
  <c r="AK123"/>
  <c r="AK122"/>
  <c r="AK121"/>
  <c r="AK120"/>
  <c r="AK119"/>
  <c r="AK118"/>
  <c r="AK117"/>
  <c r="AK116"/>
  <c r="AK115"/>
  <c r="AK114"/>
  <c r="AK113"/>
  <c r="AK112"/>
  <c r="AK111"/>
  <c r="AK110"/>
  <c r="AK108"/>
  <c r="AK107"/>
  <c r="AK106"/>
  <c r="AK105"/>
  <c r="AK127"/>
  <c r="AK104"/>
  <c r="AK103"/>
  <c r="AK102"/>
  <c r="AE127"/>
  <c r="AD127"/>
  <c r="AB127"/>
  <c r="AF126"/>
  <c r="AF125"/>
  <c r="AF124"/>
  <c r="AF123"/>
  <c r="AF122"/>
  <c r="AF121"/>
  <c r="AF120"/>
  <c r="AF119"/>
  <c r="AF118"/>
  <c r="AF117"/>
  <c r="AF116"/>
  <c r="AF115"/>
  <c r="AF114"/>
  <c r="AF113"/>
  <c r="AF112"/>
  <c r="AF111"/>
  <c r="AF110"/>
  <c r="AF108"/>
  <c r="AF107"/>
  <c r="AF106"/>
  <c r="AF105"/>
  <c r="AF104"/>
  <c r="AF103"/>
  <c r="AF102"/>
  <c r="Z127"/>
  <c r="AA126"/>
  <c r="AA125"/>
  <c r="AA124"/>
  <c r="AA123"/>
  <c r="AA122"/>
  <c r="AA121"/>
  <c r="AA120"/>
  <c r="AA119"/>
  <c r="AA118"/>
  <c r="AA117"/>
  <c r="AA116"/>
  <c r="AA115"/>
  <c r="AA114"/>
  <c r="AA113"/>
  <c r="AA112"/>
  <c r="AA111"/>
  <c r="AA110"/>
  <c r="AA108"/>
  <c r="AA107"/>
  <c r="U127"/>
  <c r="T127"/>
  <c r="S127"/>
  <c r="R127"/>
  <c r="Q103"/>
  <c r="Q104"/>
  <c r="Q105"/>
  <c r="Q106"/>
  <c r="Q107"/>
  <c r="Q108"/>
  <c r="AU108"/>
  <c r="Q110"/>
  <c r="Q111"/>
  <c r="Q112"/>
  <c r="Q113"/>
  <c r="AU113"/>
  <c r="Q114"/>
  <c r="Q115"/>
  <c r="Q116"/>
  <c r="Q117"/>
  <c r="Q118"/>
  <c r="Q119"/>
  <c r="Q120"/>
  <c r="Q121"/>
  <c r="Q122"/>
  <c r="Q123"/>
  <c r="AU123"/>
  <c r="Q124"/>
  <c r="Q125"/>
  <c r="Q126"/>
  <c r="Q102"/>
  <c r="BI79"/>
  <c r="BJ79"/>
  <c r="BJ80"/>
  <c r="BC83"/>
  <c r="BJ83"/>
  <c r="BC84"/>
  <c r="BH86"/>
  <c r="BD86"/>
  <c r="BH88"/>
  <c r="BJ88"/>
  <c r="BB90"/>
  <c r="BJ90"/>
  <c r="BH92"/>
  <c r="BJ92"/>
  <c r="BH94"/>
  <c r="BJ94"/>
  <c r="BH96"/>
  <c r="BD96"/>
  <c r="BB98"/>
  <c r="BD98"/>
  <c r="BH100"/>
  <c r="BJ100"/>
  <c r="AO101"/>
  <c r="AN101"/>
  <c r="AM101"/>
  <c r="AL101"/>
  <c r="AP100"/>
  <c r="AP99"/>
  <c r="AP98"/>
  <c r="AP97"/>
  <c r="AP96"/>
  <c r="AP95"/>
  <c r="AP94"/>
  <c r="AP93"/>
  <c r="AP92"/>
  <c r="AP91"/>
  <c r="AP90"/>
  <c r="AP89"/>
  <c r="AP88"/>
  <c r="AP87"/>
  <c r="AP86"/>
  <c r="AP85"/>
  <c r="AP84"/>
  <c r="AP83"/>
  <c r="AP82"/>
  <c r="AP81"/>
  <c r="AP80"/>
  <c r="AP79"/>
  <c r="AP78"/>
  <c r="AP77"/>
  <c r="AP76"/>
  <c r="AP75"/>
  <c r="AP74"/>
  <c r="AK100"/>
  <c r="AK99"/>
  <c r="AK98"/>
  <c r="AK97"/>
  <c r="AK96"/>
  <c r="AK95"/>
  <c r="AK94"/>
  <c r="AK93"/>
  <c r="AK92"/>
  <c r="AK91"/>
  <c r="AK90"/>
  <c r="AK89"/>
  <c r="AK88"/>
  <c r="AK87"/>
  <c r="AK86"/>
  <c r="AK85"/>
  <c r="AK84"/>
  <c r="AK83"/>
  <c r="AK82"/>
  <c r="AK81"/>
  <c r="AK80"/>
  <c r="AK79"/>
  <c r="AK78"/>
  <c r="AE101"/>
  <c r="AD101"/>
  <c r="AC101"/>
  <c r="AB101"/>
  <c r="AF100"/>
  <c r="AF99"/>
  <c r="AF98"/>
  <c r="AF97"/>
  <c r="AF96"/>
  <c r="AF95"/>
  <c r="AF94"/>
  <c r="AF93"/>
  <c r="AF92"/>
  <c r="AF91"/>
  <c r="AF90"/>
  <c r="AF89"/>
  <c r="AF88"/>
  <c r="AF87"/>
  <c r="AU87"/>
  <c r="AF86"/>
  <c r="AF85"/>
  <c r="AF84"/>
  <c r="AF83"/>
  <c r="AF82"/>
  <c r="AF81"/>
  <c r="AF80"/>
  <c r="AF79"/>
  <c r="AF78"/>
  <c r="AF77"/>
  <c r="AF76"/>
  <c r="AF75"/>
  <c r="AF74"/>
  <c r="AA100"/>
  <c r="AA99"/>
  <c r="AA98"/>
  <c r="AA97"/>
  <c r="AA96"/>
  <c r="AA95"/>
  <c r="AA94"/>
  <c r="AA93"/>
  <c r="AA92"/>
  <c r="AA91"/>
  <c r="AA90"/>
  <c r="AA89"/>
  <c r="AA88"/>
  <c r="AA87"/>
  <c r="AA86"/>
  <c r="AA85"/>
  <c r="U101"/>
  <c r="T101"/>
  <c r="S101"/>
  <c r="R101"/>
  <c r="Q75"/>
  <c r="Q76"/>
  <c r="Q78"/>
  <c r="Q79"/>
  <c r="Q80"/>
  <c r="Q81"/>
  <c r="Q82"/>
  <c r="Q83"/>
  <c r="Q84"/>
  <c r="Q85"/>
  <c r="Q86"/>
  <c r="Q87"/>
  <c r="Q88"/>
  <c r="Q89"/>
  <c r="Q90"/>
  <c r="Q91"/>
  <c r="Q92"/>
  <c r="AU92"/>
  <c r="Q93"/>
  <c r="Q94"/>
  <c r="Q95"/>
  <c r="Q96"/>
  <c r="Q97"/>
  <c r="Q98"/>
  <c r="Q99"/>
  <c r="Q100"/>
  <c r="Q74"/>
  <c r="M101"/>
  <c r="N101"/>
  <c r="O101"/>
  <c r="P101"/>
  <c r="BI62"/>
  <c r="BK62"/>
  <c r="BC63"/>
  <c r="BK63"/>
  <c r="BC64"/>
  <c r="BK64"/>
  <c r="BI65"/>
  <c r="BJ65"/>
  <c r="BE65"/>
  <c r="BD66"/>
  <c r="BE66"/>
  <c r="BB67"/>
  <c r="BI67"/>
  <c r="BJ67"/>
  <c r="BK67"/>
  <c r="BH68"/>
  <c r="BC68"/>
  <c r="BD68"/>
  <c r="BE68"/>
  <c r="BH69"/>
  <c r="BL69"/>
  <c r="BI69"/>
  <c r="BJ69"/>
  <c r="BK69"/>
  <c r="BB70"/>
  <c r="BC70"/>
  <c r="BJ70"/>
  <c r="BK70"/>
  <c r="BH71"/>
  <c r="BI71"/>
  <c r="BD71"/>
  <c r="BE71"/>
  <c r="BB72"/>
  <c r="BI72"/>
  <c r="BJ72"/>
  <c r="BK72"/>
  <c r="AO73"/>
  <c r="AN73"/>
  <c r="AM73"/>
  <c r="AL73"/>
  <c r="AP72"/>
  <c r="AP71"/>
  <c r="AP70"/>
  <c r="AP69"/>
  <c r="AP68"/>
  <c r="AP67"/>
  <c r="AP66"/>
  <c r="AP65"/>
  <c r="AP64"/>
  <c r="AP63"/>
  <c r="AP62"/>
  <c r="AP61"/>
  <c r="AJ73"/>
  <c r="AI73"/>
  <c r="AH73"/>
  <c r="AG73"/>
  <c r="AK72"/>
  <c r="AK71"/>
  <c r="AK70"/>
  <c r="AK69"/>
  <c r="AK68"/>
  <c r="AK67"/>
  <c r="AK66"/>
  <c r="AK65"/>
  <c r="AK64"/>
  <c r="AK63"/>
  <c r="AK62"/>
  <c r="AK73"/>
  <c r="AE73"/>
  <c r="AC73"/>
  <c r="AB73"/>
  <c r="AF72"/>
  <c r="AF71"/>
  <c r="AF70"/>
  <c r="AF69"/>
  <c r="AF68"/>
  <c r="AF67"/>
  <c r="AF66"/>
  <c r="AF65"/>
  <c r="AF64"/>
  <c r="AF63"/>
  <c r="AF62"/>
  <c r="AF61"/>
  <c r="Z73"/>
  <c r="Y73"/>
  <c r="X73"/>
  <c r="W73"/>
  <c r="AA72"/>
  <c r="AA71"/>
  <c r="AA70"/>
  <c r="AA69"/>
  <c r="AA68"/>
  <c r="AA67"/>
  <c r="AA66"/>
  <c r="AA65"/>
  <c r="AA64"/>
  <c r="AA63"/>
  <c r="AA62"/>
  <c r="U73"/>
  <c r="T73"/>
  <c r="S73"/>
  <c r="R73"/>
  <c r="Q62"/>
  <c r="Q63"/>
  <c r="AU63"/>
  <c r="BF63"/>
  <c r="Q64"/>
  <c r="Q65"/>
  <c r="Q66"/>
  <c r="Q67"/>
  <c r="AU67"/>
  <c r="BF67"/>
  <c r="Q68"/>
  <c r="Q69"/>
  <c r="Q70"/>
  <c r="Q71"/>
  <c r="Q72"/>
  <c r="Q61"/>
  <c r="M73"/>
  <c r="N73"/>
  <c r="O73"/>
  <c r="P73"/>
  <c r="L73"/>
  <c r="BI124"/>
  <c r="BK119"/>
  <c r="BI117"/>
  <c r="BC121"/>
  <c r="BB121"/>
  <c r="BB96"/>
  <c r="BC91"/>
  <c r="BH99"/>
  <c r="BI97"/>
  <c r="BH97"/>
  <c r="BH95"/>
  <c r="BI93"/>
  <c r="BH98"/>
  <c r="BI110"/>
  <c r="BC115"/>
  <c r="BB118"/>
  <c r="BB113"/>
  <c r="BH107"/>
  <c r="BC102"/>
  <c r="BC79"/>
  <c r="BE79"/>
  <c r="BH109"/>
  <c r="BC108"/>
  <c r="BC107"/>
  <c r="BC112"/>
  <c r="BI116"/>
  <c r="BK110"/>
  <c r="BB89"/>
  <c r="BC88"/>
  <c r="BI85"/>
  <c r="BH85"/>
  <c r="BB77"/>
  <c r="BI87"/>
  <c r="BC74"/>
  <c r="BD62"/>
  <c r="BC62"/>
  <c r="BE61"/>
  <c r="BE73"/>
  <c r="BK48"/>
  <c r="BK49"/>
  <c r="BB50"/>
  <c r="BI50"/>
  <c r="BJ50"/>
  <c r="BK50"/>
  <c r="BB51"/>
  <c r="BC51"/>
  <c r="BD51"/>
  <c r="BE51"/>
  <c r="BB52"/>
  <c r="BI52"/>
  <c r="BD52"/>
  <c r="BE52"/>
  <c r="BB53"/>
  <c r="BJ53"/>
  <c r="BK53"/>
  <c r="BH54"/>
  <c r="BC54"/>
  <c r="BE54"/>
  <c r="BB55"/>
  <c r="BC55"/>
  <c r="BE55"/>
  <c r="BI57"/>
  <c r="BI58"/>
  <c r="BC59"/>
  <c r="AO60"/>
  <c r="AN60"/>
  <c r="AM60"/>
  <c r="AL60"/>
  <c r="AP59"/>
  <c r="AP58"/>
  <c r="AP57"/>
  <c r="AP56"/>
  <c r="AP55"/>
  <c r="AP54"/>
  <c r="AP53"/>
  <c r="AP52"/>
  <c r="AP51"/>
  <c r="AP50"/>
  <c r="AP49"/>
  <c r="AP48"/>
  <c r="AP47"/>
  <c r="AP46"/>
  <c r="AP45"/>
  <c r="AJ60"/>
  <c r="AI60"/>
  <c r="AH60"/>
  <c r="AG60"/>
  <c r="AK59"/>
  <c r="AK58"/>
  <c r="AK57"/>
  <c r="AK56"/>
  <c r="AK55"/>
  <c r="AK54"/>
  <c r="AK53"/>
  <c r="AK52"/>
  <c r="AK51"/>
  <c r="AK50"/>
  <c r="AK49"/>
  <c r="AK48"/>
  <c r="AK47"/>
  <c r="AK46"/>
  <c r="AK45"/>
  <c r="AE60"/>
  <c r="AD60"/>
  <c r="AC60"/>
  <c r="AB60"/>
  <c r="AF59"/>
  <c r="AF58"/>
  <c r="AF57"/>
  <c r="AF56"/>
  <c r="AF55"/>
  <c r="AF54"/>
  <c r="AF53"/>
  <c r="AF52"/>
  <c r="AF50"/>
  <c r="AF49"/>
  <c r="AF48"/>
  <c r="AF47"/>
  <c r="AF46"/>
  <c r="AF45"/>
  <c r="W60"/>
  <c r="AA59"/>
  <c r="AA58"/>
  <c r="AA57"/>
  <c r="AA56"/>
  <c r="AA55"/>
  <c r="AA54"/>
  <c r="AA53"/>
  <c r="AA52"/>
  <c r="AA51"/>
  <c r="AA50"/>
  <c r="AA49"/>
  <c r="U60"/>
  <c r="T60"/>
  <c r="S60"/>
  <c r="R60"/>
  <c r="Q46"/>
  <c r="Q47"/>
  <c r="Q48"/>
  <c r="Q49"/>
  <c r="Q50"/>
  <c r="Q51"/>
  <c r="Q52"/>
  <c r="Q53"/>
  <c r="Q54"/>
  <c r="Q55"/>
  <c r="Q56"/>
  <c r="Q57"/>
  <c r="AU57"/>
  <c r="Q58"/>
  <c r="Q59"/>
  <c r="Q45"/>
  <c r="M60"/>
  <c r="N60"/>
  <c r="O60"/>
  <c r="P60"/>
  <c r="I60"/>
  <c r="E135" i="8"/>
  <c r="BD32" i="17"/>
  <c r="BH34"/>
  <c r="BE34"/>
  <c r="BC35"/>
  <c r="BK35"/>
  <c r="BC36"/>
  <c r="BE36"/>
  <c r="BC37"/>
  <c r="BK37"/>
  <c r="BC38"/>
  <c r="BE38"/>
  <c r="BC39"/>
  <c r="BK39"/>
  <c r="BC40"/>
  <c r="BE40"/>
  <c r="BI41"/>
  <c r="BK41"/>
  <c r="BI42"/>
  <c r="BE42"/>
  <c r="BC43"/>
  <c r="BK43"/>
  <c r="AO44"/>
  <c r="AN44"/>
  <c r="AM44"/>
  <c r="AL44"/>
  <c r="AP43"/>
  <c r="AP42"/>
  <c r="AP41"/>
  <c r="AP40"/>
  <c r="AP39"/>
  <c r="AP38"/>
  <c r="AP37"/>
  <c r="AP36"/>
  <c r="AP35"/>
  <c r="AP34"/>
  <c r="AP32"/>
  <c r="AP31"/>
  <c r="AP30"/>
  <c r="AP29"/>
  <c r="AJ44"/>
  <c r="AI44"/>
  <c r="AH44"/>
  <c r="AG44"/>
  <c r="AK43"/>
  <c r="AK42"/>
  <c r="AK41"/>
  <c r="AK40"/>
  <c r="AK39"/>
  <c r="AK38"/>
  <c r="AK37"/>
  <c r="AK36"/>
  <c r="AK35"/>
  <c r="AK34"/>
  <c r="AK32"/>
  <c r="AK31"/>
  <c r="AK30"/>
  <c r="AE44"/>
  <c r="AD44"/>
  <c r="AC44"/>
  <c r="AB44"/>
  <c r="AF43"/>
  <c r="AF42"/>
  <c r="AF41"/>
  <c r="AF40"/>
  <c r="AF39"/>
  <c r="AF38"/>
  <c r="AF37"/>
  <c r="AF36"/>
  <c r="AF35"/>
  <c r="AF34"/>
  <c r="AF32"/>
  <c r="AF30"/>
  <c r="AF29"/>
  <c r="AA43"/>
  <c r="AA42"/>
  <c r="AA41"/>
  <c r="AA40"/>
  <c r="AA39"/>
  <c r="AA38"/>
  <c r="AA37"/>
  <c r="AA36"/>
  <c r="AA35"/>
  <c r="AA34"/>
  <c r="AA32"/>
  <c r="V29"/>
  <c r="V30"/>
  <c r="Q43"/>
  <c r="Q40"/>
  <c r="Q41"/>
  <c r="Q42"/>
  <c r="Q29"/>
  <c r="BI48"/>
  <c r="BC48"/>
  <c r="BJ47"/>
  <c r="BD47"/>
  <c r="BI49"/>
  <c r="BC49"/>
  <c r="BK46"/>
  <c r="BE46"/>
  <c r="BD45"/>
  <c r="BI35"/>
  <c r="BB34"/>
  <c r="BJ32"/>
  <c r="BB32"/>
  <c r="BH32"/>
  <c r="BD19"/>
  <c r="BD22"/>
  <c r="BC24"/>
  <c r="BK24"/>
  <c r="BD25"/>
  <c r="BI26"/>
  <c r="BE26"/>
  <c r="BJ27"/>
  <c r="V27"/>
  <c r="V25"/>
  <c r="V24"/>
  <c r="V23"/>
  <c r="V22"/>
  <c r="V21"/>
  <c r="V20"/>
  <c r="V28"/>
  <c r="V19"/>
  <c r="AP27"/>
  <c r="AP26"/>
  <c r="AP25"/>
  <c r="AP24"/>
  <c r="AP23"/>
  <c r="AP22"/>
  <c r="AP21"/>
  <c r="AP20"/>
  <c r="AP19"/>
  <c r="AP28"/>
  <c r="AK27"/>
  <c r="AK26"/>
  <c r="AK25"/>
  <c r="AK24"/>
  <c r="AK23"/>
  <c r="AK22"/>
  <c r="AF27"/>
  <c r="AF26"/>
  <c r="AF25"/>
  <c r="AF24"/>
  <c r="AF22"/>
  <c r="AF21"/>
  <c r="AF19"/>
  <c r="AA27"/>
  <c r="AA26"/>
  <c r="AA25"/>
  <c r="AA24"/>
  <c r="AA23"/>
  <c r="AA22"/>
  <c r="AA19"/>
  <c r="Q20"/>
  <c r="Q21"/>
  <c r="Q22"/>
  <c r="Q23"/>
  <c r="Q24"/>
  <c r="Q25"/>
  <c r="Q26"/>
  <c r="Q27"/>
  <c r="O127"/>
  <c r="P127"/>
  <c r="I101"/>
  <c r="E137" i="8"/>
  <c r="J73" i="17"/>
  <c r="F136" i="8"/>
  <c r="K73" i="17"/>
  <c r="G136" i="8"/>
  <c r="I73" i="17"/>
  <c r="J60"/>
  <c r="F135" i="8"/>
  <c r="K60" i="17"/>
  <c r="L60"/>
  <c r="I28"/>
  <c r="E4" i="18"/>
  <c r="E5"/>
  <c r="B5"/>
  <c r="B4"/>
  <c r="C5" i="10"/>
  <c r="B5"/>
  <c r="C4"/>
  <c r="B4"/>
  <c r="B9"/>
  <c r="B10"/>
  <c r="B11"/>
  <c r="B8"/>
  <c r="E144" i="17"/>
  <c r="F174"/>
  <c r="F71" i="8"/>
  <c r="D171" i="17"/>
  <c r="D161"/>
  <c r="D155"/>
  <c r="H150"/>
  <c r="F150"/>
  <c r="D149"/>
  <c r="D147"/>
  <c r="D146"/>
  <c r="H144"/>
  <c r="F144"/>
  <c r="D144"/>
  <c r="D143"/>
  <c r="D137"/>
  <c r="J101"/>
  <c r="K101"/>
  <c r="G137" i="8"/>
  <c r="L101" i="17"/>
  <c r="H137" i="8"/>
  <c r="J28" i="17"/>
  <c r="K28"/>
  <c r="G133" i="8"/>
  <c r="L28" i="17"/>
  <c r="D133" i="8"/>
  <c r="F7" i="17"/>
  <c r="C7"/>
  <c r="C6"/>
  <c r="E136" i="13"/>
  <c r="E135"/>
  <c r="E134"/>
  <c r="E133"/>
  <c r="E132"/>
  <c r="E131"/>
  <c r="E130"/>
  <c r="E129"/>
  <c r="E128"/>
  <c r="E127"/>
  <c r="E126"/>
  <c r="E124"/>
  <c r="E123"/>
  <c r="E122"/>
  <c r="E121"/>
  <c r="E120"/>
  <c r="E118"/>
  <c r="E117"/>
  <c r="E116"/>
  <c r="E115"/>
  <c r="E114"/>
  <c r="E113"/>
  <c r="E112"/>
  <c r="E111"/>
  <c r="E110"/>
  <c r="E109"/>
  <c r="E108"/>
  <c r="E107"/>
  <c r="E97"/>
  <c r="E94"/>
  <c r="E93"/>
  <c r="E37"/>
  <c r="E36"/>
  <c r="E35"/>
  <c r="E34"/>
  <c r="E33"/>
  <c r="E32"/>
  <c r="E31"/>
  <c r="E30"/>
  <c r="E29"/>
  <c r="E28"/>
  <c r="E27"/>
  <c r="E26"/>
  <c r="E25"/>
  <c r="E24"/>
  <c r="C147"/>
  <c r="E23"/>
  <c r="C149"/>
  <c r="E95"/>
  <c r="E92"/>
  <c r="E96"/>
  <c r="D8" i="1"/>
  <c r="C8"/>
  <c r="D7"/>
  <c r="C7"/>
  <c r="AL41" i="4"/>
  <c r="AK41"/>
  <c r="AJ41"/>
  <c r="AL39"/>
  <c r="AK39"/>
  <c r="AJ39"/>
  <c r="E7"/>
  <c r="B7"/>
  <c r="E6"/>
  <c r="B6"/>
  <c r="H1366"/>
  <c r="H1365"/>
  <c r="F51"/>
  <c r="F50"/>
  <c r="F49"/>
  <c r="F48"/>
  <c r="F47"/>
  <c r="F46"/>
  <c r="E23" i="7"/>
  <c r="E24"/>
  <c r="F19"/>
  <c r="F23"/>
  <c r="F24"/>
  <c r="G29"/>
  <c r="H29"/>
  <c r="I29"/>
  <c r="G23"/>
  <c r="H24"/>
  <c r="H23"/>
  <c r="I23"/>
  <c r="D13"/>
  <c r="E13"/>
  <c r="F13"/>
  <c r="G13"/>
  <c r="F11"/>
  <c r="G11"/>
  <c r="I27"/>
  <c r="H27"/>
  <c r="H28"/>
  <c r="G27"/>
  <c r="F27"/>
  <c r="F28"/>
  <c r="E27"/>
  <c r="E28"/>
  <c r="I19"/>
  <c r="I20"/>
  <c r="H19"/>
  <c r="G19"/>
  <c r="E19"/>
  <c r="E20"/>
  <c r="G135" i="8"/>
  <c r="F68"/>
  <c r="E156" i="13"/>
  <c r="AU96" i="17"/>
  <c r="E136" i="8"/>
  <c r="AD58" i="4"/>
  <c r="U57"/>
  <c r="P58"/>
  <c r="AC304"/>
  <c r="AB304"/>
  <c r="AF304"/>
  <c r="AD304"/>
  <c r="AE304"/>
  <c r="X304"/>
  <c r="U304"/>
  <c r="Y304"/>
  <c r="V304"/>
  <c r="W304"/>
  <c r="R291"/>
  <c r="W252"/>
  <c r="X252"/>
  <c r="Y252"/>
  <c r="AB252"/>
  <c r="AD252"/>
  <c r="AE252"/>
  <c r="AC252"/>
  <c r="AF252"/>
  <c r="O252"/>
  <c r="N252"/>
  <c r="Q252"/>
  <c r="P252"/>
  <c r="R252"/>
  <c r="H252"/>
  <c r="G252"/>
  <c r="J252"/>
  <c r="K252"/>
  <c r="I252"/>
  <c r="K239"/>
  <c r="I239"/>
  <c r="J239"/>
  <c r="AF239"/>
  <c r="AD239"/>
  <c r="AE239"/>
  <c r="R226"/>
  <c r="P226"/>
  <c r="N226"/>
  <c r="Q226"/>
  <c r="O226"/>
  <c r="AF226"/>
  <c r="AC226"/>
  <c r="AE226"/>
  <c r="AD226"/>
  <c r="AB226"/>
  <c r="AG226"/>
  <c r="K226"/>
  <c r="G226"/>
  <c r="H226"/>
  <c r="Y226"/>
  <c r="W226"/>
  <c r="X226"/>
  <c r="U226"/>
  <c r="V226"/>
  <c r="Z226"/>
  <c r="H213"/>
  <c r="G213"/>
  <c r="Y213"/>
  <c r="W213"/>
  <c r="N213"/>
  <c r="O213"/>
  <c r="AB213"/>
  <c r="AE213"/>
  <c r="R200"/>
  <c r="H200"/>
  <c r="G200"/>
  <c r="W200"/>
  <c r="Z200"/>
  <c r="U200"/>
  <c r="X200"/>
  <c r="V200"/>
  <c r="Y200"/>
  <c r="G187"/>
  <c r="I187"/>
  <c r="H187"/>
  <c r="AB174"/>
  <c r="AC174"/>
  <c r="O174"/>
  <c r="N174"/>
  <c r="P174"/>
  <c r="Q174"/>
  <c r="R174"/>
  <c r="V174"/>
  <c r="Y174"/>
  <c r="X174"/>
  <c r="K174"/>
  <c r="Q161"/>
  <c r="P161"/>
  <c r="R161"/>
  <c r="O161"/>
  <c r="N161"/>
  <c r="V161"/>
  <c r="U161"/>
  <c r="AE161"/>
  <c r="AD161"/>
  <c r="AB161"/>
  <c r="AC161"/>
  <c r="AF161"/>
  <c r="P148"/>
  <c r="N148"/>
  <c r="O148"/>
  <c r="R148"/>
  <c r="Q148"/>
  <c r="J148"/>
  <c r="I148"/>
  <c r="P122"/>
  <c r="AF122"/>
  <c r="AB122"/>
  <c r="AC122"/>
  <c r="AE122"/>
  <c r="AD122"/>
  <c r="K122"/>
  <c r="H122"/>
  <c r="Y109"/>
  <c r="X109"/>
  <c r="W109"/>
  <c r="AD109"/>
  <c r="AE109"/>
  <c r="AF109"/>
  <c r="J109"/>
  <c r="I109"/>
  <c r="K109"/>
  <c r="V96"/>
  <c r="U96"/>
  <c r="AE96"/>
  <c r="AD96"/>
  <c r="AB96"/>
  <c r="AF96"/>
  <c r="AC96"/>
  <c r="K96"/>
  <c r="G96"/>
  <c r="J96"/>
  <c r="H96"/>
  <c r="I96"/>
  <c r="R96"/>
  <c r="Q96"/>
  <c r="N96"/>
  <c r="P96"/>
  <c r="O96"/>
  <c r="J83"/>
  <c r="G83"/>
  <c r="H83"/>
  <c r="K83"/>
  <c r="I83"/>
  <c r="L70"/>
  <c r="X57"/>
  <c r="W57"/>
  <c r="V57"/>
  <c r="K57"/>
  <c r="J57"/>
  <c r="G57"/>
  <c r="I57"/>
  <c r="E119" i="13"/>
  <c r="D138" i="8"/>
  <c r="D137"/>
  <c r="E138"/>
  <c r="N25" i="1"/>
  <c r="L26"/>
  <c r="AU24" i="17"/>
  <c r="AU53"/>
  <c r="AU100"/>
  <c r="A67" i="4"/>
  <c r="A80"/>
  <c r="F20" i="7"/>
  <c r="AF135" i="4"/>
  <c r="AD135"/>
  <c r="AE135"/>
  <c r="K135"/>
  <c r="I135"/>
  <c r="J135"/>
  <c r="Y135"/>
  <c r="X135"/>
  <c r="W135"/>
  <c r="H135"/>
  <c r="G135"/>
  <c r="V135"/>
  <c r="U135"/>
  <c r="AB135"/>
  <c r="AC135"/>
  <c r="L43"/>
  <c r="H44"/>
  <c r="BE107" i="17"/>
  <c r="BB125"/>
  <c r="BE112"/>
  <c r="BI114"/>
  <c r="BE120"/>
  <c r="BJ68"/>
  <c r="BD125"/>
  <c r="BE24"/>
  <c r="BJ95"/>
  <c r="BC120"/>
  <c r="AC149" i="4"/>
  <c r="BJ96" i="17"/>
  <c r="BD72"/>
  <c r="BD100"/>
  <c r="BC69"/>
  <c r="BK32"/>
  <c r="BK34"/>
  <c r="BI104"/>
  <c r="BI111"/>
  <c r="BI119"/>
  <c r="BD82"/>
  <c r="BJ98"/>
  <c r="BE64"/>
  <c r="BD94"/>
  <c r="BD126"/>
  <c r="AP73"/>
  <c r="BD123"/>
  <c r="AF127"/>
  <c r="BB120"/>
  <c r="BH124"/>
  <c r="BH70"/>
  <c r="Z343" i="4"/>
  <c r="AD315"/>
  <c r="AC314"/>
  <c r="AC318"/>
  <c r="AG318"/>
  <c r="AF315"/>
  <c r="AB315"/>
  <c r="AE314"/>
  <c r="AE318"/>
  <c r="U314"/>
  <c r="U318"/>
  <c r="W314"/>
  <c r="W318"/>
  <c r="V315"/>
  <c r="Y314"/>
  <c r="Y318"/>
  <c r="I314"/>
  <c r="AB253"/>
  <c r="AB237"/>
  <c r="AB236"/>
  <c r="AC344"/>
  <c r="O340"/>
  <c r="O344"/>
  <c r="O341"/>
  <c r="V327"/>
  <c r="V328"/>
  <c r="AD262"/>
  <c r="AD263"/>
  <c r="AC327"/>
  <c r="AC331"/>
  <c r="AC328"/>
  <c r="AE344"/>
  <c r="Q314"/>
  <c r="Q318"/>
  <c r="Q315"/>
  <c r="N327"/>
  <c r="N328"/>
  <c r="Z344"/>
  <c r="AE240"/>
  <c r="AC236"/>
  <c r="AC240"/>
  <c r="R253"/>
  <c r="P253"/>
  <c r="Y262"/>
  <c r="Y266"/>
  <c r="W262"/>
  <c r="W266"/>
  <c r="O292"/>
  <c r="AE305"/>
  <c r="N314"/>
  <c r="N318"/>
  <c r="Q327"/>
  <c r="Q331"/>
  <c r="O327"/>
  <c r="O331"/>
  <c r="Y292"/>
  <c r="Y328"/>
  <c r="Y331"/>
  <c r="W328"/>
  <c r="W331"/>
  <c r="U328"/>
  <c r="U292"/>
  <c r="U327"/>
  <c r="U331"/>
  <c r="V1341"/>
  <c r="O1341"/>
  <c r="H344"/>
  <c r="K315"/>
  <c r="K318"/>
  <c r="J262"/>
  <c r="J263"/>
  <c r="G340"/>
  <c r="G344"/>
  <c r="G341"/>
  <c r="H327"/>
  <c r="H328"/>
  <c r="G318"/>
  <c r="J341"/>
  <c r="J344"/>
  <c r="I318"/>
  <c r="J327"/>
  <c r="J328"/>
  <c r="K266"/>
  <c r="U214"/>
  <c r="P162"/>
  <c r="W149"/>
  <c r="O149"/>
  <c r="Y149"/>
  <c r="Q162"/>
  <c r="N162"/>
  <c r="AE162"/>
  <c r="U162"/>
  <c r="V162"/>
  <c r="BE115" i="17"/>
  <c r="BI102"/>
  <c r="BB126"/>
  <c r="BE122"/>
  <c r="BB122"/>
  <c r="BE114"/>
  <c r="BC126"/>
  <c r="BK118"/>
  <c r="BK116"/>
  <c r="BE111"/>
  <c r="BK126"/>
  <c r="BC118"/>
  <c r="BK117"/>
  <c r="BE113"/>
  <c r="BD92"/>
  <c r="BJ97"/>
  <c r="BD79"/>
  <c r="BB93"/>
  <c r="BJ87"/>
  <c r="BJ85"/>
  <c r="BJ89"/>
  <c r="BD90"/>
  <c r="BB92"/>
  <c r="BD91"/>
  <c r="BJ93"/>
  <c r="BI95"/>
  <c r="BJ99"/>
  <c r="BD83"/>
  <c r="BJ86"/>
  <c r="BD88"/>
  <c r="BD78"/>
  <c r="BC71"/>
  <c r="BE69"/>
  <c r="BB68"/>
  <c r="BH72"/>
  <c r="BL72"/>
  <c r="BI70"/>
  <c r="BK68"/>
  <c r="BK66"/>
  <c r="BI64"/>
  <c r="BI66"/>
  <c r="BE63"/>
  <c r="BE62"/>
  <c r="BE72"/>
  <c r="BB71"/>
  <c r="BE67"/>
  <c r="BC65"/>
  <c r="BK71"/>
  <c r="BC72"/>
  <c r="BE70"/>
  <c r="BB69"/>
  <c r="BC67"/>
  <c r="BD64"/>
  <c r="BI68"/>
  <c r="BK65"/>
  <c r="BL65"/>
  <c r="BI63"/>
  <c r="BC66"/>
  <c r="AT73"/>
  <c r="H143" i="8"/>
  <c r="BE48" i="17"/>
  <c r="BB49"/>
  <c r="BC52"/>
  <c r="BF52"/>
  <c r="BI55"/>
  <c r="BE50"/>
  <c r="BB54"/>
  <c r="BF54"/>
  <c r="BK58"/>
  <c r="BC57"/>
  <c r="BF51"/>
  <c r="BE49"/>
  <c r="BE53"/>
  <c r="BK56"/>
  <c r="BC58"/>
  <c r="BD53"/>
  <c r="BC50"/>
  <c r="BH55"/>
  <c r="BC53"/>
  <c r="BK59"/>
  <c r="BK54"/>
  <c r="BK51"/>
  <c r="BH50"/>
  <c r="BL50"/>
  <c r="BK57"/>
  <c r="BI56"/>
  <c r="BJ54"/>
  <c r="BJ51"/>
  <c r="BC56"/>
  <c r="BI59"/>
  <c r="BH56"/>
  <c r="BI54"/>
  <c r="BK52"/>
  <c r="BI51"/>
  <c r="BH59"/>
  <c r="BK55"/>
  <c r="BJ52"/>
  <c r="BI32"/>
  <c r="BI34"/>
  <c r="BC42"/>
  <c r="BE43"/>
  <c r="BB42"/>
  <c r="BE37"/>
  <c r="BD36"/>
  <c r="BI36"/>
  <c r="BF32"/>
  <c r="BB35"/>
  <c r="BK40"/>
  <c r="BJ43"/>
  <c r="BE35"/>
  <c r="BE41"/>
  <c r="BD40"/>
  <c r="BI43"/>
  <c r="BI40"/>
  <c r="BK38"/>
  <c r="BI37"/>
  <c r="BJ38"/>
  <c r="BC41"/>
  <c r="BK42"/>
  <c r="BH40"/>
  <c r="BI38"/>
  <c r="BK36"/>
  <c r="BH41"/>
  <c r="BD24"/>
  <c r="BI27"/>
  <c r="BJ19"/>
  <c r="BH27"/>
  <c r="BD27"/>
  <c r="BB26"/>
  <c r="BK22"/>
  <c r="BK27"/>
  <c r="BI24"/>
  <c r="BC26"/>
  <c r="BJ25"/>
  <c r="BK26"/>
  <c r="BL26"/>
  <c r="S43" i="4"/>
  <c r="O44"/>
  <c r="H279"/>
  <c r="O279"/>
  <c r="AC279"/>
  <c r="AC201"/>
  <c r="AC162"/>
  <c r="AF162"/>
  <c r="V214"/>
  <c r="K305"/>
  <c r="W292"/>
  <c r="X253"/>
  <c r="Y58"/>
  <c r="R162"/>
  <c r="G201"/>
  <c r="AB201"/>
  <c r="AC305"/>
  <c r="Z57"/>
  <c r="AB58"/>
  <c r="N214"/>
  <c r="N292"/>
  <c r="U279"/>
  <c r="N266"/>
  <c r="K253"/>
  <c r="AC253"/>
  <c r="N253"/>
  <c r="O253"/>
  <c r="V227"/>
  <c r="N227"/>
  <c r="H227"/>
  <c r="AD214"/>
  <c r="AB214"/>
  <c r="AF214"/>
  <c r="AC214"/>
  <c r="Q214"/>
  <c r="O214"/>
  <c r="N201"/>
  <c r="AD162"/>
  <c r="X162"/>
  <c r="AE149"/>
  <c r="V149"/>
  <c r="AB136"/>
  <c r="AE136"/>
  <c r="W136"/>
  <c r="O136"/>
  <c r="Q136"/>
  <c r="AF110"/>
  <c r="R110"/>
  <c r="AG70"/>
  <c r="S70"/>
  <c r="U58"/>
  <c r="H58"/>
  <c r="Q292"/>
  <c r="AB279"/>
  <c r="AE214"/>
  <c r="O162"/>
  <c r="Y162"/>
  <c r="Q149"/>
  <c r="AB149"/>
  <c r="U136"/>
  <c r="Y136"/>
  <c r="H84"/>
  <c r="G84"/>
  <c r="BL32" i="17"/>
  <c r="AI67" i="4"/>
  <c r="N1341"/>
  <c r="U1341"/>
  <c r="N136"/>
  <c r="V136"/>
  <c r="AF44"/>
  <c r="AF42"/>
  <c r="Q44"/>
  <c r="Q41"/>
  <c r="Q45"/>
  <c r="P44"/>
  <c r="AE44"/>
  <c r="AE41"/>
  <c r="AE45"/>
  <c r="AD44"/>
  <c r="AD41"/>
  <c r="AD45"/>
  <c r="Y44"/>
  <c r="Y42"/>
  <c r="K44"/>
  <c r="K41"/>
  <c r="J44"/>
  <c r="J42"/>
  <c r="I44"/>
  <c r="I42"/>
  <c r="W44"/>
  <c r="R44"/>
  <c r="X44"/>
  <c r="X42"/>
  <c r="J41"/>
  <c r="I41"/>
  <c r="AC136"/>
  <c r="AC345"/>
  <c r="AE345"/>
  <c r="AD345"/>
  <c r="AF345"/>
  <c r="AB345"/>
  <c r="AG345"/>
  <c r="AG350"/>
  <c r="AG346"/>
  <c r="AG347"/>
  <c r="AG348"/>
  <c r="AG349"/>
  <c r="P267"/>
  <c r="Q267"/>
  <c r="R267"/>
  <c r="AC1341"/>
  <c r="R314"/>
  <c r="R318"/>
  <c r="R315"/>
  <c r="G292"/>
  <c r="AB1341"/>
  <c r="AE327"/>
  <c r="AE331"/>
  <c r="AE328"/>
  <c r="Q340"/>
  <c r="Q344"/>
  <c r="Q341"/>
  <c r="X327"/>
  <c r="X328"/>
  <c r="AF262"/>
  <c r="AF266"/>
  <c r="AF263"/>
  <c r="V331"/>
  <c r="I340"/>
  <c r="I344"/>
  <c r="I341"/>
  <c r="J331"/>
  <c r="G305"/>
  <c r="H266"/>
  <c r="G279"/>
  <c r="P327"/>
  <c r="P331"/>
  <c r="P328"/>
  <c r="V345"/>
  <c r="W345"/>
  <c r="X345"/>
  <c r="Y345"/>
  <c r="U345"/>
  <c r="Z349"/>
  <c r="Z350"/>
  <c r="Z346"/>
  <c r="Z347"/>
  <c r="Z348"/>
  <c r="AB305"/>
  <c r="AC292"/>
  <c r="V292"/>
  <c r="AB240"/>
  <c r="K340"/>
  <c r="K341"/>
  <c r="J266"/>
  <c r="R327"/>
  <c r="R331"/>
  <c r="R328"/>
  <c r="X262"/>
  <c r="X266"/>
  <c r="X263"/>
  <c r="P314"/>
  <c r="P315"/>
  <c r="L318"/>
  <c r="O314"/>
  <c r="O315"/>
  <c r="AB328"/>
  <c r="AB327"/>
  <c r="AB331"/>
  <c r="I305"/>
  <c r="S317"/>
  <c r="H236"/>
  <c r="H240"/>
  <c r="H237"/>
  <c r="AD328"/>
  <c r="AD327"/>
  <c r="AD331"/>
  <c r="N340"/>
  <c r="N341"/>
  <c r="S343"/>
  <c r="G236"/>
  <c r="G237"/>
  <c r="N331"/>
  <c r="AD266"/>
  <c r="W319"/>
  <c r="X319"/>
  <c r="Y319"/>
  <c r="V319"/>
  <c r="U319"/>
  <c r="Z321"/>
  <c r="Z322"/>
  <c r="Z323"/>
  <c r="Z324"/>
  <c r="Z320"/>
  <c r="N241"/>
  <c r="O241"/>
  <c r="H253"/>
  <c r="H331"/>
  <c r="AF328"/>
  <c r="AF327"/>
  <c r="P340"/>
  <c r="P341"/>
  <c r="AE262"/>
  <c r="AE263"/>
  <c r="V241"/>
  <c r="U241"/>
  <c r="R340"/>
  <c r="R341"/>
  <c r="AC319"/>
  <c r="AD319"/>
  <c r="AE319"/>
  <c r="AF319"/>
  <c r="AB319"/>
  <c r="AG322"/>
  <c r="AG323"/>
  <c r="AG324"/>
  <c r="AG320"/>
  <c r="AG321"/>
  <c r="W214"/>
  <c r="AB162"/>
  <c r="AG162"/>
  <c r="AD110"/>
  <c r="BL27" i="17"/>
  <c r="S82" i="4"/>
  <c r="R83"/>
  <c r="U83"/>
  <c r="Y41"/>
  <c r="Y45"/>
  <c r="AF41"/>
  <c r="AF45"/>
  <c r="G227"/>
  <c r="AC227"/>
  <c r="Q110"/>
  <c r="P110"/>
  <c r="S110"/>
  <c r="N123"/>
  <c r="I123"/>
  <c r="W175"/>
  <c r="J123"/>
  <c r="O175"/>
  <c r="V175"/>
  <c r="K175"/>
  <c r="P97"/>
  <c r="X149"/>
  <c r="Q175"/>
  <c r="V279"/>
  <c r="K58"/>
  <c r="V58"/>
  <c r="AE97"/>
  <c r="H292"/>
  <c r="O305"/>
  <c r="P227"/>
  <c r="AE227"/>
  <c r="Q227"/>
  <c r="J253"/>
  <c r="Y175"/>
  <c r="AC266"/>
  <c r="N149"/>
  <c r="W58"/>
  <c r="J58"/>
  <c r="O58"/>
  <c r="R58"/>
  <c r="W97"/>
  <c r="V97"/>
  <c r="K188"/>
  <c r="AF201"/>
  <c r="Q240"/>
  <c r="U227"/>
  <c r="O227"/>
  <c r="AD149"/>
  <c r="R175"/>
  <c r="AC175"/>
  <c r="I188"/>
  <c r="AD201"/>
  <c r="Q201"/>
  <c r="Y201"/>
  <c r="W305"/>
  <c r="Y305"/>
  <c r="X305"/>
  <c r="V305"/>
  <c r="Y214"/>
  <c r="X214"/>
  <c r="R214"/>
  <c r="AF305"/>
  <c r="N305"/>
  <c r="U305"/>
  <c r="R305"/>
  <c r="P305"/>
  <c r="Q305"/>
  <c r="J305"/>
  <c r="R292"/>
  <c r="P292"/>
  <c r="J292"/>
  <c r="O266"/>
  <c r="G266"/>
  <c r="AD253"/>
  <c r="Y253"/>
  <c r="I253"/>
  <c r="AE253"/>
  <c r="V253"/>
  <c r="U253"/>
  <c r="G253"/>
  <c r="Y240"/>
  <c r="W240"/>
  <c r="X240"/>
  <c r="P240"/>
  <c r="R240"/>
  <c r="X227"/>
  <c r="AB227"/>
  <c r="AD227"/>
  <c r="AF227"/>
  <c r="W227"/>
  <c r="Y227"/>
  <c r="R227"/>
  <c r="I227"/>
  <c r="K227"/>
  <c r="J227"/>
  <c r="P214"/>
  <c r="AE201"/>
  <c r="V201"/>
  <c r="W201"/>
  <c r="U201"/>
  <c r="X201"/>
  <c r="O201"/>
  <c r="P201"/>
  <c r="R201"/>
  <c r="J201"/>
  <c r="K201"/>
  <c r="H201"/>
  <c r="I201"/>
  <c r="J188"/>
  <c r="G188"/>
  <c r="H188"/>
  <c r="AF175"/>
  <c r="AD175"/>
  <c r="AB175"/>
  <c r="AE175"/>
  <c r="U175"/>
  <c r="X175"/>
  <c r="P175"/>
  <c r="N175"/>
  <c r="J175"/>
  <c r="G175"/>
  <c r="I175"/>
  <c r="H175"/>
  <c r="W162"/>
  <c r="R149"/>
  <c r="AF149"/>
  <c r="U149"/>
  <c r="P149"/>
  <c r="AF136"/>
  <c r="X136"/>
  <c r="P136"/>
  <c r="R136"/>
  <c r="AD136"/>
  <c r="AF123"/>
  <c r="AE123"/>
  <c r="AD123"/>
  <c r="AB123"/>
  <c r="AC123"/>
  <c r="V123"/>
  <c r="Y123"/>
  <c r="W123"/>
  <c r="U123"/>
  <c r="X123"/>
  <c r="P123"/>
  <c r="Q123"/>
  <c r="O123"/>
  <c r="R123"/>
  <c r="G123"/>
  <c r="K123"/>
  <c r="H123"/>
  <c r="AE110"/>
  <c r="W110"/>
  <c r="X110"/>
  <c r="Y110"/>
  <c r="U97"/>
  <c r="Y97"/>
  <c r="X97"/>
  <c r="R97"/>
  <c r="Q97"/>
  <c r="O97"/>
  <c r="N97"/>
  <c r="K84"/>
  <c r="J84"/>
  <c r="I84"/>
  <c r="AF58"/>
  <c r="AE58"/>
  <c r="AC58"/>
  <c r="X58"/>
  <c r="Q58"/>
  <c r="N58"/>
  <c r="I58"/>
  <c r="G58"/>
  <c r="H45"/>
  <c r="AF253"/>
  <c r="AB83"/>
  <c r="AC83"/>
  <c r="AE83"/>
  <c r="AF83"/>
  <c r="AD83"/>
  <c r="N83"/>
  <c r="P83"/>
  <c r="Q83"/>
  <c r="Y83"/>
  <c r="X83"/>
  <c r="V83"/>
  <c r="W83"/>
  <c r="AD42"/>
  <c r="X41"/>
  <c r="X45"/>
  <c r="Q42"/>
  <c r="K42"/>
  <c r="G45"/>
  <c r="I45"/>
  <c r="O1343"/>
  <c r="G1341"/>
  <c r="AE42"/>
  <c r="K45"/>
  <c r="J45"/>
  <c r="Z345"/>
  <c r="Z351"/>
  <c r="AG325"/>
  <c r="W267"/>
  <c r="X267"/>
  <c r="Y267"/>
  <c r="AD305"/>
  <c r="K292"/>
  <c r="G240"/>
  <c r="AD240"/>
  <c r="Q253"/>
  <c r="S253"/>
  <c r="P318"/>
  <c r="K344"/>
  <c r="I292"/>
  <c r="AB266"/>
  <c r="W253"/>
  <c r="H1341"/>
  <c r="Z319"/>
  <c r="Z325"/>
  <c r="AE292"/>
  <c r="N279"/>
  <c r="O318"/>
  <c r="AB292"/>
  <c r="I267"/>
  <c r="J267"/>
  <c r="K267"/>
  <c r="N332"/>
  <c r="O332"/>
  <c r="P332"/>
  <c r="Q332"/>
  <c r="R332"/>
  <c r="S334"/>
  <c r="S335"/>
  <c r="S336"/>
  <c r="S337"/>
  <c r="S333"/>
  <c r="X292"/>
  <c r="AD292"/>
  <c r="AE266"/>
  <c r="AF331"/>
  <c r="H332"/>
  <c r="I332"/>
  <c r="G332"/>
  <c r="J332"/>
  <c r="K332"/>
  <c r="L333"/>
  <c r="L334"/>
  <c r="L335"/>
  <c r="L336"/>
  <c r="L337"/>
  <c r="R344"/>
  <c r="P344"/>
  <c r="AF240"/>
  <c r="N344"/>
  <c r="L322"/>
  <c r="L323"/>
  <c r="I319"/>
  <c r="J319"/>
  <c r="K319"/>
  <c r="L320"/>
  <c r="L321"/>
  <c r="L324"/>
  <c r="G319"/>
  <c r="H319"/>
  <c r="AF292"/>
  <c r="X331"/>
  <c r="H305"/>
  <c r="AG351"/>
  <c r="P41"/>
  <c r="P45"/>
  <c r="P42"/>
  <c r="R41"/>
  <c r="R45"/>
  <c r="R42"/>
  <c r="W41"/>
  <c r="W45"/>
  <c r="W42"/>
  <c r="X254"/>
  <c r="I254"/>
  <c r="K254"/>
  <c r="J254"/>
  <c r="U228"/>
  <c r="V228"/>
  <c r="N228"/>
  <c r="AD254"/>
  <c r="AE254"/>
  <c r="AF254"/>
  <c r="N1343"/>
  <c r="I46"/>
  <c r="L348"/>
  <c r="L349"/>
  <c r="G345"/>
  <c r="H345"/>
  <c r="I345"/>
  <c r="J345"/>
  <c r="K345"/>
  <c r="L346"/>
  <c r="L347"/>
  <c r="L350"/>
  <c r="AC241"/>
  <c r="AB241"/>
  <c r="V1343"/>
  <c r="V332"/>
  <c r="W332"/>
  <c r="X332"/>
  <c r="U332"/>
  <c r="Y332"/>
  <c r="Z335"/>
  <c r="Z336"/>
  <c r="Z337"/>
  <c r="Z333"/>
  <c r="Z334"/>
  <c r="S344"/>
  <c r="S338"/>
  <c r="AG83"/>
  <c r="W254"/>
  <c r="L325"/>
  <c r="P319"/>
  <c r="Q319"/>
  <c r="R319"/>
  <c r="N319"/>
  <c r="O319"/>
  <c r="S319"/>
  <c r="S320"/>
  <c r="S321"/>
  <c r="S322"/>
  <c r="S323"/>
  <c r="S324"/>
  <c r="AC332"/>
  <c r="AD332"/>
  <c r="AB332"/>
  <c r="AE332"/>
  <c r="AF332"/>
  <c r="AG332"/>
  <c r="AG336"/>
  <c r="AG337"/>
  <c r="AG333"/>
  <c r="AG334"/>
  <c r="AG335"/>
  <c r="P254"/>
  <c r="Q254"/>
  <c r="R254"/>
  <c r="L338"/>
  <c r="AC1343"/>
  <c r="Z83"/>
  <c r="X84"/>
  <c r="Y254"/>
  <c r="O228"/>
  <c r="G228"/>
  <c r="H228"/>
  <c r="X1340"/>
  <c r="P84"/>
  <c r="AB228"/>
  <c r="AC228"/>
  <c r="V84"/>
  <c r="Y84"/>
  <c r="Y1340"/>
  <c r="V32"/>
  <c r="W84"/>
  <c r="W1340"/>
  <c r="T32"/>
  <c r="Q84"/>
  <c r="K46"/>
  <c r="J46"/>
  <c r="AB1343"/>
  <c r="G1343"/>
  <c r="U1343"/>
  <c r="J16" i="1"/>
  <c r="E21"/>
  <c r="L351" i="4"/>
  <c r="AD267"/>
  <c r="AE267"/>
  <c r="AF267"/>
  <c r="Q17" i="1"/>
  <c r="N345" i="4"/>
  <c r="O345"/>
  <c r="P345"/>
  <c r="Q345"/>
  <c r="R345"/>
  <c r="S348"/>
  <c r="S349"/>
  <c r="S350"/>
  <c r="S346"/>
  <c r="S347"/>
  <c r="O17" i="1"/>
  <c r="H1343" i="4"/>
  <c r="K17" i="1"/>
  <c r="M17"/>
  <c r="AG338" i="4"/>
  <c r="S325"/>
  <c r="G241"/>
  <c r="H241"/>
  <c r="Z338"/>
  <c r="S351"/>
  <c r="AC45"/>
  <c r="N45"/>
  <c r="U45"/>
  <c r="AB45"/>
  <c r="O45"/>
  <c r="V45"/>
  <c r="P18" i="1"/>
  <c r="AF46" i="4"/>
  <c r="N17" i="1"/>
  <c r="W46" i="4"/>
  <c r="W1342"/>
  <c r="Y46"/>
  <c r="Y1342"/>
  <c r="V33"/>
  <c r="V34"/>
  <c r="AD46"/>
  <c r="X46"/>
  <c r="X1342"/>
  <c r="U33"/>
  <c r="U34"/>
  <c r="AE46"/>
  <c r="L16" i="1"/>
  <c r="F16"/>
  <c r="L18"/>
  <c r="N18"/>
  <c r="G18"/>
  <c r="P16"/>
  <c r="H16"/>
  <c r="P46" i="4"/>
  <c r="Q46"/>
  <c r="R46"/>
  <c r="G23" i="1"/>
  <c r="AF97" i="4"/>
  <c r="AC97"/>
  <c r="AD97"/>
  <c r="AB97"/>
  <c r="H97"/>
  <c r="I97"/>
  <c r="J97"/>
  <c r="K97"/>
  <c r="L94"/>
  <c r="G97"/>
  <c r="AG68"/>
  <c r="AG71"/>
  <c r="AD84"/>
  <c r="AD1340"/>
  <c r="Z32"/>
  <c r="AF84"/>
  <c r="AF1340"/>
  <c r="AB32"/>
  <c r="AE84"/>
  <c r="AE1340"/>
  <c r="AA32"/>
  <c r="AC84"/>
  <c r="AC1340"/>
  <c r="Y32"/>
  <c r="AG81"/>
  <c r="AB84"/>
  <c r="AG84"/>
  <c r="AB1340"/>
  <c r="P17" i="1"/>
  <c r="AF1342" i="4"/>
  <c r="AC1342"/>
  <c r="Y33"/>
  <c r="Y34"/>
  <c r="AD1342"/>
  <c r="AE1342"/>
  <c r="AA33"/>
  <c r="AA34"/>
  <c r="AB1342"/>
  <c r="X33"/>
  <c r="X34"/>
  <c r="AC34"/>
  <c r="K110"/>
  <c r="J110"/>
  <c r="L107"/>
  <c r="I110"/>
  <c r="I136"/>
  <c r="K136"/>
  <c r="J136"/>
  <c r="G136"/>
  <c r="L133"/>
  <c r="H136"/>
  <c r="J149"/>
  <c r="K149"/>
  <c r="I149"/>
  <c r="H149"/>
  <c r="L146"/>
  <c r="G149"/>
  <c r="J162"/>
  <c r="G162"/>
  <c r="K162"/>
  <c r="I162"/>
  <c r="L159"/>
  <c r="H162"/>
  <c r="Q188"/>
  <c r="Q1340"/>
  <c r="O32"/>
  <c r="P188"/>
  <c r="P1340"/>
  <c r="N32"/>
  <c r="R188"/>
  <c r="R1340"/>
  <c r="P32"/>
  <c r="O188"/>
  <c r="O1340"/>
  <c r="N188"/>
  <c r="N1340"/>
  <c r="L32"/>
  <c r="Q32"/>
  <c r="P1342"/>
  <c r="N33"/>
  <c r="N34"/>
  <c r="R1342"/>
  <c r="P33"/>
  <c r="L17" i="1"/>
  <c r="F22"/>
  <c r="O1342" i="4"/>
  <c r="M33"/>
  <c r="M34"/>
  <c r="Q1342"/>
  <c r="O33"/>
  <c r="O34"/>
  <c r="N1342"/>
  <c r="L33"/>
  <c r="H214"/>
  <c r="H1340"/>
  <c r="G32"/>
  <c r="K32"/>
  <c r="I214"/>
  <c r="J214"/>
  <c r="K214"/>
  <c r="L211"/>
  <c r="G214"/>
  <c r="G1340"/>
  <c r="J17" i="1"/>
  <c r="E22"/>
  <c r="H1342" i="4"/>
  <c r="G1342"/>
  <c r="F33"/>
  <c r="K1340"/>
  <c r="J32"/>
  <c r="K240"/>
  <c r="I1340"/>
  <c r="H32"/>
  <c r="J240"/>
  <c r="J1340"/>
  <c r="I32"/>
  <c r="I240"/>
  <c r="J18" i="1"/>
  <c r="J1342" i="4"/>
  <c r="I33"/>
  <c r="I34"/>
  <c r="K1342"/>
  <c r="J33"/>
  <c r="E23" i="1"/>
  <c r="E18"/>
  <c r="I1342" i="4"/>
  <c r="H33"/>
  <c r="H34"/>
  <c r="U1340"/>
  <c r="V266"/>
  <c r="V1340"/>
  <c r="S32"/>
  <c r="U266"/>
  <c r="N16" i="1"/>
  <c r="G21"/>
  <c r="V1342" i="4"/>
  <c r="S33"/>
  <c r="S34"/>
  <c r="U1342"/>
  <c r="R33"/>
  <c r="BC75" i="17"/>
  <c r="D91" i="8"/>
  <c r="S292" i="4"/>
  <c r="S294"/>
  <c r="AO294"/>
  <c r="V252"/>
  <c r="L252"/>
  <c r="AG239"/>
  <c r="Z227"/>
  <c r="Z231"/>
  <c r="AP231"/>
  <c r="S226"/>
  <c r="AD213"/>
  <c r="AC213"/>
  <c r="P213"/>
  <c r="S213"/>
  <c r="Q213"/>
  <c r="K213"/>
  <c r="I213"/>
  <c r="L213"/>
  <c r="Y187"/>
  <c r="K187"/>
  <c r="AF174"/>
  <c r="AE174"/>
  <c r="AG174"/>
  <c r="H148"/>
  <c r="Z135"/>
  <c r="N122"/>
  <c r="R122"/>
  <c r="G122"/>
  <c r="I122"/>
  <c r="Z110"/>
  <c r="W96"/>
  <c r="Z96"/>
  <c r="Y96"/>
  <c r="Z58"/>
  <c r="L57"/>
  <c r="H49" i="8"/>
  <c r="AA78" i="17"/>
  <c r="AU78"/>
  <c r="V44" i="4"/>
  <c r="U44"/>
  <c r="AC44"/>
  <c r="AB44"/>
  <c r="BL35" i="17"/>
  <c r="Z117" i="4"/>
  <c r="Z116"/>
  <c r="AP116"/>
  <c r="W111"/>
  <c r="Z115"/>
  <c r="AP115"/>
  <c r="Z114"/>
  <c r="AP114"/>
  <c r="X111"/>
  <c r="R32"/>
  <c r="W32"/>
  <c r="J34"/>
  <c r="G33"/>
  <c r="G34"/>
  <c r="P34"/>
  <c r="M32"/>
  <c r="Z33"/>
  <c r="Z34"/>
  <c r="AB33"/>
  <c r="AB34"/>
  <c r="X32"/>
  <c r="AC32"/>
  <c r="F23" i="1"/>
  <c r="T33" i="4"/>
  <c r="T34"/>
  <c r="H18" i="1"/>
  <c r="H22"/>
  <c r="U32" i="4"/>
  <c r="BK25" i="17"/>
  <c r="BD26"/>
  <c r="BH25"/>
  <c r="BE21"/>
  <c r="BD35"/>
  <c r="BL42"/>
  <c r="BH37"/>
  <c r="BH43"/>
  <c r="BJ41"/>
  <c r="BD37"/>
  <c r="BF37"/>
  <c r="BD31"/>
  <c r="BH36"/>
  <c r="BD42"/>
  <c r="BB38"/>
  <c r="BF38"/>
  <c r="BL34"/>
  <c r="BJ57"/>
  <c r="BJ59"/>
  <c r="BH58"/>
  <c r="BL58"/>
  <c r="BJ56"/>
  <c r="BD58"/>
  <c r="BD55"/>
  <c r="BH57"/>
  <c r="BB65"/>
  <c r="BL70"/>
  <c r="BI98"/>
  <c r="BC100"/>
  <c r="BK95"/>
  <c r="BC94"/>
  <c r="BI99"/>
  <c r="BE94"/>
  <c r="BC96"/>
  <c r="BI125"/>
  <c r="AR73"/>
  <c r="F143" i="8"/>
  <c r="F150"/>
  <c r="BK125" i="17"/>
  <c r="BB117"/>
  <c r="AG135" i="4"/>
  <c r="G174"/>
  <c r="U174"/>
  <c r="K200"/>
  <c r="I200"/>
  <c r="L200"/>
  <c r="Q200"/>
  <c r="X213"/>
  <c r="I226"/>
  <c r="L226"/>
  <c r="P291"/>
  <c r="N291"/>
  <c r="G24" i="7"/>
  <c r="BI29" i="17"/>
  <c r="BD49"/>
  <c r="BD34"/>
  <c r="BF34"/>
  <c r="BB61"/>
  <c r="BI86"/>
  <c r="BC90"/>
  <c r="BK85"/>
  <c r="BI89"/>
  <c r="BB110"/>
  <c r="BB116"/>
  <c r="BB112"/>
  <c r="BB114"/>
  <c r="BK105"/>
  <c r="BD63"/>
  <c r="BC78"/>
  <c r="BH111"/>
  <c r="BH115"/>
  <c r="BL115"/>
  <c r="BD116"/>
  <c r="BC92"/>
  <c r="BK91"/>
  <c r="BL91"/>
  <c r="BB123"/>
  <c r="BB119"/>
  <c r="AU70"/>
  <c r="BF70"/>
  <c r="AU66"/>
  <c r="BF66"/>
  <c r="AU62"/>
  <c r="BF62"/>
  <c r="AU65"/>
  <c r="BF65"/>
  <c r="AU69"/>
  <c r="BF69"/>
  <c r="AU71"/>
  <c r="BF71"/>
  <c r="AP101"/>
  <c r="BC81"/>
  <c r="AU125"/>
  <c r="BI103"/>
  <c r="S277" i="4"/>
  <c r="P278"/>
  <c r="Z277"/>
  <c r="S329"/>
  <c r="AN314"/>
  <c r="AP314"/>
  <c r="AR336"/>
  <c r="AP340"/>
  <c r="F155" i="13"/>
  <c r="H98" i="8"/>
  <c r="D82"/>
  <c r="AR470" i="4"/>
  <c r="Z332"/>
  <c r="L345"/>
  <c r="AG227"/>
  <c r="BF36" i="17"/>
  <c r="BF43"/>
  <c r="BF49"/>
  <c r="BL95"/>
  <c r="BL85"/>
  <c r="BL126"/>
  <c r="BF125"/>
  <c r="AO1328" i="4"/>
  <c r="L1293"/>
  <c r="AG1291"/>
  <c r="Z1280"/>
  <c r="AR1269"/>
  <c r="L1265"/>
  <c r="AR1255"/>
  <c r="L1213"/>
  <c r="AN1055"/>
  <c r="S1046"/>
  <c r="S1033"/>
  <c r="AG993"/>
  <c r="AR985"/>
  <c r="L969"/>
  <c r="AP951"/>
  <c r="AQ951"/>
  <c r="AG941"/>
  <c r="AP925"/>
  <c r="AR931"/>
  <c r="Z927"/>
  <c r="AR922"/>
  <c r="AO912"/>
  <c r="AG915"/>
  <c r="AG914"/>
  <c r="S914"/>
  <c r="AR909"/>
  <c r="AP899"/>
  <c r="AG902"/>
  <c r="AG901"/>
  <c r="S901"/>
  <c r="AP886"/>
  <c r="L891"/>
  <c r="AG890"/>
  <c r="S890"/>
  <c r="S889"/>
  <c r="AR880"/>
  <c r="AN873"/>
  <c r="AO873"/>
  <c r="Z878"/>
  <c r="S878"/>
  <c r="AR870"/>
  <c r="AR868"/>
  <c r="AP860"/>
  <c r="AO860"/>
  <c r="Z865"/>
  <c r="S862"/>
  <c r="AR857"/>
  <c r="AR856"/>
  <c r="AN847"/>
  <c r="AQ847"/>
  <c r="Z852"/>
  <c r="AG851"/>
  <c r="Z851"/>
  <c r="S851"/>
  <c r="L849"/>
  <c r="AR844"/>
  <c r="AR841"/>
  <c r="AG839"/>
  <c r="AG838"/>
  <c r="AR828"/>
  <c r="AP821"/>
  <c r="AN821"/>
  <c r="AQ821"/>
  <c r="AG826"/>
  <c r="Z826"/>
  <c r="L826"/>
  <c r="AG824"/>
  <c r="Z824"/>
  <c r="AG823"/>
  <c r="AR814"/>
  <c r="AN808"/>
  <c r="AO808"/>
  <c r="Z813"/>
  <c r="L813"/>
  <c r="AG812"/>
  <c r="S811"/>
  <c r="AG810"/>
  <c r="S810"/>
  <c r="AR802"/>
  <c r="AP795"/>
  <c r="AR801"/>
  <c r="AN795"/>
  <c r="AR800"/>
  <c r="AO795"/>
  <c r="Z800"/>
  <c r="S800"/>
  <c r="L800"/>
  <c r="AG799"/>
  <c r="Z799"/>
  <c r="S798"/>
  <c r="S797"/>
  <c r="AR792"/>
  <c r="AP782"/>
  <c r="AR788"/>
  <c r="AN782"/>
  <c r="AQ782"/>
  <c r="AR782"/>
  <c r="AR787"/>
  <c r="Z787"/>
  <c r="S787"/>
  <c r="L787"/>
  <c r="S786"/>
  <c r="L786"/>
  <c r="S785"/>
  <c r="S784"/>
  <c r="AR779"/>
  <c r="AR778"/>
  <c r="AR777"/>
  <c r="AR776"/>
  <c r="AP769"/>
  <c r="AR775"/>
  <c r="AQ769"/>
  <c r="AO769"/>
  <c r="AG774"/>
  <c r="S774"/>
  <c r="L774"/>
  <c r="AG773"/>
  <c r="L773"/>
  <c r="AG772"/>
  <c r="Z772"/>
  <c r="AR709"/>
  <c r="L772"/>
  <c r="S771"/>
  <c r="AR766"/>
  <c r="AR763"/>
  <c r="AN756"/>
  <c r="AR762"/>
  <c r="AQ756"/>
  <c r="AG761"/>
  <c r="S761"/>
  <c r="L761"/>
  <c r="AG760"/>
  <c r="Z760"/>
  <c r="AG759"/>
  <c r="S758"/>
  <c r="AR753"/>
  <c r="AP743"/>
  <c r="AN743"/>
  <c r="AR749"/>
  <c r="AO743"/>
  <c r="AG748"/>
  <c r="Z748"/>
  <c r="S748"/>
  <c r="L748"/>
  <c r="S747"/>
  <c r="L747"/>
  <c r="AG746"/>
  <c r="L746"/>
  <c r="AG745"/>
  <c r="Z745"/>
  <c r="S745"/>
  <c r="AR741"/>
  <c r="AR740"/>
  <c r="AR738"/>
  <c r="AR737"/>
  <c r="AR736"/>
  <c r="AQ730"/>
  <c r="AR730"/>
  <c r="AR735"/>
  <c r="AG735"/>
  <c r="AG734"/>
  <c r="Z734"/>
  <c r="S734"/>
  <c r="L734"/>
  <c r="Z733"/>
  <c r="L733"/>
  <c r="AG732"/>
  <c r="S732"/>
  <c r="AR727"/>
  <c r="AR726"/>
  <c r="AR724"/>
  <c r="AP717"/>
  <c r="AN717"/>
  <c r="AR722"/>
  <c r="AG722"/>
  <c r="Z722"/>
  <c r="AG721"/>
  <c r="Z721"/>
  <c r="S721"/>
  <c r="AG720"/>
  <c r="Z720"/>
  <c r="AG719"/>
  <c r="Z719"/>
  <c r="S719"/>
  <c r="L719"/>
  <c r="AR714"/>
  <c r="AR713"/>
  <c r="AR711"/>
  <c r="AP704"/>
  <c r="AN704"/>
  <c r="AR710"/>
  <c r="S709"/>
  <c r="AG708"/>
  <c r="Z708"/>
  <c r="AG707"/>
  <c r="Z707"/>
  <c r="S707"/>
  <c r="L707"/>
  <c r="Z706"/>
  <c r="S706"/>
  <c r="L706"/>
  <c r="AR702"/>
  <c r="AP691"/>
  <c r="AN691"/>
  <c r="AO691"/>
  <c r="AR691"/>
  <c r="AR696"/>
  <c r="AG696"/>
  <c r="Z696"/>
  <c r="S696"/>
  <c r="AG695"/>
  <c r="Z695"/>
  <c r="AG694"/>
  <c r="Z694"/>
  <c r="S694"/>
  <c r="AG693"/>
  <c r="AR689"/>
  <c r="AR688"/>
  <c r="AR687"/>
  <c r="AR686"/>
  <c r="AR685"/>
  <c r="AN678"/>
  <c r="AO678"/>
  <c r="AQ678"/>
  <c r="AR678"/>
  <c r="AR683"/>
  <c r="Z683"/>
  <c r="S683"/>
  <c r="L683"/>
  <c r="S682"/>
  <c r="AG681"/>
  <c r="Z681"/>
  <c r="Z680"/>
  <c r="L680"/>
  <c r="AR676"/>
  <c r="AR673"/>
  <c r="AQ665"/>
  <c r="AO665"/>
  <c r="AG670"/>
  <c r="S670"/>
  <c r="L670"/>
  <c r="L669"/>
  <c r="AG668"/>
  <c r="Z668"/>
  <c r="AG667"/>
  <c r="Z667"/>
  <c r="S667"/>
  <c r="L667"/>
  <c r="AR659"/>
  <c r="AP652"/>
  <c r="AR658"/>
  <c r="AN652"/>
  <c r="AQ652"/>
  <c r="AG657"/>
  <c r="Z657"/>
  <c r="L657"/>
  <c r="AG656"/>
  <c r="Z656"/>
  <c r="S656"/>
  <c r="L656"/>
  <c r="AG655"/>
  <c r="Z655"/>
  <c r="S655"/>
  <c r="L655"/>
  <c r="S654"/>
  <c r="L654"/>
  <c r="AR650"/>
  <c r="AR649"/>
  <c r="AR647"/>
  <c r="AP639"/>
  <c r="AN639"/>
  <c r="AQ639"/>
  <c r="AO639"/>
  <c r="Z644"/>
  <c r="AG643"/>
  <c r="L643"/>
  <c r="AG642"/>
  <c r="Z642"/>
  <c r="L642"/>
  <c r="AR637"/>
  <c r="AR634"/>
  <c r="AR633"/>
  <c r="AP626"/>
  <c r="AR632"/>
  <c r="AN626"/>
  <c r="AR626"/>
  <c r="AG631"/>
  <c r="Z631"/>
  <c r="S631"/>
  <c r="L631"/>
  <c r="AG630"/>
  <c r="Z630"/>
  <c r="S630"/>
  <c r="L630"/>
  <c r="AG629"/>
  <c r="Z629"/>
  <c r="S629"/>
  <c r="L629"/>
  <c r="S628"/>
  <c r="AR624"/>
  <c r="AR622"/>
  <c r="AR621"/>
  <c r="AR620"/>
  <c r="AP613"/>
  <c r="AR619"/>
  <c r="AN613"/>
  <c r="AQ613"/>
  <c r="AR618"/>
  <c r="AG618"/>
  <c r="AR540"/>
  <c r="AR566"/>
  <c r="AN509"/>
  <c r="AR366"/>
  <c r="AR379"/>
  <c r="AR444"/>
  <c r="AN574"/>
  <c r="Z618"/>
  <c r="S618"/>
  <c r="AR610"/>
  <c r="AR609"/>
  <c r="AR606"/>
  <c r="AN600"/>
  <c r="AR600"/>
  <c r="Z605"/>
  <c r="L605"/>
  <c r="AG604"/>
  <c r="S604"/>
  <c r="AG603"/>
  <c r="L603"/>
  <c r="AG602"/>
  <c r="S602"/>
  <c r="AR595"/>
  <c r="AQ587"/>
  <c r="Z592"/>
  <c r="AG591"/>
  <c r="S591"/>
  <c r="S590"/>
  <c r="AG589"/>
  <c r="S589"/>
  <c r="AR584"/>
  <c r="AR583"/>
  <c r="AQ574"/>
  <c r="AO574"/>
  <c r="L579"/>
  <c r="AG578"/>
  <c r="S577"/>
  <c r="AG576"/>
  <c r="AR571"/>
  <c r="L566"/>
  <c r="S565"/>
  <c r="AG564"/>
  <c r="AR558"/>
  <c r="AR556"/>
  <c r="L552"/>
  <c r="AG551"/>
  <c r="S551"/>
  <c r="S550"/>
  <c r="AR545"/>
  <c r="AR543"/>
  <c r="AN535"/>
  <c r="AR535"/>
  <c r="AR541"/>
  <c r="AG539"/>
  <c r="S539"/>
  <c r="S538"/>
  <c r="AR530"/>
  <c r="AR528"/>
  <c r="Z527"/>
  <c r="AG525"/>
  <c r="S524"/>
  <c r="AR519"/>
  <c r="AG513"/>
  <c r="S513"/>
  <c r="AG512"/>
  <c r="AG511"/>
  <c r="AN496"/>
  <c r="AR496"/>
  <c r="S500"/>
  <c r="S499"/>
  <c r="AG498"/>
  <c r="S498"/>
  <c r="AR493"/>
  <c r="AG487"/>
  <c r="S487"/>
  <c r="AG485"/>
  <c r="S485"/>
  <c r="AR480"/>
  <c r="L475"/>
  <c r="S472"/>
  <c r="AR468"/>
  <c r="AR467"/>
  <c r="AR465"/>
  <c r="AR463"/>
  <c r="L462"/>
  <c r="AG461"/>
  <c r="AG460"/>
  <c r="AG459"/>
  <c r="AR454"/>
  <c r="AR450"/>
  <c r="AG448"/>
  <c r="S448"/>
  <c r="S447"/>
  <c r="S446"/>
  <c r="AR440"/>
  <c r="AP431"/>
  <c r="AR431"/>
  <c r="Z436"/>
  <c r="AR427"/>
  <c r="AR425"/>
  <c r="AR423"/>
  <c r="AR399"/>
  <c r="Z395"/>
  <c r="AR386"/>
  <c r="AG382"/>
  <c r="Z382"/>
  <c r="AR373"/>
  <c r="AR360"/>
  <c r="Z355"/>
  <c r="Z1320"/>
  <c r="L1320"/>
  <c r="Z1319"/>
  <c r="AR1313"/>
  <c r="S1306"/>
  <c r="AG1305"/>
  <c r="AR1297"/>
  <c r="Z1293"/>
  <c r="AQ1250"/>
  <c r="S1255"/>
  <c r="AR1245"/>
  <c r="AG1200"/>
  <c r="S1136"/>
  <c r="S1045"/>
  <c r="AR1009"/>
  <c r="AN1003"/>
  <c r="Z1005"/>
  <c r="L1005"/>
  <c r="Z995"/>
  <c r="AQ964"/>
  <c r="AR960"/>
  <c r="L956"/>
  <c r="AR946"/>
  <c r="AN938"/>
  <c r="S940"/>
  <c r="AN925"/>
  <c r="AG929"/>
  <c r="S929"/>
  <c r="Z916"/>
  <c r="AR908"/>
  <c r="Z903"/>
  <c r="L889"/>
  <c r="BH81" i="17"/>
  <c r="J25" i="1"/>
  <c r="E25"/>
  <c r="BJ39" i="17"/>
  <c r="BL39"/>
  <c r="BB39"/>
  <c r="Z305" i="4"/>
  <c r="AE228"/>
  <c r="AG229"/>
  <c r="AQ229"/>
  <c r="AG232"/>
  <c r="AQ232"/>
  <c r="AG231"/>
  <c r="AQ231"/>
  <c r="AF228"/>
  <c r="AD228"/>
  <c r="X306"/>
  <c r="Z310"/>
  <c r="AP310"/>
  <c r="U306"/>
  <c r="Z307"/>
  <c r="AP307"/>
  <c r="Z312"/>
  <c r="Z309"/>
  <c r="AP309"/>
  <c r="W306"/>
  <c r="Z62"/>
  <c r="AP62"/>
  <c r="U59"/>
  <c r="W59"/>
  <c r="R111"/>
  <c r="S114"/>
  <c r="AO114"/>
  <c r="Q111"/>
  <c r="E26" i="1"/>
  <c r="L97" i="4"/>
  <c r="H98"/>
  <c r="AG97"/>
  <c r="F21" i="1"/>
  <c r="G17"/>
  <c r="E16"/>
  <c r="Y111" i="4"/>
  <c r="AP111"/>
  <c r="Z112"/>
  <c r="AP112"/>
  <c r="Z113"/>
  <c r="AP113"/>
  <c r="S299"/>
  <c r="Z229"/>
  <c r="AP229"/>
  <c r="L319"/>
  <c r="S318"/>
  <c r="S58"/>
  <c r="L84"/>
  <c r="L88"/>
  <c r="AN88"/>
  <c r="S97"/>
  <c r="S123"/>
  <c r="S136"/>
  <c r="S143"/>
  <c r="Z175"/>
  <c r="Z253"/>
  <c r="BL41" i="17"/>
  <c r="BL57"/>
  <c r="BL71"/>
  <c r="AG109" i="4"/>
  <c r="C156" i="13"/>
  <c r="D156"/>
  <c r="Z123" i="4"/>
  <c r="BF126" i="17"/>
  <c r="Z149" i="4"/>
  <c r="BL68" i="17"/>
  <c r="AG122" i="4"/>
  <c r="AG161"/>
  <c r="S174"/>
  <c r="L187"/>
  <c r="AG213"/>
  <c r="S252"/>
  <c r="H20" i="7"/>
  <c r="G20"/>
  <c r="C164" i="13"/>
  <c r="E80" i="8"/>
  <c r="F164" i="13"/>
  <c r="H80" i="8"/>
  <c r="S266" i="4"/>
  <c r="Z214"/>
  <c r="S331"/>
  <c r="AG44"/>
  <c r="BF41" i="17"/>
  <c r="BL43"/>
  <c r="BL52"/>
  <c r="BL54"/>
  <c r="AG344" i="4"/>
  <c r="L96"/>
  <c r="AG96"/>
  <c r="Z109"/>
  <c r="Z174"/>
  <c r="AG304"/>
  <c r="E105" i="13"/>
  <c r="D162" i="17"/>
  <c r="U128"/>
  <c r="BF118"/>
  <c r="S240" i="4"/>
  <c r="Z252"/>
  <c r="S108"/>
  <c r="Z264"/>
  <c r="L316"/>
  <c r="AG329"/>
  <c r="BF95" i="17"/>
  <c r="BF94"/>
  <c r="BF85"/>
  <c r="E155" i="13"/>
  <c r="D155"/>
  <c r="D163"/>
  <c r="F79" i="8"/>
  <c r="L330" i="4"/>
  <c r="E81" i="8"/>
  <c r="D76"/>
  <c r="D63"/>
  <c r="E53"/>
  <c r="F1358" i="4"/>
  <c r="F1357"/>
  <c r="F1372"/>
  <c r="D72" i="8"/>
  <c r="L1333" i="4"/>
  <c r="L1317"/>
  <c r="Z1305"/>
  <c r="L1305"/>
  <c r="L1279"/>
  <c r="AG1254"/>
  <c r="L1254"/>
  <c r="Z1252"/>
  <c r="AR1235"/>
  <c r="AR1231"/>
  <c r="Z1229"/>
  <c r="AG1228"/>
  <c r="AG1226"/>
  <c r="AR1220"/>
  <c r="AR1216"/>
  <c r="L1216"/>
  <c r="S1215"/>
  <c r="S1214"/>
  <c r="S1213"/>
  <c r="AR1206"/>
  <c r="AR1205"/>
  <c r="Z1203"/>
  <c r="AG1202"/>
  <c r="AG1201"/>
  <c r="AR1194"/>
  <c r="AR1190"/>
  <c r="L1190"/>
  <c r="S1189"/>
  <c r="S1188"/>
  <c r="S1187"/>
  <c r="AR1183"/>
  <c r="AR1180"/>
  <c r="BF39" i="17"/>
  <c r="E1358" i="4"/>
  <c r="E1357"/>
  <c r="BJ33" i="17"/>
  <c r="AR1179" i="4"/>
  <c r="AG1176"/>
  <c r="AG1175"/>
  <c r="AG1174"/>
  <c r="AR1169"/>
  <c r="AR1168"/>
  <c r="AR1165"/>
  <c r="AR1164"/>
  <c r="L1164"/>
  <c r="S1163"/>
  <c r="S1162"/>
  <c r="S1161"/>
  <c r="AR1157"/>
  <c r="AR1154"/>
  <c r="AR1153"/>
  <c r="Z1151"/>
  <c r="AG1150"/>
  <c r="AG1149"/>
  <c r="AG1148"/>
  <c r="AR1143"/>
  <c r="AR1142"/>
  <c r="AR1138"/>
  <c r="L1138"/>
  <c r="Z1137"/>
  <c r="S1135"/>
  <c r="AR1131"/>
  <c r="AR1128"/>
  <c r="Z1125"/>
  <c r="AG1124"/>
  <c r="L1123"/>
  <c r="AG1122"/>
  <c r="AR1116"/>
  <c r="AR1113"/>
  <c r="AR1112"/>
  <c r="L1112"/>
  <c r="S1111"/>
  <c r="S1110"/>
  <c r="S1109"/>
  <c r="L1109"/>
  <c r="AR1105"/>
  <c r="Z1099"/>
  <c r="AG1098"/>
  <c r="AG1097"/>
  <c r="AG1096"/>
  <c r="AR1091"/>
  <c r="AR1090"/>
  <c r="AR1086"/>
  <c r="S1085"/>
  <c r="S1084"/>
  <c r="S1083"/>
  <c r="AR1075"/>
  <c r="Z1073"/>
  <c r="AG1072"/>
  <c r="AG1071"/>
  <c r="AG1070"/>
  <c r="AR1065"/>
  <c r="AR1064"/>
  <c r="AR1061"/>
  <c r="S1058"/>
  <c r="S1057"/>
  <c r="AR1053"/>
  <c r="AR1050"/>
  <c r="AR1049"/>
  <c r="AG1046"/>
  <c r="AR1039"/>
  <c r="L1034"/>
  <c r="S1032"/>
  <c r="S1031"/>
  <c r="AR1027"/>
  <c r="AR1023"/>
  <c r="Z1021"/>
  <c r="AG1020"/>
  <c r="AG1019"/>
  <c r="AG1018"/>
  <c r="AR1013"/>
  <c r="AR1008"/>
  <c r="S1005"/>
  <c r="AR997"/>
  <c r="AR986"/>
  <c r="S981"/>
  <c r="S980"/>
  <c r="AG979"/>
  <c r="S979"/>
  <c r="AR975"/>
  <c r="AR971"/>
  <c r="BH33" i="17"/>
  <c r="BB33"/>
  <c r="AG968" i="4"/>
  <c r="AR961"/>
  <c r="AR957"/>
  <c r="AR956"/>
  <c r="S953"/>
  <c r="AR945"/>
  <c r="AG942"/>
  <c r="AG940"/>
  <c r="AR934"/>
  <c r="L930"/>
  <c r="S927"/>
  <c r="AR923"/>
  <c r="AG916"/>
  <c r="S916"/>
  <c r="L916"/>
  <c r="Z914"/>
  <c r="AG903"/>
  <c r="S903"/>
  <c r="S902"/>
  <c r="AR897"/>
  <c r="AG889"/>
  <c r="AG888"/>
  <c r="S888"/>
  <c r="L888"/>
  <c r="Z877"/>
  <c r="S877"/>
  <c r="AG876"/>
  <c r="Z876"/>
  <c r="S876"/>
  <c r="AG875"/>
  <c r="L875"/>
  <c r="AR871"/>
  <c r="AR867"/>
  <c r="AG864"/>
  <c r="S864"/>
  <c r="AG863"/>
  <c r="S863"/>
  <c r="AG862"/>
  <c r="Z862"/>
  <c r="AR853"/>
  <c r="AG850"/>
  <c r="Z850"/>
  <c r="S850"/>
  <c r="AG849"/>
  <c r="S849"/>
  <c r="AR845"/>
  <c r="S838"/>
  <c r="AG837"/>
  <c r="S837"/>
  <c r="AG836"/>
  <c r="AR830"/>
  <c r="AR827"/>
  <c r="AR826"/>
  <c r="AG825"/>
  <c r="Z825"/>
  <c r="S825"/>
  <c r="S823"/>
  <c r="AR816"/>
  <c r="Z812"/>
  <c r="AG811"/>
  <c r="AR793"/>
  <c r="AR790"/>
  <c r="AG784"/>
  <c r="AR774"/>
  <c r="AR767"/>
  <c r="AR752"/>
  <c r="AR748"/>
  <c r="S720"/>
  <c r="AR697"/>
  <c r="S693"/>
  <c r="AG680"/>
  <c r="S669"/>
  <c r="S668"/>
  <c r="AR660"/>
  <c r="S643"/>
  <c r="S641"/>
  <c r="S616"/>
  <c r="AR593"/>
  <c r="S486"/>
  <c r="AG474"/>
  <c r="AQ76" i="17"/>
  <c r="BH76"/>
  <c r="D163"/>
  <c r="H17" i="1"/>
  <c r="AA73" i="17"/>
  <c r="AQ74"/>
  <c r="BH74"/>
  <c r="S345" i="4"/>
  <c r="AQ228"/>
  <c r="L332"/>
  <c r="S332"/>
  <c r="AR509"/>
  <c r="AR483"/>
  <c r="AR587"/>
  <c r="AR704"/>
  <c r="AR639"/>
  <c r="AR522"/>
  <c r="AR652"/>
  <c r="AR1337"/>
  <c r="AR1326"/>
  <c r="AR1325"/>
  <c r="AR1286"/>
  <c r="Z1281"/>
  <c r="AR1272"/>
  <c r="Z1268"/>
  <c r="AQ1237"/>
  <c r="AR1195"/>
  <c r="AR1178"/>
  <c r="AP1146"/>
  <c r="L1047"/>
  <c r="AR1034"/>
  <c r="Z1034"/>
  <c r="AR1025"/>
  <c r="AR1001"/>
  <c r="AR1000"/>
  <c r="AR996"/>
  <c r="L982"/>
  <c r="AO964"/>
  <c r="AO938"/>
  <c r="L917"/>
  <c r="AR905"/>
  <c r="AO899"/>
  <c r="S904"/>
  <c r="L904"/>
  <c r="AR896"/>
  <c r="AN886"/>
  <c r="AO886"/>
  <c r="Z891"/>
  <c r="AR883"/>
  <c r="AR881"/>
  <c r="AP873"/>
  <c r="AR879"/>
  <c r="AG878"/>
  <c r="L878"/>
  <c r="AQ860"/>
  <c r="AG865"/>
  <c r="AR855"/>
  <c r="AG852"/>
  <c r="L852"/>
  <c r="AR842"/>
  <c r="AP834"/>
  <c r="AN834"/>
  <c r="AR831"/>
  <c r="AO821"/>
  <c r="AR821"/>
  <c r="AR829"/>
  <c r="AP808"/>
  <c r="S813"/>
  <c r="AR805"/>
  <c r="AR803"/>
  <c r="AQ795"/>
  <c r="S735"/>
  <c r="AR723"/>
  <c r="AR712"/>
  <c r="AR613"/>
  <c r="AR808"/>
  <c r="AR769"/>
  <c r="BB21" i="17"/>
  <c r="D47" i="8"/>
  <c r="G70"/>
  <c r="F70"/>
  <c r="D65"/>
  <c r="D172" i="17"/>
  <c r="E71" i="8"/>
  <c r="D150" i="17"/>
  <c r="I150"/>
  <c r="J150"/>
  <c r="H69" i="8"/>
  <c r="E69"/>
  <c r="D138" i="17"/>
  <c r="AF72" i="4"/>
  <c r="AD72"/>
  <c r="AB72"/>
  <c r="AE72"/>
  <c r="AC72"/>
  <c r="Z308"/>
  <c r="AP308"/>
  <c r="S305"/>
  <c r="S309"/>
  <c r="AO309"/>
  <c r="AG292"/>
  <c r="AG299"/>
  <c r="AQ299"/>
  <c r="S297"/>
  <c r="AO297"/>
  <c r="Q291"/>
  <c r="S291"/>
  <c r="AG266"/>
  <c r="AG268"/>
  <c r="AQ268"/>
  <c r="L266"/>
  <c r="L273"/>
  <c r="AN273"/>
  <c r="Z240"/>
  <c r="S242"/>
  <c r="AO242"/>
  <c r="S243"/>
  <c r="AO243"/>
  <c r="S247"/>
  <c r="S244"/>
  <c r="AO244"/>
  <c r="S245"/>
  <c r="AO245"/>
  <c r="S246"/>
  <c r="AO246"/>
  <c r="L240"/>
  <c r="L244"/>
  <c r="AN244"/>
  <c r="AG234"/>
  <c r="AQ234"/>
  <c r="AG233"/>
  <c r="AQ233"/>
  <c r="AG228"/>
  <c r="AG230"/>
  <c r="AQ230"/>
  <c r="L214"/>
  <c r="L220"/>
  <c r="AN220"/>
  <c r="AB200"/>
  <c r="AB202"/>
  <c r="AC200"/>
  <c r="AE200"/>
  <c r="S201"/>
  <c r="O200"/>
  <c r="O202"/>
  <c r="P200"/>
  <c r="L201"/>
  <c r="H202"/>
  <c r="AF187"/>
  <c r="AG187"/>
  <c r="Z179"/>
  <c r="AP179"/>
  <c r="Z181"/>
  <c r="AP181"/>
  <c r="U176"/>
  <c r="Z178"/>
  <c r="AP178"/>
  <c r="Z180"/>
  <c r="AP180"/>
  <c r="Z182"/>
  <c r="Y176"/>
  <c r="W176"/>
  <c r="X176"/>
  <c r="Z177"/>
  <c r="AP177"/>
  <c r="V176"/>
  <c r="J174"/>
  <c r="I174"/>
  <c r="L175"/>
  <c r="G176"/>
  <c r="W161"/>
  <c r="Y161"/>
  <c r="L161"/>
  <c r="S161"/>
  <c r="AG149"/>
  <c r="Z153"/>
  <c r="AP153"/>
  <c r="Z151"/>
  <c r="AP151"/>
  <c r="Z152"/>
  <c r="AP152"/>
  <c r="Z155"/>
  <c r="AP155"/>
  <c r="K148"/>
  <c r="Z128"/>
  <c r="AP128"/>
  <c r="Z127"/>
  <c r="AP127"/>
  <c r="Z125"/>
  <c r="AP125"/>
  <c r="Z129"/>
  <c r="AP129"/>
  <c r="Z126"/>
  <c r="AP126"/>
  <c r="Z130"/>
  <c r="L123"/>
  <c r="J124"/>
  <c r="Z111"/>
  <c r="Z63"/>
  <c r="AP63"/>
  <c r="V59"/>
  <c r="AG45"/>
  <c r="AB46"/>
  <c r="AG49"/>
  <c r="AQ49"/>
  <c r="S45"/>
  <c r="L45"/>
  <c r="L47"/>
  <c r="AN47"/>
  <c r="AC163"/>
  <c r="AG166"/>
  <c r="AQ166"/>
  <c r="AE163"/>
  <c r="AB163"/>
  <c r="AG167"/>
  <c r="AQ167"/>
  <c r="AG169"/>
  <c r="AQ169"/>
  <c r="BH80" i="17"/>
  <c r="AQ73"/>
  <c r="E143" i="8"/>
  <c r="E150"/>
  <c r="BH30" i="17"/>
  <c r="BK29"/>
  <c r="BD30"/>
  <c r="BH105"/>
  <c r="BK103"/>
  <c r="BE104"/>
  <c r="BI106"/>
  <c r="Q127"/>
  <c r="BC46"/>
  <c r="N26" i="1"/>
  <c r="BH103" i="17"/>
  <c r="BH79"/>
  <c r="BL79"/>
  <c r="BB79"/>
  <c r="BF79"/>
  <c r="BH78"/>
  <c r="Q101"/>
  <c r="AT77"/>
  <c r="BK77"/>
  <c r="BB76"/>
  <c r="BB74"/>
  <c r="AG101"/>
  <c r="AU61"/>
  <c r="AU73"/>
  <c r="Q60"/>
  <c r="BJ48"/>
  <c r="BL48"/>
  <c r="BB48"/>
  <c r="BF48"/>
  <c r="BB47"/>
  <c r="BI45"/>
  <c r="BF40"/>
  <c r="K128"/>
  <c r="G132" i="8"/>
  <c r="BJ29" i="17"/>
  <c r="BJ44"/>
  <c r="H19" i="1"/>
  <c r="F17"/>
  <c r="AS44" i="17"/>
  <c r="G141" i="8"/>
  <c r="G148"/>
  <c r="BB31" i="17"/>
  <c r="BH31"/>
  <c r="BD44"/>
  <c r="BC23"/>
  <c r="BH23"/>
  <c r="BB23"/>
  <c r="G25" i="1"/>
  <c r="BB22" i="17"/>
  <c r="BF22"/>
  <c r="AI28"/>
  <c r="BB19"/>
  <c r="BH19"/>
  <c r="AG28"/>
  <c r="K33" i="4"/>
  <c r="F34"/>
  <c r="K34"/>
  <c r="AG90"/>
  <c r="AQ90"/>
  <c r="AG88"/>
  <c r="AQ88"/>
  <c r="AC85"/>
  <c r="AD85"/>
  <c r="AE85"/>
  <c r="AG87"/>
  <c r="AQ87"/>
  <c r="AB85"/>
  <c r="S47"/>
  <c r="AO47"/>
  <c r="S48"/>
  <c r="AO48"/>
  <c r="S49"/>
  <c r="AO49"/>
  <c r="S50"/>
  <c r="AO50"/>
  <c r="S51"/>
  <c r="AO51"/>
  <c r="O46"/>
  <c r="AG298"/>
  <c r="AQ298"/>
  <c r="AG295"/>
  <c r="AQ295"/>
  <c r="AG294"/>
  <c r="AQ294"/>
  <c r="AG269"/>
  <c r="AQ269"/>
  <c r="AG271"/>
  <c r="AQ271"/>
  <c r="AG273"/>
  <c r="AQ273"/>
  <c r="L34"/>
  <c r="Q34"/>
  <c r="Q33"/>
  <c r="O254"/>
  <c r="S258"/>
  <c r="AO258"/>
  <c r="S256"/>
  <c r="AO256"/>
  <c r="S257"/>
  <c r="AO257"/>
  <c r="N254"/>
  <c r="S259"/>
  <c r="AO259"/>
  <c r="S255"/>
  <c r="AO255"/>
  <c r="S260"/>
  <c r="K85"/>
  <c r="S99"/>
  <c r="AO99"/>
  <c r="S103"/>
  <c r="AO103"/>
  <c r="S104"/>
  <c r="P98"/>
  <c r="S138"/>
  <c r="AO138"/>
  <c r="S139"/>
  <c r="AO139"/>
  <c r="S141"/>
  <c r="AO141"/>
  <c r="S208"/>
  <c r="N202"/>
  <c r="S207"/>
  <c r="AO207"/>
  <c r="P202"/>
  <c r="S206"/>
  <c r="AO206"/>
  <c r="Z242"/>
  <c r="AP242"/>
  <c r="Z245"/>
  <c r="AP245"/>
  <c r="Z244"/>
  <c r="AP244"/>
  <c r="Z247"/>
  <c r="Z243"/>
  <c r="AP243"/>
  <c r="Z246"/>
  <c r="AP246"/>
  <c r="Z258"/>
  <c r="AP258"/>
  <c r="U254"/>
  <c r="Z256"/>
  <c r="AP256"/>
  <c r="Z260"/>
  <c r="V254"/>
  <c r="Z259"/>
  <c r="AP259"/>
  <c r="Z257"/>
  <c r="AP257"/>
  <c r="Z255"/>
  <c r="AP255"/>
  <c r="S312"/>
  <c r="AO312"/>
  <c r="Z220"/>
  <c r="AP220"/>
  <c r="Z218"/>
  <c r="AP218"/>
  <c r="W215"/>
  <c r="X215"/>
  <c r="Z217"/>
  <c r="AP217"/>
  <c r="Z221"/>
  <c r="Y215"/>
  <c r="V215"/>
  <c r="Z219"/>
  <c r="AP219"/>
  <c r="U215"/>
  <c r="Z216"/>
  <c r="AP216"/>
  <c r="AG151"/>
  <c r="AQ151"/>
  <c r="AG154"/>
  <c r="AQ154"/>
  <c r="AG156"/>
  <c r="AQ156"/>
  <c r="R84"/>
  <c r="S188"/>
  <c r="AQ223"/>
  <c r="AG305"/>
  <c r="AG331"/>
  <c r="Z331"/>
  <c r="Z136"/>
  <c r="S162"/>
  <c r="S167"/>
  <c r="AO167"/>
  <c r="BL25" i="17"/>
  <c r="BF35"/>
  <c r="Z318" i="4"/>
  <c r="L83"/>
  <c r="S96"/>
  <c r="L148"/>
  <c r="L174"/>
  <c r="AG252"/>
  <c r="AR319"/>
  <c r="AR321"/>
  <c r="AR322"/>
  <c r="AR323"/>
  <c r="AR324"/>
  <c r="AR325"/>
  <c r="AR332"/>
  <c r="AR334"/>
  <c r="AR335"/>
  <c r="AR337"/>
  <c r="AR338"/>
  <c r="AR345"/>
  <c r="AR347"/>
  <c r="AR348"/>
  <c r="AR349"/>
  <c r="AR350"/>
  <c r="AR351"/>
  <c r="Z266"/>
  <c r="F26" i="1"/>
  <c r="L162" i="4"/>
  <c r="L165"/>
  <c r="AN165"/>
  <c r="L149"/>
  <c r="I150"/>
  <c r="L136"/>
  <c r="J137"/>
  <c r="L110"/>
  <c r="J111"/>
  <c r="AC33"/>
  <c r="G22" i="1"/>
  <c r="S295" i="4"/>
  <c r="AO295"/>
  <c r="S65"/>
  <c r="X59"/>
  <c r="Z65"/>
  <c r="Z230"/>
  <c r="AP230"/>
  <c r="Y228"/>
  <c r="W228"/>
  <c r="L292"/>
  <c r="O83"/>
  <c r="Z97"/>
  <c r="AG110"/>
  <c r="AG123"/>
  <c r="S175"/>
  <c r="L188"/>
  <c r="L227"/>
  <c r="L58"/>
  <c r="L344"/>
  <c r="S71"/>
  <c r="AG201"/>
  <c r="AG207"/>
  <c r="AQ207"/>
  <c r="N44"/>
  <c r="S44"/>
  <c r="BL37" i="17"/>
  <c r="BL56"/>
  <c r="BF53"/>
  <c r="BC73"/>
  <c r="Z292" i="4"/>
  <c r="G44"/>
  <c r="L44"/>
  <c r="L135"/>
  <c r="Z71"/>
  <c r="L109"/>
  <c r="L122"/>
  <c r="S148"/>
  <c r="S200"/>
  <c r="Z304"/>
  <c r="E164" i="13"/>
  <c r="G80" i="8"/>
  <c r="I28" i="7"/>
  <c r="I24"/>
  <c r="C141" i="13"/>
  <c r="AU26" i="17"/>
  <c r="AU49"/>
  <c r="AK60"/>
  <c r="AP60"/>
  <c r="V73"/>
  <c r="E125" i="13"/>
  <c r="P25" i="1"/>
  <c r="H25"/>
  <c r="BD21" i="17"/>
  <c r="BH24"/>
  <c r="BL24"/>
  <c r="BC25"/>
  <c r="BF25"/>
  <c r="BJ23"/>
  <c r="BI22"/>
  <c r="BL22"/>
  <c r="AU40"/>
  <c r="AU43"/>
  <c r="AU34"/>
  <c r="AK44"/>
  <c r="AP44"/>
  <c r="AU58"/>
  <c r="S128"/>
  <c r="AU52"/>
  <c r="BF55"/>
  <c r="BI61"/>
  <c r="BH87"/>
  <c r="BE76"/>
  <c r="BH104"/>
  <c r="BE106"/>
  <c r="BI109"/>
  <c r="BE108"/>
  <c r="BB91"/>
  <c r="BF91"/>
  <c r="BE121"/>
  <c r="V101"/>
  <c r="AF101"/>
  <c r="AU86"/>
  <c r="AU90"/>
  <c r="AU94"/>
  <c r="AU98"/>
  <c r="AC128"/>
  <c r="AU91"/>
  <c r="AU119"/>
  <c r="AU115"/>
  <c r="AU111"/>
  <c r="AU103"/>
  <c r="AU107"/>
  <c r="AU109"/>
  <c r="L264" i="4"/>
  <c r="S264"/>
  <c r="AG264"/>
  <c r="L277"/>
  <c r="K278"/>
  <c r="AG277"/>
  <c r="AE278"/>
  <c r="S316"/>
  <c r="Z316"/>
  <c r="AG316"/>
  <c r="L329"/>
  <c r="Z329"/>
  <c r="L342"/>
  <c r="S342"/>
  <c r="Z342"/>
  <c r="AG342"/>
  <c r="BL121" i="17"/>
  <c r="BL113"/>
  <c r="D52" i="8"/>
  <c r="D51"/>
  <c r="C51"/>
  <c r="F49"/>
  <c r="N187" i="4"/>
  <c r="R187"/>
  <c r="P187"/>
  <c r="Z188"/>
  <c r="X189"/>
  <c r="Z187"/>
  <c r="AR333"/>
  <c r="AR346"/>
  <c r="BF27" i="17"/>
  <c r="BL67"/>
  <c r="D55" i="8"/>
  <c r="G53"/>
  <c r="Q28" i="17"/>
  <c r="AG188" i="4"/>
  <c r="AC189"/>
  <c r="AR1339"/>
  <c r="AR1335"/>
  <c r="AP1328"/>
  <c r="AR1334"/>
  <c r="AR1333"/>
  <c r="Z1333"/>
  <c r="S1333"/>
  <c r="AG1332"/>
  <c r="Z1332"/>
  <c r="S1332"/>
  <c r="AG1331"/>
  <c r="Z1331"/>
  <c r="S1331"/>
  <c r="L1331"/>
  <c r="AG1330"/>
  <c r="Z1330"/>
  <c r="S1330"/>
  <c r="L1330"/>
  <c r="AR1324"/>
  <c r="AR1323"/>
  <c r="AP1315"/>
  <c r="AR1320"/>
  <c r="AO1315"/>
  <c r="AG1320"/>
  <c r="S1320"/>
  <c r="AG1319"/>
  <c r="S1319"/>
  <c r="L1319"/>
  <c r="AG1318"/>
  <c r="S1318"/>
  <c r="L1318"/>
  <c r="AG1317"/>
  <c r="Z1317"/>
  <c r="S1317"/>
  <c r="AR1312"/>
  <c r="AR1311"/>
  <c r="AR1310"/>
  <c r="AR1309"/>
  <c r="AP1302"/>
  <c r="AR1308"/>
  <c r="AN1302"/>
  <c r="AQ1302"/>
  <c r="AR1307"/>
  <c r="AO1302"/>
  <c r="AG1307"/>
  <c r="Z1307"/>
  <c r="S1307"/>
  <c r="L1307"/>
  <c r="AG1306"/>
  <c r="Z1306"/>
  <c r="L1306"/>
  <c r="S1305"/>
  <c r="AG1304"/>
  <c r="Z1304"/>
  <c r="L1304"/>
  <c r="AR1300"/>
  <c r="AR1299"/>
  <c r="AR1298"/>
  <c r="AR1296"/>
  <c r="AP1289"/>
  <c r="AN1289"/>
  <c r="AR1295"/>
  <c r="AQ1289"/>
  <c r="AR1294"/>
  <c r="AO1289"/>
  <c r="AG1294"/>
  <c r="Z1294"/>
  <c r="S1294"/>
  <c r="L1294"/>
  <c r="AG1293"/>
  <c r="S1293"/>
  <c r="AG1292"/>
  <c r="Z1292"/>
  <c r="S1292"/>
  <c r="L1292"/>
  <c r="Z1291"/>
  <c r="S1291"/>
  <c r="L1291"/>
  <c r="AR1287"/>
  <c r="AR1285"/>
  <c r="AR1284"/>
  <c r="AR1283"/>
  <c r="AP1276"/>
  <c r="AR1282"/>
  <c r="AN1276"/>
  <c r="AQ1276"/>
  <c r="AO1276"/>
  <c r="AR1281"/>
  <c r="AG1281"/>
  <c r="S1281"/>
  <c r="L1281"/>
  <c r="AG1280"/>
  <c r="S1280"/>
  <c r="L1280"/>
  <c r="AG1279"/>
  <c r="Z1279"/>
  <c r="S1279"/>
  <c r="AG1278"/>
  <c r="Z1278"/>
  <c r="L1278"/>
  <c r="AR1274"/>
  <c r="AR1273"/>
  <c r="AR1270"/>
  <c r="AP1263"/>
  <c r="AN1263"/>
  <c r="AQ1263"/>
  <c r="AO1263"/>
  <c r="AR1268"/>
  <c r="AG1268"/>
  <c r="S1268"/>
  <c r="L1268"/>
  <c r="AG1267"/>
  <c r="Z1267"/>
  <c r="L1267"/>
  <c r="AG1266"/>
  <c r="Z1266"/>
  <c r="S1266"/>
  <c r="L1266"/>
  <c r="AG1265"/>
  <c r="Z1265"/>
  <c r="S1265"/>
  <c r="AR1261"/>
  <c r="AR1260"/>
  <c r="AR1259"/>
  <c r="AR1258"/>
  <c r="AR1257"/>
  <c r="AP1250"/>
  <c r="AN1250"/>
  <c r="AR1256"/>
  <c r="AO1250"/>
  <c r="AG1255"/>
  <c r="Z1255"/>
  <c r="Z1254"/>
  <c r="S1254"/>
  <c r="AG1253"/>
  <c r="Z1253"/>
  <c r="L1253"/>
  <c r="AG1252"/>
  <c r="S1252"/>
  <c r="L1252"/>
  <c r="AR1248"/>
  <c r="AR1247"/>
  <c r="AR1244"/>
  <c r="AP1237"/>
  <c r="AN1237"/>
  <c r="AR1243"/>
  <c r="AR1242"/>
  <c r="AO1237"/>
  <c r="AG1242"/>
  <c r="Z1242"/>
  <c r="S1242"/>
  <c r="L1242"/>
  <c r="AG1241"/>
  <c r="Z1241"/>
  <c r="S1241"/>
  <c r="L1241"/>
  <c r="AG1240"/>
  <c r="S1240"/>
  <c r="L1240"/>
  <c r="AG1239"/>
  <c r="Z1239"/>
  <c r="S1239"/>
  <c r="L1239"/>
  <c r="AR1234"/>
  <c r="AR1233"/>
  <c r="AP1224"/>
  <c r="AN1224"/>
  <c r="AR1229"/>
  <c r="AG1229"/>
  <c r="L1229"/>
  <c r="S1228"/>
  <c r="L1228"/>
  <c r="AG1227"/>
  <c r="S1227"/>
  <c r="L1227"/>
  <c r="Z1226"/>
  <c r="S1226"/>
  <c r="L1226"/>
  <c r="AR1221"/>
  <c r="AR1219"/>
  <c r="AP1211"/>
  <c r="AN1211"/>
  <c r="AG1216"/>
  <c r="Z1216"/>
  <c r="S1216"/>
  <c r="AG1215"/>
  <c r="Z1215"/>
  <c r="AG1214"/>
  <c r="L1214"/>
  <c r="AG1213"/>
  <c r="Z1213"/>
  <c r="AR1208"/>
  <c r="AR1207"/>
  <c r="AR1204"/>
  <c r="AN1198"/>
  <c r="AR1203"/>
  <c r="AG1203"/>
  <c r="S1203"/>
  <c r="L1203"/>
  <c r="Z1202"/>
  <c r="S1202"/>
  <c r="L1202"/>
  <c r="S1201"/>
  <c r="L1201"/>
  <c r="S1200"/>
  <c r="L1200"/>
  <c r="AR1196"/>
  <c r="AR1193"/>
  <c r="AR1191"/>
  <c r="AP1185"/>
  <c r="Z1190"/>
  <c r="S1190"/>
  <c r="AG1189"/>
  <c r="Z1189"/>
  <c r="AG1188"/>
  <c r="Z1188"/>
  <c r="L1188"/>
  <c r="AG1187"/>
  <c r="Z1187"/>
  <c r="L1187"/>
  <c r="AR1182"/>
  <c r="AR1181"/>
  <c r="AR1177"/>
  <c r="AG1177"/>
  <c r="Z1177"/>
  <c r="S1177"/>
  <c r="L1177"/>
  <c r="S1176"/>
  <c r="L1176"/>
  <c r="Z1175"/>
  <c r="S1175"/>
  <c r="L1175"/>
  <c r="Z1174"/>
  <c r="S1174"/>
  <c r="L1174"/>
  <c r="AR1170"/>
  <c r="AN1159"/>
  <c r="AR1167"/>
  <c r="AR1166"/>
  <c r="AG1164"/>
  <c r="Z1164"/>
  <c r="S1164"/>
  <c r="AG1163"/>
  <c r="Z1163"/>
  <c r="AG1162"/>
  <c r="Z1162"/>
  <c r="AG1161"/>
  <c r="Z1161"/>
  <c r="AR1156"/>
  <c r="AR1155"/>
  <c r="AR1152"/>
  <c r="AQ1146"/>
  <c r="AR1151"/>
  <c r="AG1151"/>
  <c r="S1151"/>
  <c r="L1151"/>
  <c r="S1150"/>
  <c r="L1150"/>
  <c r="S1149"/>
  <c r="L1149"/>
  <c r="Z1148"/>
  <c r="S1148"/>
  <c r="L1148"/>
  <c r="AR1144"/>
  <c r="AN1133"/>
  <c r="AR1140"/>
  <c r="AR1139"/>
  <c r="AP1133"/>
  <c r="Z1138"/>
  <c r="S1138"/>
  <c r="AG1137"/>
  <c r="S1137"/>
  <c r="L1137"/>
  <c r="AG1136"/>
  <c r="Z1136"/>
  <c r="L1136"/>
  <c r="AG1135"/>
  <c r="Z1135"/>
  <c r="AR1130"/>
  <c r="AR1129"/>
  <c r="AN1120"/>
  <c r="AO1120"/>
  <c r="AG1125"/>
  <c r="S1125"/>
  <c r="L1125"/>
  <c r="Z1124"/>
  <c r="S1124"/>
  <c r="L1124"/>
  <c r="AG1123"/>
  <c r="S1123"/>
  <c r="Z1122"/>
  <c r="S1122"/>
  <c r="L1122"/>
  <c r="AR1118"/>
  <c r="AR1117"/>
  <c r="AN1107"/>
  <c r="AR1114"/>
  <c r="AO1107"/>
  <c r="Z1112"/>
  <c r="S1112"/>
  <c r="AG1111"/>
  <c r="Z1111"/>
  <c r="L1111"/>
  <c r="AG1110"/>
  <c r="Z1110"/>
  <c r="AG1109"/>
  <c r="Z1109"/>
  <c r="AR1104"/>
  <c r="AR1103"/>
  <c r="AP1094"/>
  <c r="AR1101"/>
  <c r="AN1094"/>
  <c r="AR1100"/>
  <c r="AO1094"/>
  <c r="AG1099"/>
  <c r="S1099"/>
  <c r="L1099"/>
  <c r="S1098"/>
  <c r="L1098"/>
  <c r="Z1097"/>
  <c r="S1097"/>
  <c r="L1097"/>
  <c r="Z1096"/>
  <c r="S1096"/>
  <c r="L1096"/>
  <c r="AR1089"/>
  <c r="AR1088"/>
  <c r="AN1081"/>
  <c r="AR1087"/>
  <c r="AO1081"/>
  <c r="Z1086"/>
  <c r="S1086"/>
  <c r="L1086"/>
  <c r="AG1085"/>
  <c r="Z1085"/>
  <c r="AG1084"/>
  <c r="Z1084"/>
  <c r="L1084"/>
  <c r="AG1083"/>
  <c r="Z1083"/>
  <c r="AR1078"/>
  <c r="AR1077"/>
  <c r="AP1068"/>
  <c r="AR1074"/>
  <c r="AR1073"/>
  <c r="AG1073"/>
  <c r="S1073"/>
  <c r="L1073"/>
  <c r="S1072"/>
  <c r="L1072"/>
  <c r="S1071"/>
  <c r="L1071"/>
  <c r="Z1070"/>
  <c r="S1070"/>
  <c r="L1070"/>
  <c r="AR1066"/>
  <c r="AR1063"/>
  <c r="AR1062"/>
  <c r="AR1060"/>
  <c r="AQ1055"/>
  <c r="AO1055"/>
  <c r="AG1060"/>
  <c r="Z1060"/>
  <c r="D103" i="8"/>
  <c r="C103"/>
  <c r="D101"/>
  <c r="C101"/>
  <c r="D75"/>
  <c r="H81"/>
  <c r="F81"/>
  <c r="AU122" i="17"/>
  <c r="AU110"/>
  <c r="V127"/>
  <c r="AU97"/>
  <c r="AU72"/>
  <c r="BF72"/>
  <c r="AU68"/>
  <c r="BF68"/>
  <c r="AU64"/>
  <c r="BF64"/>
  <c r="AU59"/>
  <c r="AU55"/>
  <c r="AU51"/>
  <c r="G69" i="8"/>
  <c r="D74"/>
  <c r="C74"/>
  <c r="D84"/>
  <c r="C84"/>
  <c r="D93"/>
  <c r="C93"/>
  <c r="D100"/>
  <c r="C100"/>
  <c r="AR548" i="4"/>
  <c r="AR717"/>
  <c r="AR756"/>
  <c r="AR795"/>
  <c r="AN990"/>
  <c r="AR353"/>
  <c r="AR561"/>
  <c r="AR969"/>
  <c r="S1060"/>
  <c r="L1060"/>
  <c r="AG1059"/>
  <c r="Z1059"/>
  <c r="S1059"/>
  <c r="L1059"/>
  <c r="AG1058"/>
  <c r="Z1058"/>
  <c r="AG1057"/>
  <c r="Z1057"/>
  <c r="L1057"/>
  <c r="AR1052"/>
  <c r="AR1051"/>
  <c r="AP1042"/>
  <c r="AR1048"/>
  <c r="AR1047"/>
  <c r="AG1047"/>
  <c r="S1047"/>
  <c r="AG1045"/>
  <c r="Z1045"/>
  <c r="L1045"/>
  <c r="AG1044"/>
  <c r="S1044"/>
  <c r="L1044"/>
  <c r="AR1040"/>
  <c r="AR1038"/>
  <c r="AN1029"/>
  <c r="AO1029"/>
  <c r="AR1036"/>
  <c r="AR1035"/>
  <c r="AP1029"/>
  <c r="AG1034"/>
  <c r="S1034"/>
  <c r="AG1033"/>
  <c r="Z1033"/>
  <c r="AG1032"/>
  <c r="Z1032"/>
  <c r="AG1031"/>
  <c r="Z1031"/>
  <c r="L1031"/>
  <c r="AR1026"/>
  <c r="AR1022"/>
  <c r="AR1021"/>
  <c r="AG1021"/>
  <c r="S1021"/>
  <c r="L1021"/>
  <c r="Z1020"/>
  <c r="S1020"/>
  <c r="L1020"/>
  <c r="S1019"/>
  <c r="L1019"/>
  <c r="Z1018"/>
  <c r="S1018"/>
  <c r="L1018"/>
  <c r="AR1014"/>
  <c r="AR1012"/>
  <c r="AR1011"/>
  <c r="AR1010"/>
  <c r="Z1008"/>
  <c r="S1008"/>
  <c r="L1008"/>
  <c r="AG1007"/>
  <c r="Z1007"/>
  <c r="S1007"/>
  <c r="L1007"/>
  <c r="AG1006"/>
  <c r="Z1006"/>
  <c r="S1006"/>
  <c r="L1006"/>
  <c r="AG1005"/>
  <c r="AR999"/>
  <c r="AP990"/>
  <c r="AR998"/>
  <c r="AQ990"/>
  <c r="AO990"/>
  <c r="AR995"/>
  <c r="AG995"/>
  <c r="S995"/>
  <c r="L995"/>
  <c r="AG994"/>
  <c r="S994"/>
  <c r="L994"/>
  <c r="Z993"/>
  <c r="S993"/>
  <c r="L993"/>
  <c r="AG992"/>
  <c r="Z992"/>
  <c r="S992"/>
  <c r="L992"/>
  <c r="AR988"/>
  <c r="AR987"/>
  <c r="AR984"/>
  <c r="AN977"/>
  <c r="AQ977"/>
  <c r="AR982"/>
  <c r="Z982"/>
  <c r="S982"/>
  <c r="AG981"/>
  <c r="Z981"/>
  <c r="L981"/>
  <c r="AG980"/>
  <c r="Z980"/>
  <c r="L980"/>
  <c r="Z979"/>
  <c r="AR974"/>
  <c r="AR973"/>
  <c r="AP964"/>
  <c r="AR972"/>
  <c r="AN964"/>
  <c r="AR964"/>
  <c r="AR970"/>
  <c r="AG969"/>
  <c r="Z969"/>
  <c r="S969"/>
  <c r="Z968"/>
  <c r="L968"/>
  <c r="AG967"/>
  <c r="Z967"/>
  <c r="S967"/>
  <c r="L967"/>
  <c r="AG966"/>
  <c r="S966"/>
  <c r="AR962"/>
  <c r="AN951"/>
  <c r="AR959"/>
  <c r="AG956"/>
  <c r="Z956"/>
  <c r="S956"/>
  <c r="AG955"/>
  <c r="Z955"/>
  <c r="S955"/>
  <c r="L955"/>
  <c r="AG954"/>
  <c r="Z954"/>
  <c r="S954"/>
  <c r="AG953"/>
  <c r="Z953"/>
  <c r="L953"/>
  <c r="AR949"/>
  <c r="AR948"/>
  <c r="AR947"/>
  <c r="AP938"/>
  <c r="AR944"/>
  <c r="AQ938"/>
  <c r="AR943"/>
  <c r="AG943"/>
  <c r="Z943"/>
  <c r="S943"/>
  <c r="L943"/>
  <c r="Z942"/>
  <c r="S942"/>
  <c r="L942"/>
  <c r="Z941"/>
  <c r="S941"/>
  <c r="L941"/>
  <c r="Z940"/>
  <c r="AR936"/>
  <c r="AR935"/>
  <c r="AR933"/>
  <c r="AR932"/>
  <c r="AQ925"/>
  <c r="AO925"/>
  <c r="AR930"/>
  <c r="S930"/>
  <c r="Z929"/>
  <c r="L929"/>
  <c r="AG928"/>
  <c r="Z928"/>
  <c r="S928"/>
  <c r="L928"/>
  <c r="AG927"/>
  <c r="L927"/>
  <c r="AR921"/>
  <c r="AR920"/>
  <c r="AR919"/>
  <c r="AP912"/>
  <c r="AR917"/>
  <c r="AG917"/>
  <c r="AR892"/>
  <c r="AN899"/>
  <c r="AR899"/>
  <c r="AR665"/>
  <c r="AP847"/>
  <c r="S917"/>
  <c r="Z915"/>
  <c r="S915"/>
  <c r="L915"/>
  <c r="L914"/>
  <c r="AR910"/>
  <c r="AR907"/>
  <c r="AR904"/>
  <c r="AG904"/>
  <c r="L903"/>
  <c r="Z902"/>
  <c r="L902"/>
  <c r="Z901"/>
  <c r="AR895"/>
  <c r="AR891"/>
  <c r="AG891"/>
  <c r="AR884"/>
  <c r="AR882"/>
  <c r="AQ873"/>
  <c r="AR873"/>
  <c r="AR878"/>
  <c r="L877"/>
  <c r="L876"/>
  <c r="Z875"/>
  <c r="S875"/>
  <c r="AR869"/>
  <c r="AN860"/>
  <c r="AR860"/>
  <c r="AR865"/>
  <c r="S865"/>
  <c r="Z864"/>
  <c r="L864"/>
  <c r="L862"/>
  <c r="AR858"/>
  <c r="AR852"/>
  <c r="S852"/>
  <c r="L851"/>
  <c r="Z849"/>
  <c r="AO834"/>
  <c r="AR843"/>
  <c r="AQ834"/>
  <c r="AR839"/>
  <c r="S839"/>
  <c r="Z838"/>
  <c r="L838"/>
  <c r="Z837"/>
  <c r="L837"/>
  <c r="L836"/>
  <c r="AR832"/>
  <c r="S826"/>
  <c r="Z823"/>
  <c r="AR819"/>
  <c r="AR817"/>
  <c r="AR815"/>
  <c r="AR813"/>
  <c r="AG813"/>
  <c r="L812"/>
  <c r="Z811"/>
  <c r="L811"/>
  <c r="Z810"/>
  <c r="L810"/>
  <c r="AR806"/>
  <c r="AR804"/>
  <c r="AG800"/>
  <c r="Z798"/>
  <c r="L798"/>
  <c r="Z797"/>
  <c r="AR791"/>
  <c r="AR789"/>
  <c r="AG787"/>
  <c r="AG786"/>
  <c r="Z785"/>
  <c r="L785"/>
  <c r="Z784"/>
  <c r="L784"/>
  <c r="AR780"/>
  <c r="Z773"/>
  <c r="S772"/>
  <c r="Z771"/>
  <c r="L771"/>
  <c r="AR765"/>
  <c r="AR764"/>
  <c r="AR761"/>
  <c r="L760"/>
  <c r="Z759"/>
  <c r="L759"/>
  <c r="Z758"/>
  <c r="L758"/>
  <c r="AQ743"/>
  <c r="AR743"/>
  <c r="AR750"/>
  <c r="Z746"/>
  <c r="S708"/>
  <c r="AR699"/>
  <c r="AR684"/>
  <c r="AG682"/>
  <c r="R128" i="17"/>
  <c r="AR1271" i="4"/>
  <c r="S1267"/>
  <c r="AR1246"/>
  <c r="Z1240"/>
  <c r="BI33" i="17"/>
  <c r="BL33"/>
  <c r="AG56" i="4"/>
  <c r="AG55"/>
  <c r="S119"/>
  <c r="Z120"/>
  <c r="S134"/>
  <c r="S145"/>
  <c r="L197"/>
  <c r="S198"/>
  <c r="Z197"/>
  <c r="Z198"/>
  <c r="AG197"/>
  <c r="AG198"/>
  <c r="L236"/>
  <c r="L237"/>
  <c r="S238"/>
  <c r="Z236"/>
  <c r="Z237"/>
  <c r="Z238"/>
  <c r="L262"/>
  <c r="L263"/>
  <c r="Z288"/>
  <c r="Z289"/>
  <c r="S301"/>
  <c r="S302"/>
  <c r="S303"/>
  <c r="Z302"/>
  <c r="H70" i="8"/>
  <c r="E17" i="1"/>
  <c r="E19"/>
  <c r="Q30" i="17"/>
  <c r="AU32"/>
  <c r="AQ45"/>
  <c r="AQ60"/>
  <c r="AR77"/>
  <c r="BI77"/>
  <c r="T44"/>
  <c r="V44"/>
  <c r="Z54" i="4"/>
  <c r="Z55"/>
  <c r="S55"/>
  <c r="L55"/>
  <c r="Q39" i="17"/>
  <c r="AR662" i="4"/>
  <c r="Z643"/>
  <c r="Z641"/>
  <c r="AR506"/>
  <c r="Z461"/>
  <c r="Z408"/>
  <c r="S120"/>
  <c r="Z121"/>
  <c r="L132"/>
  <c r="S133"/>
  <c r="L145"/>
  <c r="S146"/>
  <c r="Z147"/>
  <c r="AG147"/>
  <c r="Z290"/>
  <c r="AG289"/>
  <c r="AG290"/>
  <c r="AT20" i="17"/>
  <c r="AR30"/>
  <c r="N127"/>
  <c r="G46" i="8"/>
  <c r="G45"/>
  <c r="O28" i="17"/>
  <c r="AS28"/>
  <c r="G140" i="8"/>
  <c r="G147"/>
  <c r="S56" i="4"/>
  <c r="BE77" i="17"/>
  <c r="BK80"/>
  <c r="BE80"/>
  <c r="BJ20"/>
  <c r="BJ28"/>
  <c r="BD20"/>
  <c r="BK83"/>
  <c r="BE83"/>
  <c r="AQ82"/>
  <c r="AA82"/>
  <c r="AU82"/>
  <c r="AA81"/>
  <c r="AU81"/>
  <c r="AS81"/>
  <c r="AS61"/>
  <c r="AD73"/>
  <c r="AD128"/>
  <c r="BC77"/>
  <c r="AA46"/>
  <c r="AU46"/>
  <c r="AS46"/>
  <c r="Y60"/>
  <c r="AA45"/>
  <c r="AU45"/>
  <c r="Z60"/>
  <c r="Y127"/>
  <c r="AA104"/>
  <c r="AU104"/>
  <c r="BF42"/>
  <c r="BL59"/>
  <c r="BK73"/>
  <c r="BJ84"/>
  <c r="BK123"/>
  <c r="BJ118"/>
  <c r="BL118"/>
  <c r="F133" i="8"/>
  <c r="J128" i="17"/>
  <c r="BD115"/>
  <c r="BF115"/>
  <c r="AU93"/>
  <c r="AU89"/>
  <c r="AU85"/>
  <c r="AA79"/>
  <c r="AU79"/>
  <c r="AU95"/>
  <c r="AU99"/>
  <c r="BK100"/>
  <c r="BL100"/>
  <c r="BE100"/>
  <c r="BF100"/>
  <c r="BE99"/>
  <c r="BF99"/>
  <c r="BK99"/>
  <c r="BE89"/>
  <c r="BF89"/>
  <c r="BK89"/>
  <c r="BL89"/>
  <c r="BK88"/>
  <c r="BL88"/>
  <c r="BE88"/>
  <c r="BF88"/>
  <c r="BK87"/>
  <c r="BE87"/>
  <c r="BF87"/>
  <c r="BE86"/>
  <c r="BF86"/>
  <c r="BK86"/>
  <c r="BL86"/>
  <c r="BE84"/>
  <c r="BK84"/>
  <c r="D68" i="8"/>
  <c r="BL87" i="17"/>
  <c r="P26" i="1"/>
  <c r="H26"/>
  <c r="H138" i="8"/>
  <c r="BI123" i="17"/>
  <c r="BC123"/>
  <c r="BF123"/>
  <c r="AQ84"/>
  <c r="AA84"/>
  <c r="AU84"/>
  <c r="BB83"/>
  <c r="BF83"/>
  <c r="BH83"/>
  <c r="X127"/>
  <c r="AA105"/>
  <c r="AU105"/>
  <c r="AR105"/>
  <c r="AA47"/>
  <c r="AU47"/>
  <c r="AT47"/>
  <c r="AR47"/>
  <c r="X60"/>
  <c r="AA106"/>
  <c r="AU106"/>
  <c r="AQ106"/>
  <c r="AU39"/>
  <c r="BF26"/>
  <c r="BL40"/>
  <c r="BL38"/>
  <c r="Q73"/>
  <c r="BL99"/>
  <c r="AP127"/>
  <c r="BD76"/>
  <c r="L25" i="1"/>
  <c r="F25"/>
  <c r="F137" i="8"/>
  <c r="F69"/>
  <c r="H135"/>
  <c r="L128" i="17"/>
  <c r="AU25"/>
  <c r="AU41"/>
  <c r="T128"/>
  <c r="BD119"/>
  <c r="BF119"/>
  <c r="BJ119"/>
  <c r="BL119"/>
  <c r="BD114"/>
  <c r="BF114"/>
  <c r="BJ114"/>
  <c r="BJ112"/>
  <c r="BL112"/>
  <c r="BD112"/>
  <c r="BF112"/>
  <c r="BJ111"/>
  <c r="BL111"/>
  <c r="BD111"/>
  <c r="BF111"/>
  <c r="BJ107"/>
  <c r="BL107"/>
  <c r="BD107"/>
  <c r="BF107"/>
  <c r="AU33"/>
  <c r="AR80"/>
  <c r="AA80"/>
  <c r="AU80"/>
  <c r="AT19"/>
  <c r="AJ28"/>
  <c r="AJ101"/>
  <c r="AT75"/>
  <c r="Z101"/>
  <c r="AT74"/>
  <c r="W101"/>
  <c r="F18" i="1"/>
  <c r="F19"/>
  <c r="BL36" i="17"/>
  <c r="BL55"/>
  <c r="BB46"/>
  <c r="BL116"/>
  <c r="BD113"/>
  <c r="BF113"/>
  <c r="AF73"/>
  <c r="AF44"/>
  <c r="BD121"/>
  <c r="BF121"/>
  <c r="H136" i="8"/>
  <c r="H150"/>
  <c r="AA83" i="17"/>
  <c r="AU83"/>
  <c r="BI82"/>
  <c r="AU112"/>
  <c r="AU116"/>
  <c r="AU120"/>
  <c r="AU124"/>
  <c r="AT30"/>
  <c r="AT45"/>
  <c r="BH66"/>
  <c r="BL66"/>
  <c r="BB66"/>
  <c r="BH64"/>
  <c r="BL64"/>
  <c r="BB64"/>
  <c r="BB63"/>
  <c r="BH63"/>
  <c r="BL63"/>
  <c r="BH62"/>
  <c r="BB62"/>
  <c r="AQ75"/>
  <c r="AS104"/>
  <c r="AJ127"/>
  <c r="AT102"/>
  <c r="AS102"/>
  <c r="AI127"/>
  <c r="V60"/>
  <c r="AU50"/>
  <c r="AU56"/>
  <c r="AU88"/>
  <c r="AU126"/>
  <c r="AU118"/>
  <c r="AU114"/>
  <c r="AU117"/>
  <c r="AU121"/>
  <c r="AU27"/>
  <c r="AU37"/>
  <c r="AU36"/>
  <c r="AU35"/>
  <c r="AU54"/>
  <c r="AB128"/>
  <c r="BE33"/>
  <c r="BF33"/>
  <c r="BL114"/>
  <c r="E132" i="8"/>
  <c r="AU22" i="17"/>
  <c r="AU38"/>
  <c r="AU42"/>
  <c r="BF59"/>
  <c r="BF58"/>
  <c r="BF57"/>
  <c r="BF56"/>
  <c r="Y44"/>
  <c r="Z273" i="4"/>
  <c r="Z272"/>
  <c r="AP272"/>
  <c r="Z271"/>
  <c r="AP271"/>
  <c r="Z270"/>
  <c r="AP270"/>
  <c r="Z269"/>
  <c r="AP269"/>
  <c r="Z268"/>
  <c r="AP268"/>
  <c r="W33"/>
  <c r="R34"/>
  <c r="W34"/>
  <c r="G215"/>
  <c r="I215"/>
  <c r="G16" i="1"/>
  <c r="G19"/>
  <c r="G26"/>
  <c r="AG73" i="4"/>
  <c r="AQ73"/>
  <c r="AG75"/>
  <c r="AQ75"/>
  <c r="AG78"/>
  <c r="AQ78"/>
  <c r="AG77"/>
  <c r="AQ77"/>
  <c r="AG76"/>
  <c r="AQ76"/>
  <c r="AG74"/>
  <c r="AQ74"/>
  <c r="K98"/>
  <c r="L104"/>
  <c r="AN104"/>
  <c r="I98"/>
  <c r="L102"/>
  <c r="AN102"/>
  <c r="L100"/>
  <c r="AN100"/>
  <c r="L245"/>
  <c r="AN245"/>
  <c r="H137"/>
  <c r="L142"/>
  <c r="AN142"/>
  <c r="I137"/>
  <c r="L116"/>
  <c r="AN116"/>
  <c r="L115"/>
  <c r="AN115"/>
  <c r="I111"/>
  <c r="L114"/>
  <c r="AN114"/>
  <c r="S190"/>
  <c r="AO190"/>
  <c r="S192"/>
  <c r="AO192"/>
  <c r="N189"/>
  <c r="P189"/>
  <c r="R189"/>
  <c r="S191"/>
  <c r="AO191"/>
  <c r="S193"/>
  <c r="AO193"/>
  <c r="S194"/>
  <c r="AO194"/>
  <c r="O189"/>
  <c r="Q189"/>
  <c r="S195"/>
  <c r="AG102"/>
  <c r="AQ102"/>
  <c r="AF98"/>
  <c r="AG101"/>
  <c r="AQ101"/>
  <c r="AG104"/>
  <c r="AQ104"/>
  <c r="AC98"/>
  <c r="AG103"/>
  <c r="AQ103"/>
  <c r="AG100"/>
  <c r="AQ100"/>
  <c r="AE98"/>
  <c r="AD98"/>
  <c r="AG99"/>
  <c r="AQ99"/>
  <c r="AB98"/>
  <c r="AG91"/>
  <c r="AQ91"/>
  <c r="AF85"/>
  <c r="AQ85"/>
  <c r="AG86"/>
  <c r="AQ86"/>
  <c r="N46"/>
  <c r="S52"/>
  <c r="AG89"/>
  <c r="AQ89"/>
  <c r="Z45"/>
  <c r="L268"/>
  <c r="AN268"/>
  <c r="L269"/>
  <c r="AN269"/>
  <c r="L253"/>
  <c r="S227"/>
  <c r="AG253"/>
  <c r="AI80"/>
  <c r="A93"/>
  <c r="O98"/>
  <c r="S102"/>
  <c r="AO102"/>
  <c r="S100"/>
  <c r="AO100"/>
  <c r="Q98"/>
  <c r="R98"/>
  <c r="S101"/>
  <c r="AO101"/>
  <c r="Z61"/>
  <c r="AP61"/>
  <c r="Z60"/>
  <c r="AP60"/>
  <c r="Z64"/>
  <c r="AP64"/>
  <c r="Y59"/>
  <c r="P293"/>
  <c r="N293"/>
  <c r="S298"/>
  <c r="AO298"/>
  <c r="O293"/>
  <c r="S296"/>
  <c r="AO296"/>
  <c r="S268"/>
  <c r="AO268"/>
  <c r="S272"/>
  <c r="AO272"/>
  <c r="AG214"/>
  <c r="AG58"/>
  <c r="AG205"/>
  <c r="AQ205"/>
  <c r="L71"/>
  <c r="E162" i="13"/>
  <c r="F162"/>
  <c r="C162"/>
  <c r="D162"/>
  <c r="Z311" i="4"/>
  <c r="AP311"/>
  <c r="V306"/>
  <c r="Y306"/>
  <c r="AG153"/>
  <c r="AQ153"/>
  <c r="AG152"/>
  <c r="AQ152"/>
  <c r="AG155"/>
  <c r="AQ155"/>
  <c r="Z156"/>
  <c r="Z154"/>
  <c r="AP154"/>
  <c r="Q293"/>
  <c r="S149"/>
  <c r="AG175"/>
  <c r="Z201"/>
  <c r="U84"/>
  <c r="Z84"/>
  <c r="AG165"/>
  <c r="AQ165"/>
  <c r="AD163"/>
  <c r="AG164"/>
  <c r="AQ164"/>
  <c r="AG168"/>
  <c r="AQ168"/>
  <c r="AF163"/>
  <c r="AG240"/>
  <c r="F154" i="13"/>
  <c r="E154"/>
  <c r="D154"/>
  <c r="C154"/>
  <c r="N98" i="4"/>
  <c r="Q202"/>
  <c r="R202"/>
  <c r="S203"/>
  <c r="AO203"/>
  <c r="S205"/>
  <c r="AO205"/>
  <c r="S204"/>
  <c r="AO204"/>
  <c r="X228"/>
  <c r="Z233"/>
  <c r="AP233"/>
  <c r="Z234"/>
  <c r="Z232"/>
  <c r="AP232"/>
  <c r="R293"/>
  <c r="S112"/>
  <c r="AO112"/>
  <c r="P111"/>
  <c r="S113"/>
  <c r="AO113"/>
  <c r="S117"/>
  <c r="S115"/>
  <c r="AO115"/>
  <c r="S116"/>
  <c r="AO116"/>
  <c r="AG114"/>
  <c r="AQ114"/>
  <c r="AF111"/>
  <c r="AG112"/>
  <c r="AQ112"/>
  <c r="AG319"/>
  <c r="L305"/>
  <c r="AG136"/>
  <c r="S214"/>
  <c r="Z162"/>
  <c r="G98" i="8"/>
  <c r="D104"/>
  <c r="C104"/>
  <c r="D73"/>
  <c r="C73"/>
  <c r="F53"/>
  <c r="AF189" i="4"/>
  <c r="AG195"/>
  <c r="AQ195"/>
  <c r="D64" i="8"/>
  <c r="C64"/>
  <c r="BF24" i="17"/>
  <c r="BI73"/>
  <c r="G28" i="7"/>
  <c r="H133" i="8"/>
  <c r="O122" i="4"/>
  <c r="O124"/>
  <c r="AD200"/>
  <c r="AG200"/>
  <c r="U213"/>
  <c r="Z213"/>
  <c r="D164" i="13"/>
  <c r="F80" i="8"/>
  <c r="D80"/>
  <c r="C80"/>
  <c r="AQ327" i="4"/>
  <c r="AR327"/>
  <c r="BE98" i="17"/>
  <c r="BF98"/>
  <c r="BK98"/>
  <c r="BL98"/>
  <c r="BK97"/>
  <c r="BL97"/>
  <c r="BE97"/>
  <c r="BF97"/>
  <c r="BE96"/>
  <c r="BF96"/>
  <c r="BK96"/>
  <c r="BL96"/>
  <c r="BE93"/>
  <c r="BF93"/>
  <c r="BK93"/>
  <c r="BL93"/>
  <c r="BK92"/>
  <c r="BL92"/>
  <c r="BE92"/>
  <c r="BF92"/>
  <c r="BK90"/>
  <c r="BL90"/>
  <c r="BE90"/>
  <c r="BF90"/>
  <c r="BK82"/>
  <c r="BE82"/>
  <c r="BK81"/>
  <c r="BE81"/>
  <c r="BK78"/>
  <c r="BE78"/>
  <c r="BF78"/>
  <c r="Z195" i="4"/>
  <c r="V189"/>
  <c r="E98" i="8"/>
  <c r="E79"/>
  <c r="D79"/>
  <c r="C79"/>
  <c r="BF50" i="17"/>
  <c r="Z70" i="4"/>
  <c r="AF60" i="17"/>
  <c r="E21" i="13"/>
  <c r="I128" i="17"/>
  <c r="AQ314" i="4"/>
  <c r="AQ340"/>
  <c r="AR340"/>
  <c r="AR314"/>
  <c r="BE124" i="17"/>
  <c r="BF124"/>
  <c r="BK124"/>
  <c r="BJ122"/>
  <c r="BL122"/>
  <c r="BD122"/>
  <c r="BF122"/>
  <c r="BD120"/>
  <c r="BF120"/>
  <c r="BJ120"/>
  <c r="BL120"/>
  <c r="BD117"/>
  <c r="BF117"/>
  <c r="BJ117"/>
  <c r="BL117"/>
  <c r="BJ110"/>
  <c r="BL110"/>
  <c r="BD110"/>
  <c r="BF110"/>
  <c r="BD109"/>
  <c r="BF109"/>
  <c r="BJ109"/>
  <c r="BL109"/>
  <c r="BD108"/>
  <c r="BF108"/>
  <c r="BJ108"/>
  <c r="BL108"/>
  <c r="BJ106"/>
  <c r="BD106"/>
  <c r="BD105"/>
  <c r="BJ105"/>
  <c r="BD103"/>
  <c r="BF103"/>
  <c r="BJ103"/>
  <c r="C18" i="10"/>
  <c r="G18"/>
  <c r="F110" i="8"/>
  <c r="D54"/>
  <c r="G49"/>
  <c r="D50"/>
  <c r="D81"/>
  <c r="L317" i="4"/>
  <c r="H110" i="8"/>
  <c r="H53"/>
  <c r="AR1126" i="4"/>
  <c r="AR1076"/>
  <c r="AQ1081"/>
  <c r="AO1133"/>
  <c r="AP1120"/>
  <c r="AP1172"/>
  <c r="AR1232"/>
  <c r="AQ1133"/>
  <c r="AQ1224"/>
  <c r="AR1115"/>
  <c r="AN1042"/>
  <c r="AP1198"/>
  <c r="AR1217"/>
  <c r="AR1037"/>
  <c r="AR1230"/>
  <c r="AN1016"/>
  <c r="AR1102"/>
  <c r="AQ1185"/>
  <c r="AP1107"/>
  <c r="AO1159"/>
  <c r="AO1198"/>
  <c r="AQ1042"/>
  <c r="AR1125"/>
  <c r="AR1099"/>
  <c r="AO1172"/>
  <c r="AN1328"/>
  <c r="AR1336"/>
  <c r="AQ1328"/>
  <c r="AG1333"/>
  <c r="L1332"/>
  <c r="AR1322"/>
  <c r="AQ1315"/>
  <c r="AN1315"/>
  <c r="AR1321"/>
  <c r="Z1318"/>
  <c r="AN1146"/>
  <c r="AR1141"/>
  <c r="AN1068"/>
  <c r="AO977"/>
  <c r="AO1003"/>
  <c r="AO1042"/>
  <c r="AO1146"/>
  <c r="AQ1068"/>
  <c r="AN1185"/>
  <c r="AQ1016"/>
  <c r="AO1068"/>
  <c r="AQ1211"/>
  <c r="AO1224"/>
  <c r="S1229"/>
  <c r="Z1228"/>
  <c r="Z1227"/>
  <c r="AR1218"/>
  <c r="AO1211"/>
  <c r="AR1211"/>
  <c r="L1215"/>
  <c r="AQ1198"/>
  <c r="Z1201"/>
  <c r="Z1200"/>
  <c r="AR1192"/>
  <c r="AO1185"/>
  <c r="AG1190"/>
  <c r="L1189"/>
  <c r="AQ1172"/>
  <c r="AN1172"/>
  <c r="Z1176"/>
  <c r="AP1159"/>
  <c r="AQ1159"/>
  <c r="L1163"/>
  <c r="L1162"/>
  <c r="L1161"/>
  <c r="Z1150"/>
  <c r="Z1149"/>
  <c r="AG1138"/>
  <c r="L1135"/>
  <c r="AR1127"/>
  <c r="AQ1120"/>
  <c r="Z1123"/>
  <c r="AQ1107"/>
  <c r="AG1112"/>
  <c r="L1110"/>
  <c r="AQ1094"/>
  <c r="AR1094"/>
  <c r="Z1098"/>
  <c r="AP1081"/>
  <c r="AG1086"/>
  <c r="L1085"/>
  <c r="L1083"/>
  <c r="Z1072"/>
  <c r="Z1071"/>
  <c r="AP1055"/>
  <c r="AR1055"/>
  <c r="L1058"/>
  <c r="Z1046"/>
  <c r="Z1044"/>
  <c r="AQ1029"/>
  <c r="AR1029"/>
  <c r="L1033"/>
  <c r="L1032"/>
  <c r="AR1024"/>
  <c r="AP1016"/>
  <c r="AO1016"/>
  <c r="Z1019"/>
  <c r="AP1003"/>
  <c r="AQ1003"/>
  <c r="AG1008"/>
  <c r="Z994"/>
  <c r="AP977"/>
  <c r="AR983"/>
  <c r="AG982"/>
  <c r="L979"/>
  <c r="Z966"/>
  <c r="AR958"/>
  <c r="AO951"/>
  <c r="AR951"/>
  <c r="L954"/>
  <c r="AG930"/>
  <c r="AQ912"/>
  <c r="AR918"/>
  <c r="AN912"/>
  <c r="AR912"/>
  <c r="L901"/>
  <c r="AR893"/>
  <c r="AQ886"/>
  <c r="AR886"/>
  <c r="Z890"/>
  <c r="Z889"/>
  <c r="Z888"/>
  <c r="Z863"/>
  <c r="AR854"/>
  <c r="AO847"/>
  <c r="AR847"/>
  <c r="AR1338"/>
  <c r="L850"/>
  <c r="Z836"/>
  <c r="L825"/>
  <c r="L824"/>
  <c r="L823"/>
  <c r="L799"/>
  <c r="L797"/>
  <c r="Z786"/>
  <c r="S1304"/>
  <c r="S1278"/>
  <c r="S1253"/>
  <c r="AR1222"/>
  <c r="AR1209"/>
  <c r="AX127" i="17"/>
  <c r="G66" i="8"/>
  <c r="E19" i="10"/>
  <c r="AE23" i="17"/>
  <c r="P28"/>
  <c r="M127"/>
  <c r="D168"/>
  <c r="Q31"/>
  <c r="N44"/>
  <c r="L288" i="4"/>
  <c r="L290"/>
  <c r="L289"/>
  <c r="S289"/>
  <c r="D156" i="17"/>
  <c r="D158"/>
  <c r="O44"/>
  <c r="AT31"/>
  <c r="P44"/>
  <c r="I17" i="4"/>
  <c r="AZ44" i="17"/>
  <c r="Z369" i="4"/>
  <c r="L198"/>
  <c r="M44" i="17"/>
  <c r="Z1214" i="4"/>
  <c r="AR1092"/>
  <c r="AR1079"/>
  <c r="L1046"/>
  <c r="L966"/>
  <c r="L940"/>
  <c r="AR906"/>
  <c r="L863"/>
  <c r="L303"/>
  <c r="N28" i="17"/>
  <c r="AK21"/>
  <c r="Z44"/>
  <c r="AK75"/>
  <c r="AK77"/>
  <c r="AA48"/>
  <c r="AW127"/>
  <c r="L270" i="4"/>
  <c r="AN270"/>
  <c r="L271"/>
  <c r="AN271"/>
  <c r="L272"/>
  <c r="AN272"/>
  <c r="AE189"/>
  <c r="W189"/>
  <c r="G150"/>
  <c r="L154"/>
  <c r="AN154"/>
  <c r="H150"/>
  <c r="S140"/>
  <c r="AO140"/>
  <c r="S142"/>
  <c r="AO142"/>
  <c r="L101"/>
  <c r="AN101"/>
  <c r="L103"/>
  <c r="AN103"/>
  <c r="L99"/>
  <c r="AN99"/>
  <c r="J98"/>
  <c r="G98"/>
  <c r="AN98"/>
  <c r="H85"/>
  <c r="L87"/>
  <c r="AN87"/>
  <c r="J85"/>
  <c r="L86"/>
  <c r="AN86"/>
  <c r="L90"/>
  <c r="AN90"/>
  <c r="I85"/>
  <c r="G85"/>
  <c r="L89"/>
  <c r="AN89"/>
  <c r="L91"/>
  <c r="AN91"/>
  <c r="Z44"/>
  <c r="Q278"/>
  <c r="I278"/>
  <c r="K279"/>
  <c r="AE279"/>
  <c r="V278"/>
  <c r="U278"/>
  <c r="AF278"/>
  <c r="X278"/>
  <c r="P279"/>
  <c r="Y278"/>
  <c r="Q279"/>
  <c r="N278"/>
  <c r="O278"/>
  <c r="AD278"/>
  <c r="R278"/>
  <c r="J278"/>
  <c r="W278"/>
  <c r="H132" i="8"/>
  <c r="AG128" i="17"/>
  <c r="AR574" i="4"/>
  <c r="BF116" i="17"/>
  <c r="BL125"/>
  <c r="BL83"/>
  <c r="G26" i="4"/>
  <c r="E10" i="10"/>
  <c r="S311" i="4"/>
  <c r="AO311"/>
  <c r="S310"/>
  <c r="AO310"/>
  <c r="S307"/>
  <c r="AO307"/>
  <c r="S308"/>
  <c r="AO308"/>
  <c r="AP312"/>
  <c r="F46" i="8"/>
  <c r="F45"/>
  <c r="G67"/>
  <c r="E17" i="10"/>
  <c r="D1358" i="4"/>
  <c r="U265"/>
  <c r="V265"/>
  <c r="V267"/>
  <c r="G1358"/>
  <c r="S270"/>
  <c r="AO270"/>
  <c r="S271"/>
  <c r="AO271"/>
  <c r="S273"/>
  <c r="S269"/>
  <c r="AO269"/>
  <c r="S61"/>
  <c r="AO61"/>
  <c r="S62"/>
  <c r="AO62"/>
  <c r="S60"/>
  <c r="AO60"/>
  <c r="S63"/>
  <c r="AO63"/>
  <c r="S64"/>
  <c r="AO64"/>
  <c r="AR834"/>
  <c r="Z161"/>
  <c r="F98" i="8"/>
  <c r="R109" i="4"/>
  <c r="Q109"/>
  <c r="P109"/>
  <c r="S109"/>
  <c r="S126"/>
  <c r="AO126"/>
  <c r="S127"/>
  <c r="AO127"/>
  <c r="S129"/>
  <c r="AO129"/>
  <c r="P124"/>
  <c r="Q124"/>
  <c r="R124"/>
  <c r="S128"/>
  <c r="AO128"/>
  <c r="N124"/>
  <c r="AO124"/>
  <c r="S125"/>
  <c r="AO125"/>
  <c r="S130"/>
  <c r="AO299"/>
  <c r="AP299"/>
  <c r="E142" i="8"/>
  <c r="E149"/>
  <c r="AR1315" i="4"/>
  <c r="AR1237"/>
  <c r="AR1302"/>
  <c r="AR938"/>
  <c r="AR1250"/>
  <c r="D110" i="8"/>
  <c r="D49"/>
  <c r="F67"/>
  <c r="F27" i="1"/>
  <c r="D159" i="17"/>
  <c r="D69" i="8"/>
  <c r="Y72" i="4"/>
  <c r="W72"/>
  <c r="U72"/>
  <c r="X72"/>
  <c r="V72"/>
  <c r="R72"/>
  <c r="P72"/>
  <c r="N72"/>
  <c r="Q72"/>
  <c r="O72"/>
  <c r="AG296"/>
  <c r="AQ296"/>
  <c r="AG297"/>
  <c r="AQ297"/>
  <c r="AG272"/>
  <c r="AQ272"/>
  <c r="AR272"/>
  <c r="AG270"/>
  <c r="AQ270"/>
  <c r="AR270"/>
  <c r="AR269"/>
  <c r="AP247"/>
  <c r="AO247"/>
  <c r="L243"/>
  <c r="AN243"/>
  <c r="J241"/>
  <c r="L247"/>
  <c r="AN247"/>
  <c r="L242"/>
  <c r="AN242"/>
  <c r="K241"/>
  <c r="L246"/>
  <c r="AN246"/>
  <c r="I241"/>
  <c r="J215"/>
  <c r="L217"/>
  <c r="AN217"/>
  <c r="L219"/>
  <c r="AN219"/>
  <c r="L216"/>
  <c r="AN216"/>
  <c r="L221"/>
  <c r="AN221"/>
  <c r="H215"/>
  <c r="K215"/>
  <c r="L218"/>
  <c r="AN218"/>
  <c r="AE202"/>
  <c r="AG204"/>
  <c r="AQ204"/>
  <c r="G202"/>
  <c r="L206"/>
  <c r="AN206"/>
  <c r="K202"/>
  <c r="L207"/>
  <c r="AN207"/>
  <c r="L203"/>
  <c r="AN203"/>
  <c r="I202"/>
  <c r="L205"/>
  <c r="AN205"/>
  <c r="L204"/>
  <c r="AN204"/>
  <c r="J202"/>
  <c r="Z176"/>
  <c r="AP176"/>
  <c r="L177"/>
  <c r="AN177"/>
  <c r="H176"/>
  <c r="I176"/>
  <c r="L180"/>
  <c r="AN180"/>
  <c r="L179"/>
  <c r="AN179"/>
  <c r="L181"/>
  <c r="AN181"/>
  <c r="L182"/>
  <c r="AN182"/>
  <c r="J176"/>
  <c r="K176"/>
  <c r="L178"/>
  <c r="AN178"/>
  <c r="S165"/>
  <c r="AO165"/>
  <c r="P163"/>
  <c r="S168"/>
  <c r="AO168"/>
  <c r="R163"/>
  <c r="S166"/>
  <c r="AO166"/>
  <c r="S164"/>
  <c r="AO164"/>
  <c r="I163"/>
  <c r="G163"/>
  <c r="L169"/>
  <c r="AN169"/>
  <c r="L164"/>
  <c r="AN164"/>
  <c r="L166"/>
  <c r="AN166"/>
  <c r="H163"/>
  <c r="J163"/>
  <c r="L168"/>
  <c r="AN168"/>
  <c r="L167"/>
  <c r="AN167"/>
  <c r="K163"/>
  <c r="L153"/>
  <c r="AN153"/>
  <c r="K150"/>
  <c r="L151"/>
  <c r="AN151"/>
  <c r="J150"/>
  <c r="AN150"/>
  <c r="L155"/>
  <c r="AN155"/>
  <c r="L152"/>
  <c r="AN152"/>
  <c r="L156"/>
  <c r="AN156"/>
  <c r="L141"/>
  <c r="AN141"/>
  <c r="K137"/>
  <c r="L143"/>
  <c r="AN143"/>
  <c r="G137"/>
  <c r="L137"/>
  <c r="L140"/>
  <c r="AN140"/>
  <c r="L138"/>
  <c r="AN138"/>
  <c r="L139"/>
  <c r="AN139"/>
  <c r="G124"/>
  <c r="L129"/>
  <c r="AN129"/>
  <c r="L126"/>
  <c r="AN126"/>
  <c r="L125"/>
  <c r="AN125"/>
  <c r="L128"/>
  <c r="AN128"/>
  <c r="K124"/>
  <c r="H124"/>
  <c r="I124"/>
  <c r="L127"/>
  <c r="AN127"/>
  <c r="L130"/>
  <c r="AN130"/>
  <c r="L112"/>
  <c r="AN112"/>
  <c r="AR112"/>
  <c r="K111"/>
  <c r="AN111"/>
  <c r="L117"/>
  <c r="AN117"/>
  <c r="L113"/>
  <c r="AN113"/>
  <c r="AG51"/>
  <c r="AQ51"/>
  <c r="AG47"/>
  <c r="AQ47"/>
  <c r="AG52"/>
  <c r="AQ52"/>
  <c r="AG48"/>
  <c r="AQ48"/>
  <c r="AG50"/>
  <c r="AQ50"/>
  <c r="AC46"/>
  <c r="AQ46"/>
  <c r="L48"/>
  <c r="AN48"/>
  <c r="L52"/>
  <c r="AN52"/>
  <c r="L51"/>
  <c r="AN51"/>
  <c r="H46"/>
  <c r="L49"/>
  <c r="AN49"/>
  <c r="L50"/>
  <c r="AN50"/>
  <c r="V128" i="17"/>
  <c r="O128"/>
  <c r="BD28"/>
  <c r="S74" i="4"/>
  <c r="AO74"/>
  <c r="S77"/>
  <c r="AO77"/>
  <c r="S73"/>
  <c r="AO73"/>
  <c r="S75"/>
  <c r="AO75"/>
  <c r="S76"/>
  <c r="AO76"/>
  <c r="S78"/>
  <c r="M128" i="17"/>
  <c r="AR1081" i="4"/>
  <c r="AR1328"/>
  <c r="AR1159"/>
  <c r="BL123" i="17"/>
  <c r="BK20"/>
  <c r="BE20"/>
  <c r="AE148" i="4"/>
  <c r="AE150"/>
  <c r="AC148"/>
  <c r="AC150"/>
  <c r="AD148"/>
  <c r="AB148"/>
  <c r="AB150"/>
  <c r="AF148"/>
  <c r="AF150"/>
  <c r="Y122"/>
  <c r="Y124"/>
  <c r="U122"/>
  <c r="X122"/>
  <c r="X124"/>
  <c r="W122"/>
  <c r="W124"/>
  <c r="V122"/>
  <c r="V124"/>
  <c r="AA30" i="17"/>
  <c r="AU30"/>
  <c r="X239" i="4"/>
  <c r="X241"/>
  <c r="W239"/>
  <c r="Y239"/>
  <c r="Y241"/>
  <c r="AD57"/>
  <c r="AE57"/>
  <c r="AC57"/>
  <c r="AB57"/>
  <c r="AF57"/>
  <c r="AR925"/>
  <c r="AR990"/>
  <c r="Y189"/>
  <c r="U189"/>
  <c r="Z192"/>
  <c r="AP192"/>
  <c r="Z194"/>
  <c r="AP194"/>
  <c r="Z193"/>
  <c r="AP193"/>
  <c r="Z191"/>
  <c r="AP191"/>
  <c r="Z190"/>
  <c r="AP190"/>
  <c r="AC278"/>
  <c r="AB278"/>
  <c r="AC265"/>
  <c r="AC267"/>
  <c r="AB265"/>
  <c r="H265"/>
  <c r="G265"/>
  <c r="G267"/>
  <c r="Z296"/>
  <c r="AP296"/>
  <c r="Z298"/>
  <c r="AP298"/>
  <c r="Z297"/>
  <c r="AP297"/>
  <c r="Z294"/>
  <c r="AP294"/>
  <c r="Z295"/>
  <c r="AP295"/>
  <c r="Z299"/>
  <c r="AG208"/>
  <c r="AQ208"/>
  <c r="AG206"/>
  <c r="AQ206"/>
  <c r="AC202"/>
  <c r="AF202"/>
  <c r="AG203"/>
  <c r="AQ203"/>
  <c r="K59"/>
  <c r="L61"/>
  <c r="AN61"/>
  <c r="G59"/>
  <c r="L64"/>
  <c r="AN64"/>
  <c r="L63"/>
  <c r="AN63"/>
  <c r="J59"/>
  <c r="I59"/>
  <c r="L65"/>
  <c r="AN65"/>
  <c r="L62"/>
  <c r="AN62"/>
  <c r="H59"/>
  <c r="L60"/>
  <c r="AN60"/>
  <c r="L193"/>
  <c r="AN193"/>
  <c r="J189"/>
  <c r="L192"/>
  <c r="AN192"/>
  <c r="L195"/>
  <c r="AN195"/>
  <c r="K189"/>
  <c r="I189"/>
  <c r="G189"/>
  <c r="H189"/>
  <c r="L191"/>
  <c r="AN191"/>
  <c r="L190"/>
  <c r="AN190"/>
  <c r="L194"/>
  <c r="AN194"/>
  <c r="AD124"/>
  <c r="AF124"/>
  <c r="AE124"/>
  <c r="AG125"/>
  <c r="AQ125"/>
  <c r="AG127"/>
  <c r="AQ127"/>
  <c r="AC124"/>
  <c r="AG128"/>
  <c r="AQ128"/>
  <c r="AG129"/>
  <c r="AQ129"/>
  <c r="AB124"/>
  <c r="AG130"/>
  <c r="AQ130"/>
  <c r="AG126"/>
  <c r="AQ126"/>
  <c r="Z100"/>
  <c r="AP100"/>
  <c r="Z103"/>
  <c r="AP103"/>
  <c r="Z104"/>
  <c r="U98"/>
  <c r="Z99"/>
  <c r="AP99"/>
  <c r="Z101"/>
  <c r="AP101"/>
  <c r="V98"/>
  <c r="W98"/>
  <c r="Y98"/>
  <c r="Z102"/>
  <c r="AP102"/>
  <c r="X98"/>
  <c r="L297"/>
  <c r="AN297"/>
  <c r="AR297"/>
  <c r="L296"/>
  <c r="AN296"/>
  <c r="L294"/>
  <c r="AN294"/>
  <c r="AR294"/>
  <c r="L295"/>
  <c r="AN295"/>
  <c r="AR295"/>
  <c r="L298"/>
  <c r="AN298"/>
  <c r="AR298"/>
  <c r="L299"/>
  <c r="AN299"/>
  <c r="AO65"/>
  <c r="AP65"/>
  <c r="W137"/>
  <c r="Y137"/>
  <c r="Z143"/>
  <c r="Z142"/>
  <c r="AP142"/>
  <c r="Z141"/>
  <c r="AP141"/>
  <c r="Z140"/>
  <c r="AP140"/>
  <c r="Z138"/>
  <c r="AP138"/>
  <c r="X137"/>
  <c r="V137"/>
  <c r="Z139"/>
  <c r="AP139"/>
  <c r="U137"/>
  <c r="AC306"/>
  <c r="AF306"/>
  <c r="AG308"/>
  <c r="AQ308"/>
  <c r="AG309"/>
  <c r="AQ309"/>
  <c r="AG310"/>
  <c r="AQ310"/>
  <c r="AG311"/>
  <c r="AQ311"/>
  <c r="AG307"/>
  <c r="AQ307"/>
  <c r="AG312"/>
  <c r="AQ312"/>
  <c r="AD306"/>
  <c r="AE306"/>
  <c r="AB306"/>
  <c r="Z215"/>
  <c r="AP215"/>
  <c r="AO208"/>
  <c r="AP208"/>
  <c r="G46"/>
  <c r="AO254"/>
  <c r="S254"/>
  <c r="AR299"/>
  <c r="AR977"/>
  <c r="AR1198"/>
  <c r="AR1107"/>
  <c r="AR1120"/>
  <c r="D53" i="8"/>
  <c r="AQ80" i="4"/>
  <c r="BB73" i="17"/>
  <c r="N57" i="4"/>
  <c r="N59"/>
  <c r="O57"/>
  <c r="O59"/>
  <c r="P57"/>
  <c r="P59"/>
  <c r="R57"/>
  <c r="R59"/>
  <c r="Q57"/>
  <c r="S57"/>
  <c r="BC30" i="17"/>
  <c r="BI30"/>
  <c r="AC291" i="4"/>
  <c r="AC293"/>
  <c r="AD291"/>
  <c r="AD293"/>
  <c r="AE291"/>
  <c r="AE293"/>
  <c r="AB291"/>
  <c r="AF291"/>
  <c r="AF293"/>
  <c r="U291"/>
  <c r="U293"/>
  <c r="X291"/>
  <c r="X293"/>
  <c r="W291"/>
  <c r="W293"/>
  <c r="V291"/>
  <c r="V293"/>
  <c r="Y291"/>
  <c r="Y293"/>
  <c r="W148"/>
  <c r="W150"/>
  <c r="V148"/>
  <c r="V150"/>
  <c r="U148"/>
  <c r="Y148"/>
  <c r="Y150"/>
  <c r="X148"/>
  <c r="X150"/>
  <c r="BH45" i="17"/>
  <c r="BH60"/>
  <c r="BB45"/>
  <c r="R304" i="4"/>
  <c r="R306"/>
  <c r="N304"/>
  <c r="P304"/>
  <c r="P306"/>
  <c r="Q304"/>
  <c r="Q306"/>
  <c r="O304"/>
  <c r="O306"/>
  <c r="Q239"/>
  <c r="Q241"/>
  <c r="R239"/>
  <c r="R241"/>
  <c r="P239"/>
  <c r="Q135"/>
  <c r="Q137"/>
  <c r="P135"/>
  <c r="P137"/>
  <c r="O135"/>
  <c r="O137"/>
  <c r="R135"/>
  <c r="R137"/>
  <c r="N135"/>
  <c r="AR1263"/>
  <c r="AR1276"/>
  <c r="AR1289"/>
  <c r="AB189"/>
  <c r="AD189"/>
  <c r="AG191"/>
  <c r="AQ191"/>
  <c r="AR191"/>
  <c r="AG194"/>
  <c r="AQ194"/>
  <c r="AG192"/>
  <c r="AQ192"/>
  <c r="AR192"/>
  <c r="AG190"/>
  <c r="AQ190"/>
  <c r="AG193"/>
  <c r="AQ193"/>
  <c r="S187"/>
  <c r="H278"/>
  <c r="G278"/>
  <c r="N265"/>
  <c r="N267"/>
  <c r="O265"/>
  <c r="L229"/>
  <c r="AN229"/>
  <c r="L231"/>
  <c r="AN231"/>
  <c r="L230"/>
  <c r="AN230"/>
  <c r="L232"/>
  <c r="AN232"/>
  <c r="L233"/>
  <c r="AN233"/>
  <c r="K228"/>
  <c r="L234"/>
  <c r="AN234"/>
  <c r="J228"/>
  <c r="I228"/>
  <c r="O176"/>
  <c r="N176"/>
  <c r="S179"/>
  <c r="AO179"/>
  <c r="Q176"/>
  <c r="S180"/>
  <c r="AO180"/>
  <c r="S181"/>
  <c r="AO181"/>
  <c r="R176"/>
  <c r="P176"/>
  <c r="S177"/>
  <c r="AO177"/>
  <c r="S178"/>
  <c r="AO178"/>
  <c r="S182"/>
  <c r="AG115"/>
  <c r="AQ115"/>
  <c r="AG113"/>
  <c r="AQ113"/>
  <c r="AG116"/>
  <c r="AQ116"/>
  <c r="AD111"/>
  <c r="AG117"/>
  <c r="AQ117"/>
  <c r="AE111"/>
  <c r="O84"/>
  <c r="S83"/>
  <c r="N163"/>
  <c r="S169"/>
  <c r="Q163"/>
  <c r="O163"/>
  <c r="Z254"/>
  <c r="AP254"/>
  <c r="AO143"/>
  <c r="AP143"/>
  <c r="AO104"/>
  <c r="AP104"/>
  <c r="AR104"/>
  <c r="AP260"/>
  <c r="AO260"/>
  <c r="BE30" i="17"/>
  <c r="BF30"/>
  <c r="BK30"/>
  <c r="BL30"/>
  <c r="BK47"/>
  <c r="BE47"/>
  <c r="BJ46"/>
  <c r="BD46"/>
  <c r="BD60"/>
  <c r="AS60"/>
  <c r="BC80"/>
  <c r="BF80"/>
  <c r="BI80"/>
  <c r="BL80"/>
  <c r="D132" i="8"/>
  <c r="BD61" i="17"/>
  <c r="AS73"/>
  <c r="G143" i="8"/>
  <c r="G150"/>
  <c r="BJ61" i="17"/>
  <c r="BJ102"/>
  <c r="BD102"/>
  <c r="AS127"/>
  <c r="G145" i="8"/>
  <c r="G152"/>
  <c r="BB75" i="17"/>
  <c r="AQ101"/>
  <c r="E144" i="8"/>
  <c r="E151"/>
  <c r="BH75" i="17"/>
  <c r="BE74"/>
  <c r="AT101"/>
  <c r="H144" i="8"/>
  <c r="H151"/>
  <c r="BK74" i="17"/>
  <c r="AJ128"/>
  <c r="BC105"/>
  <c r="BI105"/>
  <c r="BI127"/>
  <c r="AR127"/>
  <c r="F145" i="8"/>
  <c r="F152"/>
  <c r="BJ81" i="17"/>
  <c r="BL81"/>
  <c r="BD81"/>
  <c r="BF81"/>
  <c r="BL62"/>
  <c r="BH73"/>
  <c r="BK75"/>
  <c r="BE75"/>
  <c r="BH106"/>
  <c r="BL106"/>
  <c r="BB106"/>
  <c r="BF106"/>
  <c r="BB84"/>
  <c r="BF84"/>
  <c r="BH84"/>
  <c r="BL84"/>
  <c r="BJ104"/>
  <c r="BL104"/>
  <c r="BD104"/>
  <c r="BF104"/>
  <c r="F132" i="8"/>
  <c r="BB82" i="17"/>
  <c r="BF82"/>
  <c r="BH82"/>
  <c r="BL82"/>
  <c r="AA60"/>
  <c r="BK102"/>
  <c r="BK127"/>
  <c r="BE102"/>
  <c r="BE127"/>
  <c r="AT127"/>
  <c r="H145" i="8"/>
  <c r="H152"/>
  <c r="BE45" i="17"/>
  <c r="BK45"/>
  <c r="AT60"/>
  <c r="H142" i="8"/>
  <c r="H149"/>
  <c r="BE19" i="17"/>
  <c r="BK19"/>
  <c r="BI47"/>
  <c r="AR60"/>
  <c r="F142" i="8"/>
  <c r="F149"/>
  <c r="BC47" i="17"/>
  <c r="AI101"/>
  <c r="AI128"/>
  <c r="AK74"/>
  <c r="W44"/>
  <c r="AQ29"/>
  <c r="AA29"/>
  <c r="AK76"/>
  <c r="AH101"/>
  <c r="G291" i="4"/>
  <c r="K291"/>
  <c r="K293"/>
  <c r="I291"/>
  <c r="I293"/>
  <c r="H291"/>
  <c r="H293"/>
  <c r="J291"/>
  <c r="J293"/>
  <c r="Q44" i="17"/>
  <c r="Q128"/>
  <c r="W127"/>
  <c r="AA102"/>
  <c r="AQ102"/>
  <c r="AR1068" i="4"/>
  <c r="D98" i="8"/>
  <c r="AC137" i="4"/>
  <c r="AG141"/>
  <c r="AQ141"/>
  <c r="AG139"/>
  <c r="AQ139"/>
  <c r="AE137"/>
  <c r="AG142"/>
  <c r="AQ142"/>
  <c r="AB137"/>
  <c r="AF137"/>
  <c r="AG138"/>
  <c r="AQ138"/>
  <c r="AD137"/>
  <c r="AG143"/>
  <c r="AQ143"/>
  <c r="AG140"/>
  <c r="AQ140"/>
  <c r="S202"/>
  <c r="AO202"/>
  <c r="S98"/>
  <c r="AO98"/>
  <c r="C157" i="13"/>
  <c r="E62" i="8"/>
  <c r="E99"/>
  <c r="E96"/>
  <c r="E77"/>
  <c r="F78"/>
  <c r="D165" i="13"/>
  <c r="S122" i="4"/>
  <c r="AD202"/>
  <c r="Z73"/>
  <c r="AP73"/>
  <c r="Z75"/>
  <c r="AP75"/>
  <c r="Z78"/>
  <c r="Z74"/>
  <c r="AP74"/>
  <c r="Z77"/>
  <c r="AP77"/>
  <c r="Z76"/>
  <c r="AP76"/>
  <c r="S293"/>
  <c r="AO293"/>
  <c r="AO288"/>
  <c r="A106"/>
  <c r="AI93"/>
  <c r="L255"/>
  <c r="AN255"/>
  <c r="L259"/>
  <c r="AN259"/>
  <c r="G254"/>
  <c r="L260"/>
  <c r="AN260"/>
  <c r="L256"/>
  <c r="AN256"/>
  <c r="H254"/>
  <c r="L258"/>
  <c r="AN258"/>
  <c r="L257"/>
  <c r="AN257"/>
  <c r="AQ98"/>
  <c r="AQ93"/>
  <c r="AG98"/>
  <c r="AR114"/>
  <c r="AR115"/>
  <c r="AR99"/>
  <c r="L98"/>
  <c r="AA74" i="17"/>
  <c r="AS74"/>
  <c r="Y101"/>
  <c r="X101"/>
  <c r="AR76"/>
  <c r="AA76"/>
  <c r="AR31"/>
  <c r="AA31"/>
  <c r="AU31"/>
  <c r="BL103"/>
  <c r="BL78"/>
  <c r="U163" i="4"/>
  <c r="Z164"/>
  <c r="AP164"/>
  <c r="Z165"/>
  <c r="AP165"/>
  <c r="Z168"/>
  <c r="AP168"/>
  <c r="W163"/>
  <c r="V163"/>
  <c r="X163"/>
  <c r="Z166"/>
  <c r="AP166"/>
  <c r="Y163"/>
  <c r="Z167"/>
  <c r="AP167"/>
  <c r="Z169"/>
  <c r="L307"/>
  <c r="AN307"/>
  <c r="L311"/>
  <c r="AN311"/>
  <c r="AR311"/>
  <c r="L310"/>
  <c r="AN310"/>
  <c r="L308"/>
  <c r="AN308"/>
  <c r="L309"/>
  <c r="AN309"/>
  <c r="L312"/>
  <c r="AN312"/>
  <c r="AP117"/>
  <c r="AP106"/>
  <c r="AO117"/>
  <c r="Z228"/>
  <c r="AP228"/>
  <c r="D157" i="13"/>
  <c r="F62" i="8"/>
  <c r="D16" i="10"/>
  <c r="F99" i="8"/>
  <c r="F96"/>
  <c r="F77"/>
  <c r="AF241" i="4"/>
  <c r="AG242"/>
  <c r="AQ242"/>
  <c r="AR242"/>
  <c r="AG244"/>
  <c r="AQ244"/>
  <c r="AR244"/>
  <c r="AE241"/>
  <c r="AG247"/>
  <c r="AQ247"/>
  <c r="AR247"/>
  <c r="AD241"/>
  <c r="AG246"/>
  <c r="AQ246"/>
  <c r="AR246"/>
  <c r="AG245"/>
  <c r="AQ245"/>
  <c r="AR245"/>
  <c r="AG243"/>
  <c r="AQ243"/>
  <c r="AR243"/>
  <c r="AQ163"/>
  <c r="AQ158"/>
  <c r="AG163"/>
  <c r="Z208"/>
  <c r="Z206"/>
  <c r="AP206"/>
  <c r="Z205"/>
  <c r="AP205"/>
  <c r="Y202"/>
  <c r="Z203"/>
  <c r="AP203"/>
  <c r="X202"/>
  <c r="Z207"/>
  <c r="AP207"/>
  <c r="Z204"/>
  <c r="AP204"/>
  <c r="W202"/>
  <c r="V202"/>
  <c r="U202"/>
  <c r="Z306"/>
  <c r="AP306"/>
  <c r="E78" i="8"/>
  <c r="C165" i="13"/>
  <c r="AP78" i="4"/>
  <c r="AO78"/>
  <c r="L150"/>
  <c r="AR100"/>
  <c r="E1372"/>
  <c r="F26"/>
  <c r="N128" i="17"/>
  <c r="AR20"/>
  <c r="AK20"/>
  <c r="AA77"/>
  <c r="AU77"/>
  <c r="AS77"/>
  <c r="Z128"/>
  <c r="AR19"/>
  <c r="AH28"/>
  <c r="AK19"/>
  <c r="X44"/>
  <c r="D169"/>
  <c r="AT44"/>
  <c r="BK31"/>
  <c r="BE31"/>
  <c r="BE44"/>
  <c r="P128"/>
  <c r="AR1224" i="4"/>
  <c r="AR1185"/>
  <c r="AR1003"/>
  <c r="AR1146"/>
  <c r="AR1016"/>
  <c r="AR1133"/>
  <c r="AP189"/>
  <c r="S124"/>
  <c r="G27" i="1"/>
  <c r="N84" i="4"/>
  <c r="S84"/>
  <c r="AU48" i="17"/>
  <c r="AU60"/>
  <c r="G99" i="8"/>
  <c r="E157" i="13"/>
  <c r="G62" i="8"/>
  <c r="E16" i="10"/>
  <c r="AG178" i="4"/>
  <c r="AQ178"/>
  <c r="AC176"/>
  <c r="AG177"/>
  <c r="AQ177"/>
  <c r="AR177"/>
  <c r="AG179"/>
  <c r="AQ179"/>
  <c r="AB176"/>
  <c r="AG180"/>
  <c r="AQ180"/>
  <c r="AE176"/>
  <c r="AG181"/>
  <c r="AQ181"/>
  <c r="AD176"/>
  <c r="AF176"/>
  <c r="AG182"/>
  <c r="AQ182"/>
  <c r="F165" i="13"/>
  <c r="H78" i="8"/>
  <c r="AG61" i="4"/>
  <c r="AQ61"/>
  <c r="AG62"/>
  <c r="AQ62"/>
  <c r="AG60"/>
  <c r="AG63"/>
  <c r="AQ63"/>
  <c r="AG64"/>
  <c r="AQ64"/>
  <c r="AG65"/>
  <c r="AQ65"/>
  <c r="AR65"/>
  <c r="AF59"/>
  <c r="AE59"/>
  <c r="AB59"/>
  <c r="AD59"/>
  <c r="AC59"/>
  <c r="AP59"/>
  <c r="Z59"/>
  <c r="S72"/>
  <c r="AO72"/>
  <c r="AO67"/>
  <c r="AP52"/>
  <c r="AO52"/>
  <c r="L111"/>
  <c r="AR116"/>
  <c r="AR142"/>
  <c r="AR103"/>
  <c r="AG72"/>
  <c r="AQ72"/>
  <c r="AQ67"/>
  <c r="AG85"/>
  <c r="F66" i="8"/>
  <c r="AZ127" i="17"/>
  <c r="AQ20"/>
  <c r="W28"/>
  <c r="AA20"/>
  <c r="AS75"/>
  <c r="AA75"/>
  <c r="AU75"/>
  <c r="AR21"/>
  <c r="AA21"/>
  <c r="AU21"/>
  <c r="X28"/>
  <c r="G304" i="4"/>
  <c r="I304"/>
  <c r="I306"/>
  <c r="K304"/>
  <c r="K306"/>
  <c r="H304"/>
  <c r="H306"/>
  <c r="J304"/>
  <c r="J306"/>
  <c r="D174" i="17"/>
  <c r="H71" i="8"/>
  <c r="D71"/>
  <c r="AT23" i="17"/>
  <c r="AE28"/>
  <c r="AE128"/>
  <c r="AF23"/>
  <c r="AR1172" i="4"/>
  <c r="AR1042"/>
  <c r="BL124" i="17"/>
  <c r="G96" i="8"/>
  <c r="G77"/>
  <c r="S219" i="4"/>
  <c r="AO219"/>
  <c r="R215"/>
  <c r="S220"/>
  <c r="AO220"/>
  <c r="P215"/>
  <c r="O215"/>
  <c r="S218"/>
  <c r="AO218"/>
  <c r="N215"/>
  <c r="Q215"/>
  <c r="S217"/>
  <c r="AO217"/>
  <c r="S216"/>
  <c r="AO216"/>
  <c r="S221"/>
  <c r="AG111"/>
  <c r="AQ111"/>
  <c r="AO111"/>
  <c r="S111"/>
  <c r="F157" i="13"/>
  <c r="H62" i="8"/>
  <c r="F16" i="10"/>
  <c r="H99" i="8"/>
  <c r="H96"/>
  <c r="H77"/>
  <c r="U85" i="4"/>
  <c r="V85"/>
  <c r="W85"/>
  <c r="Z86"/>
  <c r="AP86"/>
  <c r="Z89"/>
  <c r="AP89"/>
  <c r="Z90"/>
  <c r="AP90"/>
  <c r="Y85"/>
  <c r="Z88"/>
  <c r="AP88"/>
  <c r="X85"/>
  <c r="Z91"/>
  <c r="Z87"/>
  <c r="AP87"/>
  <c r="P150"/>
  <c r="S152"/>
  <c r="AO152"/>
  <c r="S151"/>
  <c r="AO151"/>
  <c r="Q150"/>
  <c r="N150"/>
  <c r="S153"/>
  <c r="AO153"/>
  <c r="S156"/>
  <c r="O150"/>
  <c r="S154"/>
  <c r="AO154"/>
  <c r="AR154"/>
  <c r="R150"/>
  <c r="S155"/>
  <c r="AO155"/>
  <c r="E165" i="13"/>
  <c r="G78" i="8"/>
  <c r="L78" i="4"/>
  <c r="AN78"/>
  <c r="I72"/>
  <c r="H72"/>
  <c r="L77"/>
  <c r="AN77"/>
  <c r="AR77"/>
  <c r="L76"/>
  <c r="AN76"/>
  <c r="AR76"/>
  <c r="J72"/>
  <c r="L74"/>
  <c r="AN74"/>
  <c r="L73"/>
  <c r="K72"/>
  <c r="L75"/>
  <c r="AN75"/>
  <c r="AR75"/>
  <c r="G72"/>
  <c r="AQ202"/>
  <c r="AQ197"/>
  <c r="AC215"/>
  <c r="AG220"/>
  <c r="AQ220"/>
  <c r="AG216"/>
  <c r="AQ216"/>
  <c r="AB215"/>
  <c r="AG217"/>
  <c r="AQ217"/>
  <c r="AF215"/>
  <c r="AG218"/>
  <c r="AQ218"/>
  <c r="AG221"/>
  <c r="AQ221"/>
  <c r="AD215"/>
  <c r="AG219"/>
  <c r="AQ219"/>
  <c r="AE215"/>
  <c r="AC254"/>
  <c r="AG259"/>
  <c r="AQ259"/>
  <c r="AG256"/>
  <c r="AQ256"/>
  <c r="AB254"/>
  <c r="AG260"/>
  <c r="AQ260"/>
  <c r="AG258"/>
  <c r="AQ258"/>
  <c r="AG257"/>
  <c r="AQ257"/>
  <c r="AG255"/>
  <c r="AQ255"/>
  <c r="S230"/>
  <c r="AO230"/>
  <c r="AR230"/>
  <c r="P228"/>
  <c r="S231"/>
  <c r="AO231"/>
  <c r="Q228"/>
  <c r="S232"/>
  <c r="AO232"/>
  <c r="S229"/>
  <c r="AO229"/>
  <c r="S233"/>
  <c r="AO233"/>
  <c r="AR233"/>
  <c r="S234"/>
  <c r="R228"/>
  <c r="AR268"/>
  <c r="Z52"/>
  <c r="Z47"/>
  <c r="Z50"/>
  <c r="AP50"/>
  <c r="Z51"/>
  <c r="AP51"/>
  <c r="Z49"/>
  <c r="AP49"/>
  <c r="Z48"/>
  <c r="AP48"/>
  <c r="U46"/>
  <c r="V46"/>
  <c r="S46"/>
  <c r="AO46"/>
  <c r="AP195"/>
  <c r="AO195"/>
  <c r="AO189"/>
  <c r="S189"/>
  <c r="AR151"/>
  <c r="AR102"/>
  <c r="I279"/>
  <c r="AR271"/>
  <c r="AN241"/>
  <c r="AN236"/>
  <c r="AR232"/>
  <c r="AR231"/>
  <c r="AR218"/>
  <c r="AR206"/>
  <c r="AG189"/>
  <c r="AR140"/>
  <c r="AR143"/>
  <c r="AN137"/>
  <c r="AR141"/>
  <c r="AR129"/>
  <c r="AR125"/>
  <c r="AR126"/>
  <c r="AR128"/>
  <c r="AR127"/>
  <c r="AR113"/>
  <c r="AO106"/>
  <c r="AR101"/>
  <c r="L85"/>
  <c r="AN85"/>
  <c r="AN80"/>
  <c r="Q59"/>
  <c r="AO59"/>
  <c r="AO54"/>
  <c r="S59"/>
  <c r="AR63"/>
  <c r="AR62"/>
  <c r="AR51"/>
  <c r="AR50"/>
  <c r="S278"/>
  <c r="Z278"/>
  <c r="W279"/>
  <c r="R279"/>
  <c r="S279"/>
  <c r="P280"/>
  <c r="Y279"/>
  <c r="AF279"/>
  <c r="J279"/>
  <c r="AD279"/>
  <c r="AG279"/>
  <c r="Q280"/>
  <c r="R280"/>
  <c r="X279"/>
  <c r="H1358"/>
  <c r="Z189"/>
  <c r="BK101" i="17"/>
  <c r="BJ127"/>
  <c r="AR309" i="4"/>
  <c r="AR312"/>
  <c r="AR307"/>
  <c r="AR308"/>
  <c r="AR310"/>
  <c r="AP301"/>
  <c r="D17" i="10"/>
  <c r="BC127" i="17"/>
  <c r="BF105"/>
  <c r="BD73"/>
  <c r="BF61"/>
  <c r="BF73"/>
  <c r="AO273" i="4"/>
  <c r="AP273"/>
  <c r="D1357"/>
  <c r="E46" i="8"/>
  <c r="BE101" i="17"/>
  <c r="L278" i="4"/>
  <c r="AP130"/>
  <c r="AO130"/>
  <c r="AR130"/>
  <c r="G1357"/>
  <c r="G1372"/>
  <c r="H26"/>
  <c r="F10" i="10"/>
  <c r="H46" i="8"/>
  <c r="H45"/>
  <c r="Z265" i="4"/>
  <c r="U267"/>
  <c r="S131" i="17"/>
  <c r="BB60"/>
  <c r="BF45"/>
  <c r="AG202" i="4"/>
  <c r="AQ41"/>
  <c r="AR296"/>
  <c r="AG278"/>
  <c r="L241"/>
  <c r="L215"/>
  <c r="AN215"/>
  <c r="AR205"/>
  <c r="AR207"/>
  <c r="L202"/>
  <c r="L208"/>
  <c r="AN208"/>
  <c r="AR208"/>
  <c r="AR203"/>
  <c r="AN202"/>
  <c r="AR204"/>
  <c r="AN197"/>
  <c r="AR193"/>
  <c r="AR190"/>
  <c r="AR194"/>
  <c r="AR179"/>
  <c r="L176"/>
  <c r="AR181"/>
  <c r="AR180"/>
  <c r="AN176"/>
  <c r="AN171"/>
  <c r="AR167"/>
  <c r="AR166"/>
  <c r="AR165"/>
  <c r="L163"/>
  <c r="AR168"/>
  <c r="AR164"/>
  <c r="AN163"/>
  <c r="AN158"/>
  <c r="AR153"/>
  <c r="AR155"/>
  <c r="AR152"/>
  <c r="AR139"/>
  <c r="AR138"/>
  <c r="L124"/>
  <c r="AN124"/>
  <c r="AN119"/>
  <c r="AR117"/>
  <c r="AG57"/>
  <c r="AR64"/>
  <c r="AR61"/>
  <c r="AG46"/>
  <c r="AR48"/>
  <c r="AR49"/>
  <c r="Z293"/>
  <c r="AP293"/>
  <c r="AP288"/>
  <c r="AR216"/>
  <c r="BD127" i="17"/>
  <c r="AP249" i="4"/>
  <c r="AP169"/>
  <c r="AO169"/>
  <c r="S176"/>
  <c r="AO176"/>
  <c r="L228"/>
  <c r="AN228"/>
  <c r="AN223"/>
  <c r="E70" i="8"/>
  <c r="M207" i="17"/>
  <c r="AR195" i="4"/>
  <c r="AR229"/>
  <c r="AR74"/>
  <c r="AR78"/>
  <c r="AQ106"/>
  <c r="AR217"/>
  <c r="AR220"/>
  <c r="AR219"/>
  <c r="AR178"/>
  <c r="AQ189"/>
  <c r="AQ184"/>
  <c r="AU76" i="17"/>
  <c r="AO93" i="4"/>
  <c r="G58" i="8"/>
  <c r="S163" i="4"/>
  <c r="AP182"/>
  <c r="AP171"/>
  <c r="AO182"/>
  <c r="S265"/>
  <c r="O267"/>
  <c r="S267"/>
  <c r="S135"/>
  <c r="N137"/>
  <c r="AG291"/>
  <c r="AB293"/>
  <c r="AN46"/>
  <c r="AN41"/>
  <c r="L46"/>
  <c r="Z137"/>
  <c r="AP137"/>
  <c r="AP132"/>
  <c r="AP98"/>
  <c r="AP93"/>
  <c r="Z98"/>
  <c r="AQ124"/>
  <c r="AQ119"/>
  <c r="AG124"/>
  <c r="L59"/>
  <c r="AN59"/>
  <c r="AN54"/>
  <c r="L265"/>
  <c r="H267"/>
  <c r="Z239"/>
  <c r="W241"/>
  <c r="Z122"/>
  <c r="U124"/>
  <c r="AG148"/>
  <c r="AD150"/>
  <c r="S239"/>
  <c r="P241"/>
  <c r="S304"/>
  <c r="N306"/>
  <c r="U150"/>
  <c r="Z148"/>
  <c r="Z291"/>
  <c r="AO163"/>
  <c r="AO249"/>
  <c r="AQ306"/>
  <c r="AQ301"/>
  <c r="AG306"/>
  <c r="AN189"/>
  <c r="AN184"/>
  <c r="L189"/>
  <c r="AG265"/>
  <c r="AB267"/>
  <c r="BK44" i="17"/>
  <c r="BL46"/>
  <c r="BJ60"/>
  <c r="AH128"/>
  <c r="BE60"/>
  <c r="H58" i="8"/>
  <c r="BH101" i="17"/>
  <c r="BL105"/>
  <c r="BB101"/>
  <c r="BI60"/>
  <c r="BL47"/>
  <c r="BK60"/>
  <c r="BL45"/>
  <c r="BF47"/>
  <c r="BC60"/>
  <c r="BF46"/>
  <c r="BL61"/>
  <c r="BL73"/>
  <c r="BJ73"/>
  <c r="G142" i="8"/>
  <c r="G149"/>
  <c r="G57"/>
  <c r="D96"/>
  <c r="AO41" i="4"/>
  <c r="AP47"/>
  <c r="AO228"/>
  <c r="S228"/>
  <c r="AN72"/>
  <c r="L72"/>
  <c r="AP221"/>
  <c r="AP210"/>
  <c r="AO221"/>
  <c r="AO215"/>
  <c r="S215"/>
  <c r="AF28" i="17"/>
  <c r="AF128"/>
  <c r="AU23"/>
  <c r="BC21"/>
  <c r="BF21"/>
  <c r="BI21"/>
  <c r="BL21"/>
  <c r="W128"/>
  <c r="AQ28"/>
  <c r="AN132" i="4"/>
  <c r="AP202"/>
  <c r="AP197"/>
  <c r="Z202"/>
  <c r="AQ241"/>
  <c r="AG241"/>
  <c r="AR259"/>
  <c r="H67" i="8"/>
  <c r="AA127" i="17"/>
  <c r="AU102"/>
  <c r="L291" i="4"/>
  <c r="G293"/>
  <c r="AQ44" i="17"/>
  <c r="AQ131"/>
  <c r="BH29"/>
  <c r="BB29"/>
  <c r="BF29"/>
  <c r="AO184" i="4"/>
  <c r="AP156"/>
  <c r="AO156"/>
  <c r="L304"/>
  <c r="BB20" i="17"/>
  <c r="BH20"/>
  <c r="AQ60" i="4"/>
  <c r="AK28" i="17"/>
  <c r="AU19"/>
  <c r="D78" i="8"/>
  <c r="C78"/>
  <c r="BI31" i="17"/>
  <c r="BC31"/>
  <c r="AR44"/>
  <c r="Y128"/>
  <c r="AR256" i="4"/>
  <c r="AR255"/>
  <c r="AQ137"/>
  <c r="AQ132"/>
  <c r="AG137"/>
  <c r="AO234"/>
  <c r="AP234"/>
  <c r="AP223"/>
  <c r="AQ254"/>
  <c r="AQ249"/>
  <c r="AG254"/>
  <c r="AQ215"/>
  <c r="AQ210"/>
  <c r="AG215"/>
  <c r="AP85"/>
  <c r="Z85"/>
  <c r="BK23" i="17"/>
  <c r="BE23"/>
  <c r="X128"/>
  <c r="BJ75"/>
  <c r="BL75"/>
  <c r="BD75"/>
  <c r="BF75"/>
  <c r="AN210" i="4"/>
  <c r="AR52"/>
  <c r="AP54"/>
  <c r="AG176"/>
  <c r="AQ176"/>
  <c r="AO119"/>
  <c r="H141" i="8"/>
  <c r="H148"/>
  <c r="H57"/>
  <c r="BJ77" i="17"/>
  <c r="BL77"/>
  <c r="BD77"/>
  <c r="BF77"/>
  <c r="AR28"/>
  <c r="D20" i="10"/>
  <c r="G306" i="4"/>
  <c r="Z163"/>
  <c r="AP163"/>
  <c r="AP158"/>
  <c r="BJ74" i="17"/>
  <c r="AS101"/>
  <c r="BD74"/>
  <c r="BF74"/>
  <c r="AR257" i="4"/>
  <c r="AR260"/>
  <c r="AP72"/>
  <c r="AP67"/>
  <c r="Z72"/>
  <c r="D99" i="8"/>
  <c r="AO197" i="4"/>
  <c r="AK101" i="17"/>
  <c r="AP46" i="4"/>
  <c r="Z46"/>
  <c r="AN73"/>
  <c r="AO150"/>
  <c r="S150"/>
  <c r="F20" i="10"/>
  <c r="E20"/>
  <c r="AU20" i="17"/>
  <c r="AA28"/>
  <c r="D19" i="10"/>
  <c r="G19"/>
  <c r="D66" i="8"/>
  <c r="AN106" i="4"/>
  <c r="AR106"/>
  <c r="AR111"/>
  <c r="AG59"/>
  <c r="AQ59"/>
  <c r="R85"/>
  <c r="P85"/>
  <c r="S89"/>
  <c r="AO89"/>
  <c r="AR89"/>
  <c r="Q85"/>
  <c r="S90"/>
  <c r="AO90"/>
  <c r="AR90"/>
  <c r="O85"/>
  <c r="S87"/>
  <c r="AO87"/>
  <c r="AR87"/>
  <c r="S88"/>
  <c r="AO88"/>
  <c r="AR88"/>
  <c r="N85"/>
  <c r="S86"/>
  <c r="S91"/>
  <c r="AP184"/>
  <c r="AT28" i="17"/>
  <c r="BI19"/>
  <c r="BC19"/>
  <c r="BF19"/>
  <c r="BI20"/>
  <c r="BC20"/>
  <c r="AN145" i="4"/>
  <c r="G16" i="10"/>
  <c r="BI76" i="17"/>
  <c r="BC76"/>
  <c r="AR101"/>
  <c r="AA101"/>
  <c r="AU74"/>
  <c r="AN93" i="4"/>
  <c r="AR98"/>
  <c r="AR258"/>
  <c r="L254"/>
  <c r="AN254"/>
  <c r="A119"/>
  <c r="AI106"/>
  <c r="D62" i="8"/>
  <c r="C62"/>
  <c r="BB102" i="17"/>
  <c r="BH102"/>
  <c r="AQ127"/>
  <c r="E145" i="8"/>
  <c r="E152"/>
  <c r="AU29" i="17"/>
  <c r="AA44"/>
  <c r="L279" i="4"/>
  <c r="I280"/>
  <c r="AP41"/>
  <c r="K280"/>
  <c r="L281"/>
  <c r="L283"/>
  <c r="AN283"/>
  <c r="S281"/>
  <c r="AO281"/>
  <c r="S285"/>
  <c r="AO285"/>
  <c r="O280"/>
  <c r="S284"/>
  <c r="AO284"/>
  <c r="S283"/>
  <c r="AO283"/>
  <c r="S286"/>
  <c r="AO286"/>
  <c r="S282"/>
  <c r="AO282"/>
  <c r="N280"/>
  <c r="AO280"/>
  <c r="AO275"/>
  <c r="Z279"/>
  <c r="Y280"/>
  <c r="AG281"/>
  <c r="AE280"/>
  <c r="AG285"/>
  <c r="AQ285"/>
  <c r="AG284"/>
  <c r="AQ284"/>
  <c r="AD280"/>
  <c r="AF280"/>
  <c r="AB280"/>
  <c r="AG286"/>
  <c r="AQ286"/>
  <c r="AC280"/>
  <c r="AG282"/>
  <c r="AQ282"/>
  <c r="AG283"/>
  <c r="AQ283"/>
  <c r="W280"/>
  <c r="X280"/>
  <c r="Z286"/>
  <c r="Z281"/>
  <c r="Z283"/>
  <c r="AP283"/>
  <c r="Z285"/>
  <c r="AP285"/>
  <c r="S280"/>
  <c r="H1357"/>
  <c r="BB127" i="17"/>
  <c r="BF102"/>
  <c r="BF127"/>
  <c r="BC101"/>
  <c r="BF76"/>
  <c r="BF101"/>
  <c r="AP267" i="4"/>
  <c r="AP262"/>
  <c r="Z267"/>
  <c r="E45" i="8"/>
  <c r="D45"/>
  <c r="D46"/>
  <c r="D1372" i="4"/>
  <c r="AR273"/>
  <c r="AR182"/>
  <c r="AO267"/>
  <c r="AO262"/>
  <c r="AR221"/>
  <c r="AR202"/>
  <c r="AO171"/>
  <c r="AR169"/>
  <c r="AR59"/>
  <c r="AP150"/>
  <c r="AP145"/>
  <c r="Z150"/>
  <c r="AR93"/>
  <c r="AR197"/>
  <c r="AR215"/>
  <c r="AR156"/>
  <c r="AR189"/>
  <c r="AQ267"/>
  <c r="AQ262"/>
  <c r="AG267"/>
  <c r="AO158"/>
  <c r="AR158"/>
  <c r="AO306"/>
  <c r="AO301"/>
  <c r="S306"/>
  <c r="S241"/>
  <c r="AO241"/>
  <c r="AO236"/>
  <c r="AG150"/>
  <c r="AQ150"/>
  <c r="AQ145"/>
  <c r="Z124"/>
  <c r="AP124"/>
  <c r="AP241"/>
  <c r="AP236"/>
  <c r="Z241"/>
  <c r="L267"/>
  <c r="AN267"/>
  <c r="AQ293"/>
  <c r="AQ288"/>
  <c r="AG293"/>
  <c r="AO137"/>
  <c r="AO132"/>
  <c r="AR132"/>
  <c r="S137"/>
  <c r="E67" i="8"/>
  <c r="D67"/>
  <c r="D70"/>
  <c r="BL60" i="17"/>
  <c r="BF60"/>
  <c r="BL23"/>
  <c r="BK28"/>
  <c r="BL31"/>
  <c r="BI44"/>
  <c r="AR184" i="4"/>
  <c r="AN293"/>
  <c r="L293"/>
  <c r="F17" i="10"/>
  <c r="H27" i="1"/>
  <c r="AO210" i="4"/>
  <c r="AR210"/>
  <c r="AN67"/>
  <c r="AR72"/>
  <c r="AR41"/>
  <c r="AN249"/>
  <c r="AR249"/>
  <c r="AR254"/>
  <c r="S85"/>
  <c r="AO85"/>
  <c r="AR60"/>
  <c r="BB44" i="17"/>
  <c r="E58" i="8"/>
  <c r="AO86" i="4"/>
  <c r="AU101" i="17"/>
  <c r="D144" i="8"/>
  <c r="BL76" i="17"/>
  <c r="BI101"/>
  <c r="AT128"/>
  <c r="H140" i="8"/>
  <c r="H60"/>
  <c r="F14" i="10"/>
  <c r="BD101" i="17"/>
  <c r="AK128"/>
  <c r="AQ236" i="4"/>
  <c r="AQ54"/>
  <c r="G60" i="8"/>
  <c r="G144"/>
  <c r="AS128" i="17"/>
  <c r="AN306" i="4"/>
  <c r="L306"/>
  <c r="D10" i="10"/>
  <c r="AR54" i="4"/>
  <c r="AR234"/>
  <c r="F141" i="8"/>
  <c r="F148"/>
  <c r="F57"/>
  <c r="BH28" i="17"/>
  <c r="BL20"/>
  <c r="BH44"/>
  <c r="BL29"/>
  <c r="AU127"/>
  <c r="D145" i="8"/>
  <c r="AO223" i="4"/>
  <c r="AR223"/>
  <c r="AR228"/>
  <c r="AR47"/>
  <c r="BL19" i="17"/>
  <c r="BI28"/>
  <c r="AA128"/>
  <c r="AU28"/>
  <c r="D140" i="8"/>
  <c r="AR73" i="4"/>
  <c r="E140" i="8"/>
  <c r="AQ128" i="17"/>
  <c r="E60" i="8"/>
  <c r="BL102" i="17"/>
  <c r="BL127"/>
  <c r="BH127"/>
  <c r="A132" i="4"/>
  <c r="AI119"/>
  <c r="F144" i="8"/>
  <c r="F151"/>
  <c r="BC28" i="17"/>
  <c r="AP91" i="4"/>
  <c r="AO91"/>
  <c r="AO145"/>
  <c r="BL74" i="17"/>
  <c r="BJ101"/>
  <c r="F60" i="8"/>
  <c r="AR128" i="17"/>
  <c r="F140" i="8"/>
  <c r="AQ171" i="4"/>
  <c r="AR171"/>
  <c r="AR176"/>
  <c r="BE28" i="17"/>
  <c r="BF23"/>
  <c r="BC44"/>
  <c r="F58" i="8"/>
  <c r="BF31" i="17"/>
  <c r="BF20"/>
  <c r="BF28"/>
  <c r="BB28"/>
  <c r="E57" i="8"/>
  <c r="AU44" i="17"/>
  <c r="E141" i="8"/>
  <c r="E148"/>
  <c r="AR163" i="4"/>
  <c r="AR46"/>
  <c r="D77" i="8"/>
  <c r="C20" i="10"/>
  <c r="G20"/>
  <c r="V280" i="4"/>
  <c r="Z282"/>
  <c r="AP282"/>
  <c r="Z284"/>
  <c r="AP284"/>
  <c r="U280"/>
  <c r="Z280"/>
  <c r="L285"/>
  <c r="AN285"/>
  <c r="L282"/>
  <c r="AN282"/>
  <c r="AR282"/>
  <c r="G280"/>
  <c r="L286"/>
  <c r="AN286"/>
  <c r="H280"/>
  <c r="L284"/>
  <c r="AN284"/>
  <c r="AR284"/>
  <c r="J280"/>
  <c r="AR236"/>
  <c r="AR283"/>
  <c r="AN280"/>
  <c r="AN281"/>
  <c r="AN275"/>
  <c r="AP286"/>
  <c r="L280"/>
  <c r="Q35"/>
  <c r="AR285"/>
  <c r="K35"/>
  <c r="AP280"/>
  <c r="AP281"/>
  <c r="AP275"/>
  <c r="AQ280"/>
  <c r="AG280"/>
  <c r="AQ281"/>
  <c r="AC36"/>
  <c r="AC35"/>
  <c r="W35"/>
  <c r="BL101" i="17"/>
  <c r="E26" i="4"/>
  <c r="H1372"/>
  <c r="AU128" i="17"/>
  <c r="AR145" i="4"/>
  <c r="AR137"/>
  <c r="AR91"/>
  <c r="BL44" i="17"/>
  <c r="AN262" i="4"/>
  <c r="AR262"/>
  <c r="AR267"/>
  <c r="AP119"/>
  <c r="AR119"/>
  <c r="AR124"/>
  <c r="AR150"/>
  <c r="AP128" i="17"/>
  <c r="AA130"/>
  <c r="AR241" i="4"/>
  <c r="E27" i="1"/>
  <c r="C17" i="10"/>
  <c r="G17"/>
  <c r="BL28" i="17"/>
  <c r="A145" i="4"/>
  <c r="AI132"/>
  <c r="D60" i="8"/>
  <c r="BI128" i="17"/>
  <c r="F90" i="8"/>
  <c r="D152"/>
  <c r="I152"/>
  <c r="BH128" i="17"/>
  <c r="E90" i="8"/>
  <c r="G151"/>
  <c r="G139"/>
  <c r="AR86" i="4"/>
  <c r="Q36"/>
  <c r="C14" i="10"/>
  <c r="D57" i="8"/>
  <c r="F147"/>
  <c r="F139"/>
  <c r="AR67" i="4"/>
  <c r="AR293"/>
  <c r="AN288"/>
  <c r="AR288"/>
  <c r="AP80"/>
  <c r="AP1340"/>
  <c r="G24"/>
  <c r="AR306"/>
  <c r="AN301"/>
  <c r="AR301"/>
  <c r="E14" i="10"/>
  <c r="H147" i="8"/>
  <c r="H139"/>
  <c r="D151"/>
  <c r="I151"/>
  <c r="E61"/>
  <c r="C15" i="10"/>
  <c r="E92" i="8"/>
  <c r="E139"/>
  <c r="E147"/>
  <c r="D147"/>
  <c r="I147"/>
  <c r="D139"/>
  <c r="D14" i="10"/>
  <c r="G61" i="8"/>
  <c r="E15" i="10"/>
  <c r="G92" i="8"/>
  <c r="D58"/>
  <c r="AO80" i="4"/>
  <c r="AR85"/>
  <c r="H90" i="8"/>
  <c r="BK128" i="17"/>
  <c r="H92" i="8"/>
  <c r="H61"/>
  <c r="G90"/>
  <c r="BJ128" i="17"/>
  <c r="F92" i="8"/>
  <c r="F61"/>
  <c r="D15" i="10"/>
  <c r="BF44" i="17"/>
  <c r="BF128"/>
  <c r="K36" i="4"/>
  <c r="AR286"/>
  <c r="AR281"/>
  <c r="AR280"/>
  <c r="AQ275"/>
  <c r="AQ1340"/>
  <c r="H24"/>
  <c r="H37" i="1"/>
  <c r="W36" i="4"/>
  <c r="D90" i="8"/>
  <c r="C10" i="10"/>
  <c r="I26" i="4"/>
  <c r="G10" i="10"/>
  <c r="D92" i="8"/>
  <c r="BL128" i="17"/>
  <c r="F42" i="1"/>
  <c r="F86" i="8"/>
  <c r="D21" i="10"/>
  <c r="AN1340" i="4"/>
  <c r="E24"/>
  <c r="E27"/>
  <c r="E42" i="1"/>
  <c r="F15" i="10"/>
  <c r="G15"/>
  <c r="H42" i="1"/>
  <c r="AR80" i="4"/>
  <c r="AO1340"/>
  <c r="F24"/>
  <c r="G14" i="10"/>
  <c r="E86" i="8"/>
  <c r="G35" i="1"/>
  <c r="G44" i="8"/>
  <c r="E9" i="10"/>
  <c r="G36" i="1"/>
  <c r="G27" i="4"/>
  <c r="G32" i="1"/>
  <c r="G34"/>
  <c r="G37"/>
  <c r="D61" i="8"/>
  <c r="G86"/>
  <c r="G41" i="1"/>
  <c r="G42"/>
  <c r="H86" i="8"/>
  <c r="A158" i="4"/>
  <c r="AI145"/>
  <c r="H36" i="1"/>
  <c r="F9" i="10"/>
  <c r="H32" i="1"/>
  <c r="H35"/>
  <c r="H44" i="8"/>
  <c r="H34" i="1"/>
  <c r="H27" i="4"/>
  <c r="AR275"/>
  <c r="AR1340"/>
  <c r="H85" i="8"/>
  <c r="H30" i="1"/>
  <c r="G85" i="8"/>
  <c r="G30" i="1"/>
  <c r="F41"/>
  <c r="F45"/>
  <c r="F39"/>
  <c r="F44"/>
  <c r="F40"/>
  <c r="F46"/>
  <c r="AI158" i="4"/>
  <c r="A171"/>
  <c r="H46" i="1"/>
  <c r="F21" i="10"/>
  <c r="H40" i="1"/>
  <c r="H45"/>
  <c r="H44"/>
  <c r="H39"/>
  <c r="E21" i="10"/>
  <c r="G46" i="1"/>
  <c r="G40"/>
  <c r="G44"/>
  <c r="G45"/>
  <c r="G39"/>
  <c r="H41"/>
  <c r="D86" i="8"/>
  <c r="E44" i="1"/>
  <c r="E46"/>
  <c r="C21" i="10"/>
  <c r="E39" i="1"/>
  <c r="E40"/>
  <c r="E45"/>
  <c r="F34"/>
  <c r="F35"/>
  <c r="F37"/>
  <c r="D9" i="10"/>
  <c r="F27" i="4"/>
  <c r="F32" i="1"/>
  <c r="F44" i="8"/>
  <c r="F36" i="1"/>
  <c r="E41"/>
  <c r="G28"/>
  <c r="G31"/>
  <c r="E11" i="10"/>
  <c r="H31" i="1"/>
  <c r="F11" i="10"/>
  <c r="H87" i="8"/>
  <c r="H28" i="1"/>
  <c r="G87" i="8"/>
  <c r="F85"/>
  <c r="F28" i="1"/>
  <c r="I24" i="4"/>
  <c r="G9" i="10"/>
  <c r="C9"/>
  <c r="E37" i="1"/>
  <c r="E34"/>
  <c r="E44" i="8"/>
  <c r="E85"/>
  <c r="E87"/>
  <c r="E36" i="1"/>
  <c r="E32"/>
  <c r="E35"/>
  <c r="I27" i="4"/>
  <c r="G21" i="10"/>
  <c r="A184" i="4"/>
  <c r="AI171"/>
  <c r="F30" i="1"/>
  <c r="F31"/>
  <c r="F87" i="8"/>
  <c r="D11" i="10"/>
  <c r="E30" i="1"/>
  <c r="D85" i="8"/>
  <c r="D87"/>
  <c r="D44"/>
  <c r="C11" i="10"/>
  <c r="E31" i="1"/>
  <c r="E28"/>
  <c r="A197" i="4"/>
  <c r="AI184"/>
  <c r="G11" i="10"/>
  <c r="A210" i="4"/>
  <c r="AI197"/>
  <c r="A223"/>
  <c r="AI210"/>
  <c r="A236"/>
  <c r="AI223"/>
  <c r="AI236"/>
  <c r="A249"/>
  <c r="A262"/>
  <c r="AI249"/>
  <c r="AI262"/>
  <c r="A275"/>
  <c r="A288"/>
  <c r="AI275"/>
  <c r="AI288"/>
  <c r="A301"/>
  <c r="A314"/>
  <c r="AI301"/>
  <c r="AI314"/>
  <c r="A327"/>
  <c r="A340"/>
  <c r="AI327"/>
  <c r="A353"/>
  <c r="AI340"/>
  <c r="A366"/>
  <c r="AI353"/>
  <c r="AI366"/>
  <c r="A379"/>
  <c r="A392"/>
  <c r="AI379"/>
  <c r="AI392"/>
  <c r="A405"/>
  <c r="A418"/>
  <c r="AI405"/>
  <c r="A431"/>
  <c r="AI418"/>
  <c r="AI431"/>
  <c r="A444"/>
  <c r="A457"/>
  <c r="AI444"/>
  <c r="A470"/>
  <c r="AI457"/>
  <c r="AI470"/>
  <c r="A483"/>
  <c r="A496"/>
  <c r="AI483"/>
  <c r="AI496"/>
  <c r="A509"/>
  <c r="A522"/>
  <c r="AI509"/>
  <c r="AI522"/>
  <c r="A535"/>
  <c r="A548"/>
  <c r="AI535"/>
  <c r="AI548"/>
  <c r="A561"/>
  <c r="A574"/>
  <c r="AI561"/>
  <c r="AI574"/>
  <c r="A587"/>
  <c r="A600"/>
  <c r="AI587"/>
  <c r="AI600"/>
  <c r="A613"/>
  <c r="AI613"/>
  <c r="A626"/>
  <c r="AI626"/>
  <c r="A639"/>
  <c r="A652"/>
  <c r="AI639"/>
  <c r="AI652"/>
  <c r="A665"/>
  <c r="A678"/>
  <c r="AI665"/>
  <c r="AI678"/>
  <c r="A691"/>
  <c r="A704"/>
  <c r="AI691"/>
  <c r="AI704"/>
  <c r="A717"/>
  <c r="A730"/>
  <c r="AI717"/>
  <c r="AI730"/>
  <c r="A743"/>
  <c r="A756"/>
  <c r="AI743"/>
  <c r="AI756"/>
  <c r="A769"/>
  <c r="A782"/>
  <c r="AI769"/>
  <c r="AI782"/>
  <c r="A795"/>
  <c r="A808"/>
  <c r="AI795"/>
  <c r="AI808"/>
  <c r="A821"/>
  <c r="A834"/>
  <c r="AI821"/>
  <c r="AI834"/>
  <c r="A847"/>
  <c r="A860"/>
  <c r="AI847"/>
  <c r="AI860"/>
  <c r="A873"/>
  <c r="A886"/>
  <c r="AI873"/>
  <c r="AI886"/>
  <c r="A899"/>
  <c r="AI899"/>
  <c r="A912"/>
  <c r="AI912"/>
  <c r="A925"/>
  <c r="A938"/>
  <c r="AI925"/>
  <c r="AI938"/>
  <c r="A951"/>
  <c r="A964"/>
  <c r="AI951"/>
  <c r="AI964"/>
  <c r="A977"/>
  <c r="A990"/>
  <c r="AI977"/>
  <c r="AI990"/>
  <c r="A1003"/>
  <c r="A1016"/>
  <c r="AI1003"/>
  <c r="AI1016"/>
  <c r="A1029"/>
  <c r="A1042"/>
  <c r="AI1029"/>
  <c r="AI1042"/>
  <c r="A1055"/>
  <c r="A1068"/>
  <c r="AI1055"/>
  <c r="AI1068"/>
  <c r="A1081"/>
  <c r="A1094"/>
  <c r="AI1081"/>
  <c r="AI1094"/>
  <c r="A1107"/>
  <c r="A1120"/>
  <c r="AI1107"/>
  <c r="AI1120"/>
  <c r="A1133"/>
  <c r="A1146"/>
  <c r="AI1133"/>
  <c r="AI1146"/>
  <c r="A1159"/>
  <c r="A1172"/>
  <c r="AI1159"/>
  <c r="AI1172"/>
  <c r="A1185"/>
  <c r="A1198"/>
  <c r="AI1185"/>
  <c r="AI1198"/>
  <c r="A1211"/>
  <c r="A1224"/>
  <c r="AI1211"/>
  <c r="AI1224"/>
  <c r="A1237"/>
  <c r="AI1237"/>
  <c r="A1250"/>
  <c r="AI1250"/>
  <c r="A1263"/>
  <c r="A1276"/>
  <c r="AI1263"/>
  <c r="AI1276"/>
  <c r="A1289"/>
  <c r="A1302"/>
  <c r="AI1289"/>
  <c r="AI1302"/>
  <c r="A1315"/>
  <c r="A1328"/>
  <c r="AI1328"/>
  <c r="AI1315"/>
</calcChain>
</file>

<file path=xl/comments1.xml><?xml version="1.0" encoding="utf-8"?>
<comments xmlns="http://schemas.openxmlformats.org/spreadsheetml/2006/main">
  <authors>
    <author>Автор</author>
  </authors>
  <commentList>
    <comment ref="I1358" authorId="0">
      <text>
        <r>
          <rPr>
            <b/>
            <sz val="9"/>
            <color indexed="81"/>
            <rFont val="Tahoma"/>
            <family val="2"/>
            <charset val="204"/>
          </rPr>
          <t>Автор:</t>
        </r>
        <r>
          <rPr>
            <sz val="9"/>
            <color indexed="81"/>
            <rFont val="Tahoma"/>
            <family val="2"/>
            <charset val="204"/>
          </rPr>
          <t xml:space="preserve">
лікарня</t>
        </r>
      </text>
    </comment>
  </commentList>
</comments>
</file>

<file path=xl/comments2.xml><?xml version="1.0" encoding="utf-8"?>
<comments xmlns="http://schemas.openxmlformats.org/spreadsheetml/2006/main">
  <authors>
    <author>Автор</author>
  </authors>
  <commentList>
    <comment ref="E138" authorId="0">
      <text>
        <r>
          <rPr>
            <b/>
            <sz val="9"/>
            <color indexed="81"/>
            <rFont val="Tahoma"/>
            <family val="2"/>
            <charset val="204"/>
          </rPr>
          <t>Автор:</t>
        </r>
        <r>
          <rPr>
            <sz val="9"/>
            <color indexed="81"/>
            <rFont val="Tahoma"/>
            <family val="2"/>
            <charset val="204"/>
          </rPr>
          <t xml:space="preserve">
віднято -2770,67 грн. орендарі відшкодування</t>
        </r>
      </text>
    </comment>
    <comment ref="E156" authorId="0">
      <text>
        <r>
          <rPr>
            <b/>
            <sz val="9"/>
            <color indexed="81"/>
            <rFont val="Tahoma"/>
            <family val="2"/>
            <charset val="204"/>
          </rPr>
          <t>Автор:</t>
        </r>
        <r>
          <rPr>
            <sz val="9"/>
            <color indexed="81"/>
            <rFont val="Tahoma"/>
            <family val="2"/>
            <charset val="204"/>
          </rPr>
          <t xml:space="preserve">
4238,315- відшко.мінус</t>
        </r>
      </text>
    </comment>
    <comment ref="E169" authorId="0">
      <text>
        <r>
          <rPr>
            <b/>
            <sz val="9"/>
            <color indexed="81"/>
            <rFont val="Tahoma"/>
            <family val="2"/>
            <charset val="204"/>
          </rPr>
          <t>Автор:</t>
        </r>
        <r>
          <rPr>
            <sz val="9"/>
            <color indexed="81"/>
            <rFont val="Tahoma"/>
            <family val="2"/>
            <charset val="204"/>
          </rPr>
          <t xml:space="preserve">
6766,2
 відшкодування орендарів мінус
</t>
        </r>
      </text>
    </comment>
    <comment ref="H169" authorId="0">
      <text>
        <r>
          <rPr>
            <b/>
            <sz val="9"/>
            <color indexed="81"/>
            <rFont val="Tahoma"/>
            <family val="2"/>
            <charset val="204"/>
          </rPr>
          <t>Автор:</t>
        </r>
        <r>
          <rPr>
            <sz val="9"/>
            <color indexed="81"/>
            <rFont val="Tahoma"/>
            <family val="2"/>
            <charset val="204"/>
          </rPr>
          <t xml:space="preserve">
6766,2 відшкодування
</t>
        </r>
      </text>
    </comment>
    <comment ref="E172" authorId="0">
      <text>
        <r>
          <rPr>
            <b/>
            <sz val="9"/>
            <color indexed="81"/>
            <rFont val="Tahoma"/>
            <family val="2"/>
            <charset val="204"/>
          </rPr>
          <t>Автор:</t>
        </r>
        <r>
          <rPr>
            <sz val="9"/>
            <color indexed="81"/>
            <rFont val="Tahoma"/>
            <family val="2"/>
            <charset val="204"/>
          </rPr>
          <t xml:space="preserve">
222,50 відш. 225,*4</t>
        </r>
      </text>
    </comment>
  </commentList>
</comments>
</file>

<file path=xl/sharedStrings.xml><?xml version="1.0" encoding="utf-8"?>
<sst xmlns="http://schemas.openxmlformats.org/spreadsheetml/2006/main" count="4921" uniqueCount="798">
  <si>
    <t>додана лікарня</t>
  </si>
  <si>
    <t>мінус відшк.</t>
  </si>
  <si>
    <t xml:space="preserve">«Супровід і лікування дорослих та дітей з психічними розладами на первинному рівні медичної допомоги» </t>
  </si>
  <si>
    <t>ІНТЕРНИ</t>
  </si>
  <si>
    <t>11.12.2023</t>
  </si>
  <si>
    <t>ЗЕМЛЯ</t>
  </si>
  <si>
    <t>ПОДАТОК</t>
  </si>
  <si>
    <r>
      <t xml:space="preserve">ФІНАНСОВИЙ ПЛАН ПІДПРИЄМСТВА НА  </t>
    </r>
    <r>
      <rPr>
        <b/>
        <u/>
        <sz val="16"/>
        <rFont val="Times New Roman"/>
        <family val="1"/>
        <charset val="204"/>
      </rPr>
      <t xml:space="preserve"> 2024</t>
    </r>
    <r>
      <rPr>
        <b/>
        <sz val="16"/>
        <rFont val="Times New Roman"/>
        <family val="1"/>
        <charset val="204"/>
      </rPr>
      <t xml:space="preserve">  рік</t>
    </r>
  </si>
  <si>
    <t>Басалик Леся Іванівна</t>
  </si>
  <si>
    <t>Сасавська Людмила Володимирівна</t>
  </si>
  <si>
    <t>Нікітченко Анатолій Олександрович</t>
  </si>
  <si>
    <t>Медичне обладнання (вартістю менше 20,0тс.грн.),комп'ютерне обладнання,принтери, упсимеблі,меблі медичні,текстильні вироби (жалюзі, роли), електро обладнання та інше.</t>
  </si>
  <si>
    <t>Комп'ютери, центрифуга на Рожище №1</t>
  </si>
  <si>
    <t>Екологічний збір, земля,шприци</t>
  </si>
  <si>
    <t>Оплата послуг з утилізації та знешкодження, у тому числі біовідходів, твердих побутових відходів, відходів із вмістом дорогоцінних металів або шкідливих речовин тощо, страхування транспортних засобів, страхування цивільно-правової відповідальності власників транспортних засобів, страхування водіїв відповідно до законодавства, страхування медичних працівників  та  інших  осіб  на   випадок   інфікування   вірусом імунодефіциту   людини   під   час   виконання ними професійних обов'язків, оплата послуг з поточного ремонту та технічного обслуговування транспортних засобів, обладнання, техніки, механізмів, локальної мережі, систем пожежогасіння, охоронної сигналізації, поточний ремонт будівель, приміщень тощо, оплата послуг з установки лічильників води, природного газу, теплової енергії, підключення, повірка газових котлів, повірка та ремонт медичного обладнання тощо, оплата послуг з побудови, створення і впровадження локальних мереж, систем відеоспостереження, охоронної сигналізації, систем кондиціювання, оплата послуг з технічного обслуговування обладнання та адміністрування програмного забезпечення: установлення (інсталяція) програмного забезпечення (програмних продуктів, інформаційних систем та комплексів, баз даних, web-сторінок/сайтів/порталів), подальшого користування, їх супроводження та обслуговування, продовження терміну гарантійного обслуговування обладнання; продовження терміну підтримки або післягарантійного обслуговування програмного забезпечення, оплата послуг з перезарядки вогнегасників, картриджів, тонерів, оплата послуг з надання оголошень у засобах масової інформації, оплата послуг сторонніх фахівців (юридичних осіб та суб'єктів господарювання): з аудиту, юридичних, інформаційно-обчислювальних, консультативних та консалтингових послуг, послуги з правового супроводу оприлюднення інформації згідно вимог Закону України "Про публічні закупівлі", банківських послуг, оплата участі у короткотермінових семінарах, нарадах, нарадах-навчаннях (у тому числі щодо роз'яснень нової нормативної бази, підготовки та проведення організаційних заходів тощо), оплата експлуатаційних послуг, пов'язаних з утриманням будинків і споруд та прибудинкових територій, технічне обслуговування та ремонт офісної техніки, оплата послуг фіксованого телефонного (місцевого, міжміського,) зв'язку, підключення до мережі Інтернет, придбання "скретч-карт" для поповнення абонентського рахунку; плата за послуги Інтернет-провайдерів за користування мережею Інтернет; оплата послуг цифрового та кабельного телебачення тощо, надання послуг з обробки даних, постачання, видачі та обслуговування кваліфікованих сертифікатів відкритих ключів кваліфікованого електронного підпису, доступ до е-журналів, оплата за технічну  підтримку користувачів Єдиної системи електронної охорони здоров'я. компенсація вартості експлуатаційних витрат, компенсація вартості вивезення твердих побутових відходів та рідких нечистот та інше.</t>
  </si>
  <si>
    <r>
      <t xml:space="preserve">Деталізований </t>
    </r>
    <r>
      <rPr>
        <sz val="13"/>
        <color indexed="30"/>
        <rFont val="Times New Roman"/>
        <family val="1"/>
        <charset val="204"/>
      </rPr>
      <t>обрахунок</t>
    </r>
    <r>
      <rPr>
        <sz val="13"/>
        <color indexed="8"/>
        <rFont val="Times New Roman"/>
        <family val="1"/>
        <charset val="204"/>
      </rPr>
      <t xml:space="preserve"> оплати праці у розрізі:
- одиниць персоналу;
- груп персоналу (керівники, лікарі, середній медичний персонал, молодший медичний персонал, адміністративно-управлінський персонал, допоміжний персонал);
- складових оплати праці;
- кварталів.
Деталізований квартальний </t>
    </r>
    <r>
      <rPr>
        <sz val="13"/>
        <color indexed="30"/>
        <rFont val="Times New Roman"/>
        <family val="1"/>
        <charset val="204"/>
      </rPr>
      <t>обрахунок</t>
    </r>
    <r>
      <rPr>
        <sz val="13"/>
        <color indexed="8"/>
        <rFont val="Times New Roman"/>
        <family val="1"/>
        <charset val="204"/>
      </rPr>
      <t xml:space="preserve"> комунальних витрат</t>
    </r>
    <r>
      <rPr>
        <sz val="13"/>
        <color indexed="30"/>
        <rFont val="Times New Roman"/>
        <family val="1"/>
        <charset val="204"/>
      </rPr>
      <t>:</t>
    </r>
    <r>
      <rPr>
        <sz val="13"/>
        <color indexed="8"/>
        <rFont val="Times New Roman"/>
        <family val="1"/>
        <charset val="204"/>
      </rPr>
      <t xml:space="preserve">
- теплопостачання;
- водопостачання та водовідведення;
- електроенергію;
- природний газ.
Деталізований квартальний </t>
    </r>
    <r>
      <rPr>
        <sz val="13"/>
        <color indexed="30"/>
        <rFont val="Times New Roman"/>
        <family val="1"/>
        <charset val="204"/>
      </rPr>
      <t>обрахунок</t>
    </r>
    <r>
      <rPr>
        <sz val="13"/>
        <color indexed="8"/>
        <rFont val="Times New Roman"/>
        <family val="1"/>
        <charset val="204"/>
      </rPr>
      <t xml:space="preserve"> інших видатків та показників балансу підприємства.</t>
    </r>
  </si>
  <si>
    <t>3) скоригувати суму для розподілу закупівель на 3 групи в залежності від вартості і терміну експлуатації;</t>
  </si>
  <si>
    <t>4) скоригувати відсоток для розподілу закупівель за кварталами року.</t>
  </si>
  <si>
    <t>середньозважене по п.1</t>
  </si>
  <si>
    <r>
      <t xml:space="preserve">1) обрати тип лікаря з випадаючого списку </t>
    </r>
    <r>
      <rPr>
        <i/>
        <sz val="13"/>
        <color indexed="8"/>
        <rFont val="Times New Roman"/>
        <family val="1"/>
        <charset val="204"/>
      </rPr>
      <t>(лікар-педіатр, лікар-терапевт, лікар загальної практики – сімейний лікар);</t>
    </r>
  </si>
  <si>
    <r>
      <t xml:space="preserve">Річні витрати на </t>
    </r>
    <r>
      <rPr>
        <b/>
        <u/>
        <sz val="16"/>
        <rFont val="Times New Roman"/>
        <family val="1"/>
        <charset val="204"/>
      </rPr>
      <t>канцтовари, офісне приладдя та устаткування</t>
    </r>
    <r>
      <rPr>
        <b/>
        <sz val="16"/>
        <rFont val="Times New Roman"/>
        <family val="1"/>
        <charset val="204"/>
      </rPr>
      <t xml:space="preserve"> відповідно до Табелю матеріально-технічного оснащення, </t>
    </r>
    <r>
      <rPr>
        <sz val="16"/>
        <rFont val="Times New Roman"/>
        <family val="1"/>
        <charset val="204"/>
      </rPr>
      <t xml:space="preserve">грн.
</t>
    </r>
    <r>
      <rPr>
        <i/>
        <sz val="16"/>
        <rFont val="Times New Roman"/>
        <family val="1"/>
        <charset val="204"/>
      </rPr>
      <t>(частина адміністративних витрат)</t>
    </r>
  </si>
  <si>
    <r>
      <t xml:space="preserve">Річні витрати на </t>
    </r>
    <r>
      <rPr>
        <b/>
        <u/>
        <sz val="16"/>
        <rFont val="Times New Roman"/>
        <family val="1"/>
        <charset val="204"/>
      </rPr>
      <t xml:space="preserve">капітальні інвестиції </t>
    </r>
    <r>
      <rPr>
        <b/>
        <sz val="16"/>
        <rFont val="Times New Roman"/>
        <family val="1"/>
        <charset val="204"/>
      </rPr>
      <t xml:space="preserve">відповідно до Табелю матеріально-технічного оснащення, </t>
    </r>
    <r>
      <rPr>
        <sz val="16"/>
        <rFont val="Times New Roman"/>
        <family val="1"/>
        <charset val="204"/>
      </rPr>
      <t>грн.</t>
    </r>
    <r>
      <rPr>
        <i/>
        <sz val="16"/>
        <rFont val="Times New Roman"/>
        <family val="1"/>
        <charset val="204"/>
      </rPr>
      <t xml:space="preserve">
(частина відповідних витрат)</t>
    </r>
  </si>
  <si>
    <t>Питома вага ФОП адміністративно-управлінського персоналу (з нарахуваннями) у загальних видатках надавача ПМД (%)</t>
  </si>
  <si>
    <t>Питома вага ФОП лікарів ПМД (з нарахуваннями) у загальних видатках надавача ПМД (%)</t>
  </si>
  <si>
    <t>Питома вага сумарного ФОП (з нарахуваннями) у загальних видатках надавача ПМД (%)</t>
  </si>
  <si>
    <t>Питома вага фонду преміювання у загальному ФОП (з нарахуваннями) надавача ПМД (%)</t>
  </si>
  <si>
    <r>
      <t>Розподіл закупівель на 3 групи в залежності від вартості і терміну експлуатації:</t>
    </r>
    <r>
      <rPr>
        <b/>
        <i/>
        <sz val="14"/>
        <rFont val="Times New Roman"/>
        <family val="1"/>
        <charset val="204"/>
      </rPr>
      <t xml:space="preserve">
</t>
    </r>
    <r>
      <rPr>
        <sz val="14"/>
        <rFont val="Times New Roman"/>
        <family val="1"/>
        <charset val="204"/>
      </rPr>
      <t>1 група - предмети, матеріали (до 1 року);
2 група - основні засоби (більше 1 року та більше або дорівнює сумі у комірці С103 (грн.));
3 група - малоцінні необоротні матеріальні активи (більше 1 року та манше суми у комірці С103 (грн.)).</t>
    </r>
  </si>
  <si>
    <t>Контакти розробників:</t>
  </si>
  <si>
    <t>Наталія Коваленко</t>
  </si>
  <si>
    <t>Максим Дуда</t>
  </si>
  <si>
    <t>ел.пошта</t>
  </si>
  <si>
    <t>nkovalenko@hrs.net.ua</t>
  </si>
  <si>
    <t>mduda@hrs.net.ua</t>
  </si>
  <si>
    <t>Контейнери: для інструментарію, витратних матеріалів тощо</t>
  </si>
  <si>
    <t>Швидкі тести: вагітність, тропоніни, ВІЛ, вірусні гепатити тощо</t>
  </si>
  <si>
    <t>Офісні меблі: столи для персоналу, стільці та (або) крісла для кабінетів і зал очікувань, шафи для документів і одягу, сейфи тощо</t>
  </si>
  <si>
    <t>Комп’ютерне обладнання: комп’ютер або ноутбук з операційною системою та доступом до мережі Інтернет, багатофункціональний пристрій (або принтер + сканер)</t>
  </si>
  <si>
    <t>комп’ютер або ноутбук з операційною системою</t>
  </si>
  <si>
    <t>Набір цифрових "скопічних" систем із генератором світла (дерматоскоп, офтальмоскоп, отоскоп, назо-фарингоскоп, сінускоп, кольпоскоп)</t>
  </si>
  <si>
    <t>Спірометр цифровий</t>
  </si>
  <si>
    <r>
      <rPr>
        <b/>
        <u/>
        <sz val="13"/>
        <color indexed="8"/>
        <rFont val="Times New Roman"/>
        <family val="1"/>
        <charset val="204"/>
      </rPr>
      <t>2.</t>
    </r>
    <r>
      <rPr>
        <sz val="13"/>
        <color indexed="8"/>
        <rFont val="Times New Roman"/>
        <family val="1"/>
        <charset val="204"/>
      </rPr>
      <t xml:space="preserve"> заповніть комірки з жовтою заливкою - зазначте термін експлуатації по кожній позиції Табелю матеріально-технічного оснащення (колір знімається автоматично).</t>
    </r>
  </si>
  <si>
    <t>Показник за програмою медичних гарантій / Вікові групи</t>
  </si>
  <si>
    <t>Тарифи за надання медичних послуг, пов’язаних з первинною медичною допомогою</t>
  </si>
  <si>
    <r>
      <t xml:space="preserve">Доходи у І кварталі, </t>
    </r>
    <r>
      <rPr>
        <b/>
        <i/>
        <sz val="16"/>
        <rFont val="Times New Roman"/>
        <family val="1"/>
        <charset val="204"/>
      </rPr>
      <t>грн.</t>
    </r>
  </si>
  <si>
    <r>
      <t>Доходи у ІІ кварталі,</t>
    </r>
    <r>
      <rPr>
        <b/>
        <i/>
        <sz val="16"/>
        <rFont val="Times New Roman"/>
        <family val="1"/>
        <charset val="204"/>
      </rPr>
      <t xml:space="preserve"> грн.</t>
    </r>
  </si>
  <si>
    <r>
      <t xml:space="preserve">Доходи у ІІІ кварталі, </t>
    </r>
    <r>
      <rPr>
        <b/>
        <i/>
        <sz val="16"/>
        <rFont val="Times New Roman"/>
        <family val="1"/>
        <charset val="204"/>
      </rPr>
      <t>грн.</t>
    </r>
  </si>
  <si>
    <r>
      <t xml:space="preserve">Доходи у IV кварталі, </t>
    </r>
    <r>
      <rPr>
        <b/>
        <i/>
        <sz val="16"/>
        <rFont val="Times New Roman"/>
        <family val="1"/>
        <charset val="204"/>
      </rPr>
      <t>грн.</t>
    </r>
  </si>
  <si>
    <r>
      <t xml:space="preserve">Всього річні ДОХОДИ надавача ПМД, </t>
    </r>
    <r>
      <rPr>
        <b/>
        <i/>
        <sz val="16"/>
        <rFont val="Times New Roman"/>
        <family val="1"/>
        <charset val="204"/>
      </rPr>
      <t>грн.</t>
    </r>
  </si>
  <si>
    <r>
      <t xml:space="preserve">Інші надходження/доходи надавача ПМД, </t>
    </r>
    <r>
      <rPr>
        <i/>
        <sz val="18"/>
        <rFont val="Times New Roman"/>
        <family val="1"/>
        <charset val="204"/>
      </rPr>
      <t>грн.</t>
    </r>
  </si>
  <si>
    <r>
      <t xml:space="preserve">ВСЬОГО ДОХОДІВ надавача ПМД, </t>
    </r>
    <r>
      <rPr>
        <b/>
        <i/>
        <sz val="18"/>
        <rFont val="Times New Roman"/>
        <family val="1"/>
        <charset val="204"/>
      </rPr>
      <t>грн.</t>
    </r>
  </si>
  <si>
    <t>оновлена версія</t>
  </si>
  <si>
    <r>
      <t>«ІНСАЙТ 3.0» -</t>
    </r>
    <r>
      <rPr>
        <b/>
        <sz val="18"/>
        <color indexed="8"/>
        <rFont val="Times New Roman"/>
        <family val="1"/>
        <charset val="204"/>
      </rPr>
      <t xml:space="preserve"> Електронний інструмент з фінансового планування доходів та видатків надавача первинної медичної допомоги</t>
    </r>
    <r>
      <rPr>
        <b/>
        <sz val="22"/>
        <color indexed="8"/>
        <rFont val="Times New Roman"/>
        <family val="1"/>
        <charset val="204"/>
      </rPr>
      <t xml:space="preserve">
                                                              </t>
    </r>
    <r>
      <rPr>
        <b/>
        <i/>
        <sz val="22"/>
        <color indexed="8"/>
        <rFont val="Times New Roman"/>
        <family val="1"/>
        <charset val="204"/>
      </rPr>
      <t xml:space="preserve">  --- негірський населений пункт ---</t>
    </r>
  </si>
  <si>
    <r>
      <t>«ІНСАЙТ 3.0» -</t>
    </r>
    <r>
      <rPr>
        <b/>
        <sz val="16"/>
        <color indexed="8"/>
        <rFont val="Times New Roman"/>
        <family val="1"/>
        <charset val="204"/>
      </rPr>
      <t xml:space="preserve"> Електронний інструмент з фінансового планування доходів та видатків надавача первинної медичної допомоги</t>
    </r>
  </si>
  <si>
    <r>
      <t xml:space="preserve">«ІНСАЙТ 3.0» - </t>
    </r>
    <r>
      <rPr>
        <b/>
        <sz val="16"/>
        <color indexed="8"/>
        <rFont val="Times New Roman"/>
        <family val="1"/>
        <charset val="204"/>
      </rPr>
      <t>Електронний інструмент з фінансового планування доходів та видатків надавача первинної медичної допомоги</t>
    </r>
  </si>
  <si>
    <r>
      <t>«ІНСАЙТ 3.0» -</t>
    </r>
    <r>
      <rPr>
        <b/>
        <sz val="20"/>
        <color indexed="8"/>
        <rFont val="Times New Roman"/>
        <family val="1"/>
        <charset val="204"/>
      </rPr>
      <t xml:space="preserve"> Електронний інструмент з фінансового планування доходів та видатків надавача первинної медичної допомоги</t>
    </r>
  </si>
  <si>
    <r>
      <t>«ІНСАЙТ 3.0» -</t>
    </r>
    <r>
      <rPr>
        <b/>
        <sz val="14"/>
        <color indexed="8"/>
        <rFont val="Times New Roman"/>
        <family val="1"/>
        <charset val="204"/>
      </rPr>
      <t xml:space="preserve"> Електронний інструмент з фінансового планування доходів та видатків надавача первинної медичної допомоги</t>
    </r>
  </si>
  <si>
    <r>
      <t>«ІНСАЙТ 3.0» -</t>
    </r>
    <r>
      <rPr>
        <b/>
        <sz val="18"/>
        <color indexed="8"/>
        <rFont val="Times New Roman"/>
        <family val="1"/>
        <charset val="204"/>
      </rPr>
      <t xml:space="preserve"> Електронний інструмент з фінансового планування доходів та видатків надавача первинної медичної допомоги</t>
    </r>
  </si>
  <si>
    <r>
      <t xml:space="preserve">«ІНСАЙТ 3.0» - </t>
    </r>
    <r>
      <rPr>
        <b/>
        <sz val="14"/>
        <color indexed="8"/>
        <rFont val="Times New Roman"/>
        <family val="1"/>
        <charset val="204"/>
      </rPr>
      <t>Електронний інструмент з фінансового планування доходів та видатків надавача первинної медичної допомоги</t>
    </r>
  </si>
  <si>
    <r>
      <rPr>
        <b/>
        <u/>
        <sz val="16"/>
        <color indexed="8"/>
        <rFont val="Times New Roman"/>
        <family val="1"/>
        <charset val="204"/>
      </rPr>
      <t>Увага</t>
    </r>
    <r>
      <rPr>
        <b/>
        <sz val="16"/>
        <color indexed="8"/>
        <rFont val="Times New Roman"/>
        <family val="1"/>
        <charset val="204"/>
      </rPr>
      <t xml:space="preserve">: при здійсненні фінансового планування на </t>
    </r>
    <r>
      <rPr>
        <b/>
        <u/>
        <sz val="16"/>
        <color indexed="8"/>
        <rFont val="Times New Roman"/>
        <family val="1"/>
        <charset val="204"/>
      </rPr>
      <t>плановий рік</t>
    </r>
    <r>
      <rPr>
        <b/>
        <sz val="16"/>
        <color indexed="8"/>
        <rFont val="Times New Roman"/>
        <family val="1"/>
        <charset val="204"/>
      </rPr>
      <t xml:space="preserve"> - обов'язково перевірте актуальність законодавства, що встановлює тарифи для надавачів ПМД (тарифи знаходяться на вкладці "Законод").</t>
    </r>
  </si>
  <si>
    <t>Постанова Кабінету Міністрів України  від 05.02.2020 №65 "Деякі питання реалізації програми державних гарантій медичного обслуговування населення у 2020 році"</t>
  </si>
  <si>
    <t>https://zakon.rada.gov.ua/laws/show/65-2020-%D0%BF/print</t>
  </si>
  <si>
    <t>Закон України від 06.04.2017 №2002 "Про внесення змін до деяких законодавчих актів України щодо удосконалення законодавства з питань діяльності закладів охорони здоров'я"</t>
  </si>
  <si>
    <t>https://zakon.rada.gov.ua/laws/show/2002-19/print</t>
  </si>
  <si>
    <t>Постанова Кабінету Міністрів України від 25.04.2018 №410 "Про договори про медичне обслуговування населення за програмою медичних гарантій"</t>
  </si>
  <si>
    <t>https://zakon.rada.gov.ua/laws/show/410-2018-%D0%BF/print</t>
  </si>
  <si>
    <t>Постанова Кабінету Міністрів України  від 27.11.2019 №1119 "Деякі питання реалізації державних фінансових гарантій медичного обслуговування населення за програмою медичних гарантій на 2020 рік"</t>
  </si>
  <si>
    <t>https://zakon.rada.gov.ua/laws/show/1119-2019-%D0%BF/print</t>
  </si>
  <si>
    <t>Постанова Кабінету Міністрів України  від 24.12.2019 №1086 "Про затвердження Порядку використання коштів, передбачених у державному бюджеті на реалізацію програми державних гарантій медичного обслуговування населення"</t>
  </si>
  <si>
    <t>https://zakon.rada.gov.ua/laws/show/1086-2019-%D0%BF/print</t>
  </si>
  <si>
    <r>
      <rPr>
        <b/>
        <u/>
        <sz val="18"/>
        <rFont val="Times New Roman"/>
        <family val="1"/>
        <charset val="204"/>
      </rPr>
      <t>Увага:</t>
    </r>
    <r>
      <rPr>
        <b/>
        <sz val="18"/>
        <rFont val="Times New Roman"/>
        <family val="1"/>
        <charset val="204"/>
      </rPr>
      <t xml:space="preserve"> </t>
    </r>
    <r>
      <rPr>
        <b/>
        <sz val="16"/>
        <rFont val="Times New Roman"/>
        <family val="1"/>
        <charset val="204"/>
      </rPr>
      <t xml:space="preserve">при здійсненні фінансового планування на </t>
    </r>
    <r>
      <rPr>
        <b/>
        <u/>
        <sz val="16"/>
        <rFont val="Times New Roman"/>
        <family val="1"/>
        <charset val="204"/>
      </rPr>
      <t>плановий рік</t>
    </r>
    <r>
      <rPr>
        <b/>
        <sz val="16"/>
        <rFont val="Times New Roman"/>
        <family val="1"/>
        <charset val="204"/>
      </rPr>
      <t xml:space="preserve"> - обов'язково перевірте актуальність тарифів на вкладці "Законод" (наразі тарифи наведено на 2020 рік). Якщо тарифи актуальні на дату розрахунку - змін на цій вкладці робити не потрібно.</t>
    </r>
  </si>
  <si>
    <t>від 100%+1 декларація до 110% ліміту включно</t>
  </si>
  <si>
    <t>постанова Кабінету Міністрів України від 05.02.2020 №65</t>
  </si>
  <si>
    <r>
      <rPr>
        <b/>
        <u/>
        <sz val="20"/>
        <rFont val="Times New Roman"/>
        <family val="1"/>
        <charset val="204"/>
      </rPr>
      <t>3.</t>
    </r>
    <r>
      <rPr>
        <b/>
        <sz val="20"/>
        <rFont val="Times New Roman"/>
        <family val="1"/>
        <charset val="204"/>
      </rPr>
      <t xml:space="preserve"> </t>
    </r>
    <r>
      <rPr>
        <sz val="20"/>
        <rFont val="Times New Roman"/>
        <family val="1"/>
        <charset val="204"/>
      </rPr>
      <t>Перевірте, чи  залишились комірки з жовтою заливкою (колір знімається автоматично при заповненні).</t>
    </r>
  </si>
  <si>
    <r>
      <rPr>
        <b/>
        <u/>
        <sz val="20"/>
        <rFont val="Times New Roman"/>
        <family val="1"/>
        <charset val="204"/>
      </rPr>
      <t>4.</t>
    </r>
    <r>
      <rPr>
        <sz val="20"/>
        <rFont val="Times New Roman"/>
        <family val="1"/>
        <charset val="204"/>
      </rPr>
      <t xml:space="preserve"> Перейдіть до вкладки </t>
    </r>
    <r>
      <rPr>
        <b/>
        <sz val="20"/>
        <rFont val="Times New Roman"/>
        <family val="1"/>
        <charset val="204"/>
      </rPr>
      <t>"02_Видатки"</t>
    </r>
    <r>
      <rPr>
        <sz val="20"/>
        <rFont val="Times New Roman"/>
        <family val="1"/>
        <charset val="204"/>
      </rPr>
      <t>.</t>
    </r>
  </si>
  <si>
    <r>
      <rPr>
        <b/>
        <u/>
        <sz val="20"/>
        <rFont val="Times New Roman"/>
        <family val="1"/>
        <charset val="204"/>
      </rPr>
      <t>1.</t>
    </r>
    <r>
      <rPr>
        <sz val="20"/>
        <rFont val="Times New Roman"/>
        <family val="1"/>
        <charset val="204"/>
      </rPr>
      <t xml:space="preserve"> Заповніть комірки з жовтою заливкою стосовно кількості декларацій по КОЖНОМУ лікарю з наданням ПМД.  (у разі відсутності категорій доходів - поставити "0"). Для зручності - закріпіть шапку таблиці 1, а після закінчення роботи з нею - відкріпіть.</t>
    </r>
  </si>
  <si>
    <r>
      <rPr>
        <b/>
        <u/>
        <sz val="20"/>
        <rFont val="Times New Roman"/>
        <family val="1"/>
        <charset val="204"/>
      </rPr>
      <t>2.</t>
    </r>
    <r>
      <rPr>
        <sz val="20"/>
        <rFont val="Times New Roman"/>
        <family val="1"/>
        <charset val="204"/>
      </rPr>
      <t xml:space="preserve"> Для розрахунку індикаторів фінансової стійкості - заповніть додатково комірки з зеленою заливкою стосовно кількості медичних сестер, які працюють в команді надання ПМД для КОЖНОГО лікаря.</t>
    </r>
  </si>
  <si>
    <r>
      <rPr>
        <b/>
        <u/>
        <sz val="13"/>
        <color indexed="8"/>
        <rFont val="Times New Roman"/>
        <family val="1"/>
        <charset val="204"/>
      </rPr>
      <t>1.</t>
    </r>
    <r>
      <rPr>
        <sz val="13"/>
        <color indexed="8"/>
        <rFont val="Times New Roman"/>
        <family val="1"/>
        <charset val="204"/>
      </rPr>
      <t xml:space="preserve"> заповніть комірки з жовтою заливкою (у разі відсутності категорії видатків - поставити "0"). Для зручності - закріплюйте шапки тих таблиць, з якими працюєте.</t>
    </r>
  </si>
  <si>
    <r>
      <t xml:space="preserve">Увага: </t>
    </r>
    <r>
      <rPr>
        <sz val="18"/>
        <rFont val="Times New Roman"/>
        <family val="1"/>
        <charset val="204"/>
      </rPr>
      <t>для коректного користування графічними зображеннями - відкоригуйте шкали та одиниці вимірювання (функція Формат області діаграми).</t>
    </r>
  </si>
  <si>
    <r>
      <t xml:space="preserve">Тариф на медичні послуги з надання ПМД встановлюється як базова капітаційна ставка за обслуговування одного пацієнта, що подав декларацію про вибір лікаря, який надає ПМД, </t>
    </r>
    <r>
      <rPr>
        <b/>
        <i/>
        <sz val="12"/>
        <color indexed="8"/>
        <rFont val="Times New Roman"/>
        <family val="1"/>
        <charset val="204"/>
      </rPr>
      <t>грн. на рік</t>
    </r>
  </si>
  <si>
    <t>Всього надходжень за деклараціямм, грн.</t>
  </si>
  <si>
    <t>Надходження надавача ПМД за деклараціями (НЕГІРСЬКИЙ НАСЕЛЕНИЙ ПУНКТ)</t>
  </si>
  <si>
    <r>
      <t>2. Інші надходження/доход</t>
    </r>
    <r>
      <rPr>
        <b/>
        <sz val="22"/>
        <rFont val="Times New Roman"/>
        <family val="1"/>
        <charset val="204"/>
      </rPr>
      <t>и надавача ПМД</t>
    </r>
  </si>
  <si>
    <t>Дохід за програмою медичних гарантій на одного лікаря ПМД (грн.):</t>
  </si>
  <si>
    <t>Дохід за програмою медичних гарантій на одного працівника адміністративно-управлінського та допоміжного персоналу (грн.)</t>
  </si>
  <si>
    <r>
      <t xml:space="preserve">Автоматичний </t>
    </r>
    <r>
      <rPr>
        <sz val="13"/>
        <color indexed="30"/>
        <rFont val="Times New Roman"/>
        <family val="1"/>
        <charset val="204"/>
      </rPr>
      <t>обрахунок</t>
    </r>
    <r>
      <rPr>
        <sz val="13"/>
        <color indexed="8"/>
        <rFont val="Times New Roman"/>
        <family val="1"/>
        <charset val="204"/>
      </rPr>
      <t xml:space="preserve"> доходів надавача ПМД на плановий рік за кварталами у розрізі видів доходів:
</t>
    </r>
    <r>
      <rPr>
        <i/>
        <sz val="13"/>
        <color indexed="8"/>
        <rFont val="Times New Roman"/>
        <family val="1"/>
        <charset val="204"/>
      </rPr>
      <t xml:space="preserve">- доходи за деклараціями;
- інші доходи.
</t>
    </r>
    <r>
      <rPr>
        <sz val="13"/>
        <color indexed="8"/>
        <rFont val="Times New Roman"/>
        <family val="1"/>
        <charset val="204"/>
      </rPr>
      <t xml:space="preserve">Додаткові </t>
    </r>
    <r>
      <rPr>
        <sz val="13"/>
        <color indexed="30"/>
        <rFont val="Times New Roman"/>
        <family val="1"/>
        <charset val="204"/>
      </rPr>
      <t>розрахунки</t>
    </r>
    <r>
      <rPr>
        <sz val="13"/>
        <color indexed="8"/>
        <rFont val="Times New Roman"/>
        <family val="1"/>
        <charset val="204"/>
      </rPr>
      <t xml:space="preserve">:
</t>
    </r>
    <r>
      <rPr>
        <i/>
        <sz val="13"/>
        <color indexed="8"/>
        <rFont val="Times New Roman"/>
        <family val="1"/>
        <charset val="204"/>
      </rPr>
      <t xml:space="preserve">- загальна кількість лімітних та понадлімітних декларацій;
- надходження за лімітні та понадлімітні декларації.
</t>
    </r>
    <r>
      <rPr>
        <sz val="13"/>
        <color indexed="8"/>
        <rFont val="Times New Roman"/>
        <family val="1"/>
        <charset val="204"/>
      </rPr>
      <t xml:space="preserve">Деталізований автоматичний </t>
    </r>
    <r>
      <rPr>
        <sz val="13"/>
        <color indexed="30"/>
        <rFont val="Times New Roman"/>
        <family val="1"/>
        <charset val="204"/>
      </rPr>
      <t>обрахунок</t>
    </r>
    <r>
      <rPr>
        <sz val="13"/>
        <color indexed="8"/>
        <rFont val="Times New Roman"/>
        <family val="1"/>
        <charset val="204"/>
      </rPr>
      <t xml:space="preserve"> доходів за програмою медичних гарантій у розрізі:
</t>
    </r>
    <r>
      <rPr>
        <i/>
        <sz val="13"/>
        <color indexed="8"/>
        <rFont val="Times New Roman"/>
        <family val="1"/>
        <charset val="204"/>
      </rPr>
      <t>- лікарів;
- кварталів;
- лімітних / понадлімітних декларацій.</t>
    </r>
  </si>
  <si>
    <t>1. Доходи за програмою медичних гарантій (за деклараціями)</t>
  </si>
  <si>
    <t>доходи за ПМГ</t>
  </si>
  <si>
    <t xml:space="preserve">рішення Рожищенської міської ради від </t>
  </si>
  <si>
    <t>Психолог</t>
  </si>
  <si>
    <t>Шептур Тетяна Володимирівна</t>
  </si>
  <si>
    <t>Рожищенська АЗПСМ №2</t>
  </si>
  <si>
    <t xml:space="preserve">Програма підтримки та розвитку первинної 
медичної допомоги на території Рожищенської територіальної громади  на 2023 рік
</t>
  </si>
  <si>
    <t xml:space="preserve">Програма підтримки та розвитку первинної 
медичної допомоги на території територіальної громади Доросинівської
сільської ради на 2023 рік
</t>
  </si>
  <si>
    <t xml:space="preserve">Програма підтримки та розвитку первинної 
медичної допомоги на території територіальної громади Копачівської
сільської ради на 2023 рік
</t>
  </si>
  <si>
    <t>Паливно-мастильні матеріали,миючі засоби,будівельні матеріали,господарські товари,канцтовари,офісне приладдя та устаткування,мед.інструментарій, сантехнічні товари, автошини,</t>
  </si>
  <si>
    <t>Комунальне підприємство</t>
  </si>
  <si>
    <t>Рожищенська міська територіальна громада</t>
  </si>
  <si>
    <t>.0724510100</t>
  </si>
  <si>
    <t>Міністерство охорони здоровя України</t>
  </si>
  <si>
    <t>за СКОДУ</t>
  </si>
  <si>
    <t>грн.</t>
  </si>
  <si>
    <t>Леся БАСАЛИК</t>
  </si>
  <si>
    <r>
      <t xml:space="preserve">  </t>
    </r>
    <r>
      <rPr>
        <u/>
        <sz val="14"/>
        <rFont val="Times New Roman"/>
        <family val="1"/>
        <charset val="204"/>
      </rPr>
      <t>Директор</t>
    </r>
  </si>
  <si>
    <t xml:space="preserve">   (посада)</t>
  </si>
  <si>
    <t>_________________</t>
  </si>
  <si>
    <t>М. П. (підпис) (Власне ім'я Призвіще)</t>
  </si>
  <si>
    <t xml:space="preserve">       (Власне ім'я Призвіще)</t>
  </si>
  <si>
    <t>Вячеслав ПОЛІЩУК</t>
  </si>
  <si>
    <t>Проєкт</t>
  </si>
  <si>
    <t xml:space="preserve"> Рожищенський  міський голова</t>
  </si>
  <si>
    <t>Дохід з місцевого бюджету за програмами, грн., у т.ч.:</t>
  </si>
  <si>
    <t>Питома вага доходу з місцевого бюджету за програмами у загальних доходах надавача ПМД (%)</t>
  </si>
  <si>
    <t>Дохід з місцевого бюджету за програмами, у т.ч.:</t>
  </si>
  <si>
    <r>
      <rPr>
        <b/>
        <u/>
        <sz val="13"/>
        <color indexed="8"/>
        <rFont val="Times New Roman"/>
        <family val="1"/>
        <charset val="204"/>
      </rPr>
      <t>1</t>
    </r>
    <r>
      <rPr>
        <sz val="13"/>
        <color indexed="8"/>
        <rFont val="Times New Roman"/>
        <family val="1"/>
        <charset val="204"/>
      </rPr>
      <t>. розрахунки мають базуватись на актуальній редакції Табелю матеріально-технічного оснащення закладів охорони здоров’я та фізичних осіб – підприємців, які надають первинну медичну допомогу.</t>
    </r>
  </si>
  <si>
    <t>1) розрахунки проводити відповідо до актуальної редакції Табелю матеріально-технічного оснащення закладів охорони здоров’я та фізичних осіб – підприємців, які надають первинну медичну допомогу;</t>
  </si>
  <si>
    <t>Наказ Міністерства охорони здоров’я  України від 26.01.2018  №148 (зі змінами від 08.04.2019 та від 08.05.2020) "Про затвердження Примірного табеля матеріально-технічного оснащення закладів охорони здоров’я та фізичних осіб – підприємців, які надають первинну медичну допомогу"</t>
  </si>
  <si>
    <r>
      <t xml:space="preserve">Увага: </t>
    </r>
    <r>
      <rPr>
        <sz val="18"/>
        <rFont val="Times New Roman"/>
        <family val="1"/>
        <charset val="204"/>
      </rPr>
      <t>перед початком роботи обов'язково перевірити стовпчик "найменування обладання" у відповідність до затвердженої актуальної редакції Табелю матеріально-технічного оснащення</t>
    </r>
    <r>
      <rPr>
        <b/>
        <sz val="18"/>
        <rFont val="Times New Roman"/>
        <family val="1"/>
        <charset val="204"/>
      </rPr>
      <t>.</t>
    </r>
  </si>
  <si>
    <t>https://moz.gov.ua/article/ministry-mandates/nakaz-moz-ukraini-vid-08052020--1103-pro-vnesennja-zmin-do-primirnogo-tabelja-materialno-tehnichnogo-osnaschennja-zakladiv-ohoroni-zdorov%e2%80%99ja-ta-fizichnih-osib-pidpriemciv-jaki-nadajut-pervinnu-medichnu-dopomogu</t>
  </si>
  <si>
    <t>Засоби індивідуального захисту (ізоляційний халат, одноразові рукавички, бахіли, респіратор класу захисту FFP2/ FFP3, шапочка медична, маска хірургічна (медична), захисний щиток)</t>
  </si>
  <si>
    <t>Розхідні матеріали одноразового використання: шпателі, оглядові рукавички, рушники паперові, серветки (в тому числі вологі), одноразові простирадла для кушетки, шприці, системи для вливання інфузійних розчинів одноразові, катетери, вакуумні пробірки (вакутайнери), стерильний перев’язувальний матеріал тощо</t>
  </si>
  <si>
    <t>системи для вливання інфузійних розчинів одноразові</t>
  </si>
  <si>
    <t>Мінімальний набір лікарських засобів для надання невідкладної медичної допомоги, в т.ч.:</t>
  </si>
  <si>
    <t>Одноразові інструменти для огляду [4]</t>
  </si>
  <si>
    <t>Одноразові малі хірургічні набори [4], в т.ч.:</t>
  </si>
  <si>
    <t>Адреналіну гідрохлорид (епінефрин) (ампули 0,18% - 1,0)</t>
  </si>
  <si>
    <t>Аміодарон (ампули 5 % -3,0)</t>
  </si>
  <si>
    <t>Атропіну сульфат (ампули 0,1 % - 1,0)</t>
  </si>
  <si>
    <t>Ацетилсаліцилова кислота (таблетки 0,5)</t>
  </si>
  <si>
    <t>Гепарин (флакони 5000 МО/мл- 5,0)</t>
  </si>
  <si>
    <t>Глюкоза (ампули 40 %- 20,0)</t>
  </si>
  <si>
    <t>Глюкоза (флакони 5 % - 200,0)</t>
  </si>
  <si>
    <t>Дротаверин (ампули 2 % -2,0)</t>
  </si>
  <si>
    <t>Дексаметазон (ампули 0,4 % - 1,0)</t>
  </si>
  <si>
    <t>Лідокаїн (ампули 2 % -2,0)</t>
  </si>
  <si>
    <t>Метоклопрамід (ампули 0,5 % - 2,0)</t>
  </si>
  <si>
    <t>Натрію хлорид  (флакони 0,9 % - 200,0)</t>
  </si>
  <si>
    <t>Нітрогліцерин (Таблетки сублінгвальні 0,0005)</t>
  </si>
  <si>
    <t>Парацетамол (таблетки 0,5)</t>
  </si>
  <si>
    <t>Пропроналол (анаприлін) (40 мг)</t>
  </si>
  <si>
    <t>Сальбутамол (аерозоль, 100 мкг доза, 200 доз у балоні)</t>
  </si>
  <si>
    <t>Фуросемід (ампули 1 % -2,0)</t>
  </si>
  <si>
    <t>Хлоргексидину біглюконат (флакон 0,05 % - 100,0)</t>
  </si>
  <si>
    <t>Каптоприл (таблетки 0,025)</t>
  </si>
  <si>
    <t>Атравматичні голки з шовною ниткою</t>
  </si>
  <si>
    <t>Голкотримач</t>
  </si>
  <si>
    <t>Затискач кровоспинний</t>
  </si>
  <si>
    <t>Зонд двосторонній ґудзиковий</t>
  </si>
  <si>
    <t>Корнцанг</t>
  </si>
  <si>
    <t>Ножиці хірургічні вертикально-зігнуті</t>
  </si>
  <si>
    <t>Ножиці хірургічні прямі</t>
  </si>
  <si>
    <t>Пінцет анатомічний</t>
  </si>
  <si>
    <t>Пінцет хірургічний</t>
  </si>
  <si>
    <t>Скальпелі одноразові або леза для скальпелю одноразові з відповідною ручкою</t>
  </si>
  <si>
    <t>Стерилізатор</t>
  </si>
  <si>
    <r>
      <t xml:space="preserve">«ІНСАЙТ 4.0»
Електронний інструмент з фінансового планування доходів та видатків надавача первинної медичної допомоги
</t>
    </r>
    <r>
      <rPr>
        <i/>
        <sz val="36"/>
        <color indexed="8"/>
        <rFont val="Times New Roman"/>
        <family val="1"/>
        <charset val="204"/>
      </rPr>
      <t>--- негірський населений пункт ---</t>
    </r>
  </si>
  <si>
    <r>
      <rPr>
        <b/>
        <u/>
        <sz val="13"/>
        <rFont val="Times New Roman"/>
        <family val="1"/>
        <charset val="204"/>
      </rPr>
      <t>4</t>
    </r>
    <r>
      <rPr>
        <sz val="13"/>
        <rFont val="Times New Roman"/>
        <family val="1"/>
        <charset val="204"/>
      </rPr>
      <t>. зазначте відсоток розподілу закупівель за кварталами року (комірки C151-F151 та C159-F159) (автоматично зазначено рівномірний розподіл закупівель протягом 4 кварталів - 25% на кожний квартал).</t>
    </r>
  </si>
  <si>
    <r>
      <rPr>
        <b/>
        <u/>
        <sz val="13"/>
        <rFont val="Times New Roman"/>
        <family val="1"/>
        <charset val="204"/>
      </rPr>
      <t>3.</t>
    </r>
    <r>
      <rPr>
        <b/>
        <sz val="13"/>
        <rFont val="Times New Roman"/>
        <family val="1"/>
        <charset val="204"/>
      </rPr>
      <t xml:space="preserve"> з</t>
    </r>
    <r>
      <rPr>
        <sz val="13"/>
        <rFont val="Times New Roman"/>
        <family val="1"/>
        <charset val="204"/>
      </rPr>
      <t>азначте суму для здійснення розподілу закупівель по Табелю матеріально-технічного оснащення (комірка В138) на 3 групи (автоматично зазначено 6000 грн. відповідно до норм податкового обліку).</t>
    </r>
  </si>
  <si>
    <t xml:space="preserve">План закупок Надавача ПМД відповідно до табелю матеріально-технічного оснащення </t>
  </si>
  <si>
    <t>Рожищенська АЗПСМ №1</t>
  </si>
  <si>
    <t>Білевич Любов Андріївна</t>
  </si>
  <si>
    <t>Переспівська АЗПСМ</t>
  </si>
  <si>
    <t>Дубищенська АЗПСМ</t>
  </si>
  <si>
    <t>Венедіктова Світлана Павлівна</t>
  </si>
  <si>
    <t>Глинюк Яна Ярославівна</t>
  </si>
  <si>
    <t>Гнатюк Володимир Іванович</t>
  </si>
  <si>
    <t>Гнатюк Людмила Миколаївна</t>
  </si>
  <si>
    <t>Гошко Людмила Іванівна</t>
  </si>
  <si>
    <t>Кметюк Орест Михайлович</t>
  </si>
  <si>
    <t>Доросинівська АЗПСМ</t>
  </si>
  <si>
    <t>Ласкава Валентина Федорівна</t>
  </si>
  <si>
    <t>Сокілська АЗПСМ</t>
  </si>
  <si>
    <t>Мосійчук Володимир Антонович</t>
  </si>
  <si>
    <t>Щуринська АЗПСМ</t>
  </si>
  <si>
    <t>Муц Віталій Олександрович</t>
  </si>
  <si>
    <t>Печко Надія Василівна</t>
  </si>
  <si>
    <t>Соловей Святослав Миколайович</t>
  </si>
  <si>
    <t>Шимчій Віра Михайлівна</t>
  </si>
  <si>
    <t>Волинська</t>
  </si>
  <si>
    <t>Богачук Тетяна Володимирівна</t>
  </si>
  <si>
    <t>Лікар-педіатр вищої кваліфікаційної категорії</t>
  </si>
  <si>
    <t>Провідний бухгалтер (з дипломом спеціаліста)</t>
  </si>
  <si>
    <t>Старший інспектор з кадрів</t>
  </si>
  <si>
    <t>Юрисконсульт  I категорії</t>
  </si>
  <si>
    <t>Інженер з охорони праці  II кваліфікаційної категорії</t>
  </si>
  <si>
    <t>Фахівець з питань цивільного захисту</t>
  </si>
  <si>
    <t>Секретар</t>
  </si>
  <si>
    <t>Підсобний робітник</t>
  </si>
  <si>
    <t>Водій автотранспортних засобів</t>
  </si>
  <si>
    <t>Опалювач</t>
  </si>
  <si>
    <t>Сестра медична (старша)</t>
  </si>
  <si>
    <t>а якщо поставити всіх</t>
  </si>
  <si>
    <t xml:space="preserve">Рік </t>
  </si>
  <si>
    <t xml:space="preserve">Назва підприємства  </t>
  </si>
  <si>
    <t>86.10</t>
  </si>
  <si>
    <t>Прізвище та ініціали керівника</t>
  </si>
  <si>
    <t xml:space="preserve"> Басалик Леся Іванівна</t>
  </si>
  <si>
    <t>(03368)22286</t>
  </si>
  <si>
    <t xml:space="preserve">Комунальна </t>
  </si>
  <si>
    <t>Діяльність лікарняних закладів</t>
  </si>
  <si>
    <t>Охорона здоров’я</t>
  </si>
  <si>
    <t>Х</t>
  </si>
  <si>
    <t>дохід від відшкодування енергоносіїв</t>
  </si>
  <si>
    <t>резервний фонд</t>
  </si>
  <si>
    <t>Луцький район</t>
  </si>
  <si>
    <t>Комунальне некомерційне підприємство "Рожищнський центр первинної медико-санітарної допомоги" Рожищенської міської ради</t>
  </si>
  <si>
    <t>Левківська Богданна Генадіївна</t>
  </si>
  <si>
    <t>Ткачук Наталія Василівна</t>
  </si>
  <si>
    <t>Ющук Ксенія Вікторівна</t>
  </si>
  <si>
    <t xml:space="preserve">кошти на відшкодування лікарів інтернів першого року та другого навчання року </t>
  </si>
  <si>
    <r>
      <t xml:space="preserve">Інші операційні доходи, грн. </t>
    </r>
    <r>
      <rPr>
        <b/>
        <sz val="16"/>
        <rFont val="Times New Roman"/>
        <family val="1"/>
        <charset val="204"/>
      </rPr>
      <t>(відшкодувння енергоносіїв)</t>
    </r>
  </si>
  <si>
    <r>
      <t xml:space="preserve">Інші доходи (не зазначені вище), грн. </t>
    </r>
    <r>
      <rPr>
        <b/>
        <sz val="16"/>
        <rFont val="Times New Roman"/>
        <family val="1"/>
        <charset val="204"/>
      </rPr>
      <t>(інтерни першого року та другого року навчання)</t>
    </r>
  </si>
  <si>
    <t>поставити окремо енергоносії</t>
  </si>
  <si>
    <t>додано до суми витрати невраховані лічильником</t>
  </si>
  <si>
    <t>тариф за 1 кВт (розподілу електроенергії) на початок кварталу, грн.</t>
  </si>
  <si>
    <t>тариф за 1 кВт електроенергії на початок кварталу, грн.</t>
  </si>
  <si>
    <t>очікуваний  обсяг споживання електроенергії у відповідному кварталі, кВт</t>
  </si>
  <si>
    <t>витрати на електроенергію за  тарифом, грн.</t>
  </si>
  <si>
    <t>очікуваний  обсяг розподілу електроенергії  у відповідному кварталі, кВт</t>
  </si>
  <si>
    <t>витрати на розподіл електроенергії за  тарифом, грн.</t>
  </si>
  <si>
    <t>тариф за 1 кВт реактивної електроенергії на початок кварталу, грн.</t>
  </si>
  <si>
    <t>очікуваний  обсяг реактивної електроенергії у відповідному кварталі, кВт</t>
  </si>
  <si>
    <t>витрати  за реактивної електроенергії, грн.</t>
  </si>
  <si>
    <t>Відшкодування вартості лікарських засобів для лікування окремих захворювань відповідно до постанови Кабінету Міністрів України № 1303 «Про впорядкування безоплатного пільгового відпуск лікарських засобів за рецептами лікарів у разі амбулаторного лікування окремих груп населення» по Рожищенській, Копачівській та Доросинівській ТГ</t>
  </si>
  <si>
    <t>ПДВ</t>
  </si>
  <si>
    <t>Торфобрике по Рожищенській ТГ,Доросинівській ТГ , відшкодування електроенергії за ФП (Навіз), відшкодування Рожищенській багатопрофільній лікарні.</t>
  </si>
  <si>
    <t>бензин</t>
  </si>
  <si>
    <t>Лікар ЗПСЛ</t>
  </si>
  <si>
    <t>Лікар терапевт</t>
  </si>
  <si>
    <r>
      <t>Періодична премія (для всіх вказаних штатних одиниць),</t>
    </r>
    <r>
      <rPr>
        <b/>
        <i/>
        <sz val="16"/>
        <rFont val="Times New Roman"/>
        <family val="1"/>
        <charset val="204"/>
      </rPr>
      <t xml:space="preserve"> грн.</t>
    </r>
  </si>
  <si>
    <t>Фельдшери</t>
  </si>
  <si>
    <t>45100 Волинська обл., Луцький р-н., м.Рожище, вул.Коте Шилокадзе,19</t>
  </si>
  <si>
    <r>
      <t xml:space="preserve">Надходження надавача ПМД від мобільна паліативна медична допомога дорослим та дітям, </t>
    </r>
    <r>
      <rPr>
        <i/>
        <sz val="18"/>
        <rFont val="Times New Roman"/>
        <family val="1"/>
        <charset val="204"/>
      </rPr>
      <t>грн.</t>
    </r>
  </si>
  <si>
    <t>Надходження надавача ПМД ( супровід і лікування дорослих та дітей, хворих на туберкульоз, на первинному рівні медичної допомоги), грн.</t>
  </si>
  <si>
    <t xml:space="preserve">покриття вартості комунальних послуг та енергоносіїв надавача ПМД, грн.
</t>
  </si>
  <si>
    <t xml:space="preserve">Програма підтримки та розвитку первинної 
медичної допомоги на території територіальних громад </t>
  </si>
  <si>
    <t>Медикаменти, швидкі тести, перев'язка,дезинфікуючі матеріали, лабораторні реактиви та інше.</t>
  </si>
  <si>
    <t xml:space="preserve">Витрати на канцтовари, офісне приладдя та устаткування </t>
  </si>
  <si>
    <r>
      <t xml:space="preserve">Надходження надавача ПМД від медичного обслуговування населення за програмою медичних гарантій, </t>
    </r>
    <r>
      <rPr>
        <i/>
        <sz val="18"/>
        <color indexed="40"/>
        <rFont val="Times New Roman"/>
        <family val="1"/>
        <charset val="204"/>
      </rPr>
      <t>грн. В.т.числі ПМД</t>
    </r>
  </si>
  <si>
    <t>Додаток №1</t>
  </si>
  <si>
    <r>
      <t>Надбавки (для всіх вказаних штатних одиниць),</t>
    </r>
    <r>
      <rPr>
        <b/>
        <i/>
        <sz val="16"/>
        <rFont val="Times New Roman"/>
        <family val="1"/>
        <charset val="204"/>
      </rPr>
      <t xml:space="preserve"> грн. за завідування, деззасоби</t>
    </r>
  </si>
  <si>
    <t>додається до податків</t>
  </si>
  <si>
    <t>786,65</t>
  </si>
  <si>
    <t xml:space="preserve">Нормативно-правова база </t>
  </si>
  <si>
    <t>Назва та дата</t>
  </si>
  <si>
    <t>Джерело (активне посилання)</t>
  </si>
  <si>
    <t>Закон України від 19.11.1992 №2801-XII "Основи законодавства України про охорону здоров'я"</t>
  </si>
  <si>
    <t>http://zakon2.rada.gov.ua/laws/show/2801-12/print</t>
  </si>
  <si>
    <t>Закон України від 15.02.1995 №56/95-ВР "Про статус гірських населених пунктів в Україні"</t>
  </si>
  <si>
    <t>http://zakon0.rada.gov.ua/laws/show/56/95-%D0%B2%D1%80/print</t>
  </si>
  <si>
    <t xml:space="preserve"> </t>
  </si>
  <si>
    <t>Розпорядження Кабінету Міністрів України  від 30.11.2016 №1013 "Про схвалення Концепції реформи фінансування системи охорони здоров'я"</t>
  </si>
  <si>
    <t>http://zakon3.rada.gov.ua/laws/show/1013-2016-%D1%80/print</t>
  </si>
  <si>
    <t>Закон України від 19.10.2017 №2168-VIII "Про державні фінансові гарантії медичного обслуговування населення"</t>
  </si>
  <si>
    <t>http://zakon3.rada.gov.ua/laws/show/2168-19/print</t>
  </si>
  <si>
    <t xml:space="preserve">http://zakon5.rada.gov.ua/laws/show/2206-19 </t>
  </si>
  <si>
    <t>Розпорядження Кабінету Міністрів України  від 15.11.2017 №821 "Про затвердження плану заходів з реалізації Концепції реформи фінансування системи охорони здоров’я на період до 2020 року"</t>
  </si>
  <si>
    <t>http://zakon3.rada.gov.ua/laws/show/821-2017-%D1%80/print</t>
  </si>
  <si>
    <t>Закон України від 07.12.2017 №2233-VIII "Про внесення змін до Бюджетного кодексу України"</t>
  </si>
  <si>
    <t>http://zakon3.rada.gov.ua/laws/show/2233-19/print</t>
  </si>
  <si>
    <t>Постанова Кабінету Міністрів України від 27.12.2017 №1101 "Про утворення Національної служби здоров'я України"</t>
  </si>
  <si>
    <t>http://zakon2.rada.gov.ua/laws/show/1101-2017-%D0%BF/print</t>
  </si>
  <si>
    <t>http://zakon0.rada.gov.ua/laws/show/z0347-18</t>
  </si>
  <si>
    <t xml:space="preserve">http://zakon0.rada.gov.ua/laws/show/z0348-18 </t>
  </si>
  <si>
    <t>Загальна інформація</t>
  </si>
  <si>
    <t>Інструкція для користувачів вкладки "0_Загальне":</t>
  </si>
  <si>
    <t>Офіційна повна назва надавача ПМД:</t>
  </si>
  <si>
    <t>Код ЄДРПОУ:</t>
  </si>
  <si>
    <t>Область:</t>
  </si>
  <si>
    <t>Назва територій, які обслуговує надавач ПМД (ОТГ, район, місто):</t>
  </si>
  <si>
    <t>Плановий період (рік):</t>
  </si>
  <si>
    <t>Дата проведення розрахунку (день/місяць/рік):</t>
  </si>
  <si>
    <t>ПІБ особи, яка вносила дані:</t>
  </si>
  <si>
    <t>№ з/п</t>
  </si>
  <si>
    <t>Показник</t>
  </si>
  <si>
    <t>Загальні показники</t>
  </si>
  <si>
    <t>скорочення в динаміці</t>
  </si>
  <si>
    <t>Показники щодо доходів надавача ПМД</t>
  </si>
  <si>
    <t xml:space="preserve"> 70 - 90</t>
  </si>
  <si>
    <t>Показники щодо видатків надавача ПМД</t>
  </si>
  <si>
    <t>5 – 10</t>
  </si>
  <si>
    <t>Співвідношення загальних доходів та видатків надавача ПМД (коефіцієнт)</t>
  </si>
  <si>
    <t>Питома вага доходів надавача ПМД за програмою медичних гарантій у загальних доходах надавача ПМД (%)</t>
  </si>
  <si>
    <t>Питома вага зносу основних засобів у первісній вартості основних засобів надавача ПМД (%)</t>
  </si>
  <si>
    <t>Питома вага комунальних витрат у загальних видатках надавача ПМД (%)</t>
  </si>
  <si>
    <t>Питома вага капітальних видатків у загальних видатках надавача ПМД (%)</t>
  </si>
  <si>
    <t>Питома вага резервного фонду у загальних видатках надавача ПМД (%)</t>
  </si>
  <si>
    <t>Розрахунковий показник надавача ПМД</t>
  </si>
  <si>
    <t>ФАП</t>
  </si>
  <si>
    <t>ФП</t>
  </si>
  <si>
    <t>МПТБ</t>
  </si>
  <si>
    <t>інші</t>
  </si>
  <si>
    <t>ПІБ лікаря</t>
  </si>
  <si>
    <t>Структурний підрозділ надавача ПМД</t>
  </si>
  <si>
    <t>від 150%+1 декларація і всі наступні</t>
  </si>
  <si>
    <t>Δ</t>
  </si>
  <si>
    <t>Лікарі</t>
  </si>
  <si>
    <t>понад ліміт декларацій на одного лікаря</t>
  </si>
  <si>
    <t>Лікар з надання ПМД</t>
  </si>
  <si>
    <t>понад 65 років</t>
  </si>
  <si>
    <t>Вікові коефіцієнти</t>
  </si>
  <si>
    <t>Гірський коефіцієнт</t>
  </si>
  <si>
    <t>Джерело:</t>
  </si>
  <si>
    <t>від 120%+1 декларація до 130% ліміту включно</t>
  </si>
  <si>
    <t>від 110%+1 декларація до 120% ліміту включно</t>
  </si>
  <si>
    <t>від 130%+1 декларація до 140% ліміту включно</t>
  </si>
  <si>
    <t>від 140%+1 декларація до 150% ліміту включно</t>
  </si>
  <si>
    <t>0-5 років</t>
  </si>
  <si>
    <t>6-17 років</t>
  </si>
  <si>
    <t>18-39 років</t>
  </si>
  <si>
    <t>40-64 років</t>
  </si>
  <si>
    <t>Вікова група</t>
  </si>
  <si>
    <t xml:space="preserve"> Лікар-педіатр</t>
  </si>
  <si>
    <t>Лікар загальної практики - сімейний лікар</t>
  </si>
  <si>
    <t>Лікар-терапевт</t>
  </si>
  <si>
    <t>Лікар-педіатр</t>
  </si>
  <si>
    <t>ЗАТВЕРДЖЕНО :</t>
  </si>
  <si>
    <t>(посада керівника органу управління підприємством)</t>
  </si>
  <si>
    <t>дата</t>
  </si>
  <si>
    <t>Попередній</t>
  </si>
  <si>
    <t>Уточнений</t>
  </si>
  <si>
    <t>Зміни</t>
  </si>
  <si>
    <t>зробити позначку "Х"</t>
  </si>
  <si>
    <t>Коди</t>
  </si>
  <si>
    <t xml:space="preserve">за ЄДРПОУ </t>
  </si>
  <si>
    <t xml:space="preserve">Організаційно-правова форма </t>
  </si>
  <si>
    <t>за КОПФГ</t>
  </si>
  <si>
    <t>Територія</t>
  </si>
  <si>
    <t>за КОАТУУ</t>
  </si>
  <si>
    <r>
      <t xml:space="preserve">Орган державного управління  </t>
    </r>
    <r>
      <rPr>
        <b/>
        <i/>
        <sz val="16"/>
        <rFont val="Times New Roman"/>
        <family val="1"/>
        <charset val="204"/>
      </rPr>
      <t xml:space="preserve"> </t>
    </r>
  </si>
  <si>
    <t xml:space="preserve">Галузь     </t>
  </si>
  <si>
    <t>за ЗКГНГ</t>
  </si>
  <si>
    <t xml:space="preserve">Вид економічної діяльності    </t>
  </si>
  <si>
    <t xml:space="preserve">за КВЕД  </t>
  </si>
  <si>
    <t xml:space="preserve">Одиниця виміру </t>
  </si>
  <si>
    <t>Форма власності</t>
  </si>
  <si>
    <t>Середньооблікова кількість штатних працівників</t>
  </si>
  <si>
    <t>Стандарти звітності П(с)БОУ</t>
  </si>
  <si>
    <t xml:space="preserve">Місцезнаходження  </t>
  </si>
  <si>
    <t>Стандарти звітності МСФЗ</t>
  </si>
  <si>
    <t xml:space="preserve">Телефон </t>
  </si>
  <si>
    <t>Найменування показника</t>
  </si>
  <si>
    <t xml:space="preserve">Код рядка </t>
  </si>
  <si>
    <t>Плановий рік  (усього)</t>
  </si>
  <si>
    <t xml:space="preserve">І  </t>
  </si>
  <si>
    <t xml:space="preserve">ІІ  </t>
  </si>
  <si>
    <t xml:space="preserve">ІІІ  </t>
  </si>
  <si>
    <t xml:space="preserve">ІV </t>
  </si>
  <si>
    <t xml:space="preserve">Доходи </t>
  </si>
  <si>
    <t>Дохід (виручка) від реалізації продукції (товарів, робіт, послуг)</t>
  </si>
  <si>
    <t xml:space="preserve">назва </t>
  </si>
  <si>
    <t>дохід від операційної оренди активів</t>
  </si>
  <si>
    <t>назва</t>
  </si>
  <si>
    <t>Видатки</t>
  </si>
  <si>
    <t>Заробітна плата</t>
  </si>
  <si>
    <t>Нарахування на оплату праці</t>
  </si>
  <si>
    <t>Медикаменти та перев'язувальні матеріали</t>
  </si>
  <si>
    <t>Продукти харчування</t>
  </si>
  <si>
    <t>Оплата послуг (крім комунальних)</t>
  </si>
  <si>
    <t>Видатки на відрядження</t>
  </si>
  <si>
    <t>Оплата інших енергоносіїв</t>
  </si>
  <si>
    <t>Оплата енергосервісу</t>
  </si>
  <si>
    <t>Окремі заходи по реалізації державних (регіональних) програм, не віднесені до заходів розвитку</t>
  </si>
  <si>
    <t>Соціальне забезпечення</t>
  </si>
  <si>
    <t>Інші поточні видатки</t>
  </si>
  <si>
    <t>Інші видатки, у т.ч.</t>
  </si>
  <si>
    <t>Резервний фонд</t>
  </si>
  <si>
    <t>Усього доходів</t>
  </si>
  <si>
    <t>Усього видатків</t>
  </si>
  <si>
    <t>Фінансовий результат</t>
  </si>
  <si>
    <t>IІ. Розрахунки з бюджетом</t>
  </si>
  <si>
    <t>Сплата податків та зборів до Державного бюджету України (податкові платежі)</t>
  </si>
  <si>
    <t>Сплата податків та зборів до місцевих бюджетів (податкові платежі)</t>
  </si>
  <si>
    <t>Інші податки, збори та платежі на користь держави</t>
  </si>
  <si>
    <t>Податкова заборгованість</t>
  </si>
  <si>
    <t>капітальне будівництво</t>
  </si>
  <si>
    <t>придбання (виготовлення) основних засобів</t>
  </si>
  <si>
    <t>придбання (виготовлення) інших необоротних матеріальних активів</t>
  </si>
  <si>
    <t>придбання (створення) нематеріальних активів</t>
  </si>
  <si>
    <t>модернізація, модифікація (добудова, дообладнання, реконструкція) основних засобів</t>
  </si>
  <si>
    <t>капітальний ремонт</t>
  </si>
  <si>
    <t>Доходи від фінансової діяльності за зобов’язаннями, у т. ч.:</t>
  </si>
  <si>
    <t xml:space="preserve">кредити </t>
  </si>
  <si>
    <t>позики</t>
  </si>
  <si>
    <t>депозити</t>
  </si>
  <si>
    <t xml:space="preserve">Інші надходження </t>
  </si>
  <si>
    <t>Витрати від фінансової діяльності за зобов’язаннями, у т. ч.:</t>
  </si>
  <si>
    <t>Інші витрати</t>
  </si>
  <si>
    <t>V. Коефіцієнтний аналіз</t>
  </si>
  <si>
    <t>Валова рентабельність</t>
  </si>
  <si>
    <t>Коефіцієнт відношення капітальних інвестицій до амортизації</t>
  </si>
  <si>
    <t>Коефіцієнт зносу основних засобів</t>
  </si>
  <si>
    <t>VІ. Звіт про фінансовий стан</t>
  </si>
  <si>
    <t>Усього активи</t>
  </si>
  <si>
    <t>Дебіторська заборгованість</t>
  </si>
  <si>
    <t>Кредиторська заборгованість</t>
  </si>
  <si>
    <t>VII. Дані про персонал та оплата праці</t>
  </si>
  <si>
    <t>Середня кількість працівників (штатних працівників, зовнішніх сумісників та працівників, що працюють за цивільно-правовими договорами), у т.ч.:</t>
  </si>
  <si>
    <t>Адміністративно-управлінський персонал</t>
  </si>
  <si>
    <t>Середній медичний персонал</t>
  </si>
  <si>
    <t>Молодший медичний персонал</t>
  </si>
  <si>
    <t>Фонд оплати праці, у т.ч.:</t>
  </si>
  <si>
    <t>Середньомісячні витрати на оплату праці одного працівника, у т.ч.:</t>
  </si>
  <si>
    <t>Заборгованість за заробітною платою, у т.ч.:</t>
  </si>
  <si>
    <t>Ідентифікатор лікаря</t>
  </si>
  <si>
    <t>0-5 р.</t>
  </si>
  <si>
    <t>6-17 р.</t>
  </si>
  <si>
    <t>18-39 р.</t>
  </si>
  <si>
    <t>40-64 р.</t>
  </si>
  <si>
    <t>65+р.</t>
  </si>
  <si>
    <t>І квартал</t>
  </si>
  <si>
    <t>ІІ квартал</t>
  </si>
  <si>
    <t>ІІІ квартал</t>
  </si>
  <si>
    <t>IV квартал</t>
  </si>
  <si>
    <t>рік</t>
  </si>
  <si>
    <t>кількість декларацій за І квартал</t>
  </si>
  <si>
    <t>кількість декларацій за ІІ квартал</t>
  </si>
  <si>
    <t>кількість декларацій за ІІІ квартал</t>
  </si>
  <si>
    <t>кількість декларацій за ІV квартал</t>
  </si>
  <si>
    <t>понад ліміт (991-1080)</t>
  </si>
  <si>
    <t>понад ліміт (1081-1170)</t>
  </si>
  <si>
    <t>понад ліміт (1171-1260)</t>
  </si>
  <si>
    <t>понад ліміт (1261-1350)</t>
  </si>
  <si>
    <t>понад ліміт (&gt;=1351)</t>
  </si>
  <si>
    <t>x</t>
  </si>
  <si>
    <t>Показники</t>
  </si>
  <si>
    <t>х</t>
  </si>
  <si>
    <t>структура декларацій, %</t>
  </si>
  <si>
    <t>понад ліміт (1981-2160)</t>
  </si>
  <si>
    <t>понад ліміт (2161-2340)</t>
  </si>
  <si>
    <t>понад ліміт (2341-2520)</t>
  </si>
  <si>
    <t>понад ліміт (2521-2700)</t>
  </si>
  <si>
    <t>понад ліміт (&gt;=2701)</t>
  </si>
  <si>
    <t>понад ліміт (2201-2400)</t>
  </si>
  <si>
    <t>понад ліміт (2401-2600)</t>
  </si>
  <si>
    <t>понад ліміт (2601-2800)</t>
  </si>
  <si>
    <t>понад ліміт (2801-3000)</t>
  </si>
  <si>
    <t>понад ліміт (&gt;=3001)</t>
  </si>
  <si>
    <t>ліміт декларацій на одного лікаря (Порядок надання ПМД)</t>
  </si>
  <si>
    <t>понад ліміт (901-990)</t>
  </si>
  <si>
    <t>понад ліміт (2001-2200)</t>
  </si>
  <si>
    <t>нижня межа</t>
  </si>
  <si>
    <t>верхня межа</t>
  </si>
  <si>
    <t>ліміт (до 900)</t>
  </si>
  <si>
    <t>ліміт (до 1800)</t>
  </si>
  <si>
    <t>ліміт (до 2000)</t>
  </si>
  <si>
    <t>понад ліміт (1801-1980)</t>
  </si>
  <si>
    <t>I квартал</t>
  </si>
  <si>
    <t>ІI квартал</t>
  </si>
  <si>
    <t>ІIІ квартал</t>
  </si>
  <si>
    <t>ІV квартал</t>
  </si>
  <si>
    <t>Показник / період</t>
  </si>
  <si>
    <t>надходження за лімітні декларації, грн.</t>
  </si>
  <si>
    <t>надходження за понад лімітні декларації, грн.</t>
  </si>
  <si>
    <t>Надходження від надання послуг ПМД іноземцям, грн.</t>
  </si>
  <si>
    <t>Надходження за надання послуг ПМД, що не входять до програми медичних гарантій, грн.</t>
  </si>
  <si>
    <t>Благодійна допомога, грн.</t>
  </si>
  <si>
    <t xml:space="preserve">І квартал </t>
  </si>
  <si>
    <t xml:space="preserve">ІІ квартал </t>
  </si>
  <si>
    <t xml:space="preserve">ІІІ квартал </t>
  </si>
  <si>
    <t xml:space="preserve">IV квартал </t>
  </si>
  <si>
    <t xml:space="preserve">Всього </t>
  </si>
  <si>
    <t>І КВАРТАЛ</t>
  </si>
  <si>
    <t>IІ КВАРТАЛ</t>
  </si>
  <si>
    <t>IIІ КВАРТАЛ</t>
  </si>
  <si>
    <t>IV КВАРТАЛ</t>
  </si>
  <si>
    <t>Всього інші доходи (пункт 3), грн.</t>
  </si>
  <si>
    <t>Надавач ПМД:</t>
  </si>
  <si>
    <t>Амбулаторії</t>
  </si>
  <si>
    <t>загальна чисельність персоналу (ос.)</t>
  </si>
  <si>
    <t>Фінансовий план поточного року (затверджений зі змінами)</t>
  </si>
  <si>
    <t>У тому числі за кварталами планового року</t>
  </si>
  <si>
    <t>I. Формування фінансових результатів</t>
  </si>
  <si>
    <t>Оплата комунальних послуг та енергоносіїв, у т.ч.:</t>
  </si>
  <si>
    <t>III. Інвестиційна діяльність</t>
  </si>
  <si>
    <t>Капітальні інвестиції, у т.ч.:</t>
  </si>
  <si>
    <t>IV. Фінансова діяльність</t>
  </si>
  <si>
    <t>1.1. лікар-педіатр</t>
  </si>
  <si>
    <t>1.2. лікар загальної практики - сімейний лікар</t>
  </si>
  <si>
    <t>1.3. лікар - терапевт</t>
  </si>
  <si>
    <t>Індикатори фінансової стійкості надавача ПМД</t>
  </si>
  <si>
    <t>ДОХОДИ НАДАВАЧА ПМД</t>
  </si>
  <si>
    <t>https://zakon.rada.gov.ua/laws/show/z0892-99</t>
  </si>
  <si>
    <t>Найменування обладнання</t>
  </si>
  <si>
    <t>Потреба в закупівлі, шт
Всього по всім структурним підрозділам</t>
  </si>
  <si>
    <t>Оціночна вартість за 1 штуку, грн</t>
  </si>
  <si>
    <t>Оціночна сума, грн</t>
  </si>
  <si>
    <t>І. Основний список</t>
  </si>
  <si>
    <t>Інші матеріали, не зазначені в Примірному табелі</t>
  </si>
  <si>
    <t>Кількість медичних сестер лікаря</t>
  </si>
  <si>
    <t>Показник/Період</t>
  </si>
  <si>
    <t>за рік</t>
  </si>
  <si>
    <t>ціна за 1 Гкал на початок кварталу, грн.</t>
  </si>
  <si>
    <t>очікуваний обсяг споживання теплової енергії у відповідному кварталі, Гкал</t>
  </si>
  <si>
    <t>обсяг витрат на теплопостачання, грн.</t>
  </si>
  <si>
    <t>обсяг витрат на гарячу воду, грн.</t>
  </si>
  <si>
    <t>обсяг витрат на холодну воду, грн.</t>
  </si>
  <si>
    <t>обсяг витрат на водовідведення, грн.</t>
  </si>
  <si>
    <t>загальні витрати на електроенергію, грн.</t>
  </si>
  <si>
    <t>обсяг витрат на природний газ, грн.</t>
  </si>
  <si>
    <t>Дохід за програмою медичних гарантій на одного пацієнта в розрахунку на квартал (грн.)</t>
  </si>
  <si>
    <t>покриття вартості комунальних послуг та енергоносіїв надавача ПМД, грн.</t>
  </si>
  <si>
    <t>4.1. лікар-педіатр</t>
  </si>
  <si>
    <t>4.2. лікар загальної практики - сімейний лікар</t>
  </si>
  <si>
    <t>4.3. лікар - терапевт</t>
  </si>
  <si>
    <t>Персонал / Показник</t>
  </si>
  <si>
    <t>Посада</t>
  </si>
  <si>
    <t>Група персоналу</t>
  </si>
  <si>
    <t>ВСЬОГО</t>
  </si>
  <si>
    <t>Генеральний директор (директор) / начальник (завідувач) закладу охорони здоров'я</t>
  </si>
  <si>
    <t xml:space="preserve"> Ставка ЄСВ для відповідної посади, %</t>
  </si>
  <si>
    <t>Завідувач господарства</t>
  </si>
  <si>
    <t>Головна медична сестра</t>
  </si>
  <si>
    <t>Головний бухгалтер</t>
  </si>
  <si>
    <t>Керівники</t>
  </si>
  <si>
    <t>Бухгалтер</t>
  </si>
  <si>
    <t>Економіст</t>
  </si>
  <si>
    <t>Реєстратор медичний</t>
  </si>
  <si>
    <t>Сестра медична загальної практики сімейної медицини</t>
  </si>
  <si>
    <t>Молодша медична сестра</t>
  </si>
  <si>
    <t>Лікар-статистик</t>
  </si>
  <si>
    <t>Статистик медичний</t>
  </si>
  <si>
    <t>Інженер-програміст</t>
  </si>
  <si>
    <t>Завідувач амбулаторії</t>
  </si>
  <si>
    <t>ОПЛАТА ПРАЦІ</t>
  </si>
  <si>
    <t>Витрати на теплопостачання</t>
  </si>
  <si>
    <t>Витрати на водопостачання та водовідведення</t>
  </si>
  <si>
    <t>Витрати на електроенергію</t>
  </si>
  <si>
    <t>Витрати на природний газ</t>
  </si>
  <si>
    <t>КОМУНАЛЬНІ ВИТРАТИ</t>
  </si>
  <si>
    <t>Надходження відсотків від залишків коштів на поточних та депозитних рахунках, грн.</t>
  </si>
  <si>
    <t>Надходження від реалізації оборотних і необоротних активів, грн.</t>
  </si>
  <si>
    <t>Інші доходи:</t>
  </si>
  <si>
    <t>дохід від реалізації оборотних і необоротних активів</t>
  </si>
  <si>
    <t>відсотки отримані (поточні рахунки і депозити)</t>
  </si>
  <si>
    <t>Інструкція для користувачів вкладки "01_Доходи":</t>
  </si>
  <si>
    <t>оплата праці</t>
  </si>
  <si>
    <t>комунальні витрати</t>
  </si>
  <si>
    <t>інші видатки</t>
  </si>
  <si>
    <t xml:space="preserve">Сума ПДВ до Державного бюджету України </t>
  </si>
  <si>
    <t>Сума плати за землю</t>
  </si>
  <si>
    <t>Інші видатки</t>
  </si>
  <si>
    <t>Сума плати за воду</t>
  </si>
  <si>
    <t>Транспортний податок з юридичних осіб</t>
  </si>
  <si>
    <t>Податок на нерухомість</t>
  </si>
  <si>
    <t>Капітальне будівництво</t>
  </si>
  <si>
    <t>Придбання (виготовлення) основних засобів</t>
  </si>
  <si>
    <t>Придбання (виготовлення) інших необоротних матеріальних активів</t>
  </si>
  <si>
    <t>Придбання (створення) нематеріальних активів</t>
  </si>
  <si>
    <t>Модернізація, модифікація (добудова, дообладнання, реконструкція) основних засобів</t>
  </si>
  <si>
    <t>Примітка</t>
  </si>
  <si>
    <t>вказати суму, якщо такий фонд передбачено Статутом/колективним договором</t>
  </si>
  <si>
    <t>відповідно до Закону України "Про охорону праці" (0.5% від фонду оплати праці за попередній рік)</t>
  </si>
  <si>
    <t>Вартість основних засобів</t>
  </si>
  <si>
    <t>відповідно до рахунку 13 "Знос (амортизація) необоротних активів"</t>
  </si>
  <si>
    <t>відповідно до рахунку 15 "Капітальні інвестиції"</t>
  </si>
  <si>
    <t>Витрати на охорону праці</t>
  </si>
  <si>
    <t>до 1 року</t>
  </si>
  <si>
    <t>Основні засоби</t>
  </si>
  <si>
    <t>Малоцінні необоротні матеріальні активи</t>
  </si>
  <si>
    <t>Предмети, матеріали</t>
  </si>
  <si>
    <t>більше 1 року</t>
  </si>
  <si>
    <t>IV  квартал</t>
  </si>
  <si>
    <t>Надходження від здачі приміщень/земельних ділянок та ін. в оренду, грн.</t>
  </si>
  <si>
    <t>інші доходи</t>
  </si>
  <si>
    <t>Допоміжний персонал</t>
  </si>
  <si>
    <t>1. Керівники</t>
  </si>
  <si>
    <t>2. Лікарі</t>
  </si>
  <si>
    <t>3. Середній медичний персонал</t>
  </si>
  <si>
    <t>4. Молодший медичний персонал</t>
  </si>
  <si>
    <t>5. Адміністративно-управлінський персонал</t>
  </si>
  <si>
    <t>6. Допоміжний персонал</t>
  </si>
  <si>
    <t>Інші операційні доходи, у т.ч.:</t>
  </si>
  <si>
    <t>Коефіцієнт відношення капітальних інвестицій до доходу від реалізації продукції (товарів, робіт, послуг)</t>
  </si>
  <si>
    <t>Кількість штатних одиниць, од.</t>
  </si>
  <si>
    <t>видатки на охорону праці</t>
  </si>
  <si>
    <t>ВСЬОГО ВИДАТКІВ надавача ПМД, грн.</t>
  </si>
  <si>
    <t>Видатки у І кварталі, грн.</t>
  </si>
  <si>
    <t>Видатки у ІІ кварталі, грн.</t>
  </si>
  <si>
    <t>Видатки у ІІІ кварталі, грн.</t>
  </si>
  <si>
    <t>Видатки у IV кварталі, грн.</t>
  </si>
  <si>
    <t>Всього річні ВИДАТКИ надавача ПМД, грн.</t>
  </si>
  <si>
    <t>Капітальні інвестиції, грн.</t>
  </si>
  <si>
    <t>Заробітна плата, грн.</t>
  </si>
  <si>
    <t>Нарахування на оплату праці, грн.</t>
  </si>
  <si>
    <t>Медикаменти та перев'язувальні матеріали, грн.</t>
  </si>
  <si>
    <t>Видатки на відрядження, грн.</t>
  </si>
  <si>
    <t xml:space="preserve">Необоротні активи </t>
  </si>
  <si>
    <t>Оборотні активи</t>
  </si>
  <si>
    <t>Термін експлуатації (більше або менше 1 року)</t>
  </si>
  <si>
    <t>Ваги для дітей</t>
  </si>
  <si>
    <t>Ваги для дорослих</t>
  </si>
  <si>
    <t>Ростомір</t>
  </si>
  <si>
    <t>Медична вимірювальна стрічка (рулетка)</t>
  </si>
  <si>
    <t>Стетофонендоскоп</t>
  </si>
  <si>
    <t>Термометр (для вимірювання температури тіла), в тому числі цифровий або інфрачервоний</t>
  </si>
  <si>
    <t>Тонометр з малими, середніми і великими манжетами</t>
  </si>
  <si>
    <t>Пульсоксиметр портативний</t>
  </si>
  <si>
    <t>Отоофтальмоскоп</t>
  </si>
  <si>
    <t>Медичний ліхтарик</t>
  </si>
  <si>
    <t>Електрокардіограф [2]</t>
  </si>
  <si>
    <t>Пікфлуометр [2]</t>
  </si>
  <si>
    <t>Молоточок неврологічний</t>
  </si>
  <si>
    <t>Таблиці для перевірки гостроти зору</t>
  </si>
  <si>
    <t>Апарат визначення рівня глюкози крові у комплекті (глюкометр, смужки, одноразові ланцети, одноразові рукавички) [2]</t>
  </si>
  <si>
    <t>Центрифуга [3]</t>
  </si>
  <si>
    <t>шпателі</t>
  </si>
  <si>
    <t>оглядові рукавички</t>
  </si>
  <si>
    <t>рушники паперові</t>
  </si>
  <si>
    <t>серветки (в тому числі вологі)</t>
  </si>
  <si>
    <t>одноразові простирадла для кушетки</t>
  </si>
  <si>
    <t>шприці</t>
  </si>
  <si>
    <t>катетери</t>
  </si>
  <si>
    <t>вакуумні пробірки (вакутайнери)</t>
  </si>
  <si>
    <t>стерильний перев’язувальний матеріал</t>
  </si>
  <si>
    <t>Сумка лікаря/медсестри</t>
  </si>
  <si>
    <t>Сумка-холодильник з набором акумуляторів холоду</t>
  </si>
  <si>
    <t>Холодильник для зберігання лікарських засобів</t>
  </si>
  <si>
    <t>Кушетка, в тому числі кушетка-трансформер (гінекологічне крісло)</t>
  </si>
  <si>
    <t>Шафа для зберігання лікарських засобів та медичних виробів</t>
  </si>
  <si>
    <t>Сповивальний столик (для зали очікування)</t>
  </si>
  <si>
    <t>столи для персоналу</t>
  </si>
  <si>
    <t>стільці та (або) крісла для кабінетів</t>
  </si>
  <si>
    <t>стільці та (або) крісла зал очікувань</t>
  </si>
  <si>
    <t>шафи для документів</t>
  </si>
  <si>
    <t>шафи для одягу</t>
  </si>
  <si>
    <t>сейфи</t>
  </si>
  <si>
    <t>багатофункціональний пристрій (або принтер + сканер)</t>
  </si>
  <si>
    <t>Спеціальне (прикладне) програмне забезпечення для ПМД</t>
  </si>
  <si>
    <t>Канцелярське приладдя, витратні матеріали для комп’ютерного обладнання (папір, картриджі тощо)</t>
  </si>
  <si>
    <t>Автомобіль легковий повнопривідний (підсилювач керма та гальм) або легковий (підсилювач керма та гальм) [5]</t>
  </si>
  <si>
    <t>Транспортний засіб (мотоцикл, квадроцикл, мотороллер) або велосипед [6]</t>
  </si>
  <si>
    <t>Небулайзер</t>
  </si>
  <si>
    <t>Мікроскоп</t>
  </si>
  <si>
    <t>Гематологічний аналізатор</t>
  </si>
  <si>
    <t>Біохімічний аналізатор</t>
  </si>
  <si>
    <t>Лабораторний посуд, дозатори, витратні матеріали</t>
  </si>
  <si>
    <t>Освітлювач переносний безтіньовий</t>
  </si>
  <si>
    <t>Стіл для інструментів, мобільний</t>
  </si>
  <si>
    <t>Холодильник для зберігання вакцин</t>
  </si>
  <si>
    <t>Сповивальний столик</t>
  </si>
  <si>
    <t>Ширма</t>
  </si>
  <si>
    <t>Ноші медичні</t>
  </si>
  <si>
    <t>Крісло-каталка</t>
  </si>
  <si>
    <t>Загальна оглядова цифрова камера (автофокус, цифровий зум, поляризаційний фільтр, автобаланс білого)</t>
  </si>
  <si>
    <t>Інтерактивний цифровий стетоскоп</t>
  </si>
  <si>
    <t>Монітор життєво-важливих показників із цифровим інтерфейсом (АТ, термометрія, пульсоксиметрія)</t>
  </si>
  <si>
    <t>12-канальний електрокардіограф з цифровим інтерфейсом</t>
  </si>
  <si>
    <t>ІІ. Додатковий список (застосовується за умови комплектності основного списку та відповідно до наявних потреб)</t>
  </si>
  <si>
    <t>ІІІ. Обладнання для надання медичних послуг із застосуванням телемедицини</t>
  </si>
  <si>
    <t>Кількість пацієнтів на одного лікаря ПМД (осіб):</t>
  </si>
  <si>
    <t>Кількість пацієнтів на одну медичну сестру ПМД (осіб):</t>
  </si>
  <si>
    <t>Кількість пацієнтів на одного працівника адміністративно-управлінського та допоміжного персоналу (осіб):</t>
  </si>
  <si>
    <t>2.1. у лікаря-педіатра</t>
  </si>
  <si>
    <t>2.2. у лікаря загальної практики - сімейний лікаря</t>
  </si>
  <si>
    <t>2.3. у лікаря - терапевта</t>
  </si>
  <si>
    <t>3.1. адміністративно-управлінського персоналу</t>
  </si>
  <si>
    <t>3.2. допоміжного персоналу</t>
  </si>
  <si>
    <t>більше ніж у середньому в п.1</t>
  </si>
  <si>
    <t>більше або дорівнює 1</t>
  </si>
  <si>
    <t>1-й міс.кварталу</t>
  </si>
  <si>
    <t>2-й міс.кварталу</t>
  </si>
  <si>
    <t>3-й міс.кварталу</t>
  </si>
  <si>
    <t>середня кількість декларацій в кварталі</t>
  </si>
  <si>
    <t>Кількість декларацій підписаних з лікарем у І кварталі</t>
  </si>
  <si>
    <t>Кількість декларацій підписаних з лікарем у ІІ кварталі</t>
  </si>
  <si>
    <t>Кількість декларацій підписаних з лікарем у ІІІ кварталі</t>
  </si>
  <si>
    <t xml:space="preserve">Кількість декларацій підписаних з лікарем у ІV кварталі </t>
  </si>
  <si>
    <t>швидкий доступ до розділів вкладки</t>
  </si>
  <si>
    <t>ВИДАТКИ НАДАВАЧА ПМД</t>
  </si>
  <si>
    <t>всього за 
І квартал</t>
  </si>
  <si>
    <t>всього 
за ІІ квартал</t>
  </si>
  <si>
    <t>всього
за ІII квартал</t>
  </si>
  <si>
    <t>всього
за ІV квартал</t>
  </si>
  <si>
    <t>кількість пацієнтів</t>
  </si>
  <si>
    <t>кількість лікарів</t>
  </si>
  <si>
    <t>зверніть увагу - 
показник перевищив експертну оцінку</t>
  </si>
  <si>
    <t>кількість медичних сестер</t>
  </si>
  <si>
    <t>менше 10</t>
  </si>
  <si>
    <t>не менше 125</t>
  </si>
  <si>
    <t>більше 210 000</t>
  </si>
  <si>
    <t>більше 230 000</t>
  </si>
  <si>
    <t>менше 40</t>
  </si>
  <si>
    <t>менше 30</t>
  </si>
  <si>
    <t>Капітальний ремонт</t>
  </si>
  <si>
    <t xml:space="preserve">Цей матеріал підготовлено за підтримки Агентства США з міжнародного розвитку (USAID), наданої від імені народу Сполучених Штатів Америки за підтримки Програми Уряду Великої Британії «Good Governance Fund», наданої від імені народу Великої Британії. Відповідальність за зміст цього матеріалу, який необов'язково відображає погляди USAID, Уряду Сполучених Штатів Америки, UK aid або Уряду Великої Британії, несе виключно компанія ТОВ «Делойт Консалтинг» в рамках контракту №72012118C00001. </t>
  </si>
  <si>
    <t>Капітальні інвестиції, зокрема:</t>
  </si>
  <si>
    <t>Адміністративні витрати, зокрема:</t>
  </si>
  <si>
    <t>менше 20</t>
  </si>
  <si>
    <t>Інструкція для користувачів вкладки
"02_Видатки":</t>
  </si>
  <si>
    <t>Інструкція для користувачів вкладки "03_МТО":</t>
  </si>
  <si>
    <t>Всього</t>
  </si>
  <si>
    <t xml:space="preserve">Амортизація </t>
  </si>
  <si>
    <t>Амортизація</t>
  </si>
  <si>
    <t>Оплата комунальних послуг та енергоносіїв, грн.</t>
  </si>
  <si>
    <t>Закон України від 14.11.2018 №2206-VIII "Про підвищення доступності та якості медичного обслуговування у сільській місцевості"</t>
  </si>
  <si>
    <t>https://zakon.rada.gov.ua/laws/show/391-2018-%D0%BF/print</t>
  </si>
  <si>
    <t>Постанова Кабінету Міністрів України від 28.03.2018 № 391 «Про затвердження вимог до надавача послуг з медичного обслуговування населення, з яким головними розпорядниками бюджетних коштів укладаються договори про медичне обслуговування населення».</t>
  </si>
  <si>
    <t>Наказ Міністерства фінансів України від 30.11.1999 №291 "Про затвердження Плану рахунків бухгалтерського обліку та Інструкції про його застосування"</t>
  </si>
  <si>
    <t xml:space="preserve">Наказ Міністерства охорони здоров’я  України від 19.03.2018  №504 "Про затвердження Порядку надання первинної медичної допомоги" </t>
  </si>
  <si>
    <t xml:space="preserve">Наказ Міністерства охорони здоров’я  України від 19.03.2018  №503 "Про затвердження Порядку вибору лікаря, який надає первинну медичну допомогу, та форми декларації про вибір лікаря, який надає первинну медичну допомогу" </t>
  </si>
  <si>
    <t>Індикатор</t>
  </si>
  <si>
    <r>
      <rPr>
        <b/>
        <u/>
        <sz val="13"/>
        <color indexed="8"/>
        <rFont val="Times New Roman"/>
        <family val="1"/>
        <charset val="204"/>
      </rPr>
      <t>5</t>
    </r>
    <r>
      <rPr>
        <b/>
        <sz val="13"/>
        <color indexed="8"/>
        <rFont val="Times New Roman"/>
        <family val="1"/>
        <charset val="204"/>
      </rPr>
      <t xml:space="preserve">. </t>
    </r>
    <r>
      <rPr>
        <sz val="13"/>
        <color indexed="8"/>
        <rFont val="Times New Roman"/>
        <family val="1"/>
        <charset val="204"/>
      </rPr>
      <t>перевірте, чи  залишились комірки з жовтою заливкою (колір знімається автоматично при заповненні).</t>
    </r>
  </si>
  <si>
    <r>
      <rPr>
        <b/>
        <u/>
        <sz val="13"/>
        <color indexed="8"/>
        <rFont val="Times New Roman"/>
        <family val="1"/>
        <charset val="204"/>
      </rPr>
      <t>6.</t>
    </r>
    <r>
      <rPr>
        <sz val="13"/>
        <color indexed="8"/>
        <rFont val="Times New Roman"/>
        <family val="1"/>
        <charset val="204"/>
      </rPr>
      <t xml:space="preserve"> перейдіть до вкладки </t>
    </r>
    <r>
      <rPr>
        <b/>
        <sz val="13"/>
        <color indexed="8"/>
        <rFont val="Times New Roman"/>
        <family val="1"/>
        <charset val="204"/>
      </rPr>
      <t>"04_Фін_стійкість"</t>
    </r>
    <r>
      <rPr>
        <sz val="13"/>
        <color indexed="8"/>
        <rFont val="Times New Roman"/>
        <family val="1"/>
        <charset val="204"/>
      </rPr>
      <t>.</t>
    </r>
  </si>
  <si>
    <t>Розрахунки</t>
  </si>
  <si>
    <t>0_Загальне</t>
  </si>
  <si>
    <t>Загальна інформація щодо надавача ПМД.</t>
  </si>
  <si>
    <t>Законод</t>
  </si>
  <si>
    <t>Законодавчо встановлені параметри оплати за програмою медичних гарантій у 2019 році.</t>
  </si>
  <si>
    <t>01_Доходи</t>
  </si>
  <si>
    <t>Дії:</t>
  </si>
  <si>
    <t>2) заповнити комірки;</t>
  </si>
  <si>
    <t>3) заповнити додаткові дані щодо кількості медичних сестер у команді ПМД.</t>
  </si>
  <si>
    <t>02_Видатки</t>
  </si>
  <si>
    <t>03_МТО</t>
  </si>
  <si>
    <t>Видатки на закупівлі відповідно до потреби Табеля матеріально-технічного оснащення закладів охорони здоров’я та фізичних осіб – підприємців, які надають первинну медичну допомогу.</t>
  </si>
  <si>
    <t>04_Фін_стійкість</t>
  </si>
  <si>
    <t>Індикатори фінансової стійкості надавача ПМД.</t>
  </si>
  <si>
    <r>
      <t xml:space="preserve">Автоматичний </t>
    </r>
    <r>
      <rPr>
        <sz val="13"/>
        <color indexed="30"/>
        <rFont val="Times New Roman"/>
        <family val="1"/>
        <charset val="204"/>
      </rPr>
      <t xml:space="preserve">обрахунок </t>
    </r>
    <r>
      <rPr>
        <sz val="13"/>
        <color indexed="8"/>
        <rFont val="Times New Roman"/>
        <family val="1"/>
        <charset val="204"/>
      </rPr>
      <t>індикаторів фінансової стійкості на базі заповнених вхідних даних та порівняння отриманих результатів з експертною оцінкою.</t>
    </r>
  </si>
  <si>
    <t>Перевищення індикатора порівняно з його експертною оцінкою автоматично відображається на вкладці.</t>
  </si>
  <si>
    <t>ДРУК</t>
  </si>
  <si>
    <t>Квартальні доходи і видатки надавача ПМД на плановий період.</t>
  </si>
  <si>
    <t>05_Фін_план</t>
  </si>
  <si>
    <t>Проект фінансового плану надавача ПМД на плановий рік за запропонованою формою.</t>
  </si>
  <si>
    <r>
      <t>Дії: заповнити комірки з даними минулих періодів</t>
    </r>
    <r>
      <rPr>
        <sz val="13"/>
        <color indexed="8"/>
        <rFont val="Times New Roman"/>
        <family val="1"/>
        <charset val="204"/>
      </rPr>
      <t>.</t>
    </r>
  </si>
  <si>
    <r>
      <t xml:space="preserve">Автоматичний </t>
    </r>
    <r>
      <rPr>
        <sz val="13"/>
        <color indexed="30"/>
        <rFont val="Times New Roman"/>
        <family val="1"/>
        <charset val="204"/>
      </rPr>
      <t xml:space="preserve">обрахунок </t>
    </r>
    <r>
      <rPr>
        <sz val="13"/>
        <color indexed="8"/>
        <rFont val="Times New Roman"/>
        <family val="1"/>
        <charset val="204"/>
      </rPr>
      <t>агрегованих показників.</t>
    </r>
  </si>
  <si>
    <r>
      <t xml:space="preserve">Перенесення </t>
    </r>
    <r>
      <rPr>
        <sz val="13"/>
        <color indexed="8"/>
        <rFont val="Times New Roman"/>
        <family val="1"/>
        <charset val="204"/>
      </rPr>
      <t>розрахованих на інших вкладках даних.</t>
    </r>
  </si>
  <si>
    <t>Графіки</t>
  </si>
  <si>
    <t>Графічні зображення отриманих розрахункових даних.</t>
  </si>
  <si>
    <r>
      <t xml:space="preserve">Автоматичний </t>
    </r>
    <r>
      <rPr>
        <sz val="13"/>
        <color indexed="30"/>
        <rFont val="Times New Roman"/>
        <family val="1"/>
        <charset val="204"/>
      </rPr>
      <t>обрахунок</t>
    </r>
    <r>
      <rPr>
        <sz val="13"/>
        <color indexed="8"/>
        <rFont val="Times New Roman"/>
        <family val="1"/>
        <charset val="204"/>
      </rPr>
      <t xml:space="preserve"> закупівель у розрізі:
</t>
    </r>
    <r>
      <rPr>
        <i/>
        <sz val="13"/>
        <color indexed="8"/>
        <rFont val="Times New Roman"/>
        <family val="1"/>
        <charset val="204"/>
      </rPr>
      <t>- витрат на канцтовари, офісне приладдя та устаткування відповідно до Табелю;
- витрат на капітальні інвестиції відповідно до Табелю;
- 3 груп закупівель: предмети, матеріали; основні засоби; малоцінні необоротні матеріальні активи.</t>
    </r>
  </si>
  <si>
    <r>
      <t xml:space="preserve">2) обрати Термін експлуатації для кожної позиції Табелю </t>
    </r>
    <r>
      <rPr>
        <i/>
        <sz val="13"/>
        <color indexed="8"/>
        <rFont val="Times New Roman"/>
        <family val="1"/>
        <charset val="204"/>
      </rPr>
      <t>(більше або менше 1 року);</t>
    </r>
  </si>
  <si>
    <t xml:space="preserve">Дії: </t>
  </si>
  <si>
    <t>Дії: заповнити комірки.</t>
  </si>
  <si>
    <t>Посилання на вкладку</t>
  </si>
  <si>
    <t>* Увага, на кожній вкладці окремо наведена покрокова інструкція для користувачів.</t>
  </si>
  <si>
    <r>
      <rPr>
        <b/>
        <u/>
        <sz val="20"/>
        <rFont val="Times New Roman"/>
        <family val="1"/>
        <charset val="204"/>
      </rPr>
      <t>Загальна</t>
    </r>
    <r>
      <rPr>
        <b/>
        <sz val="20"/>
        <rFont val="Times New Roman"/>
        <family val="1"/>
        <charset val="204"/>
      </rPr>
      <t xml:space="preserve"> </t>
    </r>
    <r>
      <rPr>
        <b/>
        <u/>
        <sz val="20"/>
        <rFont val="Times New Roman"/>
        <family val="1"/>
        <charset val="204"/>
      </rPr>
      <t>середня кількість декларацій</t>
    </r>
    <r>
      <rPr>
        <b/>
        <sz val="20"/>
        <rFont val="Times New Roman"/>
        <family val="1"/>
        <charset val="204"/>
      </rPr>
      <t xml:space="preserve"> надавача ПМД, од.</t>
    </r>
  </si>
  <si>
    <r>
      <t xml:space="preserve">Загальна </t>
    </r>
    <r>
      <rPr>
        <b/>
        <u/>
        <sz val="18"/>
        <rFont val="Times New Roman"/>
        <family val="1"/>
        <charset val="204"/>
      </rPr>
      <t>кількість декларацій</t>
    </r>
    <r>
      <rPr>
        <b/>
        <sz val="18"/>
        <rFont val="Times New Roman"/>
        <family val="1"/>
        <charset val="204"/>
      </rPr>
      <t xml:space="preserve"> надавача ПМД </t>
    </r>
    <r>
      <rPr>
        <b/>
        <u/>
        <sz val="18"/>
        <rFont val="Times New Roman"/>
        <family val="1"/>
        <charset val="204"/>
      </rPr>
      <t>у межах ліміту декларацій</t>
    </r>
    <r>
      <rPr>
        <b/>
        <sz val="18"/>
        <rFont val="Times New Roman"/>
        <family val="1"/>
        <charset val="204"/>
      </rPr>
      <t>, од.</t>
    </r>
  </si>
  <si>
    <r>
      <rPr>
        <b/>
        <u/>
        <sz val="18"/>
        <rFont val="Times New Roman"/>
        <family val="1"/>
        <charset val="204"/>
      </rPr>
      <t>Надходження</t>
    </r>
    <r>
      <rPr>
        <b/>
        <sz val="18"/>
        <rFont val="Times New Roman"/>
        <family val="1"/>
        <charset val="204"/>
      </rPr>
      <t xml:space="preserve"> надавача ПМД </t>
    </r>
    <r>
      <rPr>
        <b/>
        <u/>
        <sz val="18"/>
        <rFont val="Times New Roman"/>
        <family val="1"/>
        <charset val="204"/>
      </rPr>
      <t>у межах ліміту декларацій (з віковими коефіцієнтами)</t>
    </r>
    <r>
      <rPr>
        <b/>
        <sz val="18"/>
        <rFont val="Times New Roman"/>
        <family val="1"/>
        <charset val="204"/>
      </rPr>
      <t>, грн.</t>
    </r>
  </si>
  <si>
    <r>
      <t xml:space="preserve">Загальна </t>
    </r>
    <r>
      <rPr>
        <b/>
        <u/>
        <sz val="18"/>
        <rFont val="Times New Roman"/>
        <family val="1"/>
        <charset val="204"/>
      </rPr>
      <t>кількість декларацій</t>
    </r>
    <r>
      <rPr>
        <b/>
        <sz val="18"/>
        <rFont val="Times New Roman"/>
        <family val="1"/>
        <charset val="204"/>
      </rPr>
      <t xml:space="preserve"> надавача ПМД </t>
    </r>
    <r>
      <rPr>
        <b/>
        <u/>
        <sz val="18"/>
        <rFont val="Times New Roman"/>
        <family val="1"/>
        <charset val="204"/>
      </rPr>
      <t>понад ліміт декларацій</t>
    </r>
    <r>
      <rPr>
        <b/>
        <sz val="18"/>
        <rFont val="Times New Roman"/>
        <family val="1"/>
        <charset val="204"/>
      </rPr>
      <t>, од.</t>
    </r>
  </si>
  <si>
    <r>
      <rPr>
        <b/>
        <u/>
        <sz val="18"/>
        <rFont val="Times New Roman"/>
        <family val="1"/>
        <charset val="204"/>
      </rPr>
      <t>Надходження</t>
    </r>
    <r>
      <rPr>
        <b/>
        <sz val="18"/>
        <rFont val="Times New Roman"/>
        <family val="1"/>
        <charset val="204"/>
      </rPr>
      <t xml:space="preserve"> надавача ПМД </t>
    </r>
    <r>
      <rPr>
        <b/>
        <u/>
        <sz val="18"/>
        <rFont val="Times New Roman"/>
        <family val="1"/>
        <charset val="204"/>
      </rPr>
      <t>понад ліміт декларацій</t>
    </r>
    <r>
      <rPr>
        <b/>
        <sz val="18"/>
        <rFont val="Times New Roman"/>
        <family val="1"/>
        <charset val="204"/>
      </rPr>
      <t>, грн.</t>
    </r>
  </si>
  <si>
    <r>
      <t xml:space="preserve">Тариф з урахуванням вікового коефіцієнту, </t>
    </r>
    <r>
      <rPr>
        <b/>
        <i/>
        <sz val="12"/>
        <color indexed="8"/>
        <rFont val="Times New Roman"/>
        <family val="1"/>
        <charset val="204"/>
      </rPr>
      <t>грн. на квартал</t>
    </r>
  </si>
  <si>
    <r>
      <t xml:space="preserve">Тариф з урахуванням вікового та гірського коефіцієнтів, </t>
    </r>
    <r>
      <rPr>
        <b/>
        <i/>
        <sz val="12"/>
        <color indexed="8"/>
        <rFont val="Times New Roman"/>
        <family val="1"/>
        <charset val="204"/>
      </rPr>
      <t>грн. на квартал</t>
    </r>
  </si>
  <si>
    <r>
      <t xml:space="preserve">Тариф за обслуговування пацієнта, </t>
    </r>
    <r>
      <rPr>
        <b/>
        <i/>
        <sz val="12"/>
        <color indexed="8"/>
        <rFont val="Times New Roman"/>
        <family val="1"/>
        <charset val="204"/>
      </rPr>
      <t>грн. на квартал</t>
    </r>
  </si>
  <si>
    <r>
      <rPr>
        <b/>
        <u/>
        <sz val="13"/>
        <color indexed="8"/>
        <rFont val="Times New Roman"/>
        <family val="1"/>
        <charset val="204"/>
      </rPr>
      <t>1.</t>
    </r>
    <r>
      <rPr>
        <sz val="13"/>
        <color indexed="8"/>
        <rFont val="Times New Roman"/>
        <family val="1"/>
        <charset val="204"/>
      </rPr>
      <t xml:space="preserve"> заповніть комірки з жовтою заливкою.</t>
    </r>
  </si>
  <si>
    <r>
      <rPr>
        <b/>
        <u/>
        <sz val="13"/>
        <color indexed="8"/>
        <rFont val="Times New Roman"/>
        <family val="1"/>
        <charset val="204"/>
      </rPr>
      <t>2.</t>
    </r>
    <r>
      <rPr>
        <b/>
        <sz val="13"/>
        <color indexed="8"/>
        <rFont val="Times New Roman"/>
        <family val="1"/>
        <charset val="204"/>
      </rPr>
      <t xml:space="preserve"> </t>
    </r>
    <r>
      <rPr>
        <sz val="13"/>
        <color indexed="8"/>
        <rFont val="Times New Roman"/>
        <family val="1"/>
        <charset val="204"/>
      </rPr>
      <t>перевірте, чи  залишились комірки з жовтою заливкою (колір знімається автоматично при заповненні).</t>
    </r>
  </si>
  <si>
    <r>
      <rPr>
        <b/>
        <u/>
        <sz val="13"/>
        <color indexed="8"/>
        <rFont val="Times New Roman"/>
        <family val="1"/>
        <charset val="204"/>
      </rPr>
      <t>3.</t>
    </r>
    <r>
      <rPr>
        <sz val="13"/>
        <color indexed="8"/>
        <rFont val="Times New Roman"/>
        <family val="1"/>
        <charset val="204"/>
      </rPr>
      <t xml:space="preserve"> якщо немає комірок з жовтою заливкою - переходьте до вкладки </t>
    </r>
    <r>
      <rPr>
        <b/>
        <sz val="13"/>
        <color indexed="8"/>
        <rFont val="Times New Roman"/>
        <family val="1"/>
        <charset val="204"/>
      </rPr>
      <t>"01_Доходи"</t>
    </r>
    <r>
      <rPr>
        <sz val="13"/>
        <color indexed="8"/>
        <rFont val="Times New Roman"/>
        <family val="1"/>
        <charset val="204"/>
      </rPr>
      <t>.</t>
    </r>
  </si>
  <si>
    <r>
      <t>Площа території, що обслуговується надавачем ПМД (км</t>
    </r>
    <r>
      <rPr>
        <b/>
        <vertAlign val="superscript"/>
        <sz val="13"/>
        <color indexed="8"/>
        <rFont val="Times New Roman"/>
        <family val="1"/>
        <charset val="204"/>
      </rPr>
      <t>2</t>
    </r>
    <r>
      <rPr>
        <b/>
        <sz val="13"/>
        <color indexed="8"/>
        <rFont val="Times New Roman"/>
        <family val="1"/>
        <charset val="204"/>
      </rPr>
      <t>):</t>
    </r>
  </si>
  <si>
    <r>
      <t>площа (м</t>
    </r>
    <r>
      <rPr>
        <vertAlign val="superscript"/>
        <sz val="13"/>
        <rFont val="Times New Roman"/>
        <family val="1"/>
        <charset val="204"/>
      </rPr>
      <t>2</t>
    </r>
    <r>
      <rPr>
        <sz val="13"/>
        <rFont val="Times New Roman"/>
        <family val="1"/>
        <charset val="204"/>
      </rPr>
      <t>)</t>
    </r>
  </si>
  <si>
    <r>
      <t xml:space="preserve">Структурні підрозділи надавача ПМД, </t>
    </r>
    <r>
      <rPr>
        <sz val="13"/>
        <rFont val="Times New Roman"/>
        <family val="1"/>
        <charset val="204"/>
      </rPr>
      <t>в т.ч.:</t>
    </r>
  </si>
  <si>
    <t>Дата проведення розрахунку</t>
  </si>
  <si>
    <r>
      <t>Оклад з урахуванням доплат до мінімальної заробітної плати (для всіх вказаних штатних одиниць),</t>
    </r>
    <r>
      <rPr>
        <b/>
        <i/>
        <sz val="16"/>
        <rFont val="Times New Roman"/>
        <family val="1"/>
        <charset val="204"/>
      </rPr>
      <t xml:space="preserve"> грн.</t>
    </r>
  </si>
  <si>
    <r>
      <t xml:space="preserve"> Премії (для всіх вказаних штатних одиниць),</t>
    </r>
    <r>
      <rPr>
        <b/>
        <i/>
        <sz val="16"/>
        <rFont val="Times New Roman"/>
        <family val="1"/>
        <charset val="204"/>
      </rPr>
      <t xml:space="preserve"> грн.</t>
    </r>
  </si>
  <si>
    <r>
      <t xml:space="preserve"> Інші види заохочень та стимулювань (у разі наявності) (для всіх вказаних штатних одиниць), </t>
    </r>
    <r>
      <rPr>
        <b/>
        <i/>
        <sz val="16"/>
        <rFont val="Times New Roman"/>
        <family val="1"/>
        <charset val="204"/>
      </rPr>
      <t>грн.</t>
    </r>
  </si>
  <si>
    <r>
      <t xml:space="preserve"> Інші витрати на оплату праці (у разі наявності) (для всіх вказаних штатних одиниць),</t>
    </r>
    <r>
      <rPr>
        <i/>
        <sz val="16"/>
        <rFont val="Times New Roman"/>
        <family val="1"/>
        <charset val="204"/>
      </rPr>
      <t xml:space="preserve"> грн.</t>
    </r>
  </si>
  <si>
    <r>
      <rPr>
        <b/>
        <u/>
        <sz val="16"/>
        <rFont val="Times New Roman"/>
        <family val="1"/>
        <charset val="204"/>
      </rPr>
      <t>ВСЬОГО Фонд оплати праці</t>
    </r>
    <r>
      <rPr>
        <b/>
        <sz val="16"/>
        <rFont val="Times New Roman"/>
        <family val="1"/>
        <charset val="204"/>
      </rPr>
      <t xml:space="preserve">
по відповідній групі персоналу, </t>
    </r>
    <r>
      <rPr>
        <b/>
        <i/>
        <sz val="16"/>
        <rFont val="Times New Roman"/>
        <family val="1"/>
        <charset val="204"/>
      </rPr>
      <t>грн.</t>
    </r>
  </si>
  <si>
    <r>
      <t xml:space="preserve">Оплата відряджень, </t>
    </r>
    <r>
      <rPr>
        <b/>
        <i/>
        <sz val="16"/>
        <rFont val="Times New Roman"/>
        <family val="1"/>
        <charset val="204"/>
      </rPr>
      <t>грн.</t>
    </r>
  </si>
  <si>
    <r>
      <t xml:space="preserve">Нарахування на оплату праці </t>
    </r>
    <r>
      <rPr>
        <sz val="16"/>
        <rFont val="Times New Roman"/>
        <family val="1"/>
        <charset val="204"/>
      </rPr>
      <t>(загальнообов'язкове державне соціальне страхування)</t>
    </r>
    <r>
      <rPr>
        <b/>
        <sz val="16"/>
        <rFont val="Times New Roman"/>
        <family val="1"/>
        <charset val="204"/>
      </rPr>
      <t>,</t>
    </r>
    <r>
      <rPr>
        <b/>
        <i/>
        <sz val="16"/>
        <rFont val="Times New Roman"/>
        <family val="1"/>
        <charset val="204"/>
      </rPr>
      <t xml:space="preserve"> грн.</t>
    </r>
  </si>
  <si>
    <r>
      <t xml:space="preserve">Утримання із заробітної плати
</t>
    </r>
    <r>
      <rPr>
        <sz val="16"/>
        <rFont val="Times New Roman"/>
        <family val="1"/>
        <charset val="204"/>
      </rPr>
      <t>(податок з доходів фізичних осіб 18% та військовий збір 1.5%)</t>
    </r>
    <r>
      <rPr>
        <b/>
        <sz val="16"/>
        <rFont val="Times New Roman"/>
        <family val="1"/>
        <charset val="204"/>
      </rPr>
      <t xml:space="preserve">, </t>
    </r>
    <r>
      <rPr>
        <b/>
        <i/>
        <sz val="16"/>
        <rFont val="Times New Roman"/>
        <family val="1"/>
        <charset val="204"/>
      </rPr>
      <t>грн.</t>
    </r>
  </si>
  <si>
    <r>
      <t>ціна за 1 м</t>
    </r>
    <r>
      <rPr>
        <vertAlign val="superscript"/>
        <sz val="13"/>
        <rFont val="Times New Roman"/>
        <family val="1"/>
        <charset val="204"/>
      </rPr>
      <t xml:space="preserve">3 </t>
    </r>
    <r>
      <rPr>
        <sz val="13"/>
        <rFont val="Times New Roman"/>
        <family val="1"/>
        <charset val="204"/>
      </rPr>
      <t>на початок кварталу</t>
    </r>
    <r>
      <rPr>
        <sz val="13"/>
        <color indexed="8"/>
        <rFont val="Times New Roman"/>
        <family val="1"/>
        <charset val="204"/>
      </rPr>
      <t>, грн. (гаряча вода)</t>
    </r>
  </si>
  <si>
    <r>
      <t>очікуваний обсяг споживання гарячої води у відповідному кварталі, м</t>
    </r>
    <r>
      <rPr>
        <vertAlign val="superscript"/>
        <sz val="13"/>
        <rFont val="Times New Roman"/>
        <family val="1"/>
        <charset val="204"/>
      </rPr>
      <t>3</t>
    </r>
  </si>
  <si>
    <r>
      <t>ціна за 1 м</t>
    </r>
    <r>
      <rPr>
        <vertAlign val="superscript"/>
        <sz val="13"/>
        <rFont val="Times New Roman"/>
        <family val="1"/>
        <charset val="204"/>
      </rPr>
      <t xml:space="preserve">3 </t>
    </r>
    <r>
      <rPr>
        <sz val="13"/>
        <rFont val="Times New Roman"/>
        <family val="1"/>
        <charset val="204"/>
      </rPr>
      <t>на початок кварталу</t>
    </r>
    <r>
      <rPr>
        <sz val="13"/>
        <color indexed="8"/>
        <rFont val="Times New Roman"/>
        <family val="1"/>
        <charset val="204"/>
      </rPr>
      <t>, грн. (холодна вода)</t>
    </r>
  </si>
  <si>
    <r>
      <t>очікуваний обсяг споживання холодної води у відповідному кварталі, м</t>
    </r>
    <r>
      <rPr>
        <vertAlign val="superscript"/>
        <sz val="13"/>
        <rFont val="Times New Roman"/>
        <family val="1"/>
        <charset val="204"/>
      </rPr>
      <t>3</t>
    </r>
  </si>
  <si>
    <r>
      <t>ціна за 1 м</t>
    </r>
    <r>
      <rPr>
        <vertAlign val="superscript"/>
        <sz val="13"/>
        <rFont val="Times New Roman"/>
        <family val="1"/>
        <charset val="204"/>
      </rPr>
      <t xml:space="preserve">3 </t>
    </r>
    <r>
      <rPr>
        <sz val="13"/>
        <rFont val="Times New Roman"/>
        <family val="1"/>
        <charset val="204"/>
      </rPr>
      <t>на початок кварталу (водовідведення), грн.</t>
    </r>
  </si>
  <si>
    <r>
      <t>очікуваний обсяг водовідведення у відповідному кварталі, м</t>
    </r>
    <r>
      <rPr>
        <vertAlign val="superscript"/>
        <sz val="13"/>
        <rFont val="Times New Roman"/>
        <family val="1"/>
        <charset val="204"/>
      </rPr>
      <t>3</t>
    </r>
  </si>
  <si>
    <r>
      <t>ціна за 1 м</t>
    </r>
    <r>
      <rPr>
        <vertAlign val="superscript"/>
        <sz val="13"/>
        <rFont val="Times New Roman"/>
        <family val="1"/>
        <charset val="204"/>
      </rPr>
      <t xml:space="preserve">3 </t>
    </r>
    <r>
      <rPr>
        <sz val="13"/>
        <rFont val="Times New Roman"/>
        <family val="1"/>
        <charset val="204"/>
      </rPr>
      <t>природного газу на початок кварталу, грн.</t>
    </r>
  </si>
  <si>
    <r>
      <t>очікуваний обсяг споживання природного газу у відповідному кварталі, м</t>
    </r>
    <r>
      <rPr>
        <vertAlign val="superscript"/>
        <sz val="13"/>
        <rFont val="Times New Roman"/>
        <family val="1"/>
        <charset val="204"/>
      </rPr>
      <t>3</t>
    </r>
  </si>
  <si>
    <r>
      <t xml:space="preserve">ВСЬОГО витрат на комунальні послуги, </t>
    </r>
    <r>
      <rPr>
        <b/>
        <i/>
        <sz val="16"/>
        <color indexed="8"/>
        <rFont val="Times New Roman"/>
        <family val="1"/>
        <charset val="204"/>
      </rPr>
      <t>грн.</t>
    </r>
  </si>
  <si>
    <r>
      <t>Видатки надавача ПМД на комунальні витрати на 1 м</t>
    </r>
    <r>
      <rPr>
        <b/>
        <vertAlign val="superscript"/>
        <sz val="16"/>
        <color indexed="8"/>
        <rFont val="Times New Roman"/>
        <family val="1"/>
        <charset val="204"/>
      </rPr>
      <t>2</t>
    </r>
    <r>
      <rPr>
        <b/>
        <sz val="16"/>
        <color indexed="8"/>
        <rFont val="Times New Roman"/>
        <family val="1"/>
        <charset val="204"/>
      </rPr>
      <t xml:space="preserve"> (грн.)</t>
    </r>
  </si>
  <si>
    <r>
      <rPr>
        <b/>
        <u/>
        <sz val="13"/>
        <color indexed="8"/>
        <rFont val="Times New Roman"/>
        <family val="1"/>
        <charset val="204"/>
      </rPr>
      <t>2</t>
    </r>
    <r>
      <rPr>
        <b/>
        <sz val="13"/>
        <color indexed="8"/>
        <rFont val="Times New Roman"/>
        <family val="1"/>
        <charset val="204"/>
      </rPr>
      <t xml:space="preserve">. </t>
    </r>
    <r>
      <rPr>
        <sz val="13"/>
        <color indexed="8"/>
        <rFont val="Times New Roman"/>
        <family val="1"/>
        <charset val="204"/>
      </rPr>
      <t>перевірте, чи  залишились комірки з жовтою заливкою (колір знімається автоматично при заповненні).</t>
    </r>
  </si>
  <si>
    <r>
      <rPr>
        <b/>
        <u/>
        <sz val="13"/>
        <color indexed="8"/>
        <rFont val="Times New Roman"/>
        <family val="1"/>
        <charset val="204"/>
      </rPr>
      <t>3.</t>
    </r>
    <r>
      <rPr>
        <sz val="13"/>
        <color indexed="8"/>
        <rFont val="Times New Roman"/>
        <family val="1"/>
        <charset val="204"/>
      </rPr>
      <t xml:space="preserve"> перейдіть до вкладки </t>
    </r>
    <r>
      <rPr>
        <b/>
        <sz val="13"/>
        <color indexed="8"/>
        <rFont val="Times New Roman"/>
        <family val="1"/>
        <charset val="204"/>
      </rPr>
      <t>"03_МТО"</t>
    </r>
    <r>
      <rPr>
        <sz val="13"/>
        <color indexed="8"/>
        <rFont val="Times New Roman"/>
        <family val="1"/>
        <charset val="204"/>
      </rPr>
      <t>.</t>
    </r>
  </si>
  <si>
    <t>вказати інші, які не входять до Табелю МТО  (вкладка "03_МТО")</t>
  </si>
  <si>
    <t>!!! УВАГА. Показники розраховуються автоматично.  Вкладка тільки для перегляду !!!
Зміни можна проводити тільки у стовпчику "експертна оцінка"!!!</t>
  </si>
  <si>
    <t>Експертна оцінка</t>
  </si>
  <si>
    <t>кількість адміністративного- управлінського та допоміжного персоналу</t>
  </si>
  <si>
    <t>Опис та інструкція</t>
  </si>
  <si>
    <t>ІНШІ ВИДАТКИ та ПОКАЗНИКИ БАЛАНСУ ПІДПРИЄМСТВА</t>
  </si>
  <si>
    <r>
      <t xml:space="preserve">Витрати на канцтовари, офісне приладдя та устаткування відповідно до Табелю матеріально-технічного оснащення, грн.
</t>
    </r>
    <r>
      <rPr>
        <sz val="16"/>
        <rFont val="Times New Roman"/>
        <family val="1"/>
        <charset val="204"/>
      </rPr>
      <t>(частина адміністративних витрат)</t>
    </r>
  </si>
  <si>
    <r>
      <t>Відсоток розподілу</t>
    </r>
    <r>
      <rPr>
        <u/>
        <sz val="18"/>
        <color indexed="8"/>
        <rFont val="Times New Roman"/>
        <family val="1"/>
        <charset val="204"/>
      </rPr>
      <t xml:space="preserve"> капітальних інвестицій</t>
    </r>
    <r>
      <rPr>
        <sz val="18"/>
        <color indexed="8"/>
        <rFont val="Times New Roman"/>
        <family val="1"/>
        <charset val="204"/>
      </rPr>
      <t xml:space="preserve"> за кварталами року</t>
    </r>
  </si>
  <si>
    <r>
      <t xml:space="preserve">Відсоток розподілу </t>
    </r>
    <r>
      <rPr>
        <u/>
        <sz val="18"/>
        <color indexed="8"/>
        <rFont val="Times New Roman"/>
        <family val="1"/>
        <charset val="204"/>
      </rPr>
      <t>адміністративних витрат</t>
    </r>
    <r>
      <rPr>
        <sz val="18"/>
        <color indexed="8"/>
        <rFont val="Times New Roman"/>
        <family val="1"/>
        <charset val="204"/>
      </rPr>
      <t xml:space="preserve"> за кварталами року</t>
    </r>
  </si>
  <si>
    <r>
      <t xml:space="preserve">Витрати капітальні інвестиції відповідно до Табелю матеріально-технічного оснащення, грн.
</t>
    </r>
    <r>
      <rPr>
        <sz val="16"/>
        <rFont val="Times New Roman"/>
        <family val="1"/>
        <charset val="204"/>
      </rPr>
      <t>(частина відповідних витрат)</t>
    </r>
  </si>
  <si>
    <t>більше ніж у середньому в п.4</t>
  </si>
  <si>
    <t>70-80</t>
  </si>
  <si>
    <t>більше 40</t>
  </si>
  <si>
    <t>предмети, матеріали (відповідно до Табелю матеріально-технічного оснащення)</t>
  </si>
  <si>
    <t>основні засоби (відповідно до Табелю матеріально-технічного оснащення)</t>
  </si>
  <si>
    <t>малоцінні необоротні матеріальні активи (відповідно до Табелю матеріально-технічного оснащення)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</si>
  <si>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</si>
  <si>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</si>
  <si>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</si>
  <si>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</si>
  <si>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t>
  </si>
  <si>
    <t>оплата енергосервісу</t>
  </si>
  <si>
    <t xml:space="preserve">заробітна плата </t>
  </si>
  <si>
    <t>нарахування на оплату праці</t>
  </si>
  <si>
    <t>витрати на канцтовари, офісне приладдя та устаткування (відповідно до Табелю матеріально-технічного оснащення)</t>
  </si>
  <si>
    <r>
      <t>Дії: ознайомлення</t>
    </r>
    <r>
      <rPr>
        <sz val="13"/>
        <color indexed="8"/>
        <rFont val="Times New Roman"/>
        <family val="1"/>
        <charset val="204"/>
      </rPr>
      <t>.</t>
    </r>
  </si>
  <si>
    <r>
      <t>Дія: ознайомлення</t>
    </r>
    <r>
      <rPr>
        <sz val="13"/>
        <color indexed="8"/>
        <rFont val="Times New Roman"/>
        <family val="1"/>
        <charset val="204"/>
      </rPr>
      <t>.</t>
    </r>
  </si>
  <si>
    <t>Склад команд з надання ПМД (лікар та медичні сестри) та дані щодо кількості декларацій. Інші доходи (доходи не за договором про медичне обслуговування населення за програмою медичних гарантій).</t>
  </si>
  <si>
    <t xml:space="preserve">Оплата праці персоналу надавача ПМД (6 груп), комунальні витрати, інші видатки та показники балансу підприємства. </t>
  </si>
</sst>
</file>

<file path=xl/styles.xml><?xml version="1.0" encoding="utf-8"?>
<styleSheet xmlns="http://schemas.openxmlformats.org/spreadsheetml/2006/main">
  <numFmts count="13">
    <numFmt numFmtId="164" formatCode="_(* #,##0_);_(* \(#,##0\);_(* &quot;-&quot;_);_(@_)"/>
    <numFmt numFmtId="165" formatCode="#,##0.0"/>
    <numFmt numFmtId="166" formatCode="0.0"/>
    <numFmt numFmtId="167" formatCode="_(&quot;$&quot;* #,##0.00_);_(&quot;$&quot;* \(#,##0.00\);_(&quot;$&quot;* &quot;-&quot;??_);_(@_)"/>
    <numFmt numFmtId="168" formatCode="_(* #,##0_);_(* \(#,##0\);_(* &quot;-&quot;??_);_(@_)"/>
    <numFmt numFmtId="169" formatCode="_([$UAH]\ * #,##0.00_);_([$UAH]\ * \(#,##0.00\);_([$UAH]\ * &quot;-&quot;??_);_(@_)"/>
    <numFmt numFmtId="170" formatCode="0.0%"/>
    <numFmt numFmtId="171" formatCode="0.000"/>
    <numFmt numFmtId="172" formatCode="#,##0_ ;\-#,##0\ "/>
    <numFmt numFmtId="173" formatCode="#,##0.0000"/>
    <numFmt numFmtId="174" formatCode="#,##0.00000"/>
    <numFmt numFmtId="175" formatCode="#,##0.000"/>
    <numFmt numFmtId="176" formatCode="#,##0.000000"/>
  </numFmts>
  <fonts count="152">
    <font>
      <sz val="11"/>
      <color theme="1"/>
      <name val="Calibri"/>
      <family val="2"/>
      <scheme val="minor"/>
    </font>
    <font>
      <sz val="11"/>
      <color indexed="8"/>
      <name val="Calibri"/>
      <family val="2"/>
    </font>
    <font>
      <b/>
      <sz val="13"/>
      <name val="Times New Roman"/>
      <family val="1"/>
      <charset val="204"/>
    </font>
    <font>
      <b/>
      <sz val="14"/>
      <color indexed="8"/>
      <name val="Calibri"/>
      <family val="2"/>
      <charset val="204"/>
    </font>
    <font>
      <sz val="10"/>
      <name val="Arial Cyr"/>
      <charset val="204"/>
    </font>
    <font>
      <sz val="16"/>
      <name val="Times New Roman"/>
      <family val="1"/>
      <charset val="204"/>
    </font>
    <font>
      <sz val="14"/>
      <name val="Times New Roman"/>
      <family val="1"/>
      <charset val="204"/>
    </font>
    <font>
      <b/>
      <i/>
      <sz val="16"/>
      <name val="Times New Roman"/>
      <family val="1"/>
      <charset val="204"/>
    </font>
    <font>
      <b/>
      <sz val="14"/>
      <name val="Times New Roman"/>
      <family val="1"/>
      <charset val="204"/>
    </font>
    <font>
      <i/>
      <sz val="14"/>
      <name val="Times New Roman"/>
      <family val="1"/>
      <charset val="204"/>
    </font>
    <font>
      <sz val="12"/>
      <name val="Times New Roman"/>
      <family val="1"/>
      <charset val="204"/>
    </font>
    <font>
      <b/>
      <sz val="18"/>
      <color indexed="8"/>
      <name val="Calibri"/>
      <family val="2"/>
      <charset val="204"/>
    </font>
    <font>
      <b/>
      <sz val="14"/>
      <color indexed="10"/>
      <name val="Times New Roman"/>
      <family val="1"/>
      <charset val="204"/>
    </font>
    <font>
      <strike/>
      <sz val="14"/>
      <name val="Times New Roman"/>
      <family val="1"/>
      <charset val="204"/>
    </font>
    <font>
      <b/>
      <u/>
      <sz val="13"/>
      <color indexed="8"/>
      <name val="Times New Roman"/>
      <family val="1"/>
      <charset val="204"/>
    </font>
    <font>
      <sz val="13"/>
      <color indexed="8"/>
      <name val="Times New Roman"/>
      <family val="1"/>
      <charset val="204"/>
    </font>
    <font>
      <b/>
      <sz val="13"/>
      <color indexed="8"/>
      <name val="Times New Roman"/>
      <family val="1"/>
      <charset val="204"/>
    </font>
    <font>
      <sz val="14"/>
      <color indexed="30"/>
      <name val="Times New Roman"/>
      <family val="1"/>
      <charset val="204"/>
    </font>
    <font>
      <strike/>
      <sz val="14"/>
      <color indexed="10"/>
      <name val="Times New Roman"/>
      <family val="1"/>
      <charset val="204"/>
    </font>
    <font>
      <u/>
      <sz val="13"/>
      <color indexed="30"/>
      <name val="Times New Roman"/>
      <family val="1"/>
      <charset val="204"/>
    </font>
    <font>
      <b/>
      <sz val="18"/>
      <color indexed="8"/>
      <name val="Times New Roman"/>
      <family val="1"/>
      <charset val="204"/>
    </font>
    <font>
      <sz val="14"/>
      <color indexed="17"/>
      <name val="Times New Roman"/>
      <family val="1"/>
      <charset val="204"/>
    </font>
    <font>
      <b/>
      <sz val="16"/>
      <name val="Times New Roman"/>
      <family val="1"/>
      <charset val="204"/>
    </font>
    <font>
      <i/>
      <sz val="12"/>
      <color indexed="9"/>
      <name val="Times New Roman"/>
      <family val="1"/>
      <charset val="204"/>
    </font>
    <font>
      <sz val="12"/>
      <color indexed="8"/>
      <name val="Times New Roman"/>
      <family val="1"/>
      <charset val="204"/>
    </font>
    <font>
      <i/>
      <sz val="16"/>
      <name val="Times New Roman"/>
      <family val="1"/>
      <charset val="204"/>
    </font>
    <font>
      <b/>
      <u/>
      <sz val="16"/>
      <name val="Times New Roman"/>
      <family val="1"/>
      <charset val="204"/>
    </font>
    <font>
      <b/>
      <i/>
      <sz val="14"/>
      <name val="Times New Roman"/>
      <family val="1"/>
      <charset val="204"/>
    </font>
    <font>
      <sz val="16"/>
      <color indexed="8"/>
      <name val="Times New Roman"/>
      <family val="1"/>
      <charset val="204"/>
    </font>
    <font>
      <b/>
      <sz val="20"/>
      <color indexed="8"/>
      <name val="Times New Roman"/>
      <family val="1"/>
      <charset val="204"/>
    </font>
    <font>
      <sz val="20"/>
      <color indexed="8"/>
      <name val="Times New Roman"/>
      <family val="1"/>
      <charset val="204"/>
    </font>
    <font>
      <b/>
      <sz val="20"/>
      <color indexed="62"/>
      <name val="Times New Roman"/>
      <family val="1"/>
      <charset val="204"/>
    </font>
    <font>
      <sz val="20"/>
      <color indexed="9"/>
      <name val="Times New Roman"/>
      <family val="1"/>
      <charset val="204"/>
    </font>
    <font>
      <sz val="12"/>
      <color indexed="9"/>
      <name val="Times New Roman"/>
      <family val="1"/>
      <charset val="204"/>
    </font>
    <font>
      <b/>
      <sz val="16"/>
      <color indexed="9"/>
      <name val="Times New Roman"/>
      <family val="1"/>
      <charset val="204"/>
    </font>
    <font>
      <b/>
      <sz val="12"/>
      <color indexed="9"/>
      <name val="Times New Roman"/>
      <family val="1"/>
      <charset val="204"/>
    </font>
    <font>
      <sz val="12"/>
      <color indexed="8"/>
      <name val="Times New Roman"/>
      <family val="1"/>
      <charset val="204"/>
    </font>
    <font>
      <i/>
      <sz val="12"/>
      <color indexed="8"/>
      <name val="Times New Roman"/>
      <family val="1"/>
      <charset val="204"/>
    </font>
    <font>
      <sz val="18"/>
      <color indexed="8"/>
      <name val="Times New Roman"/>
      <family val="1"/>
      <charset val="204"/>
    </font>
    <font>
      <b/>
      <sz val="16"/>
      <color indexed="8"/>
      <name val="Times New Roman"/>
      <family val="1"/>
      <charset val="204"/>
    </font>
    <font>
      <b/>
      <sz val="12"/>
      <name val="Times New Roman"/>
      <family val="1"/>
      <charset val="204"/>
    </font>
    <font>
      <i/>
      <sz val="12"/>
      <name val="Times New Roman"/>
      <family val="1"/>
      <charset val="204"/>
    </font>
    <font>
      <sz val="13"/>
      <color indexed="9"/>
      <name val="Times New Roman"/>
      <family val="1"/>
      <charset val="204"/>
    </font>
    <font>
      <sz val="13"/>
      <color indexed="8"/>
      <name val="Times New Roman"/>
      <family val="1"/>
      <charset val="204"/>
    </font>
    <font>
      <b/>
      <i/>
      <sz val="13"/>
      <color indexed="8"/>
      <name val="Times New Roman"/>
      <family val="1"/>
      <charset val="204"/>
    </font>
    <font>
      <i/>
      <sz val="13"/>
      <color indexed="8"/>
      <name val="Times New Roman"/>
      <family val="1"/>
      <charset val="204"/>
    </font>
    <font>
      <sz val="13"/>
      <color indexed="30"/>
      <name val="Times New Roman"/>
      <family val="1"/>
      <charset val="204"/>
    </font>
    <font>
      <b/>
      <i/>
      <sz val="13"/>
      <color indexed="8"/>
      <name val="Times New Roman"/>
      <family val="1"/>
      <charset val="204"/>
    </font>
    <font>
      <sz val="13"/>
      <color indexed="17"/>
      <name val="Times New Roman"/>
      <family val="1"/>
      <charset val="204"/>
    </font>
    <font>
      <sz val="13"/>
      <name val="Times New Roman"/>
      <family val="1"/>
      <charset val="204"/>
    </font>
    <font>
      <u/>
      <sz val="11"/>
      <color indexed="30"/>
      <name val="Times New Roman"/>
      <family val="1"/>
      <charset val="204"/>
    </font>
    <font>
      <b/>
      <sz val="23"/>
      <color indexed="8"/>
      <name val="Times New Roman"/>
      <family val="1"/>
      <charset val="204"/>
    </font>
    <font>
      <sz val="11"/>
      <color indexed="8"/>
      <name val="Times New Roman"/>
      <family val="1"/>
      <charset val="204"/>
    </font>
    <font>
      <b/>
      <sz val="18"/>
      <color indexed="10"/>
      <name val="Times New Roman"/>
      <family val="1"/>
      <charset val="204"/>
    </font>
    <font>
      <sz val="13"/>
      <color indexed="10"/>
      <name val="Times New Roman"/>
      <family val="1"/>
      <charset val="204"/>
    </font>
    <font>
      <sz val="14"/>
      <color indexed="8"/>
      <name val="Times New Roman"/>
      <family val="1"/>
      <charset val="204"/>
    </font>
    <font>
      <b/>
      <sz val="14"/>
      <color indexed="8"/>
      <name val="Times New Roman"/>
      <family val="1"/>
      <charset val="204"/>
    </font>
    <font>
      <sz val="13"/>
      <color indexed="23"/>
      <name val="Times New Roman"/>
      <family val="1"/>
      <charset val="204"/>
    </font>
    <font>
      <b/>
      <u/>
      <sz val="14"/>
      <color indexed="30"/>
      <name val="Times New Roman"/>
      <family val="1"/>
      <charset val="204"/>
    </font>
    <font>
      <b/>
      <sz val="11"/>
      <color indexed="8"/>
      <name val="Times New Roman"/>
      <family val="1"/>
      <charset val="204"/>
    </font>
    <font>
      <sz val="11"/>
      <color indexed="30"/>
      <name val="Times New Roman"/>
      <family val="1"/>
      <charset val="204"/>
    </font>
    <font>
      <sz val="11"/>
      <name val="Times New Roman"/>
      <family val="1"/>
      <charset val="204"/>
    </font>
    <font>
      <sz val="11"/>
      <color indexed="10"/>
      <name val="Times New Roman"/>
      <family val="1"/>
      <charset val="204"/>
    </font>
    <font>
      <b/>
      <sz val="20"/>
      <color indexed="10"/>
      <name val="Times New Roman"/>
      <family val="1"/>
      <charset val="204"/>
    </font>
    <font>
      <b/>
      <sz val="20"/>
      <color indexed="30"/>
      <name val="Times New Roman"/>
      <family val="1"/>
      <charset val="204"/>
    </font>
    <font>
      <b/>
      <u/>
      <sz val="16"/>
      <color indexed="30"/>
      <name val="Times New Roman"/>
      <family val="1"/>
      <charset val="204"/>
    </font>
    <font>
      <b/>
      <i/>
      <sz val="16"/>
      <color indexed="8"/>
      <name val="Times New Roman"/>
      <family val="1"/>
      <charset val="204"/>
    </font>
    <font>
      <sz val="11"/>
      <color indexed="9"/>
      <name val="Times New Roman"/>
      <family val="1"/>
      <charset val="204"/>
    </font>
    <font>
      <sz val="18"/>
      <color indexed="10"/>
      <name val="Times New Roman"/>
      <family val="1"/>
      <charset val="204"/>
    </font>
    <font>
      <b/>
      <sz val="11"/>
      <name val="Times New Roman"/>
      <family val="1"/>
      <charset val="204"/>
    </font>
    <font>
      <b/>
      <sz val="24"/>
      <name val="Times New Roman"/>
      <family val="1"/>
      <charset val="204"/>
    </font>
    <font>
      <b/>
      <sz val="24"/>
      <color indexed="8"/>
      <name val="Times New Roman"/>
      <family val="1"/>
      <charset val="204"/>
    </font>
    <font>
      <b/>
      <sz val="20"/>
      <name val="Times New Roman"/>
      <family val="1"/>
      <charset val="204"/>
    </font>
    <font>
      <sz val="24"/>
      <name val="Times New Roman"/>
      <family val="1"/>
      <charset val="204"/>
    </font>
    <font>
      <sz val="24"/>
      <color indexed="30"/>
      <name val="Times New Roman"/>
      <family val="1"/>
      <charset val="204"/>
    </font>
    <font>
      <sz val="20"/>
      <name val="Times New Roman"/>
      <family val="1"/>
      <charset val="204"/>
    </font>
    <font>
      <sz val="20"/>
      <color indexed="30"/>
      <name val="Times New Roman"/>
      <family val="1"/>
      <charset val="204"/>
    </font>
    <font>
      <b/>
      <u/>
      <sz val="20"/>
      <name val="Times New Roman"/>
      <family val="1"/>
      <charset val="204"/>
    </font>
    <font>
      <b/>
      <sz val="18"/>
      <color indexed="30"/>
      <name val="Times New Roman"/>
      <family val="1"/>
      <charset val="204"/>
    </font>
    <font>
      <b/>
      <sz val="18"/>
      <name val="Times New Roman"/>
      <family val="1"/>
      <charset val="204"/>
    </font>
    <font>
      <b/>
      <u/>
      <sz val="18"/>
      <name val="Times New Roman"/>
      <family val="1"/>
      <charset val="204"/>
    </font>
    <font>
      <sz val="18"/>
      <name val="Times New Roman"/>
      <family val="1"/>
      <charset val="204"/>
    </font>
    <font>
      <sz val="20"/>
      <color indexed="10"/>
      <name val="Times New Roman"/>
      <family val="1"/>
      <charset val="204"/>
    </font>
    <font>
      <sz val="18"/>
      <color indexed="30"/>
      <name val="Times New Roman"/>
      <family val="1"/>
      <charset val="204"/>
    </font>
    <font>
      <b/>
      <sz val="22"/>
      <color indexed="8"/>
      <name val="Times New Roman"/>
      <family val="1"/>
      <charset val="204"/>
    </font>
    <font>
      <b/>
      <sz val="22"/>
      <name val="Times New Roman"/>
      <family val="1"/>
      <charset val="204"/>
    </font>
    <font>
      <b/>
      <sz val="14"/>
      <color indexed="30"/>
      <name val="Times New Roman"/>
      <family val="1"/>
      <charset val="204"/>
    </font>
    <font>
      <b/>
      <sz val="12"/>
      <color indexed="8"/>
      <name val="Times New Roman"/>
      <family val="1"/>
      <charset val="204"/>
    </font>
    <font>
      <b/>
      <sz val="16"/>
      <color indexed="17"/>
      <name val="Times New Roman"/>
      <family val="1"/>
      <charset val="204"/>
    </font>
    <font>
      <sz val="12"/>
      <color indexed="30"/>
      <name val="Times New Roman"/>
      <family val="1"/>
      <charset val="204"/>
    </font>
    <font>
      <sz val="16"/>
      <color indexed="30"/>
      <name val="Times New Roman"/>
      <family val="1"/>
      <charset val="204"/>
    </font>
    <font>
      <b/>
      <sz val="16"/>
      <color indexed="30"/>
      <name val="Times New Roman"/>
      <family val="1"/>
      <charset val="204"/>
    </font>
    <font>
      <b/>
      <sz val="12"/>
      <color indexed="10"/>
      <name val="Times New Roman"/>
      <family val="1"/>
      <charset val="204"/>
    </font>
    <font>
      <sz val="12"/>
      <color indexed="10"/>
      <name val="Times New Roman"/>
      <family val="1"/>
      <charset val="204"/>
    </font>
    <font>
      <sz val="16"/>
      <color indexed="10"/>
      <name val="Times New Roman"/>
      <family val="1"/>
      <charset val="204"/>
    </font>
    <font>
      <b/>
      <sz val="16"/>
      <color indexed="10"/>
      <name val="Times New Roman"/>
      <family val="1"/>
      <charset val="204"/>
    </font>
    <font>
      <b/>
      <sz val="12"/>
      <color indexed="30"/>
      <name val="Times New Roman"/>
      <family val="1"/>
      <charset val="204"/>
    </font>
    <font>
      <b/>
      <sz val="11"/>
      <color indexed="30"/>
      <name val="Times New Roman"/>
      <family val="1"/>
      <charset val="204"/>
    </font>
    <font>
      <b/>
      <i/>
      <sz val="12"/>
      <color indexed="8"/>
      <name val="Times New Roman"/>
      <family val="1"/>
      <charset val="204"/>
    </font>
    <font>
      <i/>
      <sz val="12"/>
      <color indexed="8"/>
      <name val="Times New Roman"/>
      <family val="1"/>
      <charset val="204"/>
    </font>
    <font>
      <b/>
      <sz val="12"/>
      <color indexed="8"/>
      <name val="Times New Roman"/>
      <family val="1"/>
      <charset val="204"/>
    </font>
    <font>
      <i/>
      <sz val="11"/>
      <color indexed="8"/>
      <name val="Times New Roman"/>
      <family val="1"/>
      <charset val="204"/>
    </font>
    <font>
      <i/>
      <u/>
      <sz val="11"/>
      <color indexed="30"/>
      <name val="Times New Roman"/>
      <family val="1"/>
      <charset val="204"/>
    </font>
    <font>
      <b/>
      <vertAlign val="superscript"/>
      <sz val="13"/>
      <color indexed="8"/>
      <name val="Times New Roman"/>
      <family val="1"/>
      <charset val="204"/>
    </font>
    <font>
      <b/>
      <u/>
      <sz val="13"/>
      <name val="Times New Roman"/>
      <family val="1"/>
      <charset val="204"/>
    </font>
    <font>
      <vertAlign val="superscript"/>
      <sz val="13"/>
      <name val="Times New Roman"/>
      <family val="1"/>
      <charset val="204"/>
    </font>
    <font>
      <b/>
      <i/>
      <sz val="13"/>
      <name val="Times New Roman"/>
      <family val="1"/>
      <charset val="204"/>
    </font>
    <font>
      <b/>
      <sz val="14"/>
      <color indexed="40"/>
      <name val="Times New Roman"/>
      <family val="1"/>
      <charset val="204"/>
    </font>
    <font>
      <b/>
      <sz val="13"/>
      <color indexed="30"/>
      <name val="Times New Roman"/>
      <family val="1"/>
      <charset val="204"/>
    </font>
    <font>
      <b/>
      <sz val="13"/>
      <color indexed="10"/>
      <name val="Times New Roman"/>
      <family val="1"/>
      <charset val="204"/>
    </font>
    <font>
      <i/>
      <sz val="13"/>
      <color indexed="40"/>
      <name val="Times New Roman"/>
      <family val="1"/>
      <charset val="204"/>
    </font>
    <font>
      <sz val="13"/>
      <color indexed="40"/>
      <name val="Times New Roman"/>
      <family val="1"/>
      <charset val="204"/>
    </font>
    <font>
      <sz val="9"/>
      <color indexed="30"/>
      <name val="Times New Roman"/>
      <family val="1"/>
      <charset val="204"/>
    </font>
    <font>
      <b/>
      <sz val="9"/>
      <color indexed="30"/>
      <name val="Times New Roman"/>
      <family val="1"/>
      <charset val="204"/>
    </font>
    <font>
      <b/>
      <sz val="28"/>
      <color indexed="30"/>
      <name val="Times New Roman"/>
      <family val="1"/>
      <charset val="204"/>
    </font>
    <font>
      <b/>
      <sz val="16"/>
      <color indexed="8"/>
      <name val="Times New Roman"/>
      <family val="1"/>
      <charset val="204"/>
    </font>
    <font>
      <b/>
      <i/>
      <sz val="16"/>
      <color indexed="8"/>
      <name val="Times New Roman"/>
      <family val="1"/>
      <charset val="204"/>
    </font>
    <font>
      <b/>
      <sz val="20"/>
      <color indexed="8"/>
      <name val="Times New Roman"/>
      <family val="1"/>
      <charset val="204"/>
    </font>
    <font>
      <sz val="16"/>
      <color indexed="8"/>
      <name val="Times New Roman"/>
      <family val="1"/>
      <charset val="204"/>
    </font>
    <font>
      <i/>
      <sz val="16"/>
      <color indexed="8"/>
      <name val="Times New Roman"/>
      <family val="1"/>
      <charset val="204"/>
    </font>
    <font>
      <i/>
      <sz val="16"/>
      <color indexed="8"/>
      <name val="Times New Roman"/>
      <family val="1"/>
      <charset val="204"/>
    </font>
    <font>
      <b/>
      <vertAlign val="superscript"/>
      <sz val="16"/>
      <color indexed="8"/>
      <name val="Times New Roman"/>
      <family val="1"/>
      <charset val="204"/>
    </font>
    <font>
      <b/>
      <sz val="26"/>
      <color indexed="30"/>
      <name val="Times New Roman"/>
      <family val="1"/>
      <charset val="204"/>
    </font>
    <font>
      <b/>
      <sz val="36"/>
      <color indexed="30"/>
      <name val="Times New Roman"/>
      <family val="1"/>
      <charset val="204"/>
    </font>
    <font>
      <u/>
      <sz val="18"/>
      <color indexed="8"/>
      <name val="Times New Roman"/>
      <family val="1"/>
      <charset val="204"/>
    </font>
    <font>
      <i/>
      <sz val="9"/>
      <color indexed="30"/>
      <name val="Times New Roman"/>
      <family val="1"/>
      <charset val="204"/>
    </font>
    <font>
      <b/>
      <i/>
      <sz val="22"/>
      <color indexed="8"/>
      <name val="Times New Roman"/>
      <family val="1"/>
      <charset val="204"/>
    </font>
    <font>
      <b/>
      <sz val="36"/>
      <color indexed="8"/>
      <name val="Times New Roman"/>
      <family val="1"/>
      <charset val="204"/>
    </font>
    <font>
      <sz val="12"/>
      <color indexed="8"/>
      <name val="Calibri"/>
      <family val="2"/>
    </font>
    <font>
      <u/>
      <sz val="12"/>
      <color indexed="30"/>
      <name val="Calibri"/>
      <family val="2"/>
    </font>
    <font>
      <sz val="12"/>
      <color indexed="23"/>
      <name val="Times New Roman"/>
      <family val="1"/>
      <charset val="204"/>
    </font>
    <font>
      <i/>
      <sz val="36"/>
      <color indexed="8"/>
      <name val="Times New Roman"/>
      <family val="1"/>
      <charset val="204"/>
    </font>
    <font>
      <b/>
      <u/>
      <sz val="16"/>
      <color indexed="8"/>
      <name val="Times New Roman"/>
      <family val="1"/>
      <charset val="204"/>
    </font>
    <font>
      <b/>
      <sz val="14"/>
      <color indexed="17"/>
      <name val="Times New Roman"/>
      <family val="1"/>
      <charset val="204"/>
    </font>
    <font>
      <i/>
      <sz val="18"/>
      <name val="Times New Roman"/>
      <family val="1"/>
      <charset val="204"/>
    </font>
    <font>
      <b/>
      <sz val="36"/>
      <name val="Times New Roman"/>
      <family val="1"/>
      <charset val="204"/>
    </font>
    <font>
      <b/>
      <sz val="28"/>
      <name val="Times New Roman"/>
      <family val="1"/>
      <charset val="204"/>
    </font>
    <font>
      <b/>
      <i/>
      <sz val="18"/>
      <name val="Times New Roman"/>
      <family val="1"/>
      <charset val="204"/>
    </font>
    <font>
      <b/>
      <i/>
      <sz val="14"/>
      <color indexed="17"/>
      <name val="Times New Roman"/>
      <family val="1"/>
      <charset val="204"/>
    </font>
    <font>
      <b/>
      <u/>
      <sz val="16"/>
      <color indexed="30"/>
      <name val="Times New Roman"/>
      <family val="1"/>
      <charset val="204"/>
    </font>
    <font>
      <sz val="9"/>
      <color indexed="10"/>
      <name val="Times New Roman"/>
      <family val="1"/>
      <charset val="204"/>
    </font>
    <font>
      <sz val="9"/>
      <color indexed="81"/>
      <name val="Tahoma"/>
      <family val="2"/>
      <charset val="204"/>
    </font>
    <font>
      <b/>
      <sz val="9"/>
      <color indexed="81"/>
      <name val="Tahoma"/>
      <family val="2"/>
      <charset val="204"/>
    </font>
    <font>
      <sz val="18"/>
      <color indexed="40"/>
      <name val="Times New Roman"/>
      <family val="1"/>
      <charset val="204"/>
    </font>
    <font>
      <i/>
      <sz val="18"/>
      <color indexed="40"/>
      <name val="Times New Roman"/>
      <family val="1"/>
      <charset val="204"/>
    </font>
    <font>
      <sz val="16"/>
      <color indexed="40"/>
      <name val="Times New Roman"/>
      <family val="1"/>
      <charset val="204"/>
    </font>
    <font>
      <u/>
      <sz val="14"/>
      <name val="Times New Roman"/>
      <family val="1"/>
      <charset val="204"/>
    </font>
    <font>
      <b/>
      <sz val="13"/>
      <color indexed="36"/>
      <name val="Times New Roman"/>
      <family val="1"/>
      <charset val="204"/>
    </font>
    <font>
      <b/>
      <sz val="16"/>
      <color indexed="36"/>
      <name val="Times New Roman"/>
      <family val="1"/>
      <charset val="204"/>
    </font>
    <font>
      <sz val="16"/>
      <color indexed="57"/>
      <name val="Times New Roman"/>
      <family val="1"/>
      <charset val="204"/>
    </font>
    <font>
      <b/>
      <sz val="16"/>
      <color indexed="57"/>
      <name val="Times New Roman"/>
      <family val="1"/>
      <charset val="204"/>
    </font>
    <font>
      <u/>
      <sz val="11"/>
      <color theme="10"/>
      <name val="Calibri"/>
      <family val="2"/>
      <scheme val="minor"/>
    </font>
  </fonts>
  <fills count="1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49"/>
        <bgColor indexed="64"/>
      </patternFill>
    </fill>
    <fill>
      <patternFill patternType="solid">
        <fgColor indexed="62"/>
        <bgColor indexed="64"/>
      </patternFill>
    </fill>
    <fill>
      <patternFill patternType="solid">
        <fgColor indexed="43"/>
        <bgColor indexed="64"/>
      </patternFill>
    </fill>
    <fill>
      <patternFill patternType="solid">
        <fgColor indexed="29"/>
        <bgColor indexed="64"/>
      </patternFill>
    </fill>
    <fill>
      <patternFill patternType="solid">
        <fgColor indexed="44"/>
        <bgColor indexed="64"/>
      </patternFill>
    </fill>
    <fill>
      <patternFill patternType="solid">
        <fgColor indexed="27"/>
        <bgColor indexed="64"/>
      </patternFill>
    </fill>
    <fill>
      <patternFill patternType="solid">
        <fgColor indexed="26"/>
        <bgColor indexed="64"/>
      </patternFill>
    </fill>
    <fill>
      <patternFill patternType="solid">
        <fgColor indexed="40"/>
        <bgColor indexed="64"/>
      </patternFill>
    </fill>
    <fill>
      <patternFill patternType="solid">
        <fgColor indexed="50"/>
        <bgColor indexed="64"/>
      </patternFill>
    </fill>
  </fills>
  <borders count="90">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2"/>
      </left>
      <right style="dashed">
        <color indexed="22"/>
      </right>
      <top style="thin">
        <color indexed="22"/>
      </top>
      <bottom style="thin">
        <color indexed="22"/>
      </bottom>
      <diagonal/>
    </border>
    <border>
      <left style="dashed">
        <color indexed="22"/>
      </left>
      <right style="dashed">
        <color indexed="22"/>
      </right>
      <top style="thin">
        <color indexed="22"/>
      </top>
      <bottom style="thin">
        <color indexed="22"/>
      </bottom>
      <diagonal/>
    </border>
    <border>
      <left style="thin">
        <color indexed="22"/>
      </left>
      <right style="thin">
        <color indexed="57"/>
      </right>
      <top style="thin">
        <color indexed="22"/>
      </top>
      <bottom style="thin">
        <color indexed="22"/>
      </bottom>
      <diagonal/>
    </border>
    <border>
      <left/>
      <right/>
      <top style="thin">
        <color indexed="22"/>
      </top>
      <bottom style="thin">
        <color indexed="22"/>
      </bottom>
      <diagonal/>
    </border>
    <border>
      <left/>
      <right style="dashed">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47"/>
      </right>
      <top/>
      <bottom style="medium">
        <color indexed="47"/>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47"/>
      </left>
      <right style="medium">
        <color indexed="47"/>
      </right>
      <top style="medium">
        <color indexed="47"/>
      </top>
      <bottom/>
      <diagonal/>
    </border>
    <border>
      <left style="medium">
        <color indexed="47"/>
      </left>
      <right style="medium">
        <color indexed="47"/>
      </right>
      <top/>
      <bottom/>
      <diagonal/>
    </border>
    <border>
      <left style="medium">
        <color indexed="47"/>
      </left>
      <right style="medium">
        <color indexed="47"/>
      </right>
      <top/>
      <bottom style="medium">
        <color indexed="47"/>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right/>
      <top style="double">
        <color indexed="64"/>
      </top>
      <bottom/>
      <diagonal/>
    </border>
  </borders>
  <cellStyleXfs count="5">
    <xf numFmtId="0" fontId="0" fillId="0" borderId="0"/>
    <xf numFmtId="0" fontId="151" fillId="0" borderId="0" applyNumberFormat="0" applyFill="0" applyBorder="0" applyAlignment="0" applyProtection="0"/>
    <xf numFmtId="167" fontId="1" fillId="0" borderId="0" applyFont="0" applyFill="0" applyBorder="0" applyAlignment="0" applyProtection="0"/>
    <xf numFmtId="0" fontId="4" fillId="0" borderId="0"/>
    <xf numFmtId="9" fontId="1" fillId="0" borderId="0" applyFont="0" applyFill="0" applyBorder="0" applyAlignment="0" applyProtection="0"/>
  </cellStyleXfs>
  <cellXfs count="1281">
    <xf numFmtId="0" fontId="0" fillId="0" borderId="0" xfId="0"/>
    <xf numFmtId="0" fontId="5" fillId="0" borderId="0" xfId="3" applyFont="1" applyAlignment="1">
      <alignment vertical="center"/>
    </xf>
    <xf numFmtId="0" fontId="5" fillId="0" borderId="0" xfId="3" applyFont="1"/>
    <xf numFmtId="0" fontId="6" fillId="0" borderId="0" xfId="3" applyFont="1" applyAlignment="1">
      <alignment vertical="center"/>
    </xf>
    <xf numFmtId="0" fontId="6" fillId="0" borderId="0" xfId="3" applyFont="1" applyAlignment="1">
      <alignment horizontal="center" vertical="center"/>
    </xf>
    <xf numFmtId="0" fontId="5" fillId="0" borderId="1" xfId="3" applyFont="1" applyBorder="1" applyAlignment="1">
      <alignment vertical="center" wrapText="1"/>
    </xf>
    <xf numFmtId="0" fontId="5" fillId="0" borderId="2" xfId="3" applyFont="1" applyBorder="1" applyAlignment="1">
      <alignment horizontal="center" vertical="center"/>
    </xf>
    <xf numFmtId="0" fontId="5" fillId="0" borderId="1" xfId="3" applyFont="1" applyBorder="1" applyAlignment="1">
      <alignment vertical="center"/>
    </xf>
    <xf numFmtId="0" fontId="6" fillId="0" borderId="3" xfId="3" applyFont="1" applyBorder="1" applyAlignment="1">
      <alignment vertical="center"/>
    </xf>
    <xf numFmtId="0" fontId="6" fillId="0" borderId="4" xfId="3" applyFont="1" applyBorder="1" applyAlignment="1">
      <alignment vertical="center"/>
    </xf>
    <xf numFmtId="0" fontId="6" fillId="0" borderId="5" xfId="3" applyFont="1" applyBorder="1" applyAlignment="1">
      <alignment vertical="center"/>
    </xf>
    <xf numFmtId="0" fontId="6" fillId="0" borderId="6" xfId="3" applyFont="1" applyBorder="1" applyAlignment="1">
      <alignment vertical="center"/>
    </xf>
    <xf numFmtId="0" fontId="6" fillId="0" borderId="7" xfId="3" applyFont="1" applyBorder="1" applyAlignment="1">
      <alignment vertical="center"/>
    </xf>
    <xf numFmtId="0" fontId="6" fillId="0" borderId="8" xfId="3" applyFont="1" applyBorder="1" applyAlignment="1">
      <alignment vertical="center"/>
    </xf>
    <xf numFmtId="0" fontId="5" fillId="0" borderId="2" xfId="3" applyFont="1" applyBorder="1" applyAlignment="1">
      <alignment horizontal="center" vertical="center" wrapText="1"/>
    </xf>
    <xf numFmtId="0" fontId="5" fillId="0" borderId="2" xfId="3" applyFont="1" applyBorder="1" applyAlignment="1">
      <alignment vertical="center" wrapText="1"/>
    </xf>
    <xf numFmtId="0" fontId="5" fillId="0" borderId="9" xfId="3" applyFont="1" applyBorder="1" applyAlignment="1">
      <alignment vertical="center" wrapText="1"/>
    </xf>
    <xf numFmtId="0" fontId="5" fillId="0" borderId="1" xfId="3" applyFont="1" applyBorder="1" applyAlignment="1">
      <alignment horizontal="left" vertical="center"/>
    </xf>
    <xf numFmtId="0" fontId="5" fillId="0" borderId="9" xfId="3" applyFont="1" applyBorder="1" applyAlignment="1">
      <alignment vertical="center"/>
    </xf>
    <xf numFmtId="0" fontId="8" fillId="0" borderId="0" xfId="3" applyFont="1" applyAlignment="1">
      <alignment horizontal="center" vertical="center" wrapText="1"/>
    </xf>
    <xf numFmtId="0" fontId="6" fillId="0" borderId="2" xfId="3" applyFont="1" applyBorder="1" applyAlignment="1">
      <alignment horizontal="center" vertical="center" wrapText="1" shrinkToFit="1"/>
    </xf>
    <xf numFmtId="0" fontId="8" fillId="0" borderId="0" xfId="3" applyFont="1" applyAlignment="1">
      <alignment vertical="center"/>
    </xf>
    <xf numFmtId="0" fontId="6" fillId="0" borderId="2" xfId="3" applyFont="1" applyBorder="1" applyAlignment="1">
      <alignment horizontal="left" vertical="center" wrapText="1"/>
    </xf>
    <xf numFmtId="0" fontId="6" fillId="0" borderId="2" xfId="3" applyFont="1" applyBorder="1" applyAlignment="1">
      <alignment horizontal="left" vertical="center" wrapText="1" indent="2"/>
    </xf>
    <xf numFmtId="0" fontId="6" fillId="0" borderId="0" xfId="3" applyFont="1" applyAlignment="1">
      <alignment horizontal="left" vertical="center" wrapText="1"/>
    </xf>
    <xf numFmtId="164" fontId="6" fillId="0" borderId="0" xfId="3" applyNumberFormat="1" applyFont="1" applyAlignment="1">
      <alignment horizontal="center" vertical="center" wrapText="1"/>
    </xf>
    <xf numFmtId="165" fontId="6" fillId="0" borderId="0" xfId="3" applyNumberFormat="1" applyFont="1" applyAlignment="1">
      <alignment horizontal="right" vertical="center" wrapText="1"/>
    </xf>
    <xf numFmtId="0" fontId="8" fillId="0" borderId="0" xfId="3" applyFont="1" applyAlignment="1">
      <alignment horizontal="left" vertical="center" wrapText="1"/>
    </xf>
    <xf numFmtId="165" fontId="9" fillId="0" borderId="0" xfId="3" applyNumberFormat="1" applyFont="1" applyAlignment="1">
      <alignment vertical="center"/>
    </xf>
    <xf numFmtId="0" fontId="6" fillId="0" borderId="0" xfId="3" applyFont="1" applyAlignment="1">
      <alignment horizontal="left" vertical="center"/>
    </xf>
    <xf numFmtId="0" fontId="6" fillId="0" borderId="0" xfId="3" applyFont="1" applyAlignment="1">
      <alignment vertical="center" wrapText="1"/>
    </xf>
    <xf numFmtId="0" fontId="5" fillId="0" borderId="7" xfId="3" applyFont="1" applyBorder="1"/>
    <xf numFmtId="0" fontId="5" fillId="0" borderId="7" xfId="3" applyFont="1" applyBorder="1" applyAlignment="1">
      <alignment vertical="center"/>
    </xf>
    <xf numFmtId="0" fontId="8" fillId="0" borderId="2" xfId="3" applyFont="1" applyBorder="1" applyAlignment="1">
      <alignment horizontal="left" vertical="center" wrapText="1"/>
    </xf>
    <xf numFmtId="0" fontId="6" fillId="0" borderId="2" xfId="3" applyFont="1" applyBorder="1" applyAlignment="1">
      <alignment horizontal="center" vertical="center" wrapText="1"/>
    </xf>
    <xf numFmtId="0" fontId="6" fillId="0" borderId="2" xfId="3" applyFont="1" applyBorder="1" applyAlignment="1">
      <alignment horizontal="center" vertical="center"/>
    </xf>
    <xf numFmtId="0" fontId="5" fillId="0" borderId="10" xfId="3" applyFont="1" applyBorder="1" applyAlignment="1">
      <alignment horizontal="left" vertical="center" wrapText="1"/>
    </xf>
    <xf numFmtId="0" fontId="6" fillId="0" borderId="10" xfId="3" applyFont="1" applyBorder="1" applyAlignment="1">
      <alignment vertical="center"/>
    </xf>
    <xf numFmtId="0" fontId="13" fillId="0" borderId="0" xfId="3" applyFont="1" applyAlignment="1">
      <alignment vertical="center"/>
    </xf>
    <xf numFmtId="0" fontId="12" fillId="0" borderId="0" xfId="0" applyFont="1" applyAlignment="1">
      <alignment vertical="center" wrapText="1"/>
    </xf>
    <xf numFmtId="0" fontId="18" fillId="0" borderId="0" xfId="3" applyFont="1" applyAlignment="1">
      <alignment vertical="center"/>
    </xf>
    <xf numFmtId="3" fontId="6" fillId="0" borderId="2" xfId="3" applyNumberFormat="1" applyFont="1" applyBorder="1" applyAlignment="1">
      <alignment horizontal="center" vertical="center" wrapText="1"/>
    </xf>
    <xf numFmtId="3" fontId="6" fillId="2" borderId="2" xfId="3" applyNumberFormat="1" applyFont="1" applyFill="1" applyBorder="1" applyAlignment="1">
      <alignment horizontal="center" vertical="center" wrapText="1"/>
    </xf>
    <xf numFmtId="0" fontId="22" fillId="0" borderId="2" xfId="3" applyFont="1" applyBorder="1" applyAlignment="1">
      <alignment horizontal="left" vertical="center" wrapText="1"/>
    </xf>
    <xf numFmtId="0" fontId="19" fillId="0" borderId="0" xfId="1" applyFont="1" applyAlignment="1">
      <alignment horizontal="left" vertical="center" wrapText="1"/>
    </xf>
    <xf numFmtId="0" fontId="15" fillId="0" borderId="0" xfId="0" applyFont="1" applyAlignment="1">
      <alignment horizontal="left" vertical="center" wrapText="1"/>
    </xf>
    <xf numFmtId="0" fontId="6" fillId="3" borderId="2" xfId="3" applyFont="1" applyFill="1" applyBorder="1" applyAlignment="1">
      <alignment horizontal="left" vertical="center" wrapText="1"/>
    </xf>
    <xf numFmtId="0" fontId="6" fillId="0" borderId="2" xfId="3" quotePrefix="1" applyFont="1" applyBorder="1" applyAlignment="1">
      <alignment horizontal="center" vertical="center"/>
    </xf>
    <xf numFmtId="0" fontId="23" fillId="0" borderId="0" xfId="0" applyFont="1"/>
    <xf numFmtId="0" fontId="23" fillId="3" borderId="0" xfId="0" applyFont="1" applyFill="1"/>
    <xf numFmtId="0" fontId="24" fillId="0" borderId="0" xfId="0" applyFont="1"/>
    <xf numFmtId="0" fontId="22" fillId="4" borderId="2" xfId="0" applyFont="1" applyFill="1" applyBorder="1" applyAlignment="1">
      <alignment wrapText="1"/>
    </xf>
    <xf numFmtId="0" fontId="22" fillId="3" borderId="0" xfId="3" applyFont="1" applyFill="1" applyAlignment="1">
      <alignment horizontal="left" vertical="center" wrapText="1"/>
    </xf>
    <xf numFmtId="0" fontId="22" fillId="4" borderId="2" xfId="0" applyFont="1" applyFill="1" applyBorder="1" applyAlignment="1">
      <alignment vertical="center" wrapText="1"/>
    </xf>
    <xf numFmtId="3" fontId="28" fillId="5" borderId="2" xfId="0" applyNumberFormat="1" applyFont="1" applyFill="1" applyBorder="1" applyAlignment="1">
      <alignment horizontal="center" vertical="center"/>
    </xf>
    <xf numFmtId="0" fontId="8" fillId="3" borderId="2" xfId="0" applyFont="1" applyFill="1" applyBorder="1" applyAlignment="1">
      <alignment horizontal="left" vertical="center" wrapText="1"/>
    </xf>
    <xf numFmtId="0" fontId="6" fillId="0" borderId="2" xfId="3" applyFont="1" applyBorder="1" applyAlignment="1">
      <alignment vertical="center"/>
    </xf>
    <xf numFmtId="0" fontId="6" fillId="0" borderId="2" xfId="3" quotePrefix="1" applyFont="1" applyBorder="1" applyAlignment="1">
      <alignment horizontal="center" vertical="center" wrapText="1"/>
    </xf>
    <xf numFmtId="0" fontId="6" fillId="0" borderId="0" xfId="3" applyFont="1" applyAlignment="1">
      <alignment horizontal="center" vertical="center" wrapText="1"/>
    </xf>
    <xf numFmtId="0" fontId="6" fillId="0" borderId="0" xfId="3" quotePrefix="1" applyFont="1" applyAlignment="1">
      <alignment horizontal="center" vertical="center"/>
    </xf>
    <xf numFmtId="0" fontId="15" fillId="6" borderId="0" xfId="0" applyFont="1" applyFill="1"/>
    <xf numFmtId="0" fontId="16" fillId="6" borderId="0" xfId="0" applyFont="1" applyFill="1"/>
    <xf numFmtId="0" fontId="20" fillId="0" borderId="0" xfId="0" applyFont="1" applyAlignment="1">
      <alignment horizontal="left"/>
    </xf>
    <xf numFmtId="0" fontId="15" fillId="0" borderId="0" xfId="0" applyFont="1"/>
    <xf numFmtId="0" fontId="30" fillId="3" borderId="0" xfId="0" applyFont="1" applyFill="1"/>
    <xf numFmtId="0" fontId="31" fillId="3" borderId="0" xfId="0" applyFont="1" applyFill="1" applyAlignment="1">
      <alignment horizontal="center" vertical="center"/>
    </xf>
    <xf numFmtId="0" fontId="32" fillId="3" borderId="0" xfId="0" applyFont="1" applyFill="1"/>
    <xf numFmtId="0" fontId="30" fillId="0" borderId="0" xfId="0" applyFont="1"/>
    <xf numFmtId="0" fontId="24" fillId="3" borderId="0" xfId="0" applyFont="1" applyFill="1"/>
    <xf numFmtId="0" fontId="33" fillId="3" borderId="0" xfId="0" applyFont="1" applyFill="1"/>
    <xf numFmtId="0" fontId="34" fillId="7" borderId="11" xfId="0" applyFont="1" applyFill="1" applyBorder="1" applyAlignment="1">
      <alignment horizontal="center" vertical="center" wrapText="1"/>
    </xf>
    <xf numFmtId="0" fontId="34" fillId="7" borderId="12" xfId="0" applyFont="1" applyFill="1" applyBorder="1" applyAlignment="1">
      <alignment horizontal="center" vertical="center" wrapText="1"/>
    </xf>
    <xf numFmtId="0" fontId="24" fillId="2" borderId="0" xfId="0" applyFont="1" applyFill="1"/>
    <xf numFmtId="0" fontId="36" fillId="0" borderId="13" xfId="0" applyFont="1" applyBorder="1" applyAlignment="1">
      <alignment vertical="center" wrapText="1"/>
    </xf>
    <xf numFmtId="0" fontId="6" fillId="0" borderId="0" xfId="0" applyFont="1" applyAlignment="1">
      <alignment horizontal="left" vertical="center" wrapText="1"/>
    </xf>
    <xf numFmtId="3" fontId="28" fillId="0" borderId="0" xfId="0" applyNumberFormat="1" applyFont="1" applyAlignment="1">
      <alignment horizontal="center" vertical="center"/>
    </xf>
    <xf numFmtId="0" fontId="38" fillId="3" borderId="2" xfId="0" applyFont="1" applyFill="1" applyBorder="1" applyAlignment="1">
      <alignment vertical="center" wrapText="1"/>
    </xf>
    <xf numFmtId="9" fontId="39" fillId="5" borderId="2" xfId="4" applyFont="1" applyFill="1" applyBorder="1" applyAlignment="1">
      <alignment horizontal="center" vertical="center" wrapText="1"/>
    </xf>
    <xf numFmtId="0" fontId="28" fillId="3" borderId="0" xfId="0" applyFont="1" applyFill="1" applyAlignment="1">
      <alignment vertical="center" wrapText="1"/>
    </xf>
    <xf numFmtId="9" fontId="39" fillId="3" borderId="0" xfId="4" applyFont="1" applyFill="1" applyAlignment="1">
      <alignment horizontal="center" vertical="center" wrapText="1"/>
    </xf>
    <xf numFmtId="0" fontId="29" fillId="3" borderId="2" xfId="0" applyFont="1" applyFill="1" applyBorder="1" applyAlignment="1">
      <alignment horizontal="center" vertical="center"/>
    </xf>
    <xf numFmtId="3" fontId="30" fillId="3" borderId="0" xfId="0" applyNumberFormat="1" applyFont="1" applyFill="1" applyAlignment="1">
      <alignment horizontal="center" vertical="center"/>
    </xf>
    <xf numFmtId="0" fontId="33" fillId="0" borderId="11" xfId="0" applyFont="1" applyBorder="1" applyAlignment="1">
      <alignment horizontal="center" vertical="center" wrapText="1"/>
    </xf>
    <xf numFmtId="0" fontId="33" fillId="0" borderId="12" xfId="0" applyFont="1" applyBorder="1" applyAlignment="1">
      <alignment horizontal="center" vertical="center" wrapText="1"/>
    </xf>
    <xf numFmtId="164" fontId="24" fillId="0" borderId="14" xfId="0" applyNumberFormat="1" applyFont="1" applyBorder="1" applyAlignment="1">
      <alignment horizontal="center" vertical="center" wrapText="1"/>
    </xf>
    <xf numFmtId="168" fontId="35" fillId="0" borderId="14" xfId="0" applyNumberFormat="1" applyFont="1" applyBorder="1"/>
    <xf numFmtId="164" fontId="24" fillId="2" borderId="15" xfId="0" applyNumberFormat="1" applyFont="1" applyFill="1" applyBorder="1" applyAlignment="1">
      <alignment horizontal="center" vertical="center" wrapText="1"/>
    </xf>
    <xf numFmtId="169" fontId="24" fillId="2" borderId="12" xfId="0" applyNumberFormat="1" applyFont="1" applyFill="1" applyBorder="1" applyAlignment="1">
      <alignment horizontal="center" vertical="center" wrapText="1"/>
    </xf>
    <xf numFmtId="0" fontId="10" fillId="3" borderId="0" xfId="0" applyFont="1" applyFill="1"/>
    <xf numFmtId="0" fontId="40" fillId="0" borderId="13" xfId="0" applyFont="1" applyBorder="1" applyAlignment="1">
      <alignment vertical="center" wrapText="1"/>
    </xf>
    <xf numFmtId="0" fontId="10" fillId="0" borderId="0" xfId="0" applyFont="1"/>
    <xf numFmtId="0" fontId="42" fillId="6" borderId="0" xfId="0" applyFont="1" applyFill="1"/>
    <xf numFmtId="0" fontId="32" fillId="0" borderId="0" xfId="0" applyFont="1"/>
    <xf numFmtId="0" fontId="33" fillId="0" borderId="0" xfId="0" applyFont="1"/>
    <xf numFmtId="168" fontId="10" fillId="0" borderId="14" xfId="0" applyNumberFormat="1" applyFont="1" applyBorder="1"/>
    <xf numFmtId="168" fontId="40" fillId="0" borderId="14" xfId="0" applyNumberFormat="1" applyFont="1" applyBorder="1" applyAlignment="1">
      <alignment horizontal="right"/>
    </xf>
    <xf numFmtId="164" fontId="10" fillId="0" borderId="14" xfId="0" applyNumberFormat="1" applyFont="1" applyBorder="1" applyAlignment="1">
      <alignment horizontal="center" vertical="center" wrapText="1"/>
    </xf>
    <xf numFmtId="168" fontId="40" fillId="0" borderId="14" xfId="0" applyNumberFormat="1" applyFont="1" applyBorder="1"/>
    <xf numFmtId="0" fontId="43" fillId="0" borderId="16" xfId="0" applyFont="1" applyBorder="1" applyAlignment="1">
      <alignment horizontal="justify" vertical="center" wrapText="1"/>
    </xf>
    <xf numFmtId="0" fontId="44" fillId="0" borderId="17" xfId="0" applyFont="1" applyBorder="1" applyAlignment="1">
      <alignment horizontal="justify" vertical="center" wrapText="1"/>
    </xf>
    <xf numFmtId="0" fontId="44" fillId="0" borderId="18" xfId="0" applyFont="1" applyBorder="1" applyAlignment="1">
      <alignment horizontal="justify" vertical="center" wrapText="1"/>
    </xf>
    <xf numFmtId="0" fontId="44" fillId="2" borderId="18" xfId="0" applyFont="1" applyFill="1" applyBorder="1" applyAlignment="1">
      <alignment horizontal="justify" vertical="center" wrapText="1"/>
    </xf>
    <xf numFmtId="0" fontId="44" fillId="8" borderId="17" xfId="0" applyFont="1" applyFill="1" applyBorder="1" applyAlignment="1">
      <alignment horizontal="justify" vertical="center" wrapText="1"/>
    </xf>
    <xf numFmtId="0" fontId="15" fillId="0" borderId="0" xfId="0" applyFont="1" applyAlignment="1">
      <alignment horizontal="center" vertical="center" wrapText="1"/>
    </xf>
    <xf numFmtId="0" fontId="15" fillId="0" borderId="16" xfId="0" applyFont="1" applyBorder="1" applyAlignment="1">
      <alignment horizontal="justify" vertical="center" wrapText="1"/>
    </xf>
    <xf numFmtId="0" fontId="47" fillId="0" borderId="18" xfId="0" applyFont="1" applyBorder="1" applyAlignment="1">
      <alignment horizontal="justify" vertical="center" wrapText="1"/>
    </xf>
    <xf numFmtId="0" fontId="47" fillId="2" borderId="18" xfId="0" applyFont="1" applyFill="1" applyBorder="1" applyAlignment="1">
      <alignment horizontal="justify" vertical="center" wrapText="1"/>
    </xf>
    <xf numFmtId="0" fontId="47" fillId="5" borderId="18" xfId="0" applyFont="1" applyFill="1" applyBorder="1" applyAlignment="1">
      <alignment horizontal="justify" vertical="center" wrapText="1"/>
    </xf>
    <xf numFmtId="0" fontId="47" fillId="5" borderId="17" xfId="0" applyFont="1" applyFill="1" applyBorder="1" applyAlignment="1">
      <alignment horizontal="justify" vertical="center" wrapText="1"/>
    </xf>
    <xf numFmtId="0" fontId="43" fillId="9" borderId="17" xfId="0" applyFont="1" applyFill="1" applyBorder="1" applyAlignment="1">
      <alignment horizontal="justify" vertical="center" wrapText="1"/>
    </xf>
    <xf numFmtId="0" fontId="44" fillId="2" borderId="17" xfId="0" applyFont="1" applyFill="1" applyBorder="1" applyAlignment="1">
      <alignment horizontal="justify" vertical="center" wrapText="1"/>
    </xf>
    <xf numFmtId="0" fontId="48" fillId="0" borderId="17" xfId="0" applyFont="1" applyBorder="1" applyAlignment="1">
      <alignment horizontal="justify" vertical="center" wrapText="1"/>
    </xf>
    <xf numFmtId="0" fontId="51" fillId="0" borderId="0" xfId="0" applyFont="1" applyAlignment="1">
      <alignment horizontal="center" vertical="center"/>
    </xf>
    <xf numFmtId="0" fontId="20" fillId="0" borderId="0" xfId="0" applyFont="1" applyAlignment="1">
      <alignment horizontal="center" vertical="center"/>
    </xf>
    <xf numFmtId="0" fontId="20" fillId="0" borderId="2" xfId="0" applyFont="1" applyBorder="1" applyAlignment="1">
      <alignment horizontal="center" vertical="center"/>
    </xf>
    <xf numFmtId="0" fontId="20" fillId="0" borderId="2" xfId="0" applyFont="1" applyBorder="1" applyAlignment="1">
      <alignment horizontal="center" vertical="center" wrapText="1"/>
    </xf>
    <xf numFmtId="0" fontId="38" fillId="0" borderId="0" xfId="0" applyFont="1"/>
    <xf numFmtId="0" fontId="52" fillId="0" borderId="18" xfId="0" applyFont="1" applyBorder="1" applyAlignment="1">
      <alignment vertical="top" wrapText="1"/>
    </xf>
    <xf numFmtId="0" fontId="52" fillId="0" borderId="17" xfId="0" applyFont="1" applyBorder="1" applyAlignment="1">
      <alignment vertical="top" wrapText="1"/>
    </xf>
    <xf numFmtId="0" fontId="16" fillId="0" borderId="0" xfId="0" applyFont="1" applyAlignment="1">
      <alignment vertical="center"/>
    </xf>
    <xf numFmtId="0" fontId="54" fillId="0" borderId="0" xfId="0" applyFont="1" applyAlignment="1">
      <alignment horizontal="left"/>
    </xf>
    <xf numFmtId="0" fontId="55" fillId="0" borderId="0" xfId="0" applyFont="1"/>
    <xf numFmtId="0" fontId="20" fillId="0" borderId="0" xfId="0" applyFont="1" applyAlignment="1">
      <alignment vertical="center"/>
    </xf>
    <xf numFmtId="0" fontId="38" fillId="0" borderId="0" xfId="0" applyFont="1" applyAlignment="1">
      <alignment horizontal="center" vertical="center" wrapText="1"/>
    </xf>
    <xf numFmtId="0" fontId="20" fillId="0" borderId="10" xfId="0" applyFont="1" applyBorder="1" applyAlignment="1">
      <alignment horizontal="center" vertical="center" wrapText="1"/>
    </xf>
    <xf numFmtId="0" fontId="15" fillId="0" borderId="3" xfId="0" applyFont="1" applyBorder="1" applyAlignment="1">
      <alignment horizontal="left" vertical="center" wrapText="1"/>
    </xf>
    <xf numFmtId="0" fontId="15" fillId="0" borderId="19" xfId="0" applyFont="1" applyBorder="1" applyAlignment="1">
      <alignment horizontal="left" vertical="center" wrapText="1"/>
    </xf>
    <xf numFmtId="0" fontId="16" fillId="0" borderId="19" xfId="0" applyFont="1" applyBorder="1" applyAlignment="1">
      <alignment horizontal="left" vertical="center" wrapText="1"/>
    </xf>
    <xf numFmtId="0" fontId="2" fillId="0" borderId="19" xfId="0" applyFont="1" applyBorder="1" applyAlignment="1">
      <alignment horizontal="left" vertical="center" wrapText="1"/>
    </xf>
    <xf numFmtId="0" fontId="15" fillId="0" borderId="6" xfId="0" applyFont="1" applyBorder="1" applyAlignment="1">
      <alignment horizontal="left" vertical="center" wrapText="1"/>
    </xf>
    <xf numFmtId="0" fontId="59" fillId="6" borderId="0" xfId="0" applyFont="1" applyFill="1" applyAlignment="1">
      <alignment horizontal="center" vertical="center"/>
    </xf>
    <xf numFmtId="0" fontId="52" fillId="6" borderId="0" xfId="0" applyFont="1" applyFill="1"/>
    <xf numFmtId="0" fontId="60" fillId="6" borderId="0" xfId="0" applyFont="1" applyFill="1"/>
    <xf numFmtId="0" fontId="61" fillId="6" borderId="0" xfId="0" applyFont="1" applyFill="1"/>
    <xf numFmtId="0" fontId="59" fillId="6" borderId="0" xfId="0" applyFont="1" applyFill="1"/>
    <xf numFmtId="0" fontId="46" fillId="0" borderId="0" xfId="0" applyFont="1"/>
    <xf numFmtId="0" fontId="59" fillId="0" borderId="0" xfId="0" applyFont="1" applyAlignment="1">
      <alignment horizontal="center" vertical="center"/>
    </xf>
    <xf numFmtId="0" fontId="52" fillId="0" borderId="0" xfId="0" applyFont="1"/>
    <xf numFmtId="0" fontId="52" fillId="0" borderId="0" xfId="0" applyFont="1" applyAlignment="1">
      <alignment vertical="center"/>
    </xf>
    <xf numFmtId="0" fontId="63" fillId="0" borderId="0" xfId="0" applyFont="1" applyAlignment="1">
      <alignment vertical="center"/>
    </xf>
    <xf numFmtId="0" fontId="60" fillId="0" borderId="0" xfId="0" applyFont="1"/>
    <xf numFmtId="0" fontId="61" fillId="0" borderId="0" xfId="0" applyFont="1"/>
    <xf numFmtId="0" fontId="59" fillId="0" borderId="0" xfId="0" applyFont="1"/>
    <xf numFmtId="0" fontId="52" fillId="0" borderId="0" xfId="0" applyFont="1" applyAlignment="1">
      <alignment horizontal="center"/>
    </xf>
    <xf numFmtId="0" fontId="62" fillId="0" borderId="0" xfId="0" applyFont="1"/>
    <xf numFmtId="49" fontId="61" fillId="0" borderId="0" xfId="0" applyNumberFormat="1" applyFont="1"/>
    <xf numFmtId="3" fontId="5" fillId="0" borderId="2" xfId="0" applyNumberFormat="1" applyFont="1" applyBorder="1" applyAlignment="1" applyProtection="1">
      <alignment horizontal="center" vertical="center"/>
      <protection locked="0"/>
    </xf>
    <xf numFmtId="3" fontId="22" fillId="4" borderId="20" xfId="0" applyNumberFormat="1" applyFont="1" applyFill="1" applyBorder="1" applyAlignment="1" applyProtection="1">
      <alignment horizontal="center" vertical="center"/>
      <protection locked="0"/>
    </xf>
    <xf numFmtId="0" fontId="67" fillId="0" borderId="0" xfId="0" applyFont="1"/>
    <xf numFmtId="3" fontId="22" fillId="4" borderId="21" xfId="0" applyNumberFormat="1" applyFont="1" applyFill="1" applyBorder="1" applyAlignment="1" applyProtection="1">
      <alignment horizontal="center" vertical="center"/>
      <protection locked="0"/>
    </xf>
    <xf numFmtId="3" fontId="22" fillId="4" borderId="22" xfId="0" applyNumberFormat="1" applyFont="1" applyFill="1" applyBorder="1" applyAlignment="1" applyProtection="1">
      <alignment horizontal="center" vertical="center"/>
      <protection locked="0"/>
    </xf>
    <xf numFmtId="0" fontId="69" fillId="0" borderId="0" xfId="0" applyFont="1" applyAlignment="1">
      <alignment horizontal="center" vertical="center"/>
    </xf>
    <xf numFmtId="0" fontId="61" fillId="0" borderId="0" xfId="0" applyFont="1" applyAlignment="1">
      <alignment horizontal="center"/>
    </xf>
    <xf numFmtId="0" fontId="69" fillId="0" borderId="0" xfId="0" applyFont="1"/>
    <xf numFmtId="0" fontId="70" fillId="0" borderId="0" xfId="0" applyFont="1" applyAlignment="1">
      <alignment horizontal="center" vertical="center"/>
    </xf>
    <xf numFmtId="0" fontId="73" fillId="0" borderId="0" xfId="0" applyFont="1"/>
    <xf numFmtId="0" fontId="74" fillId="0" borderId="0" xfId="0" applyFont="1"/>
    <xf numFmtId="0" fontId="70" fillId="0" borderId="0" xfId="0" applyFont="1"/>
    <xf numFmtId="0" fontId="72" fillId="0" borderId="0" xfId="0" applyFont="1" applyAlignment="1">
      <alignment horizontal="center" vertical="center"/>
    </xf>
    <xf numFmtId="49" fontId="29" fillId="0" borderId="23" xfId="0" applyNumberFormat="1" applyFont="1" applyBorder="1" applyAlignment="1">
      <alignment horizontal="center" vertical="center"/>
    </xf>
    <xf numFmtId="49" fontId="29" fillId="0" borderId="21" xfId="0" applyNumberFormat="1" applyFont="1" applyBorder="1" applyAlignment="1">
      <alignment horizontal="center" vertical="center"/>
    </xf>
    <xf numFmtId="49" fontId="29" fillId="0" borderId="22" xfId="0" applyNumberFormat="1" applyFont="1" applyBorder="1" applyAlignment="1">
      <alignment horizontal="center" vertical="center"/>
    </xf>
    <xf numFmtId="49" fontId="64" fillId="0" borderId="21" xfId="0" applyNumberFormat="1" applyFont="1" applyBorder="1" applyAlignment="1">
      <alignment horizontal="center" vertical="center"/>
    </xf>
    <xf numFmtId="49" fontId="29" fillId="0" borderId="24" xfId="0" applyNumberFormat="1" applyFont="1" applyBorder="1" applyAlignment="1">
      <alignment horizontal="center" vertical="center"/>
    </xf>
    <xf numFmtId="0" fontId="75" fillId="0" borderId="0" xfId="0" applyFont="1"/>
    <xf numFmtId="0" fontId="76" fillId="0" borderId="0" xfId="0" applyFont="1"/>
    <xf numFmtId="0" fontId="72" fillId="0" borderId="0" xfId="0" applyFont="1"/>
    <xf numFmtId="3" fontId="78" fillId="0" borderId="25" xfId="0" applyNumberFormat="1" applyFont="1" applyBorder="1" applyAlignment="1">
      <alignment horizontal="center" vertical="center"/>
    </xf>
    <xf numFmtId="3" fontId="78" fillId="0" borderId="17" xfId="0" applyNumberFormat="1" applyFont="1" applyBorder="1" applyAlignment="1">
      <alignment horizontal="center" vertical="center"/>
    </xf>
    <xf numFmtId="3" fontId="78" fillId="0" borderId="26" xfId="0" applyNumberFormat="1" applyFont="1" applyBorder="1" applyAlignment="1">
      <alignment horizontal="center" vertical="center"/>
    </xf>
    <xf numFmtId="3" fontId="78" fillId="0" borderId="27" xfId="0" applyNumberFormat="1" applyFont="1" applyBorder="1" applyAlignment="1">
      <alignment horizontal="center" vertical="center"/>
    </xf>
    <xf numFmtId="3" fontId="78" fillId="0" borderId="6" xfId="0" applyNumberFormat="1" applyFont="1" applyBorder="1" applyAlignment="1">
      <alignment horizontal="center" vertical="center"/>
    </xf>
    <xf numFmtId="3" fontId="78" fillId="0" borderId="28" xfId="0" applyNumberFormat="1" applyFont="1" applyBorder="1" applyAlignment="1">
      <alignment horizontal="center" vertical="center"/>
    </xf>
    <xf numFmtId="3" fontId="78" fillId="0" borderId="2" xfId="0" applyNumberFormat="1" applyFont="1" applyBorder="1" applyAlignment="1">
      <alignment horizontal="center" vertical="center"/>
    </xf>
    <xf numFmtId="3" fontId="78" fillId="0" borderId="20" xfId="0" applyNumberFormat="1" applyFont="1" applyBorder="1" applyAlignment="1">
      <alignment horizontal="center" vertical="center"/>
    </xf>
    <xf numFmtId="3" fontId="78" fillId="0" borderId="29" xfId="0" applyNumberFormat="1" applyFont="1" applyBorder="1" applyAlignment="1">
      <alignment horizontal="center" vertical="center"/>
    </xf>
    <xf numFmtId="3" fontId="78" fillId="0" borderId="10" xfId="0" applyNumberFormat="1" applyFont="1" applyBorder="1" applyAlignment="1">
      <alignment horizontal="center" vertical="center"/>
    </xf>
    <xf numFmtId="3" fontId="78" fillId="4" borderId="28" xfId="0" applyNumberFormat="1" applyFont="1" applyFill="1" applyBorder="1" applyAlignment="1">
      <alignment horizontal="center" vertical="center"/>
    </xf>
    <xf numFmtId="3" fontId="78" fillId="4" borderId="2" xfId="0" applyNumberFormat="1" applyFont="1" applyFill="1" applyBorder="1" applyAlignment="1">
      <alignment horizontal="center" vertical="center"/>
    </xf>
    <xf numFmtId="3" fontId="78" fillId="4" borderId="20" xfId="0" applyNumberFormat="1" applyFont="1" applyFill="1" applyBorder="1" applyAlignment="1">
      <alignment horizontal="center" vertical="center"/>
    </xf>
    <xf numFmtId="3" fontId="78" fillId="4" borderId="29" xfId="0" applyNumberFormat="1" applyFont="1" applyFill="1" applyBorder="1" applyAlignment="1">
      <alignment horizontal="center" vertical="center"/>
    </xf>
    <xf numFmtId="3" fontId="78" fillId="4" borderId="10" xfId="0" applyNumberFormat="1" applyFont="1" applyFill="1" applyBorder="1" applyAlignment="1">
      <alignment horizontal="center" vertical="center"/>
    </xf>
    <xf numFmtId="0" fontId="63" fillId="0" borderId="0" xfId="0" applyFont="1" applyAlignment="1">
      <alignment horizontal="center" vertical="center"/>
    </xf>
    <xf numFmtId="0" fontId="82" fillId="0" borderId="0" xfId="0" applyFont="1"/>
    <xf numFmtId="0" fontId="53" fillId="0" borderId="0" xfId="0" applyFont="1" applyAlignment="1">
      <alignment horizontal="center" vertical="center"/>
    </xf>
    <xf numFmtId="3" fontId="78" fillId="4" borderId="30" xfId="0" applyNumberFormat="1" applyFont="1" applyFill="1" applyBorder="1" applyAlignment="1">
      <alignment horizontal="center" vertical="center"/>
    </xf>
    <xf numFmtId="0" fontId="68" fillId="0" borderId="0" xfId="0" applyFont="1"/>
    <xf numFmtId="0" fontId="83" fillId="0" borderId="0" xfId="0" applyFont="1"/>
    <xf numFmtId="3" fontId="52" fillId="0" borderId="0" xfId="0" applyNumberFormat="1" applyFont="1"/>
    <xf numFmtId="0" fontId="56" fillId="0" borderId="0" xfId="0" applyFont="1" applyAlignment="1">
      <alignment horizontal="center" vertical="center"/>
    </xf>
    <xf numFmtId="0" fontId="12" fillId="0" borderId="0" xfId="0" applyFont="1" applyAlignment="1">
      <alignment horizontal="center" vertical="center" wrapText="1"/>
    </xf>
    <xf numFmtId="0" fontId="56" fillId="0" borderId="0" xfId="0" applyFont="1"/>
    <xf numFmtId="49" fontId="56" fillId="0" borderId="2" xfId="0" applyNumberFormat="1" applyFont="1" applyBorder="1" applyAlignment="1">
      <alignment horizontal="center" vertical="center"/>
    </xf>
    <xf numFmtId="0" fontId="86" fillId="0" borderId="0" xfId="0" applyFont="1" applyAlignment="1">
      <alignment horizontal="center" vertical="center" wrapText="1"/>
    </xf>
    <xf numFmtId="0" fontId="87" fillId="10" borderId="0" xfId="0" applyFont="1" applyFill="1" applyAlignment="1">
      <alignment horizontal="center" vertical="center"/>
    </xf>
    <xf numFmtId="0" fontId="87" fillId="0" borderId="8" xfId="0" applyFont="1" applyBorder="1" applyAlignment="1">
      <alignment horizontal="center" vertical="center" wrapText="1"/>
    </xf>
    <xf numFmtId="3" fontId="17" fillId="0" borderId="2" xfId="0" applyNumberFormat="1" applyFont="1" applyBorder="1" applyAlignment="1">
      <alignment horizontal="center" vertical="center"/>
    </xf>
    <xf numFmtId="0" fontId="87" fillId="0" borderId="0" xfId="0" applyFont="1" applyAlignment="1">
      <alignment horizontal="center" vertical="center"/>
    </xf>
    <xf numFmtId="0" fontId="89" fillId="0" borderId="0" xfId="0" applyFont="1" applyAlignment="1">
      <alignment horizontal="center" vertical="center" wrapText="1"/>
    </xf>
    <xf numFmtId="3" fontId="6" fillId="2" borderId="2" xfId="0" applyNumberFormat="1" applyFont="1" applyFill="1" applyBorder="1" applyAlignment="1">
      <alignment horizontal="center" vertical="center"/>
    </xf>
    <xf numFmtId="3" fontId="86" fillId="0" borderId="2" xfId="0" applyNumberFormat="1" applyFont="1" applyBorder="1" applyAlignment="1">
      <alignment horizontal="center" vertical="center"/>
    </xf>
    <xf numFmtId="0" fontId="89" fillId="0" borderId="0" xfId="0" applyFont="1" applyAlignment="1">
      <alignment horizontal="center" vertical="center"/>
    </xf>
    <xf numFmtId="0" fontId="10" fillId="0" borderId="5" xfId="0" applyFont="1" applyBorder="1" applyAlignment="1">
      <alignment horizontal="center" vertical="center" wrapText="1"/>
    </xf>
    <xf numFmtId="9" fontId="17" fillId="0" borderId="16" xfId="4" applyFont="1" applyBorder="1" applyAlignment="1">
      <alignment horizontal="center" vertical="center"/>
    </xf>
    <xf numFmtId="0" fontId="40" fillId="0" borderId="31" xfId="0" applyFont="1" applyBorder="1" applyAlignment="1">
      <alignment horizontal="center" vertical="center" wrapText="1"/>
    </xf>
    <xf numFmtId="3" fontId="17" fillId="0" borderId="32" xfId="4" applyNumberFormat="1" applyFont="1" applyBorder="1" applyAlignment="1">
      <alignment horizontal="center" vertical="center"/>
    </xf>
    <xf numFmtId="3" fontId="17" fillId="0" borderId="33" xfId="4" applyNumberFormat="1" applyFont="1" applyBorder="1" applyAlignment="1">
      <alignment horizontal="center" vertical="center"/>
    </xf>
    <xf numFmtId="0" fontId="10" fillId="0" borderId="8" xfId="0" applyFont="1" applyBorder="1" applyAlignment="1">
      <alignment horizontal="center" vertical="center" wrapText="1"/>
    </xf>
    <xf numFmtId="3" fontId="17" fillId="0" borderId="17" xfId="4" applyNumberFormat="1" applyFont="1" applyBorder="1" applyAlignment="1">
      <alignment horizontal="center" vertical="center"/>
    </xf>
    <xf numFmtId="3" fontId="17" fillId="0" borderId="17" xfId="0" applyNumberFormat="1" applyFont="1" applyBorder="1" applyAlignment="1">
      <alignment horizontal="center" vertical="center"/>
    </xf>
    <xf numFmtId="3" fontId="90" fillId="0" borderId="2" xfId="0" applyNumberFormat="1" applyFont="1" applyBorder="1" applyAlignment="1">
      <alignment horizontal="center" vertical="center"/>
    </xf>
    <xf numFmtId="3" fontId="91" fillId="0" borderId="20" xfId="0" applyNumberFormat="1" applyFont="1" applyBorder="1" applyAlignment="1">
      <alignment horizontal="center" vertical="center"/>
    </xf>
    <xf numFmtId="0" fontId="24" fillId="0" borderId="9" xfId="0" applyFont="1" applyBorder="1" applyAlignment="1">
      <alignment horizontal="center" vertical="center" wrapText="1"/>
    </xf>
    <xf numFmtId="0" fontId="92" fillId="0" borderId="0" xfId="0" applyFont="1" applyAlignment="1">
      <alignment horizontal="center" vertical="center"/>
    </xf>
    <xf numFmtId="0" fontId="93" fillId="0" borderId="9" xfId="0" applyFont="1" applyBorder="1" applyAlignment="1">
      <alignment horizontal="center" vertical="center" wrapText="1"/>
    </xf>
    <xf numFmtId="0" fontId="93" fillId="0" borderId="0" xfId="0" applyFont="1" applyAlignment="1">
      <alignment horizontal="center" vertical="center"/>
    </xf>
    <xf numFmtId="3" fontId="94" fillId="0" borderId="21" xfId="0" applyNumberFormat="1" applyFont="1" applyBorder="1" applyAlignment="1">
      <alignment horizontal="center" vertical="center"/>
    </xf>
    <xf numFmtId="3" fontId="95" fillId="0" borderId="22" xfId="0" applyNumberFormat="1" applyFont="1" applyBorder="1" applyAlignment="1">
      <alignment horizontal="center" vertical="center"/>
    </xf>
    <xf numFmtId="0" fontId="93" fillId="0" borderId="0" xfId="0" applyFont="1"/>
    <xf numFmtId="0" fontId="92" fillId="11" borderId="0" xfId="0" applyFont="1" applyFill="1" applyAlignment="1">
      <alignment horizontal="center" vertical="center"/>
    </xf>
    <xf numFmtId="0" fontId="39" fillId="11" borderId="0" xfId="0" applyFont="1" applyFill="1" applyAlignment="1">
      <alignment horizontal="center" vertical="center" wrapText="1"/>
    </xf>
    <xf numFmtId="0" fontId="28" fillId="11" borderId="0" xfId="0" applyFont="1" applyFill="1" applyAlignment="1">
      <alignment horizontal="center" vertical="center" wrapText="1"/>
    </xf>
    <xf numFmtId="0" fontId="28" fillId="11" borderId="0" xfId="0" applyFont="1" applyFill="1" applyAlignment="1">
      <alignment horizontal="center" vertical="center"/>
    </xf>
    <xf numFmtId="0" fontId="93" fillId="11" borderId="0" xfId="0" applyFont="1" applyFill="1" applyAlignment="1">
      <alignment horizontal="center" vertical="center" wrapText="1"/>
    </xf>
    <xf numFmtId="1" fontId="93" fillId="11" borderId="0" xfId="4" applyNumberFormat="1" applyFont="1" applyFill="1" applyAlignment="1">
      <alignment horizontal="center" vertical="center"/>
    </xf>
    <xf numFmtId="3" fontId="17" fillId="11" borderId="0" xfId="0" applyNumberFormat="1" applyFont="1" applyFill="1" applyAlignment="1">
      <alignment horizontal="center" vertical="center"/>
    </xf>
    <xf numFmtId="3" fontId="10" fillId="11" borderId="0" xfId="0" applyNumberFormat="1" applyFont="1" applyFill="1" applyAlignment="1">
      <alignment horizontal="center" vertical="center" wrapText="1"/>
    </xf>
    <xf numFmtId="3" fontId="89" fillId="11" borderId="0" xfId="0" applyNumberFormat="1" applyFont="1" applyFill="1" applyAlignment="1">
      <alignment horizontal="center" vertical="center"/>
    </xf>
    <xf numFmtId="0" fontId="93" fillId="11" borderId="0" xfId="0" applyFont="1" applyFill="1" applyAlignment="1">
      <alignment horizontal="center" vertical="center"/>
    </xf>
    <xf numFmtId="0" fontId="81" fillId="11" borderId="0" xfId="0" applyFont="1" applyFill="1" applyAlignment="1">
      <alignment horizontal="center" vertical="center" wrapText="1"/>
    </xf>
    <xf numFmtId="0" fontId="5" fillId="11" borderId="0" xfId="0" applyFont="1" applyFill="1" applyAlignment="1">
      <alignment horizontal="center" vertical="center" wrapText="1"/>
    </xf>
    <xf numFmtId="3" fontId="94" fillId="11" borderId="0" xfId="0" applyNumberFormat="1" applyFont="1" applyFill="1" applyAlignment="1">
      <alignment horizontal="center" vertical="center"/>
    </xf>
    <xf numFmtId="3" fontId="95" fillId="11" borderId="0" xfId="0" applyNumberFormat="1" applyFont="1" applyFill="1" applyAlignment="1">
      <alignment horizontal="center" vertical="center"/>
    </xf>
    <xf numFmtId="0" fontId="93" fillId="11" borderId="0" xfId="0" applyFont="1" applyFill="1"/>
    <xf numFmtId="0" fontId="87" fillId="0" borderId="2" xfId="0" applyFont="1" applyBorder="1" applyAlignment="1">
      <alignment horizontal="center" vertical="center" wrapText="1"/>
    </xf>
    <xf numFmtId="3" fontId="86" fillId="2" borderId="2" xfId="0" applyNumberFormat="1" applyFont="1" applyFill="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24" fillId="0" borderId="2" xfId="0" applyFont="1" applyBorder="1" applyAlignment="1">
      <alignment horizontal="center" vertical="center" wrapText="1"/>
    </xf>
    <xf numFmtId="0" fontId="93" fillId="0" borderId="2" xfId="0" applyFont="1" applyBorder="1" applyAlignment="1">
      <alignment horizontal="center" vertical="center" wrapText="1"/>
    </xf>
    <xf numFmtId="0" fontId="40" fillId="0" borderId="0" xfId="0" applyFont="1" applyAlignment="1">
      <alignment horizontal="center" vertical="center"/>
    </xf>
    <xf numFmtId="0" fontId="40" fillId="0" borderId="2" xfId="0" applyFont="1" applyBorder="1" applyAlignment="1">
      <alignment horizontal="center" vertical="center" wrapText="1"/>
    </xf>
    <xf numFmtId="0" fontId="10" fillId="0" borderId="0" xfId="0" applyFont="1" applyAlignment="1">
      <alignment horizontal="center" vertical="center"/>
    </xf>
    <xf numFmtId="0" fontId="59" fillId="11" borderId="0" xfId="0" applyFont="1" applyFill="1" applyAlignment="1">
      <alignment horizontal="center" vertical="center"/>
    </xf>
    <xf numFmtId="0" fontId="20" fillId="11" borderId="0" xfId="0" applyFont="1" applyFill="1" applyAlignment="1" applyProtection="1">
      <alignment horizontal="center" vertical="center" wrapText="1"/>
      <protection locked="0"/>
    </xf>
    <xf numFmtId="0" fontId="20" fillId="11" borderId="0" xfId="0" applyFont="1" applyFill="1" applyAlignment="1" applyProtection="1">
      <alignment vertical="center" wrapText="1"/>
      <protection locked="0"/>
    </xf>
    <xf numFmtId="0" fontId="55" fillId="11" borderId="0" xfId="0" applyFont="1" applyFill="1" applyAlignment="1">
      <alignment horizontal="center" vertical="center"/>
    </xf>
    <xf numFmtId="0" fontId="52" fillId="11" borderId="0" xfId="0" applyFont="1" applyFill="1"/>
    <xf numFmtId="0" fontId="60" fillId="11" borderId="0" xfId="0" applyFont="1" applyFill="1"/>
    <xf numFmtId="0" fontId="61" fillId="11" borderId="0" xfId="0" applyFont="1" applyFill="1"/>
    <xf numFmtId="0" fontId="59" fillId="11" borderId="0" xfId="0" applyFont="1" applyFill="1"/>
    <xf numFmtId="0" fontId="39" fillId="0" borderId="0" xfId="0" applyFont="1" applyAlignment="1">
      <alignment horizontal="center" vertical="center" wrapText="1"/>
    </xf>
    <xf numFmtId="0" fontId="28" fillId="0" borderId="0" xfId="0" applyFont="1" applyAlignment="1">
      <alignment horizontal="center" vertical="center" wrapText="1"/>
    </xf>
    <xf numFmtId="0" fontId="28" fillId="0" borderId="0" xfId="0" applyFont="1" applyAlignment="1">
      <alignment horizontal="center" vertical="center"/>
    </xf>
    <xf numFmtId="0" fontId="93" fillId="0" borderId="0" xfId="0" applyFont="1" applyAlignment="1">
      <alignment horizontal="center" vertical="center" wrapText="1"/>
    </xf>
    <xf numFmtId="3" fontId="89" fillId="0" borderId="0" xfId="4" applyNumberFormat="1" applyFont="1" applyAlignment="1">
      <alignment horizontal="center" vertical="center"/>
    </xf>
    <xf numFmtId="3" fontId="17" fillId="0" borderId="0" xfId="0" applyNumberFormat="1" applyFont="1" applyAlignment="1">
      <alignment horizontal="center" vertical="center"/>
    </xf>
    <xf numFmtId="3" fontId="10" fillId="0" borderId="0" xfId="0" applyNumberFormat="1" applyFont="1" applyAlignment="1">
      <alignment horizontal="center" vertical="center" wrapText="1"/>
    </xf>
    <xf numFmtId="0" fontId="81" fillId="0" borderId="0" xfId="0" applyFont="1" applyAlignment="1">
      <alignment horizontal="center" vertical="center" wrapText="1"/>
    </xf>
    <xf numFmtId="0" fontId="5" fillId="0" borderId="0" xfId="0" applyFont="1" applyAlignment="1">
      <alignment horizontal="center" vertical="center" wrapText="1"/>
    </xf>
    <xf numFmtId="3" fontId="90" fillId="0" borderId="0" xfId="0" applyNumberFormat="1" applyFont="1" applyAlignment="1">
      <alignment horizontal="center" vertical="center"/>
    </xf>
    <xf numFmtId="3" fontId="91" fillId="0" borderId="0" xfId="0" applyNumberFormat="1" applyFont="1" applyAlignment="1">
      <alignment horizontal="center" vertical="center"/>
    </xf>
    <xf numFmtId="3" fontId="96" fillId="0" borderId="0" xfId="0" applyNumberFormat="1" applyFont="1" applyAlignment="1">
      <alignment horizontal="center" vertical="center"/>
    </xf>
    <xf numFmtId="3" fontId="91" fillId="0" borderId="0" xfId="0" applyNumberFormat="1" applyFont="1" applyAlignment="1">
      <alignment horizontal="center" vertical="center" wrapText="1"/>
    </xf>
    <xf numFmtId="3" fontId="90" fillId="0" borderId="0" xfId="0" applyNumberFormat="1" applyFont="1" applyAlignment="1">
      <alignment horizontal="center" vertical="center" wrapText="1"/>
    </xf>
    <xf numFmtId="3" fontId="89" fillId="0" borderId="0" xfId="0" applyNumberFormat="1" applyFont="1" applyAlignment="1">
      <alignment horizontal="center" vertical="center" wrapText="1"/>
    </xf>
    <xf numFmtId="3" fontId="89" fillId="0" borderId="0" xfId="0" applyNumberFormat="1" applyFont="1" applyAlignment="1">
      <alignment horizontal="center" vertical="center"/>
    </xf>
    <xf numFmtId="3" fontId="83" fillId="0" borderId="0" xfId="0" applyNumberFormat="1" applyFont="1" applyAlignment="1">
      <alignment horizontal="center" vertical="center" wrapText="1"/>
    </xf>
    <xf numFmtId="3" fontId="89" fillId="0" borderId="0" xfId="0" applyNumberFormat="1" applyFont="1"/>
    <xf numFmtId="1" fontId="93" fillId="0" borderId="0" xfId="4" applyNumberFormat="1" applyFont="1" applyAlignment="1">
      <alignment horizontal="center" vertical="center"/>
    </xf>
    <xf numFmtId="3" fontId="94" fillId="0" borderId="0" xfId="0" applyNumberFormat="1" applyFont="1" applyAlignment="1">
      <alignment horizontal="center" vertical="center"/>
    </xf>
    <xf numFmtId="3" fontId="95" fillId="0" borderId="0" xfId="0" applyNumberFormat="1" applyFont="1" applyAlignment="1">
      <alignment horizontal="center" vertical="center"/>
    </xf>
    <xf numFmtId="0" fontId="39" fillId="0" borderId="0" xfId="0" applyFont="1" applyAlignment="1">
      <alignment horizontal="center" vertical="center"/>
    </xf>
    <xf numFmtId="0" fontId="28" fillId="0" borderId="0" xfId="0" applyFont="1"/>
    <xf numFmtId="0" fontId="90" fillId="0" borderId="0" xfId="0" applyFont="1"/>
    <xf numFmtId="0" fontId="5" fillId="0" borderId="0" xfId="0" applyFont="1"/>
    <xf numFmtId="0" fontId="39" fillId="0" borderId="0" xfId="0" applyFont="1"/>
    <xf numFmtId="0" fontId="16" fillId="0" borderId="0" xfId="0" applyFont="1" applyAlignment="1" applyProtection="1">
      <alignment horizontal="left" vertical="center"/>
      <protection locked="0"/>
    </xf>
    <xf numFmtId="0" fontId="56" fillId="0" borderId="34" xfId="0" applyFont="1" applyBorder="1" applyAlignment="1" applyProtection="1">
      <alignment horizontal="center" vertical="center" wrapText="1"/>
      <protection locked="0"/>
    </xf>
    <xf numFmtId="0" fontId="56" fillId="0" borderId="35" xfId="0" applyFont="1" applyBorder="1" applyAlignment="1" applyProtection="1">
      <alignment horizontal="center" vertical="center" wrapText="1"/>
      <protection locked="0"/>
    </xf>
    <xf numFmtId="3" fontId="5" fillId="0" borderId="36" xfId="0" applyNumberFormat="1" applyFont="1" applyBorder="1" applyAlignment="1" applyProtection="1">
      <alignment horizontal="center" vertical="center"/>
      <protection locked="0"/>
    </xf>
    <xf numFmtId="3" fontId="90" fillId="0" borderId="37" xfId="0" applyNumberFormat="1" applyFont="1" applyBorder="1" applyAlignment="1" applyProtection="1">
      <alignment horizontal="center" vertical="center"/>
      <protection locked="0"/>
    </xf>
    <xf numFmtId="3" fontId="5" fillId="0" borderId="19" xfId="0" applyNumberFormat="1" applyFont="1" applyBorder="1" applyAlignment="1" applyProtection="1">
      <alignment horizontal="center" vertical="center"/>
      <protection locked="0"/>
    </xf>
    <xf numFmtId="0" fontId="52" fillId="0" borderId="0" xfId="0" applyFont="1" applyAlignment="1">
      <alignment horizontal="left" vertical="center"/>
    </xf>
    <xf numFmtId="3" fontId="5" fillId="2" borderId="2" xfId="0" applyNumberFormat="1" applyFont="1" applyFill="1" applyBorder="1" applyAlignment="1" applyProtection="1">
      <alignment horizontal="center" vertical="center"/>
      <protection locked="0"/>
    </xf>
    <xf numFmtId="3" fontId="90" fillId="0" borderId="20" xfId="0" applyNumberFormat="1" applyFont="1" applyBorder="1" applyAlignment="1" applyProtection="1">
      <alignment horizontal="center" vertical="center"/>
      <protection locked="0"/>
    </xf>
    <xf numFmtId="0" fontId="97" fillId="0" borderId="0" xfId="0" applyFont="1" applyAlignment="1">
      <alignment horizontal="center" vertical="center"/>
    </xf>
    <xf numFmtId="0" fontId="97" fillId="0" borderId="0" xfId="0" applyFont="1"/>
    <xf numFmtId="3" fontId="90" fillId="0" borderId="19" xfId="0" applyNumberFormat="1" applyFont="1" applyBorder="1" applyAlignment="1" applyProtection="1">
      <alignment horizontal="center" vertical="center"/>
      <protection locked="0"/>
    </xf>
    <xf numFmtId="3" fontId="5" fillId="0" borderId="0" xfId="0" applyNumberFormat="1" applyFont="1" applyAlignment="1" applyProtection="1">
      <alignment horizontal="center" vertical="center"/>
      <protection locked="0"/>
    </xf>
    <xf numFmtId="3" fontId="90" fillId="0" borderId="21" xfId="0" applyNumberFormat="1" applyFont="1" applyBorder="1" applyAlignment="1" applyProtection="1">
      <alignment horizontal="center" vertical="center"/>
      <protection locked="0"/>
    </xf>
    <xf numFmtId="3" fontId="90" fillId="0" borderId="22" xfId="0" applyNumberFormat="1" applyFont="1" applyBorder="1" applyAlignment="1" applyProtection="1">
      <alignment horizontal="center" vertical="center"/>
      <protection locked="0"/>
    </xf>
    <xf numFmtId="0" fontId="12" fillId="0" borderId="0" xfId="0" applyFont="1" applyAlignment="1">
      <alignment vertical="center"/>
    </xf>
    <xf numFmtId="0" fontId="52" fillId="0" borderId="0" xfId="0" applyFont="1" applyAlignment="1">
      <alignment horizontal="center" vertical="center" wrapText="1"/>
    </xf>
    <xf numFmtId="0" fontId="87" fillId="0" borderId="38" xfId="0" applyFont="1" applyBorder="1" applyAlignment="1">
      <alignment horizontal="center" vertical="center" wrapText="1"/>
    </xf>
    <xf numFmtId="49" fontId="87" fillId="0" borderId="36" xfId="0" applyNumberFormat="1" applyFont="1" applyBorder="1" applyAlignment="1">
      <alignment horizontal="center" vertical="center"/>
    </xf>
    <xf numFmtId="0" fontId="87" fillId="0" borderId="36" xfId="0" applyFont="1" applyBorder="1" applyAlignment="1">
      <alignment horizontal="center" vertical="center"/>
    </xf>
    <xf numFmtId="0" fontId="87" fillId="0" borderId="37" xfId="0" applyFont="1" applyBorder="1" applyAlignment="1">
      <alignment horizontal="center" vertical="center"/>
    </xf>
    <xf numFmtId="0" fontId="87" fillId="0" borderId="28" xfId="0" applyFont="1" applyBorder="1" applyAlignment="1">
      <alignment horizontal="left" vertical="center" wrapText="1"/>
    </xf>
    <xf numFmtId="0" fontId="24" fillId="0" borderId="2" xfId="0" applyFont="1" applyBorder="1" applyAlignment="1">
      <alignment horizontal="center" vertical="center"/>
    </xf>
    <xf numFmtId="0" fontId="24" fillId="0" borderId="20" xfId="0" applyFont="1" applyBorder="1" applyAlignment="1">
      <alignment horizontal="center" vertical="center"/>
    </xf>
    <xf numFmtId="0" fontId="87" fillId="11" borderId="28" xfId="0" applyFont="1" applyFill="1" applyBorder="1" applyAlignment="1">
      <alignment horizontal="left" vertical="center" wrapText="1"/>
    </xf>
    <xf numFmtId="3" fontId="87" fillId="11" borderId="2" xfId="0" applyNumberFormat="1" applyFont="1" applyFill="1" applyBorder="1" applyAlignment="1">
      <alignment horizontal="center" vertical="center"/>
    </xf>
    <xf numFmtId="3" fontId="87" fillId="11" borderId="20" xfId="0" applyNumberFormat="1" applyFont="1" applyFill="1" applyBorder="1" applyAlignment="1">
      <alignment horizontal="center" vertical="center"/>
    </xf>
    <xf numFmtId="0" fontId="87" fillId="11" borderId="23" xfId="0" applyFont="1" applyFill="1" applyBorder="1" applyAlignment="1">
      <alignment horizontal="left" vertical="center" wrapText="1"/>
    </xf>
    <xf numFmtId="3" fontId="87" fillId="11" borderId="21" xfId="0" applyNumberFormat="1" applyFont="1" applyFill="1" applyBorder="1" applyAlignment="1">
      <alignment horizontal="center" vertical="center"/>
    </xf>
    <xf numFmtId="3" fontId="87" fillId="11" borderId="22" xfId="0" applyNumberFormat="1" applyFont="1" applyFill="1" applyBorder="1" applyAlignment="1">
      <alignment horizontal="center" vertical="center"/>
    </xf>
    <xf numFmtId="0" fontId="52" fillId="0" borderId="0" xfId="0" applyFont="1" applyAlignment="1">
      <alignment horizontal="center" vertical="center"/>
    </xf>
    <xf numFmtId="0" fontId="87" fillId="12" borderId="36" xfId="0" applyFont="1" applyFill="1" applyBorder="1" applyAlignment="1">
      <alignment horizontal="center" vertical="center" wrapText="1"/>
    </xf>
    <xf numFmtId="0" fontId="87" fillId="12" borderId="37" xfId="0" applyFont="1" applyFill="1" applyBorder="1" applyAlignment="1">
      <alignment horizontal="center" vertical="center" wrapText="1"/>
    </xf>
    <xf numFmtId="0" fontId="59" fillId="0" borderId="0" xfId="0" applyFont="1" applyAlignment="1">
      <alignment wrapText="1"/>
    </xf>
    <xf numFmtId="0" fontId="99" fillId="0" borderId="36" xfId="0" applyFont="1" applyBorder="1" applyAlignment="1">
      <alignment horizontal="center" vertical="center" wrapText="1"/>
    </xf>
    <xf numFmtId="0" fontId="87" fillId="12" borderId="36" xfId="0" applyFont="1" applyFill="1" applyBorder="1" applyAlignment="1">
      <alignment vertical="center" wrapText="1"/>
    </xf>
    <xf numFmtId="0" fontId="41" fillId="12" borderId="17" xfId="0" applyFont="1" applyFill="1" applyBorder="1" applyAlignment="1">
      <alignment horizontal="center" vertical="center" wrapText="1"/>
    </xf>
    <xf numFmtId="0" fontId="99" fillId="12" borderId="36" xfId="0" applyFont="1" applyFill="1" applyBorder="1" applyAlignment="1">
      <alignment horizontal="center" vertical="center"/>
    </xf>
    <xf numFmtId="0" fontId="99" fillId="12" borderId="37" xfId="0" applyFont="1" applyFill="1" applyBorder="1" applyAlignment="1">
      <alignment horizontal="center" vertical="center"/>
    </xf>
    <xf numFmtId="0" fontId="24" fillId="12" borderId="2" xfId="0" applyFont="1" applyFill="1" applyBorder="1" applyAlignment="1">
      <alignment horizontal="center" vertical="center"/>
    </xf>
    <xf numFmtId="0" fontId="10" fillId="12" borderId="2" xfId="0" applyFont="1" applyFill="1" applyBorder="1" applyAlignment="1">
      <alignment horizontal="center" vertical="center"/>
    </xf>
    <xf numFmtId="0" fontId="24" fillId="12" borderId="18" xfId="0" applyFont="1" applyFill="1" applyBorder="1" applyAlignment="1">
      <alignment horizontal="center" vertical="center"/>
    </xf>
    <xf numFmtId="0" fontId="24" fillId="12" borderId="20" xfId="0" applyFont="1" applyFill="1" applyBorder="1" applyAlignment="1">
      <alignment horizontal="center" vertical="center"/>
    </xf>
    <xf numFmtId="0" fontId="24" fillId="12" borderId="21" xfId="0" applyFont="1" applyFill="1" applyBorder="1" applyAlignment="1">
      <alignment horizontal="center" vertical="center"/>
    </xf>
    <xf numFmtId="0" fontId="10" fillId="12" borderId="21" xfId="0" applyFont="1" applyFill="1" applyBorder="1" applyAlignment="1">
      <alignment horizontal="center" vertical="center"/>
    </xf>
    <xf numFmtId="0" fontId="24" fillId="12" borderId="22" xfId="0" applyFont="1" applyFill="1" applyBorder="1" applyAlignment="1">
      <alignment horizontal="center" vertical="center"/>
    </xf>
    <xf numFmtId="0" fontId="24" fillId="12" borderId="36" xfId="0" applyFont="1" applyFill="1" applyBorder="1" applyAlignment="1">
      <alignment horizontal="center" vertical="center"/>
    </xf>
    <xf numFmtId="0" fontId="41" fillId="12" borderId="36" xfId="0" applyFont="1" applyFill="1" applyBorder="1" applyAlignment="1">
      <alignment horizontal="center" vertical="center" wrapText="1"/>
    </xf>
    <xf numFmtId="0" fontId="10" fillId="12" borderId="39" xfId="0" applyFont="1" applyFill="1" applyBorder="1" applyAlignment="1">
      <alignment horizontal="center" vertical="top"/>
    </xf>
    <xf numFmtId="1" fontId="87" fillId="11" borderId="32" xfId="0" applyNumberFormat="1" applyFont="1" applyFill="1" applyBorder="1" applyAlignment="1">
      <alignment horizontal="center" vertical="center"/>
    </xf>
    <xf numFmtId="0" fontId="87" fillId="11" borderId="33" xfId="0" applyFont="1" applyFill="1" applyBorder="1" applyAlignment="1">
      <alignment horizontal="center" vertical="center"/>
    </xf>
    <xf numFmtId="0" fontId="101" fillId="0" borderId="0" xfId="0" applyFont="1" applyAlignment="1">
      <alignment horizontal="left" vertical="center"/>
    </xf>
    <xf numFmtId="0" fontId="102" fillId="0" borderId="0" xfId="1" applyFont="1" applyAlignment="1">
      <alignment vertical="center"/>
    </xf>
    <xf numFmtId="9" fontId="15" fillId="0" borderId="0" xfId="4" applyFont="1"/>
    <xf numFmtId="1" fontId="15" fillId="0" borderId="0" xfId="0" applyNumberFormat="1" applyFont="1"/>
    <xf numFmtId="0" fontId="16" fillId="0" borderId="0" xfId="0" applyFont="1" applyAlignment="1">
      <alignment horizontal="left" vertical="center" wrapText="1"/>
    </xf>
    <xf numFmtId="0" fontId="16" fillId="0" borderId="10" xfId="0" applyFont="1" applyBorder="1" applyAlignment="1">
      <alignment horizontal="left" vertical="center" wrapText="1"/>
    </xf>
    <xf numFmtId="0" fontId="15" fillId="2" borderId="2" xfId="0" applyFont="1" applyFill="1" applyBorder="1" applyAlignment="1">
      <alignment horizontal="center" vertical="center" wrapText="1"/>
    </xf>
    <xf numFmtId="0" fontId="15" fillId="0" borderId="0" xfId="0" applyFont="1" applyAlignment="1">
      <alignment horizontal="center"/>
    </xf>
    <xf numFmtId="3" fontId="15" fillId="2" borderId="2" xfId="0" applyNumberFormat="1" applyFont="1" applyFill="1" applyBorder="1" applyAlignment="1">
      <alignment horizontal="center" vertical="center" wrapText="1"/>
    </xf>
    <xf numFmtId="0" fontId="2" fillId="0" borderId="2" xfId="0" applyFont="1" applyBorder="1" applyAlignment="1">
      <alignment horizontal="left" vertical="center" wrapText="1"/>
    </xf>
    <xf numFmtId="3" fontId="15" fillId="2" borderId="2" xfId="0" applyNumberFormat="1" applyFont="1" applyFill="1" applyBorder="1" applyAlignment="1">
      <alignment horizontal="center" vertical="center"/>
    </xf>
    <xf numFmtId="0" fontId="49" fillId="0" borderId="0" xfId="0" applyFont="1"/>
    <xf numFmtId="3" fontId="15" fillId="0" borderId="2" xfId="0" applyNumberFormat="1" applyFont="1" applyBorder="1" applyAlignment="1">
      <alignment horizontal="center" vertical="center"/>
    </xf>
    <xf numFmtId="0" fontId="49" fillId="0" borderId="2" xfId="0" applyFont="1" applyBorder="1" applyAlignment="1">
      <alignment horizontal="left" vertical="center" wrapText="1" indent="4"/>
    </xf>
    <xf numFmtId="0" fontId="49" fillId="0" borderId="0" xfId="0" applyFont="1" applyAlignment="1">
      <alignment horizontal="left" vertical="center" wrapText="1" indent="4"/>
    </xf>
    <xf numFmtId="3" fontId="15" fillId="0" borderId="0" xfId="0" applyNumberFormat="1" applyFont="1" applyAlignment="1">
      <alignment horizontal="center" vertical="center"/>
    </xf>
    <xf numFmtId="0" fontId="49" fillId="0" borderId="2" xfId="0" applyFont="1" applyBorder="1" applyAlignment="1">
      <alignment horizontal="left" vertical="center" wrapText="1" indent="2"/>
    </xf>
    <xf numFmtId="0" fontId="49" fillId="2" borderId="2" xfId="0" applyFont="1" applyFill="1" applyBorder="1" applyAlignment="1">
      <alignment horizontal="center" vertical="center" wrapText="1"/>
    </xf>
    <xf numFmtId="49" fontId="15" fillId="2" borderId="2" xfId="0" applyNumberFormat="1" applyFont="1" applyFill="1" applyBorder="1" applyAlignment="1">
      <alignment horizontal="center" vertical="center" wrapText="1"/>
    </xf>
    <xf numFmtId="0" fontId="15" fillId="0" borderId="0" xfId="0" applyFont="1" applyAlignment="1">
      <alignment wrapText="1"/>
    </xf>
    <xf numFmtId="0" fontId="5" fillId="0" borderId="9" xfId="0" applyFont="1" applyBorder="1" applyAlignment="1">
      <alignment horizontal="center" vertical="center" wrapText="1"/>
    </xf>
    <xf numFmtId="0" fontId="15" fillId="0" borderId="0" xfId="0" applyFont="1" applyAlignment="1" applyProtection="1">
      <alignment horizontal="left" vertical="center" wrapText="1"/>
      <protection locked="0"/>
    </xf>
    <xf numFmtId="0" fontId="39" fillId="6" borderId="0" xfId="0" applyFont="1" applyFill="1"/>
    <xf numFmtId="0" fontId="39" fillId="0" borderId="0" xfId="0" applyFont="1" applyAlignment="1">
      <alignment horizontal="left"/>
    </xf>
    <xf numFmtId="0" fontId="95" fillId="0" borderId="0" xfId="0" applyFont="1" applyAlignment="1">
      <alignment vertical="center"/>
    </xf>
    <xf numFmtId="0" fontId="16" fillId="0" borderId="0" xfId="0" applyFont="1"/>
    <xf numFmtId="0" fontId="47" fillId="0" borderId="0" xfId="0" applyFont="1"/>
    <xf numFmtId="0" fontId="66" fillId="0" borderId="0" xfId="0" applyFont="1"/>
    <xf numFmtId="0" fontId="56" fillId="0" borderId="38" xfId="0" applyFont="1" applyBorder="1" applyAlignment="1">
      <alignment horizontal="left" vertical="center" wrapText="1"/>
    </xf>
    <xf numFmtId="0" fontId="56" fillId="0" borderId="28" xfId="0" applyFont="1" applyBorder="1" applyAlignment="1">
      <alignment horizontal="left" vertical="center" wrapText="1"/>
    </xf>
    <xf numFmtId="0" fontId="47" fillId="0" borderId="0" xfId="0" applyFont="1" applyAlignment="1">
      <alignment horizontal="left"/>
    </xf>
    <xf numFmtId="0" fontId="16" fillId="0" borderId="0" xfId="0" applyFont="1" applyAlignment="1">
      <alignment horizontal="center" vertical="center"/>
    </xf>
    <xf numFmtId="9" fontId="56" fillId="0" borderId="0" xfId="0" applyNumberFormat="1" applyFont="1" applyAlignment="1">
      <alignment horizontal="center" vertical="center"/>
    </xf>
    <xf numFmtId="0" fontId="39" fillId="0" borderId="0" xfId="0" applyFont="1" applyAlignment="1" applyProtection="1">
      <alignment horizontal="center" vertical="center" wrapText="1"/>
      <protection locked="0"/>
    </xf>
    <xf numFmtId="0" fontId="106" fillId="0" borderId="0" xfId="0" applyFont="1" applyAlignment="1">
      <alignment vertical="center"/>
    </xf>
    <xf numFmtId="0" fontId="47" fillId="0" borderId="0" xfId="0" applyFont="1" applyAlignment="1">
      <alignment vertical="center"/>
    </xf>
    <xf numFmtId="0" fontId="7" fillId="0" borderId="0" xfId="0" applyFont="1" applyAlignment="1">
      <alignment horizontal="center"/>
    </xf>
    <xf numFmtId="0" fontId="22" fillId="0" borderId="0" xfId="0" applyFont="1" applyAlignment="1">
      <alignment horizontal="center" vertical="center" wrapText="1"/>
    </xf>
    <xf numFmtId="0" fontId="56" fillId="0" borderId="23" xfId="0" applyFont="1" applyBorder="1" applyAlignment="1">
      <alignment horizontal="center" vertical="center" wrapText="1"/>
    </xf>
    <xf numFmtId="0" fontId="56" fillId="0" borderId="24" xfId="0" applyFont="1" applyBorder="1" applyAlignment="1">
      <alignment horizontal="center" vertical="center"/>
    </xf>
    <xf numFmtId="0" fontId="49" fillId="0" borderId="23" xfId="0" applyFont="1" applyBorder="1" applyAlignment="1">
      <alignment horizontal="center" vertical="center" wrapText="1"/>
    </xf>
    <xf numFmtId="0" fontId="49" fillId="0" borderId="21" xfId="0" applyFont="1" applyBorder="1" applyAlignment="1">
      <alignment horizontal="center" vertical="center" wrapText="1"/>
    </xf>
    <xf numFmtId="0" fontId="49" fillId="0" borderId="22" xfId="0" applyFont="1" applyBorder="1" applyAlignment="1">
      <alignment horizontal="center" vertical="center" wrapText="1"/>
    </xf>
    <xf numFmtId="0" fontId="22" fillId="0" borderId="22" xfId="0" applyFont="1" applyBorder="1" applyAlignment="1">
      <alignment horizontal="center" vertical="center" wrapText="1"/>
    </xf>
    <xf numFmtId="0" fontId="2" fillId="0" borderId="16" xfId="0" applyFont="1" applyBorder="1" applyAlignment="1">
      <alignment horizontal="center" vertical="center" wrapText="1"/>
    </xf>
    <xf numFmtId="0" fontId="39" fillId="0" borderId="40" xfId="0" applyFont="1" applyBorder="1" applyAlignment="1">
      <alignment horizontal="center" vertical="center"/>
    </xf>
    <xf numFmtId="0" fontId="49" fillId="0" borderId="41" xfId="0" applyFont="1" applyBorder="1" applyAlignment="1">
      <alignment horizontal="center" vertical="center" wrapText="1"/>
    </xf>
    <xf numFmtId="0" fontId="107" fillId="0" borderId="0" xfId="0" applyFont="1" applyAlignment="1">
      <alignment horizontal="center" vertical="center" wrapText="1"/>
    </xf>
    <xf numFmtId="0" fontId="49" fillId="0" borderId="42" xfId="0" applyFont="1" applyBorder="1" applyAlignment="1">
      <alignment horizontal="center" vertical="center" wrapText="1"/>
    </xf>
    <xf numFmtId="0" fontId="49" fillId="0" borderId="16" xfId="0" applyFont="1" applyBorder="1" applyAlignment="1">
      <alignment horizontal="center" vertical="center" wrapText="1"/>
    </xf>
    <xf numFmtId="0" fontId="22" fillId="0" borderId="40" xfId="0" applyFont="1" applyBorder="1" applyAlignment="1">
      <alignment horizontal="center" vertical="center" wrapText="1"/>
    </xf>
    <xf numFmtId="0" fontId="2" fillId="0" borderId="0" xfId="0" applyFont="1" applyAlignment="1">
      <alignment horizontal="center" vertical="center" wrapText="1"/>
    </xf>
    <xf numFmtId="0" fontId="2" fillId="0" borderId="22" xfId="0" applyFont="1" applyBorder="1" applyAlignment="1">
      <alignment horizontal="center" vertical="center" wrapText="1"/>
    </xf>
    <xf numFmtId="9" fontId="15" fillId="2" borderId="25" xfId="4" applyFont="1" applyFill="1" applyBorder="1" applyAlignment="1">
      <alignment horizontal="center" vertical="center"/>
    </xf>
    <xf numFmtId="9" fontId="15" fillId="2" borderId="17" xfId="4" applyFont="1" applyFill="1" applyBorder="1" applyAlignment="1">
      <alignment horizontal="center" vertical="center"/>
    </xf>
    <xf numFmtId="9" fontId="15" fillId="2" borderId="26" xfId="4" applyFont="1" applyFill="1" applyBorder="1" applyAlignment="1">
      <alignment horizontal="center" vertical="center"/>
    </xf>
    <xf numFmtId="3" fontId="15" fillId="2" borderId="25" xfId="0" applyNumberFormat="1" applyFont="1" applyFill="1" applyBorder="1" applyAlignment="1">
      <alignment horizontal="center" vertical="center"/>
    </xf>
    <xf numFmtId="3" fontId="15" fillId="2" borderId="17" xfId="0" applyNumberFormat="1" applyFont="1" applyFill="1" applyBorder="1" applyAlignment="1">
      <alignment horizontal="center" vertical="center"/>
    </xf>
    <xf numFmtId="3" fontId="15" fillId="2" borderId="26" xfId="0" applyNumberFormat="1" applyFont="1" applyFill="1" applyBorder="1" applyAlignment="1">
      <alignment horizontal="center" vertical="center"/>
    </xf>
    <xf numFmtId="3" fontId="91" fillId="4" borderId="26" xfId="0" applyNumberFormat="1" applyFont="1" applyFill="1" applyBorder="1" applyAlignment="1">
      <alignment horizontal="center" vertical="center"/>
    </xf>
    <xf numFmtId="3" fontId="91" fillId="4" borderId="6" xfId="0" applyNumberFormat="1" applyFont="1" applyFill="1" applyBorder="1" applyAlignment="1">
      <alignment horizontal="center" vertical="center"/>
    </xf>
    <xf numFmtId="3" fontId="46" fillId="0" borderId="38" xfId="0" applyNumberFormat="1" applyFont="1" applyBorder="1" applyAlignment="1">
      <alignment horizontal="center" vertical="center"/>
    </xf>
    <xf numFmtId="3" fontId="46" fillId="0" borderId="36" xfId="0" applyNumberFormat="1" applyFont="1" applyBorder="1" applyAlignment="1">
      <alignment horizontal="center" vertical="center"/>
    </xf>
    <xf numFmtId="3" fontId="108" fillId="4" borderId="37" xfId="0" applyNumberFormat="1" applyFont="1" applyFill="1" applyBorder="1" applyAlignment="1">
      <alignment horizontal="center" vertical="center"/>
    </xf>
    <xf numFmtId="3" fontId="15" fillId="2" borderId="8" xfId="0" applyNumberFormat="1" applyFont="1" applyFill="1" applyBorder="1" applyAlignment="1">
      <alignment horizontal="center" vertical="center"/>
    </xf>
    <xf numFmtId="3" fontId="49" fillId="0" borderId="0" xfId="0" applyNumberFormat="1" applyFont="1" applyAlignment="1">
      <alignment horizontal="center" vertical="center" wrapText="1"/>
    </xf>
    <xf numFmtId="3" fontId="91" fillId="4" borderId="37" xfId="0" applyNumberFormat="1" applyFont="1" applyFill="1" applyBorder="1" applyAlignment="1">
      <alignment horizontal="center" vertical="center"/>
    </xf>
    <xf numFmtId="3" fontId="46" fillId="0" borderId="0" xfId="0" applyNumberFormat="1" applyFont="1" applyAlignment="1">
      <alignment horizontal="center" vertical="center"/>
    </xf>
    <xf numFmtId="3" fontId="46" fillId="0" borderId="25" xfId="0" applyNumberFormat="1" applyFont="1" applyBorder="1" applyAlignment="1">
      <alignment horizontal="center" vertical="center"/>
    </xf>
    <xf numFmtId="3" fontId="46" fillId="0" borderId="17" xfId="0" applyNumberFormat="1" applyFont="1" applyBorder="1" applyAlignment="1">
      <alignment horizontal="center" vertical="center"/>
    </xf>
    <xf numFmtId="3" fontId="108" fillId="4" borderId="26" xfId="0" applyNumberFormat="1" applyFont="1" applyFill="1" applyBorder="1" applyAlignment="1">
      <alignment horizontal="center" vertical="center"/>
    </xf>
    <xf numFmtId="0" fontId="15" fillId="0" borderId="10" xfId="0" applyFont="1" applyBorder="1" applyAlignment="1">
      <alignment horizontal="left" vertical="center"/>
    </xf>
    <xf numFmtId="9" fontId="15" fillId="2" borderId="28" xfId="4" applyFont="1" applyFill="1" applyBorder="1" applyAlignment="1">
      <alignment horizontal="center" vertical="center"/>
    </xf>
    <xf numFmtId="9" fontId="15" fillId="2" borderId="2" xfId="4" applyFont="1" applyFill="1" applyBorder="1" applyAlignment="1">
      <alignment horizontal="center" vertical="center"/>
    </xf>
    <xf numFmtId="9" fontId="15" fillId="2" borderId="20" xfId="4" applyFont="1" applyFill="1" applyBorder="1" applyAlignment="1">
      <alignment horizontal="center" vertical="center"/>
    </xf>
    <xf numFmtId="3" fontId="15" fillId="2" borderId="28" xfId="0" applyNumberFormat="1" applyFont="1" applyFill="1" applyBorder="1" applyAlignment="1">
      <alignment horizontal="center" vertical="center"/>
    </xf>
    <xf numFmtId="3" fontId="91" fillId="4" borderId="20" xfId="0" applyNumberFormat="1" applyFont="1" applyFill="1" applyBorder="1" applyAlignment="1">
      <alignment horizontal="center" vertical="center"/>
    </xf>
    <xf numFmtId="3" fontId="91" fillId="4" borderId="10" xfId="0" applyNumberFormat="1" applyFont="1" applyFill="1" applyBorder="1" applyAlignment="1">
      <alignment horizontal="center" vertical="center"/>
    </xf>
    <xf numFmtId="3" fontId="46" fillId="0" borderId="28" xfId="0" applyNumberFormat="1" applyFont="1" applyBorder="1" applyAlignment="1">
      <alignment horizontal="center" vertical="center"/>
    </xf>
    <xf numFmtId="3" fontId="46" fillId="0" borderId="2" xfId="0" applyNumberFormat="1" applyFont="1" applyBorder="1" applyAlignment="1">
      <alignment horizontal="center" vertical="center"/>
    </xf>
    <xf numFmtId="3" fontId="108" fillId="4" borderId="20" xfId="0" applyNumberFormat="1" applyFont="1" applyFill="1" applyBorder="1" applyAlignment="1">
      <alignment horizontal="center" vertical="center"/>
    </xf>
    <xf numFmtId="0" fontId="49" fillId="0" borderId="10" xfId="0" applyFont="1" applyBorder="1" applyAlignment="1">
      <alignment horizontal="left" vertical="center" wrapText="1"/>
    </xf>
    <xf numFmtId="0" fontId="15" fillId="0" borderId="10" xfId="0" applyFont="1" applyBorder="1" applyAlignment="1">
      <alignment horizontal="left"/>
    </xf>
    <xf numFmtId="3" fontId="15" fillId="2" borderId="20" xfId="0" applyNumberFormat="1" applyFont="1" applyFill="1" applyBorder="1" applyAlignment="1">
      <alignment horizontal="center" vertical="center"/>
    </xf>
    <xf numFmtId="0" fontId="91" fillId="0" borderId="0" xfId="0" applyFont="1" applyAlignment="1">
      <alignment horizontal="center"/>
    </xf>
    <xf numFmtId="0" fontId="91" fillId="4" borderId="24" xfId="0" applyFont="1" applyFill="1" applyBorder="1" applyAlignment="1">
      <alignment horizontal="left" vertical="center"/>
    </xf>
    <xf numFmtId="3" fontId="91" fillId="4" borderId="23" xfId="0" applyNumberFormat="1" applyFont="1" applyFill="1" applyBorder="1" applyAlignment="1">
      <alignment horizontal="center" vertical="center"/>
    </xf>
    <xf numFmtId="3" fontId="91" fillId="4" borderId="21" xfId="0" applyNumberFormat="1" applyFont="1" applyFill="1" applyBorder="1" applyAlignment="1">
      <alignment horizontal="center" vertical="center"/>
    </xf>
    <xf numFmtId="3" fontId="91" fillId="4" borderId="22" xfId="0" applyNumberFormat="1" applyFont="1" applyFill="1" applyBorder="1" applyAlignment="1">
      <alignment horizontal="center" vertical="center"/>
    </xf>
    <xf numFmtId="3" fontId="91" fillId="4" borderId="42" xfId="0" applyNumberFormat="1" applyFont="1" applyFill="1" applyBorder="1" applyAlignment="1">
      <alignment horizontal="center" vertical="center"/>
    </xf>
    <xf numFmtId="3" fontId="91" fillId="4" borderId="16" xfId="0" applyNumberFormat="1" applyFont="1" applyFill="1" applyBorder="1" applyAlignment="1">
      <alignment horizontal="center" vertical="center"/>
    </xf>
    <xf numFmtId="3" fontId="91" fillId="4" borderId="40" xfId="0" applyNumberFormat="1" applyFont="1" applyFill="1" applyBorder="1" applyAlignment="1">
      <alignment horizontal="center" vertical="center"/>
    </xf>
    <xf numFmtId="3" fontId="91" fillId="4" borderId="24" xfId="0" applyNumberFormat="1" applyFont="1" applyFill="1" applyBorder="1" applyAlignment="1">
      <alignment horizontal="center" vertical="center"/>
    </xf>
    <xf numFmtId="3" fontId="108" fillId="4" borderId="16" xfId="0" applyNumberFormat="1" applyFont="1" applyFill="1" applyBorder="1" applyAlignment="1">
      <alignment horizontal="center" vertical="center"/>
    </xf>
    <xf numFmtId="3" fontId="108" fillId="4" borderId="40" xfId="0" applyNumberFormat="1" applyFont="1" applyFill="1" applyBorder="1" applyAlignment="1">
      <alignment horizontal="center" vertical="center"/>
    </xf>
    <xf numFmtId="3" fontId="91" fillId="2" borderId="41" xfId="0" applyNumberFormat="1" applyFont="1" applyFill="1" applyBorder="1" applyAlignment="1">
      <alignment horizontal="center" vertical="center"/>
    </xf>
    <xf numFmtId="3" fontId="91" fillId="2" borderId="21" xfId="0" applyNumberFormat="1" applyFont="1" applyFill="1" applyBorder="1" applyAlignment="1">
      <alignment horizontal="center" vertical="center"/>
    </xf>
    <xf numFmtId="0" fontId="15" fillId="0" borderId="43" xfId="0" applyFont="1" applyBorder="1" applyAlignment="1">
      <alignment horizontal="left" vertical="center" wrapText="1"/>
    </xf>
    <xf numFmtId="9" fontId="15" fillId="2" borderId="38" xfId="4" applyFont="1" applyFill="1" applyBorder="1" applyAlignment="1">
      <alignment horizontal="center" vertical="center"/>
    </xf>
    <xf numFmtId="3" fontId="91" fillId="4" borderId="43" xfId="0" applyNumberFormat="1" applyFont="1" applyFill="1" applyBorder="1" applyAlignment="1">
      <alignment horizontal="center" vertical="center"/>
    </xf>
    <xf numFmtId="3" fontId="49" fillId="2" borderId="28" xfId="0" applyNumberFormat="1" applyFont="1" applyFill="1" applyBorder="1" applyAlignment="1">
      <alignment horizontal="center" vertical="center"/>
    </xf>
    <xf numFmtId="3" fontId="49" fillId="2" borderId="2" xfId="0" applyNumberFormat="1" applyFont="1" applyFill="1" applyBorder="1" applyAlignment="1">
      <alignment horizontal="center" vertical="center"/>
    </xf>
    <xf numFmtId="0" fontId="15" fillId="0" borderId="10" xfId="0" applyFont="1" applyBorder="1" applyAlignment="1">
      <alignment horizontal="left" vertical="center" wrapText="1"/>
    </xf>
    <xf numFmtId="0" fontId="90" fillId="0" borderId="0" xfId="0" applyFont="1" applyAlignment="1">
      <alignment horizontal="center"/>
    </xf>
    <xf numFmtId="0" fontId="91" fillId="4" borderId="24" xfId="0" applyFont="1" applyFill="1" applyBorder="1" applyAlignment="1">
      <alignment horizontal="left" vertical="center" wrapText="1"/>
    </xf>
    <xf numFmtId="0" fontId="46" fillId="0" borderId="0" xfId="0" applyFont="1" applyAlignment="1">
      <alignment horizontal="center"/>
    </xf>
    <xf numFmtId="3" fontId="49" fillId="2" borderId="38" xfId="0" applyNumberFormat="1" applyFont="1" applyFill="1" applyBorder="1" applyAlignment="1">
      <alignment horizontal="center" vertical="center"/>
    </xf>
    <xf numFmtId="3" fontId="49" fillId="2" borderId="36" xfId="0" applyNumberFormat="1" applyFont="1" applyFill="1" applyBorder="1" applyAlignment="1">
      <alignment horizontal="center" vertical="center"/>
    </xf>
    <xf numFmtId="3" fontId="15" fillId="2" borderId="25" xfId="4" applyNumberFormat="1" applyFont="1" applyFill="1" applyBorder="1" applyAlignment="1">
      <alignment horizontal="center" vertical="center"/>
    </xf>
    <xf numFmtId="3" fontId="15" fillId="2" borderId="17" xfId="4" applyNumberFormat="1" applyFont="1" applyFill="1" applyBorder="1" applyAlignment="1">
      <alignment horizontal="center" vertical="center"/>
    </xf>
    <xf numFmtId="3" fontId="49" fillId="2" borderId="20" xfId="0" applyNumberFormat="1" applyFont="1" applyFill="1" applyBorder="1" applyAlignment="1">
      <alignment horizontal="center" vertical="center"/>
    </xf>
    <xf numFmtId="9" fontId="108" fillId="2" borderId="28" xfId="4" applyFont="1" applyFill="1" applyBorder="1" applyAlignment="1">
      <alignment horizontal="center" vertical="center"/>
    </xf>
    <xf numFmtId="9" fontId="108" fillId="2" borderId="2" xfId="4" applyFont="1" applyFill="1" applyBorder="1" applyAlignment="1">
      <alignment horizontal="center" vertical="center"/>
    </xf>
    <xf numFmtId="9" fontId="108" fillId="2" borderId="20" xfId="4" applyFont="1" applyFill="1" applyBorder="1" applyAlignment="1">
      <alignment horizontal="center" vertical="center"/>
    </xf>
    <xf numFmtId="3" fontId="108" fillId="2" borderId="28" xfId="0" applyNumberFormat="1" applyFont="1" applyFill="1" applyBorder="1" applyAlignment="1">
      <alignment horizontal="center" vertical="center"/>
    </xf>
    <xf numFmtId="3" fontId="108" fillId="2" borderId="2" xfId="0" applyNumberFormat="1" applyFont="1" applyFill="1" applyBorder="1" applyAlignment="1">
      <alignment horizontal="center" vertical="center"/>
    </xf>
    <xf numFmtId="0" fontId="15" fillId="0" borderId="37" xfId="0" applyFont="1" applyBorder="1" applyAlignment="1">
      <alignment horizontal="left" vertical="center" wrapText="1"/>
    </xf>
    <xf numFmtId="0" fontId="49" fillId="0" borderId="20" xfId="0" applyFont="1" applyBorder="1" applyAlignment="1">
      <alignment horizontal="left" vertical="center" wrapText="1"/>
    </xf>
    <xf numFmtId="0" fontId="15" fillId="0" borderId="20" xfId="0" applyFont="1" applyBorder="1" applyAlignment="1">
      <alignment horizontal="left" vertical="center" wrapText="1"/>
    </xf>
    <xf numFmtId="0" fontId="91" fillId="4" borderId="22" xfId="0" applyFont="1" applyFill="1" applyBorder="1" applyAlignment="1">
      <alignment horizontal="left" vertical="center" wrapText="1"/>
    </xf>
    <xf numFmtId="3" fontId="15" fillId="2" borderId="38" xfId="4" applyNumberFormat="1" applyFont="1" applyFill="1" applyBorder="1" applyAlignment="1">
      <alignment horizontal="center" vertical="center"/>
    </xf>
    <xf numFmtId="3" fontId="15" fillId="2" borderId="36" xfId="4" applyNumberFormat="1" applyFont="1" applyFill="1" applyBorder="1" applyAlignment="1">
      <alignment horizontal="center" vertical="center"/>
    </xf>
    <xf numFmtId="3" fontId="15" fillId="2" borderId="28" xfId="4" applyNumberFormat="1" applyFont="1" applyFill="1" applyBorder="1" applyAlignment="1">
      <alignment horizontal="center" vertical="center"/>
    </xf>
    <xf numFmtId="3" fontId="15" fillId="2" borderId="2" xfId="4" applyNumberFormat="1" applyFont="1" applyFill="1" applyBorder="1" applyAlignment="1">
      <alignment horizontal="center" vertical="center"/>
    </xf>
    <xf numFmtId="3" fontId="15" fillId="2" borderId="20" xfId="4" applyNumberFormat="1" applyFont="1" applyFill="1" applyBorder="1" applyAlignment="1">
      <alignment horizontal="center" vertical="center"/>
    </xf>
    <xf numFmtId="0" fontId="28" fillId="0" borderId="0" xfId="0" applyFont="1" applyAlignment="1">
      <alignment horizontal="center"/>
    </xf>
    <xf numFmtId="0" fontId="49" fillId="0" borderId="43" xfId="0" applyFont="1" applyBorder="1" applyAlignment="1">
      <alignment horizontal="left" vertical="center" wrapText="1"/>
    </xf>
    <xf numFmtId="3" fontId="15" fillId="2" borderId="44" xfId="4" applyNumberFormat="1" applyFont="1" applyFill="1" applyBorder="1" applyAlignment="1">
      <alignment horizontal="center" vertical="center"/>
    </xf>
    <xf numFmtId="3" fontId="91" fillId="4" borderId="45" xfId="0" applyNumberFormat="1" applyFont="1" applyFill="1" applyBorder="1" applyAlignment="1">
      <alignment horizontal="center" vertical="center"/>
    </xf>
    <xf numFmtId="3" fontId="15" fillId="2" borderId="9" xfId="4" applyNumberFormat="1" applyFont="1" applyFill="1" applyBorder="1" applyAlignment="1">
      <alignment horizontal="center" vertical="center"/>
    </xf>
    <xf numFmtId="3" fontId="15" fillId="2" borderId="10" xfId="4" applyNumberFormat="1" applyFont="1" applyFill="1" applyBorder="1" applyAlignment="1">
      <alignment horizontal="center" vertical="center"/>
    </xf>
    <xf numFmtId="3" fontId="91" fillId="4" borderId="46" xfId="0" applyNumberFormat="1" applyFont="1" applyFill="1" applyBorder="1" applyAlignment="1">
      <alignment horizontal="center" vertical="center"/>
    </xf>
    <xf numFmtId="0" fontId="54" fillId="0" borderId="10" xfId="0" applyFont="1" applyBorder="1" applyAlignment="1">
      <alignment horizontal="left" vertical="center" wrapText="1"/>
    </xf>
    <xf numFmtId="0" fontId="90" fillId="0" borderId="0" xfId="0" applyFont="1" applyAlignment="1">
      <alignment horizontal="center" vertical="center"/>
    </xf>
    <xf numFmtId="3" fontId="91" fillId="4" borderId="47" xfId="0" applyNumberFormat="1" applyFont="1" applyFill="1" applyBorder="1" applyAlignment="1">
      <alignment horizontal="center" vertical="center"/>
    </xf>
    <xf numFmtId="0" fontId="107" fillId="0" borderId="0" xfId="3" applyFont="1" applyAlignment="1">
      <alignment horizontal="center" vertical="center" wrapText="1"/>
    </xf>
    <xf numFmtId="0" fontId="109" fillId="0" borderId="0" xfId="0" applyFont="1" applyAlignment="1">
      <alignment horizontal="left" vertical="center" wrapText="1"/>
    </xf>
    <xf numFmtId="0" fontId="108" fillId="0" borderId="0" xfId="0" applyFont="1" applyAlignment="1">
      <alignment horizontal="center" vertical="center"/>
    </xf>
    <xf numFmtId="3" fontId="108" fillId="0" borderId="0" xfId="0" applyNumberFormat="1" applyFont="1" applyAlignment="1">
      <alignment horizontal="center" vertical="center"/>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49" fillId="0" borderId="25" xfId="0" applyFont="1" applyBorder="1" applyAlignment="1">
      <alignment horizontal="left" vertical="center" wrapText="1" indent="2"/>
    </xf>
    <xf numFmtId="0" fontId="15" fillId="0" borderId="17" xfId="0" applyFont="1" applyBorder="1" applyAlignment="1">
      <alignment horizontal="center" vertical="center"/>
    </xf>
    <xf numFmtId="0" fontId="49" fillId="0" borderId="28" xfId="0" applyFont="1" applyBorder="1" applyAlignment="1">
      <alignment horizontal="left" vertical="center" wrapText="1" indent="2"/>
    </xf>
    <xf numFmtId="0" fontId="2" fillId="0" borderId="23" xfId="0" applyFont="1" applyBorder="1" applyAlignment="1">
      <alignment horizontal="left" vertical="center" wrapText="1" indent="2"/>
    </xf>
    <xf numFmtId="3" fontId="46" fillId="0" borderId="21" xfId="0" applyNumberFormat="1" applyFont="1" applyBorder="1" applyAlignment="1">
      <alignment horizontal="center" vertical="center"/>
    </xf>
    <xf numFmtId="3" fontId="46" fillId="0" borderId="22" xfId="0" applyNumberFormat="1" applyFont="1" applyBorder="1" applyAlignment="1">
      <alignment horizontal="center" vertical="center"/>
    </xf>
    <xf numFmtId="0" fontId="110" fillId="0" borderId="0" xfId="0" applyFont="1" applyAlignment="1">
      <alignment horizontal="left" vertical="center" wrapText="1" indent="2"/>
    </xf>
    <xf numFmtId="0" fontId="111" fillId="0" borderId="0" xfId="0" applyFont="1" applyAlignment="1">
      <alignment horizontal="center" vertical="center"/>
    </xf>
    <xf numFmtId="0" fontId="49" fillId="0" borderId="17" xfId="0" applyFont="1" applyBorder="1" applyAlignment="1">
      <alignment horizontal="center" vertical="center"/>
    </xf>
    <xf numFmtId="0" fontId="49" fillId="0" borderId="38" xfId="0" applyFont="1" applyBorder="1" applyAlignment="1">
      <alignment horizontal="left" vertical="center" wrapText="1" indent="2"/>
    </xf>
    <xf numFmtId="0" fontId="49" fillId="0" borderId="36" xfId="0" applyFont="1" applyBorder="1" applyAlignment="1">
      <alignment horizontal="center" vertical="center"/>
    </xf>
    <xf numFmtId="0" fontId="2" fillId="0" borderId="48" xfId="0" applyFont="1" applyBorder="1" applyAlignment="1">
      <alignment horizontal="center" vertical="center"/>
    </xf>
    <xf numFmtId="0" fontId="2" fillId="0" borderId="34"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3" fontId="46" fillId="0" borderId="2" xfId="0" applyNumberFormat="1" applyFont="1" applyBorder="1" applyAlignment="1">
      <alignment horizontal="center" vertical="center" wrapText="1"/>
    </xf>
    <xf numFmtId="3" fontId="46" fillId="0" borderId="21" xfId="0" applyNumberFormat="1" applyFont="1" applyBorder="1" applyAlignment="1">
      <alignment horizontal="center" vertical="center" wrapText="1"/>
    </xf>
    <xf numFmtId="0" fontId="2" fillId="0" borderId="49" xfId="0" applyFont="1" applyBorder="1" applyAlignment="1">
      <alignment horizontal="left" vertical="center" wrapText="1" indent="2"/>
    </xf>
    <xf numFmtId="3" fontId="46" fillId="0" borderId="50" xfId="0" applyNumberFormat="1" applyFont="1" applyBorder="1" applyAlignment="1">
      <alignment horizontal="center" vertical="center" wrapText="1"/>
    </xf>
    <xf numFmtId="3" fontId="46" fillId="0" borderId="50" xfId="0" applyNumberFormat="1" applyFont="1" applyBorder="1" applyAlignment="1">
      <alignment horizontal="center" vertical="center"/>
    </xf>
    <xf numFmtId="0" fontId="46" fillId="0" borderId="0" xfId="0" applyFont="1" applyAlignment="1">
      <alignment horizontal="left" vertical="center" wrapText="1" indent="2"/>
    </xf>
    <xf numFmtId="3" fontId="46" fillId="0" borderId="0" xfId="0" applyNumberFormat="1" applyFont="1" applyAlignment="1">
      <alignment horizontal="center" vertical="center" wrapText="1"/>
    </xf>
    <xf numFmtId="0" fontId="49" fillId="0" borderId="31" xfId="0" applyFont="1" applyBorder="1" applyAlignment="1">
      <alignment horizontal="center" vertical="center"/>
    </xf>
    <xf numFmtId="3" fontId="49" fillId="0" borderId="17" xfId="0" applyNumberFormat="1" applyFont="1" applyBorder="1" applyAlignment="1">
      <alignment horizontal="center" vertical="center"/>
    </xf>
    <xf numFmtId="0" fontId="39" fillId="0" borderId="31" xfId="0" applyFont="1" applyBorder="1" applyAlignment="1">
      <alignment horizontal="left" vertical="center" wrapText="1"/>
    </xf>
    <xf numFmtId="3" fontId="91" fillId="0" borderId="32" xfId="0" applyNumberFormat="1" applyFont="1" applyBorder="1" applyAlignment="1">
      <alignment horizontal="center" vertical="center"/>
    </xf>
    <xf numFmtId="0" fontId="49" fillId="0" borderId="48" xfId="0" applyFont="1" applyBorder="1" applyAlignment="1">
      <alignment horizontal="center" vertical="center"/>
    </xf>
    <xf numFmtId="0" fontId="2" fillId="0" borderId="51" xfId="0" applyFont="1" applyBorder="1" applyAlignment="1">
      <alignment horizontal="center" vertical="center"/>
    </xf>
    <xf numFmtId="0" fontId="6" fillId="0" borderId="38" xfId="3" applyFont="1" applyBorder="1" applyAlignment="1">
      <alignment horizontal="left" vertical="center" wrapText="1"/>
    </xf>
    <xf numFmtId="3" fontId="46" fillId="0" borderId="36" xfId="0" applyNumberFormat="1" applyFont="1" applyBorder="1" applyAlignment="1">
      <alignment horizontal="center" vertical="center" wrapText="1"/>
    </xf>
    <xf numFmtId="0" fontId="6" fillId="0" borderId="28" xfId="3" applyFont="1" applyBorder="1" applyAlignment="1">
      <alignment horizontal="left" vertical="center" wrapText="1"/>
    </xf>
    <xf numFmtId="3" fontId="49" fillId="2" borderId="10" xfId="0" applyNumberFormat="1" applyFont="1" applyFill="1" applyBorder="1" applyAlignment="1">
      <alignment horizontal="center" vertical="center"/>
    </xf>
    <xf numFmtId="0" fontId="6" fillId="0" borderId="23" xfId="3" applyFont="1" applyBorder="1" applyAlignment="1">
      <alignment horizontal="left" vertical="center" wrapText="1"/>
    </xf>
    <xf numFmtId="3" fontId="49" fillId="2" borderId="21" xfId="0" applyNumberFormat="1" applyFont="1" applyFill="1" applyBorder="1" applyAlignment="1">
      <alignment horizontal="center" vertical="center"/>
    </xf>
    <xf numFmtId="3" fontId="49" fillId="2" borderId="24" xfId="0" applyNumberFormat="1" applyFont="1" applyFill="1" applyBorder="1" applyAlignment="1">
      <alignment horizontal="center" vertical="center"/>
    </xf>
    <xf numFmtId="3" fontId="46" fillId="0" borderId="17" xfId="0" applyNumberFormat="1" applyFont="1" applyBorder="1" applyAlignment="1">
      <alignment horizontal="center" vertical="center" wrapText="1"/>
    </xf>
    <xf numFmtId="0" fontId="49" fillId="0" borderId="28" xfId="0" applyFont="1" applyBorder="1" applyAlignment="1">
      <alignment horizontal="left" vertical="center" wrapText="1"/>
    </xf>
    <xf numFmtId="0" fontId="22" fillId="0" borderId="0" xfId="0" applyFont="1"/>
    <xf numFmtId="0" fontId="2" fillId="0" borderId="0" xfId="0" applyFont="1"/>
    <xf numFmtId="0" fontId="49" fillId="0" borderId="23" xfId="0" applyFont="1" applyBorder="1" applyAlignment="1">
      <alignment horizontal="left" vertical="center" wrapText="1"/>
    </xf>
    <xf numFmtId="0" fontId="56" fillId="0" borderId="23" xfId="0" applyFont="1" applyBorder="1" applyAlignment="1">
      <alignment vertical="center" wrapText="1"/>
    </xf>
    <xf numFmtId="0" fontId="112" fillId="6" borderId="0" xfId="0" applyFont="1" applyFill="1" applyAlignment="1">
      <alignment wrapText="1"/>
    </xf>
    <xf numFmtId="0" fontId="113" fillId="6" borderId="0" xfId="0" applyFont="1" applyFill="1" applyAlignment="1">
      <alignment wrapText="1"/>
    </xf>
    <xf numFmtId="0" fontId="113" fillId="0" borderId="0" xfId="0" applyFont="1" applyAlignment="1">
      <alignment vertical="center" wrapText="1"/>
    </xf>
    <xf numFmtId="0" fontId="113" fillId="0" borderId="0" xfId="0" applyFont="1" applyAlignment="1">
      <alignment wrapText="1"/>
    </xf>
    <xf numFmtId="0" fontId="114" fillId="0" borderId="0" xfId="0" applyFont="1" applyAlignment="1">
      <alignment horizontal="center"/>
    </xf>
    <xf numFmtId="0" fontId="112" fillId="0" borderId="0" xfId="0" applyFont="1" applyAlignment="1">
      <alignment wrapText="1"/>
    </xf>
    <xf numFmtId="0" fontId="56" fillId="0" borderId="0" xfId="0" applyFont="1" applyAlignment="1">
      <alignment horizontal="center" vertical="center" wrapText="1"/>
    </xf>
    <xf numFmtId="0" fontId="115" fillId="0" borderId="2" xfId="0" applyFont="1" applyBorder="1" applyAlignment="1">
      <alignment horizontal="center" vertical="center" wrapText="1" readingOrder="1"/>
    </xf>
    <xf numFmtId="0" fontId="115" fillId="0" borderId="0" xfId="0" applyFont="1" applyAlignment="1">
      <alignment horizontal="center" vertical="center" wrapText="1" readingOrder="1"/>
    </xf>
    <xf numFmtId="0" fontId="113" fillId="0" borderId="2" xfId="0" applyFont="1" applyBorder="1" applyAlignment="1">
      <alignment horizontal="center" vertical="center" wrapText="1"/>
    </xf>
    <xf numFmtId="0" fontId="39" fillId="0" borderId="2" xfId="0" applyFont="1" applyBorder="1" applyAlignment="1">
      <alignment horizontal="center" vertical="center"/>
    </xf>
    <xf numFmtId="0" fontId="117" fillId="0" borderId="0" xfId="0" applyFont="1" applyAlignment="1">
      <alignment horizontal="left" vertical="center" wrapText="1" readingOrder="1"/>
    </xf>
    <xf numFmtId="0" fontId="118" fillId="0" borderId="2" xfId="0" applyFont="1" applyBorder="1" applyAlignment="1">
      <alignment horizontal="center" vertical="center" wrapText="1" readingOrder="1"/>
    </xf>
    <xf numFmtId="0" fontId="115" fillId="0" borderId="2" xfId="0" applyFont="1" applyBorder="1" applyAlignment="1">
      <alignment horizontal="left" vertical="center" wrapText="1" readingOrder="1"/>
    </xf>
    <xf numFmtId="0" fontId="28" fillId="0" borderId="2" xfId="0" applyFont="1" applyBorder="1"/>
    <xf numFmtId="0" fontId="118" fillId="0" borderId="2" xfId="0" applyFont="1" applyBorder="1" applyAlignment="1">
      <alignment horizontal="left" vertical="center" wrapText="1" indent="4" readingOrder="1"/>
    </xf>
    <xf numFmtId="0" fontId="119" fillId="0" borderId="2" xfId="0" applyFont="1" applyBorder="1" applyAlignment="1">
      <alignment horizontal="center" vertical="center" wrapText="1" readingOrder="1"/>
    </xf>
    <xf numFmtId="3" fontId="5" fillId="0" borderId="2" xfId="0" applyNumberFormat="1" applyFont="1" applyBorder="1" applyAlignment="1">
      <alignment horizontal="center" vertical="center"/>
    </xf>
    <xf numFmtId="3" fontId="5" fillId="0" borderId="0" xfId="0" applyNumberFormat="1" applyFont="1" applyAlignment="1">
      <alignment horizontal="center" vertical="center"/>
    </xf>
    <xf numFmtId="0" fontId="22" fillId="0" borderId="2" xfId="0" applyFont="1" applyBorder="1" applyAlignment="1">
      <alignment horizontal="left" vertical="center" wrapText="1" readingOrder="1"/>
    </xf>
    <xf numFmtId="3" fontId="28" fillId="0" borderId="2" xfId="0" applyNumberFormat="1" applyFont="1" applyBorder="1" applyAlignment="1">
      <alignment horizontal="center" vertical="center"/>
    </xf>
    <xf numFmtId="166" fontId="28" fillId="0" borderId="0" xfId="0" applyNumberFormat="1" applyFont="1" applyAlignment="1">
      <alignment horizontal="center" vertical="center"/>
    </xf>
    <xf numFmtId="2" fontId="28" fillId="0" borderId="0" xfId="0" applyNumberFormat="1" applyFont="1" applyAlignment="1">
      <alignment horizontal="center" vertical="center"/>
    </xf>
    <xf numFmtId="9" fontId="28" fillId="9" borderId="2" xfId="4" applyFont="1" applyFill="1" applyBorder="1" applyAlignment="1">
      <alignment horizontal="center" vertical="center"/>
    </xf>
    <xf numFmtId="9" fontId="28" fillId="0" borderId="0" xfId="4" applyFont="1" applyAlignment="1">
      <alignment horizontal="center" vertical="center"/>
    </xf>
    <xf numFmtId="170" fontId="28" fillId="0" borderId="0" xfId="4" applyNumberFormat="1" applyFont="1" applyAlignment="1">
      <alignment horizontal="center" vertical="center"/>
    </xf>
    <xf numFmtId="1" fontId="28" fillId="0" borderId="0" xfId="0" applyNumberFormat="1" applyFont="1" applyAlignment="1">
      <alignment horizontal="center" vertical="center"/>
    </xf>
    <xf numFmtId="171" fontId="112" fillId="0" borderId="0" xfId="0" applyNumberFormat="1" applyFont="1" applyAlignment="1">
      <alignment wrapText="1"/>
    </xf>
    <xf numFmtId="9" fontId="28" fillId="0" borderId="2" xfId="4" applyFont="1" applyBorder="1" applyAlignment="1">
      <alignment horizontal="center" vertical="center"/>
    </xf>
    <xf numFmtId="0" fontId="86" fillId="0" borderId="0" xfId="0" applyFont="1" applyAlignment="1">
      <alignment horizontal="right" vertical="center" wrapText="1"/>
    </xf>
    <xf numFmtId="0" fontId="47" fillId="0" borderId="0" xfId="0" applyFont="1" applyAlignment="1">
      <alignment horizontal="center" vertical="center"/>
    </xf>
    <xf numFmtId="0" fontId="65" fillId="0" borderId="52" xfId="1" applyFont="1" applyBorder="1" applyAlignment="1">
      <alignment horizontal="center" vertical="center" wrapText="1"/>
    </xf>
    <xf numFmtId="0" fontId="65" fillId="0" borderId="53" xfId="1" applyFont="1" applyBorder="1" applyAlignment="1">
      <alignment horizontal="center" vertical="center" wrapText="1"/>
    </xf>
    <xf numFmtId="0" fontId="65" fillId="0" borderId="54" xfId="1" applyFont="1" applyBorder="1" applyAlignment="1" applyProtection="1">
      <alignment horizontal="center" vertical="center" wrapText="1"/>
      <protection locked="0"/>
    </xf>
    <xf numFmtId="0" fontId="22" fillId="4" borderId="2" xfId="3" applyFont="1" applyFill="1" applyBorder="1" applyAlignment="1">
      <alignment horizontal="left" vertical="center" wrapText="1"/>
    </xf>
    <xf numFmtId="0" fontId="46" fillId="6" borderId="0" xfId="0" applyFont="1" applyFill="1"/>
    <xf numFmtId="0" fontId="108" fillId="6" borderId="0" xfId="0" applyFont="1" applyFill="1"/>
    <xf numFmtId="0" fontId="108" fillId="0" borderId="0" xfId="0" applyFont="1"/>
    <xf numFmtId="0" fontId="86" fillId="0" borderId="0" xfId="0" applyFont="1"/>
    <xf numFmtId="0" fontId="115" fillId="0" borderId="2" xfId="0" applyFont="1" applyBorder="1" applyAlignment="1">
      <alignment vertical="center" wrapText="1" readingOrder="1"/>
    </xf>
    <xf numFmtId="3" fontId="119" fillId="0" borderId="2" xfId="0" applyNumberFormat="1" applyFont="1" applyBorder="1" applyAlignment="1">
      <alignment horizontal="center" vertical="center" wrapText="1" readingOrder="1"/>
    </xf>
    <xf numFmtId="3" fontId="120" fillId="0" borderId="2" xfId="0" applyNumberFormat="1" applyFont="1" applyBorder="1" applyAlignment="1">
      <alignment horizontal="center" vertical="center"/>
    </xf>
    <xf numFmtId="0" fontId="120" fillId="0" borderId="0" xfId="0" applyFont="1"/>
    <xf numFmtId="0" fontId="119" fillId="0" borderId="2" xfId="0" applyFont="1" applyBorder="1" applyAlignment="1">
      <alignment horizontal="left" vertical="center" wrapText="1" indent="4" readingOrder="1"/>
    </xf>
    <xf numFmtId="3" fontId="25" fillId="0" borderId="2" xfId="0" applyNumberFormat="1" applyFont="1" applyBorder="1" applyAlignment="1">
      <alignment horizontal="center" vertical="center"/>
    </xf>
    <xf numFmtId="3" fontId="25" fillId="0" borderId="0" xfId="0" applyNumberFormat="1" applyFont="1" applyAlignment="1">
      <alignment horizontal="center" vertical="center"/>
    </xf>
    <xf numFmtId="3" fontId="55" fillId="2" borderId="2" xfId="0" applyNumberFormat="1" applyFont="1" applyFill="1" applyBorder="1" applyAlignment="1">
      <alignment horizontal="center" vertical="center" wrapText="1"/>
    </xf>
    <xf numFmtId="3" fontId="55" fillId="2" borderId="17" xfId="0" applyNumberFormat="1" applyFont="1" applyFill="1" applyBorder="1" applyAlignment="1">
      <alignment horizontal="center" vertical="center" wrapText="1"/>
    </xf>
    <xf numFmtId="165" fontId="96" fillId="0" borderId="14" xfId="2" applyNumberFormat="1" applyFont="1" applyBorder="1" applyAlignment="1">
      <alignment horizontal="center" vertical="center"/>
    </xf>
    <xf numFmtId="165" fontId="89" fillId="0" borderId="12" xfId="0" applyNumberFormat="1" applyFont="1" applyBorder="1" applyAlignment="1">
      <alignment horizontal="center" vertical="center" wrapText="1"/>
    </xf>
    <xf numFmtId="165" fontId="96" fillId="0" borderId="14" xfId="0" applyNumberFormat="1" applyFont="1" applyBorder="1" applyAlignment="1">
      <alignment horizontal="center" vertical="center"/>
    </xf>
    <xf numFmtId="3" fontId="5" fillId="0" borderId="2" xfId="0" applyNumberFormat="1" applyFont="1" applyBorder="1"/>
    <xf numFmtId="165" fontId="28" fillId="0" borderId="2" xfId="0" applyNumberFormat="1" applyFont="1" applyBorder="1" applyAlignment="1">
      <alignment horizontal="center" vertical="center"/>
    </xf>
    <xf numFmtId="4" fontId="28" fillId="0" borderId="2" xfId="0" applyNumberFormat="1" applyFont="1" applyBorder="1" applyAlignment="1">
      <alignment horizontal="center" vertical="center"/>
    </xf>
    <xf numFmtId="10" fontId="28" fillId="9" borderId="2" xfId="4" applyNumberFormat="1" applyFont="1" applyFill="1" applyBorder="1" applyAlignment="1">
      <alignment horizontal="center" vertical="center"/>
    </xf>
    <xf numFmtId="10" fontId="28" fillId="0" borderId="2" xfId="4" applyNumberFormat="1" applyFont="1" applyBorder="1" applyAlignment="1">
      <alignment horizontal="center" vertical="center"/>
    </xf>
    <xf numFmtId="0" fontId="39" fillId="0" borderId="2" xfId="0" applyFont="1" applyBorder="1" applyAlignment="1">
      <alignment vertical="center" wrapText="1" readingOrder="1"/>
    </xf>
    <xf numFmtId="9" fontId="28" fillId="0" borderId="2" xfId="0" applyNumberFormat="1" applyFont="1" applyBorder="1" applyAlignment="1">
      <alignment horizontal="center" vertical="center"/>
    </xf>
    <xf numFmtId="0" fontId="99" fillId="12" borderId="17" xfId="0" applyFont="1" applyFill="1" applyBorder="1" applyAlignment="1">
      <alignment horizontal="center" vertical="center"/>
    </xf>
    <xf numFmtId="0" fontId="99" fillId="12" borderId="26" xfId="0" applyFont="1" applyFill="1" applyBorder="1" applyAlignment="1">
      <alignment horizontal="center" vertical="center"/>
    </xf>
    <xf numFmtId="0" fontId="6" fillId="0" borderId="23" xfId="0" applyFont="1" applyBorder="1" applyAlignment="1">
      <alignment vertical="center" wrapText="1"/>
    </xf>
    <xf numFmtId="0" fontId="49" fillId="0" borderId="25" xfId="0" applyFont="1" applyBorder="1" applyAlignment="1">
      <alignment horizontal="left" vertical="center" wrapText="1"/>
    </xf>
    <xf numFmtId="1" fontId="112" fillId="0" borderId="2" xfId="0" applyNumberFormat="1" applyFont="1" applyBorder="1" applyAlignment="1">
      <alignment horizontal="center" vertical="center" wrapText="1"/>
    </xf>
    <xf numFmtId="1" fontId="28" fillId="0" borderId="0" xfId="0" applyNumberFormat="1" applyFont="1"/>
    <xf numFmtId="1" fontId="90" fillId="0" borderId="0" xfId="0" applyNumberFormat="1" applyFont="1"/>
    <xf numFmtId="1" fontId="125" fillId="0" borderId="0" xfId="0" applyNumberFormat="1" applyFont="1" applyAlignment="1">
      <alignment horizontal="center" vertical="center" wrapText="1"/>
    </xf>
    <xf numFmtId="1" fontId="120" fillId="0" borderId="0" xfId="0" applyNumberFormat="1" applyFont="1"/>
    <xf numFmtId="1" fontId="112" fillId="0" borderId="0" xfId="0" applyNumberFormat="1" applyFont="1" applyAlignment="1">
      <alignment wrapText="1"/>
    </xf>
    <xf numFmtId="1" fontId="112" fillId="0" borderId="2" xfId="0" applyNumberFormat="1" applyFont="1" applyBorder="1" applyAlignment="1">
      <alignment wrapText="1"/>
    </xf>
    <xf numFmtId="49" fontId="72" fillId="0" borderId="23" xfId="0" applyNumberFormat="1" applyFont="1" applyBorder="1" applyAlignment="1">
      <alignment horizontal="center" vertical="center"/>
    </xf>
    <xf numFmtId="49" fontId="72" fillId="0" borderId="21" xfId="0" applyNumberFormat="1" applyFont="1" applyBorder="1" applyAlignment="1">
      <alignment horizontal="center" vertical="center"/>
    </xf>
    <xf numFmtId="0" fontId="75" fillId="3" borderId="0" xfId="0" applyFont="1" applyFill="1"/>
    <xf numFmtId="0" fontId="72" fillId="3" borderId="0" xfId="0" applyFont="1" applyFill="1" applyAlignment="1">
      <alignment horizontal="center" vertical="center"/>
    </xf>
    <xf numFmtId="172" fontId="90" fillId="3" borderId="2" xfId="0" applyNumberFormat="1" applyFont="1" applyFill="1" applyBorder="1" applyAlignment="1">
      <alignment horizontal="center" vertical="center"/>
    </xf>
    <xf numFmtId="3" fontId="76" fillId="3" borderId="2" xfId="0" applyNumberFormat="1" applyFont="1" applyFill="1" applyBorder="1" applyAlignment="1">
      <alignment horizontal="center" vertical="center"/>
    </xf>
    <xf numFmtId="0" fontId="35" fillId="3" borderId="0" xfId="0" applyFont="1" applyFill="1"/>
    <xf numFmtId="3" fontId="64" fillId="4" borderId="2" xfId="0" applyNumberFormat="1" applyFont="1" applyFill="1" applyBorder="1" applyAlignment="1">
      <alignment horizontal="center" vertical="center"/>
    </xf>
    <xf numFmtId="0" fontId="87" fillId="3" borderId="0" xfId="0" applyFont="1" applyFill="1"/>
    <xf numFmtId="172" fontId="90" fillId="0" borderId="2" xfId="0" applyNumberFormat="1" applyFont="1" applyBorder="1" applyAlignment="1">
      <alignment horizontal="center" vertical="center"/>
    </xf>
    <xf numFmtId="0" fontId="127" fillId="0" borderId="0" xfId="0" applyFont="1" applyAlignment="1">
      <alignment horizontal="center" vertical="center" wrapText="1"/>
    </xf>
    <xf numFmtId="0" fontId="11" fillId="4" borderId="55" xfId="0" applyFont="1" applyFill="1" applyBorder="1" applyAlignment="1">
      <alignment vertical="center"/>
    </xf>
    <xf numFmtId="0" fontId="11" fillId="4" borderId="56" xfId="0" applyFont="1" applyFill="1" applyBorder="1" applyAlignment="1">
      <alignment vertical="center"/>
    </xf>
    <xf numFmtId="0" fontId="0" fillId="4" borderId="56" xfId="0" applyFill="1" applyBorder="1"/>
    <xf numFmtId="0" fontId="0" fillId="4" borderId="57" xfId="0" applyFill="1" applyBorder="1"/>
    <xf numFmtId="0" fontId="0" fillId="4" borderId="58" xfId="0" applyFill="1" applyBorder="1"/>
    <xf numFmtId="0" fontId="0" fillId="4" borderId="0" xfId="0" applyFill="1"/>
    <xf numFmtId="0" fontId="0" fillId="4" borderId="59" xfId="0" applyFill="1" applyBorder="1"/>
    <xf numFmtId="0" fontId="3" fillId="0" borderId="0" xfId="0" applyFont="1" applyAlignment="1">
      <alignment vertical="center"/>
    </xf>
    <xf numFmtId="0" fontId="3" fillId="4" borderId="0" xfId="0" applyFont="1" applyFill="1" applyAlignment="1">
      <alignment vertical="center"/>
    </xf>
    <xf numFmtId="0" fontId="3" fillId="4" borderId="59" xfId="0" applyFont="1" applyFill="1" applyBorder="1" applyAlignment="1">
      <alignment vertical="center"/>
    </xf>
    <xf numFmtId="0" fontId="128" fillId="0" borderId="0" xfId="0" applyFont="1" applyAlignment="1">
      <alignment horizontal="left" vertical="center"/>
    </xf>
    <xf numFmtId="0" fontId="128" fillId="4" borderId="60" xfId="0" applyFont="1" applyFill="1" applyBorder="1" applyAlignment="1">
      <alignment horizontal="left" vertical="center"/>
    </xf>
    <xf numFmtId="0" fontId="129" fillId="4" borderId="39" xfId="1" applyFont="1" applyFill="1" applyBorder="1" applyAlignment="1">
      <alignment horizontal="left" vertical="center"/>
    </xf>
    <xf numFmtId="0" fontId="128" fillId="4" borderId="39" xfId="0" applyFont="1" applyFill="1" applyBorder="1" applyAlignment="1">
      <alignment horizontal="left" vertical="center"/>
    </xf>
    <xf numFmtId="0" fontId="129" fillId="4" borderId="61" xfId="1" applyFont="1" applyFill="1" applyBorder="1" applyAlignment="1">
      <alignment horizontal="left" vertical="center"/>
    </xf>
    <xf numFmtId="0" fontId="84" fillId="0" borderId="0" xfId="0" applyFont="1" applyAlignment="1">
      <alignment horizontal="left" vertical="center" wrapText="1"/>
    </xf>
    <xf numFmtId="0" fontId="84" fillId="0" borderId="0" xfId="0" applyFont="1" applyAlignment="1">
      <alignment horizontal="left" vertical="center"/>
    </xf>
    <xf numFmtId="0" fontId="92" fillId="0" borderId="0" xfId="0" applyFont="1" applyFill="1" applyBorder="1" applyAlignment="1">
      <alignment horizontal="center" vertical="center"/>
    </xf>
    <xf numFmtId="0" fontId="93" fillId="0" borderId="0" xfId="0" applyFont="1" applyFill="1" applyBorder="1" applyAlignment="1">
      <alignment horizontal="center" vertical="center" wrapText="1"/>
    </xf>
    <xf numFmtId="1" fontId="93" fillId="0" borderId="0" xfId="4" applyNumberFormat="1" applyFont="1" applyFill="1" applyBorder="1" applyAlignment="1">
      <alignment horizontal="center" vertical="center"/>
    </xf>
    <xf numFmtId="3" fontId="17" fillId="0" borderId="0" xfId="0" applyNumberFormat="1" applyFont="1" applyFill="1" applyBorder="1" applyAlignment="1">
      <alignment horizontal="center" vertical="center"/>
    </xf>
    <xf numFmtId="3" fontId="10" fillId="0" borderId="0" xfId="0" applyNumberFormat="1" applyFont="1" applyFill="1" applyBorder="1" applyAlignment="1">
      <alignment horizontal="center" vertical="center" wrapText="1"/>
    </xf>
    <xf numFmtId="0" fontId="93" fillId="0" borderId="0" xfId="0" applyFont="1" applyFill="1" applyBorder="1" applyAlignment="1">
      <alignment horizontal="center" vertical="center"/>
    </xf>
    <xf numFmtId="0" fontId="81"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3" fontId="94" fillId="0" borderId="0" xfId="0" applyNumberFormat="1" applyFont="1" applyFill="1" applyBorder="1" applyAlignment="1">
      <alignment horizontal="center" vertical="center"/>
    </xf>
    <xf numFmtId="3" fontId="95" fillId="0" borderId="0" xfId="0" applyNumberFormat="1" applyFont="1" applyFill="1" applyBorder="1" applyAlignment="1">
      <alignment horizontal="center" vertical="center"/>
    </xf>
    <xf numFmtId="0" fontId="93" fillId="0" borderId="0" xfId="0" applyFont="1" applyFill="1" applyBorder="1"/>
    <xf numFmtId="0" fontId="39"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0" xfId="0" applyFont="1" applyFill="1" applyBorder="1" applyAlignment="1">
      <alignment horizontal="center" vertical="center"/>
    </xf>
    <xf numFmtId="0" fontId="59" fillId="0" borderId="0" xfId="0" applyFont="1" applyFill="1" applyBorder="1" applyAlignment="1">
      <alignment horizontal="center" vertical="center"/>
    </xf>
    <xf numFmtId="0" fontId="20" fillId="0" borderId="0" xfId="0" applyFont="1" applyFill="1" applyBorder="1" applyAlignment="1" applyProtection="1">
      <alignment horizontal="center" vertical="center" wrapText="1"/>
      <protection locked="0"/>
    </xf>
    <xf numFmtId="0" fontId="20" fillId="0" borderId="0" xfId="0" applyFont="1" applyFill="1" applyBorder="1" applyAlignment="1" applyProtection="1">
      <alignment vertical="center" wrapText="1"/>
      <protection locked="0"/>
    </xf>
    <xf numFmtId="0" fontId="55" fillId="0" borderId="0" xfId="0" applyFont="1" applyFill="1" applyBorder="1" applyAlignment="1">
      <alignment horizontal="center" vertical="center"/>
    </xf>
    <xf numFmtId="0" fontId="52" fillId="0" borderId="0" xfId="0" applyFont="1" applyFill="1" applyBorder="1"/>
    <xf numFmtId="0" fontId="60" fillId="0" borderId="0" xfId="0" applyFont="1" applyFill="1" applyBorder="1"/>
    <xf numFmtId="0" fontId="61" fillId="0" borderId="0" xfId="0" applyFont="1" applyFill="1" applyBorder="1"/>
    <xf numFmtId="0" fontId="59" fillId="0" borderId="0" xfId="0" applyFont="1" applyFill="1" applyBorder="1"/>
    <xf numFmtId="0" fontId="87" fillId="0" borderId="0" xfId="0" applyFont="1" applyFill="1" applyBorder="1" applyAlignment="1">
      <alignment horizontal="center" vertical="center"/>
    </xf>
    <xf numFmtId="0" fontId="55" fillId="0" borderId="0" xfId="0" applyFont="1" applyFill="1" applyBorder="1"/>
    <xf numFmtId="0" fontId="20" fillId="0" borderId="0" xfId="0" applyFont="1" applyFill="1" applyBorder="1" applyAlignment="1" applyProtection="1">
      <alignment vertical="center"/>
      <protection locked="0"/>
    </xf>
    <xf numFmtId="0" fontId="28" fillId="0" borderId="0" xfId="0" applyFont="1" applyFill="1" applyBorder="1" applyProtection="1">
      <protection locked="0"/>
    </xf>
    <xf numFmtId="0" fontId="89" fillId="0" borderId="0" xfId="0" applyFont="1" applyFill="1" applyBorder="1" applyProtection="1">
      <protection locked="0"/>
    </xf>
    <xf numFmtId="0" fontId="24" fillId="0" borderId="0" xfId="0" applyFont="1" applyFill="1" applyBorder="1" applyProtection="1">
      <protection locked="0"/>
    </xf>
    <xf numFmtId="0" fontId="24" fillId="0" borderId="0" xfId="0" applyFont="1" applyFill="1" applyBorder="1"/>
    <xf numFmtId="0" fontId="89" fillId="0" borderId="0" xfId="0" applyFont="1" applyFill="1" applyBorder="1"/>
    <xf numFmtId="0" fontId="10" fillId="0" borderId="0" xfId="0" applyFont="1" applyFill="1" applyBorder="1"/>
    <xf numFmtId="0" fontId="87" fillId="0" borderId="0" xfId="0" applyFont="1" applyFill="1" applyBorder="1"/>
    <xf numFmtId="0" fontId="39" fillId="0" borderId="0" xfId="0" applyFont="1" applyFill="1" applyBorder="1" applyAlignment="1">
      <alignment vertical="center" wrapText="1"/>
    </xf>
    <xf numFmtId="0" fontId="20" fillId="0" borderId="0" xfId="0" applyFont="1" applyFill="1" applyBorder="1" applyAlignment="1">
      <alignment vertical="center" wrapText="1"/>
    </xf>
    <xf numFmtId="0" fontId="32" fillId="3" borderId="0" xfId="0" applyFont="1" applyFill="1" applyBorder="1"/>
    <xf numFmtId="0" fontId="30" fillId="3" borderId="0" xfId="0" applyFont="1" applyFill="1" applyBorder="1"/>
    <xf numFmtId="0" fontId="122" fillId="3" borderId="0" xfId="0" applyFont="1" applyFill="1" applyBorder="1" applyAlignment="1">
      <alignment horizontal="center" vertical="center"/>
    </xf>
    <xf numFmtId="168" fontId="35" fillId="0" borderId="14" xfId="0" applyNumberFormat="1" applyFont="1" applyFill="1" applyBorder="1" applyAlignment="1">
      <alignment horizontal="right"/>
    </xf>
    <xf numFmtId="0" fontId="56" fillId="0" borderId="38" xfId="0" applyFont="1" applyBorder="1" applyAlignment="1">
      <alignment horizontal="center" vertical="center" wrapText="1"/>
    </xf>
    <xf numFmtId="0" fontId="56" fillId="0" borderId="36" xfId="0" applyFont="1" applyBorder="1" applyAlignment="1">
      <alignment horizontal="center" vertical="center" wrapText="1"/>
    </xf>
    <xf numFmtId="0" fontId="56" fillId="0" borderId="43" xfId="0" applyFont="1" applyBorder="1" applyAlignment="1">
      <alignment horizontal="center" vertical="center" wrapText="1"/>
    </xf>
    <xf numFmtId="0" fontId="56" fillId="0" borderId="62" xfId="0" applyFont="1" applyBorder="1" applyAlignment="1">
      <alignment horizontal="center" vertical="center" wrapText="1"/>
    </xf>
    <xf numFmtId="0" fontId="56" fillId="0" borderId="28" xfId="0" applyFont="1" applyBorder="1" applyAlignment="1">
      <alignment vertical="center" wrapText="1"/>
    </xf>
    <xf numFmtId="3" fontId="21" fillId="0" borderId="2" xfId="0" applyNumberFormat="1" applyFont="1" applyBorder="1" applyAlignment="1">
      <alignment horizontal="center" vertical="center" wrapText="1"/>
    </xf>
    <xf numFmtId="3" fontId="21" fillId="0" borderId="10" xfId="0" applyNumberFormat="1" applyFont="1" applyBorder="1" applyAlignment="1">
      <alignment horizontal="center" vertical="center" wrapText="1"/>
    </xf>
    <xf numFmtId="3" fontId="133" fillId="0" borderId="29" xfId="0" applyNumberFormat="1" applyFont="1" applyBorder="1" applyAlignment="1">
      <alignment horizontal="center" vertical="center" wrapText="1"/>
    </xf>
    <xf numFmtId="0" fontId="56" fillId="0" borderId="42" xfId="0" applyFont="1" applyBorder="1" applyAlignment="1">
      <alignment vertical="center" wrapText="1"/>
    </xf>
    <xf numFmtId="3" fontId="21" fillId="0" borderId="16" xfId="0" applyNumberFormat="1" applyFont="1" applyBorder="1" applyAlignment="1">
      <alignment horizontal="center" vertical="center" wrapText="1"/>
    </xf>
    <xf numFmtId="3" fontId="21" fillId="0" borderId="3" xfId="0" applyNumberFormat="1" applyFont="1" applyBorder="1" applyAlignment="1">
      <alignment horizontal="center" vertical="center" wrapText="1"/>
    </xf>
    <xf numFmtId="3" fontId="133" fillId="0" borderId="63" xfId="0" applyNumberFormat="1" applyFont="1" applyBorder="1" applyAlignment="1">
      <alignment horizontal="center" vertical="center" wrapText="1"/>
    </xf>
    <xf numFmtId="0" fontId="56" fillId="0" borderId="31" xfId="0" applyFont="1" applyBorder="1" applyAlignment="1">
      <alignment vertical="center" wrapText="1"/>
    </xf>
    <xf numFmtId="3" fontId="133" fillId="0" borderId="32" xfId="0" applyNumberFormat="1" applyFont="1" applyBorder="1" applyAlignment="1">
      <alignment horizontal="center" vertical="center" wrapText="1"/>
    </xf>
    <xf numFmtId="3" fontId="133" fillId="0" borderId="64" xfId="0" applyNumberFormat="1" applyFont="1" applyBorder="1" applyAlignment="1">
      <alignment horizontal="center" vertical="center" wrapText="1"/>
    </xf>
    <xf numFmtId="3" fontId="21" fillId="0" borderId="2" xfId="0" applyNumberFormat="1" applyFont="1" applyBorder="1" applyAlignment="1">
      <alignment horizontal="center" vertical="center"/>
    </xf>
    <xf numFmtId="3" fontId="133" fillId="0" borderId="29" xfId="0" applyNumberFormat="1" applyFont="1" applyBorder="1" applyAlignment="1">
      <alignment horizontal="center" vertical="center"/>
    </xf>
    <xf numFmtId="3" fontId="21" fillId="0" borderId="10" xfId="0" applyNumberFormat="1" applyFont="1" applyBorder="1" applyAlignment="1">
      <alignment horizontal="center" vertical="center"/>
    </xf>
    <xf numFmtId="3" fontId="133" fillId="0" borderId="32" xfId="0" applyNumberFormat="1" applyFont="1" applyBorder="1" applyAlignment="1">
      <alignment horizontal="center" vertical="center"/>
    </xf>
    <xf numFmtId="3" fontId="133" fillId="0" borderId="64" xfId="0" applyNumberFormat="1" applyFont="1" applyBorder="1" applyAlignment="1">
      <alignment horizontal="center" vertical="center"/>
    </xf>
    <xf numFmtId="0" fontId="61" fillId="0" borderId="0" xfId="0" applyFont="1" applyAlignment="1">
      <alignment vertical="center"/>
    </xf>
    <xf numFmtId="0" fontId="72" fillId="0" borderId="0" xfId="0" applyFont="1" applyAlignment="1">
      <alignment vertical="center"/>
    </xf>
    <xf numFmtId="0" fontId="85" fillId="0" borderId="0" xfId="0" applyFont="1" applyAlignment="1">
      <alignment vertical="center"/>
    </xf>
    <xf numFmtId="0" fontId="136" fillId="0" borderId="0" xfId="0" applyFont="1" applyAlignment="1">
      <alignment horizontal="center"/>
    </xf>
    <xf numFmtId="0" fontId="79" fillId="0" borderId="0" xfId="0" applyFont="1" applyAlignment="1">
      <alignment horizontal="left" vertical="center" wrapText="1"/>
    </xf>
    <xf numFmtId="0" fontId="81" fillId="0" borderId="0" xfId="0" applyFont="1" applyAlignment="1">
      <alignment horizontal="left" vertical="center"/>
    </xf>
    <xf numFmtId="0" fontId="22" fillId="0" borderId="36" xfId="0" applyFont="1" applyBorder="1" applyAlignment="1" applyProtection="1">
      <alignment horizontal="center" vertical="center" wrapText="1"/>
      <protection locked="0"/>
    </xf>
    <xf numFmtId="0" fontId="22" fillId="4" borderId="37" xfId="0" applyFont="1" applyFill="1" applyBorder="1" applyAlignment="1" applyProtection="1">
      <alignment horizontal="center" vertical="center" wrapText="1"/>
      <protection locked="0"/>
    </xf>
    <xf numFmtId="0" fontId="49" fillId="0" borderId="19" xfId="0" applyFont="1" applyBorder="1" applyAlignment="1">
      <alignment horizontal="left" vertical="center" wrapText="1"/>
    </xf>
    <xf numFmtId="171" fontId="40" fillId="12" borderId="23" xfId="0" applyNumberFormat="1" applyFont="1" applyFill="1" applyBorder="1" applyAlignment="1">
      <alignment horizontal="center" vertical="center" wrapText="1"/>
    </xf>
    <xf numFmtId="171" fontId="87" fillId="12" borderId="21" xfId="0" applyNumberFormat="1" applyFont="1" applyFill="1" applyBorder="1" applyAlignment="1">
      <alignment horizontal="center" vertical="center" wrapText="1"/>
    </xf>
    <xf numFmtId="171" fontId="87" fillId="12" borderId="22" xfId="0" applyNumberFormat="1" applyFont="1" applyFill="1" applyBorder="1" applyAlignment="1">
      <alignment horizontal="center" vertical="center" wrapText="1"/>
    </xf>
    <xf numFmtId="0" fontId="139" fillId="0" borderId="65" xfId="1" applyFont="1" applyBorder="1" applyAlignment="1">
      <alignment horizontal="center" vertical="center"/>
    </xf>
    <xf numFmtId="0" fontId="10" fillId="0" borderId="13" xfId="0" applyFont="1" applyBorder="1" applyAlignment="1">
      <alignment vertical="center" wrapText="1"/>
    </xf>
    <xf numFmtId="164" fontId="24" fillId="0" borderId="15" xfId="0" applyNumberFormat="1" applyFont="1" applyFill="1" applyBorder="1" applyAlignment="1">
      <alignment horizontal="center" vertical="center" wrapText="1"/>
    </xf>
    <xf numFmtId="169" fontId="24" fillId="0" borderId="12" xfId="0" applyNumberFormat="1" applyFont="1" applyFill="1" applyBorder="1" applyAlignment="1">
      <alignment horizontal="center" vertical="center" wrapText="1"/>
    </xf>
    <xf numFmtId="165" fontId="89" fillId="0" borderId="12" xfId="0" applyNumberFormat="1" applyFont="1" applyFill="1" applyBorder="1" applyAlignment="1">
      <alignment horizontal="center" vertical="center" wrapText="1"/>
    </xf>
    <xf numFmtId="0" fontId="22" fillId="0" borderId="2" xfId="3" applyFont="1" applyFill="1" applyBorder="1" applyAlignment="1">
      <alignment horizontal="left" vertical="center" wrapText="1"/>
    </xf>
    <xf numFmtId="0" fontId="41" fillId="0" borderId="13" xfId="0" applyFont="1" applyFill="1" applyBorder="1" applyAlignment="1">
      <alignment horizontal="left" vertical="center" wrapText="1" indent="2"/>
    </xf>
    <xf numFmtId="0" fontId="10" fillId="0" borderId="13" xfId="0" applyFont="1" applyFill="1" applyBorder="1" applyAlignment="1">
      <alignment vertical="center" wrapText="1"/>
    </xf>
    <xf numFmtId="0" fontId="40" fillId="0" borderId="13" xfId="0" applyFont="1" applyFill="1" applyBorder="1" applyAlignment="1">
      <alignment vertical="center" wrapText="1"/>
    </xf>
    <xf numFmtId="165" fontId="15" fillId="2" borderId="2" xfId="0" applyNumberFormat="1" applyFont="1" applyFill="1" applyBorder="1" applyAlignment="1">
      <alignment horizontal="center" vertical="center"/>
    </xf>
    <xf numFmtId="0" fontId="15" fillId="0" borderId="2" xfId="0" applyFont="1" applyBorder="1" applyAlignment="1">
      <alignment horizontal="left" vertical="center" wrapText="1"/>
    </xf>
    <xf numFmtId="0" fontId="24" fillId="0" borderId="2" xfId="0" applyNumberFormat="1" applyFont="1" applyBorder="1" applyAlignment="1">
      <alignment horizontal="center" vertical="center"/>
    </xf>
    <xf numFmtId="0" fontId="52" fillId="0" borderId="0" xfId="0" applyNumberFormat="1" applyFont="1"/>
    <xf numFmtId="165" fontId="15" fillId="2" borderId="28" xfId="0" applyNumberFormat="1" applyFont="1" applyFill="1" applyBorder="1" applyAlignment="1">
      <alignment horizontal="center" vertical="center"/>
    </xf>
    <xf numFmtId="0" fontId="15" fillId="0" borderId="51" xfId="0" applyFont="1" applyBorder="1" applyAlignment="1">
      <alignment horizontal="left" vertical="center" wrapText="1"/>
    </xf>
    <xf numFmtId="9" fontId="15" fillId="2" borderId="48" xfId="4" applyFont="1" applyFill="1" applyBorder="1" applyAlignment="1">
      <alignment horizontal="center" vertical="center"/>
    </xf>
    <xf numFmtId="9" fontId="15" fillId="2" borderId="34" xfId="4" applyFont="1" applyFill="1" applyBorder="1" applyAlignment="1">
      <alignment horizontal="center" vertical="center"/>
    </xf>
    <xf numFmtId="9" fontId="15" fillId="2" borderId="35" xfId="4" applyFont="1" applyFill="1" applyBorder="1" applyAlignment="1">
      <alignment horizontal="center" vertical="center"/>
    </xf>
    <xf numFmtId="3" fontId="15" fillId="2" borderId="48" xfId="0" applyNumberFormat="1" applyFont="1" applyFill="1" applyBorder="1" applyAlignment="1">
      <alignment horizontal="center" vertical="center"/>
    </xf>
    <xf numFmtId="3" fontId="15" fillId="2" borderId="34" xfId="0" applyNumberFormat="1" applyFont="1" applyFill="1" applyBorder="1" applyAlignment="1">
      <alignment horizontal="center" vertical="center"/>
    </xf>
    <xf numFmtId="3" fontId="91" fillId="4" borderId="51" xfId="0" applyNumberFormat="1" applyFont="1" applyFill="1" applyBorder="1" applyAlignment="1">
      <alignment horizontal="center" vertical="center"/>
    </xf>
    <xf numFmtId="3" fontId="91" fillId="4" borderId="35" xfId="0" applyNumberFormat="1" applyFont="1" applyFill="1" applyBorder="1" applyAlignment="1">
      <alignment horizontal="center" vertical="center"/>
    </xf>
    <xf numFmtId="3" fontId="49" fillId="2" borderId="42" xfId="0" applyNumberFormat="1" applyFont="1" applyFill="1" applyBorder="1" applyAlignment="1">
      <alignment horizontal="center" vertical="center"/>
    </xf>
    <xf numFmtId="3" fontId="49" fillId="2" borderId="16" xfId="0" applyNumberFormat="1" applyFont="1" applyFill="1" applyBorder="1" applyAlignment="1">
      <alignment horizontal="center" vertical="center"/>
    </xf>
    <xf numFmtId="3" fontId="46" fillId="0" borderId="48" xfId="0" applyNumberFormat="1" applyFont="1" applyBorder="1" applyAlignment="1">
      <alignment horizontal="center" vertical="center"/>
    </xf>
    <xf numFmtId="3" fontId="46" fillId="0" borderId="34" xfId="0" applyNumberFormat="1" applyFont="1" applyBorder="1" applyAlignment="1">
      <alignment horizontal="center" vertical="center"/>
    </xf>
    <xf numFmtId="3" fontId="108" fillId="4" borderId="35" xfId="0" applyNumberFormat="1" applyFont="1" applyFill="1" applyBorder="1" applyAlignment="1">
      <alignment horizontal="center" vertical="center"/>
    </xf>
    <xf numFmtId="3" fontId="15" fillId="2" borderId="66" xfId="0" applyNumberFormat="1" applyFont="1" applyFill="1" applyBorder="1" applyAlignment="1">
      <alignment horizontal="center" vertical="center"/>
    </xf>
    <xf numFmtId="3" fontId="91" fillId="4" borderId="67" xfId="0" applyNumberFormat="1" applyFont="1" applyFill="1" applyBorder="1" applyAlignment="1">
      <alignment horizontal="center" vertical="center"/>
    </xf>
    <xf numFmtId="3" fontId="46" fillId="0" borderId="68" xfId="0" applyNumberFormat="1" applyFont="1" applyBorder="1" applyAlignment="1">
      <alignment horizontal="center" vertical="center"/>
    </xf>
    <xf numFmtId="3" fontId="46" fillId="0" borderId="18" xfId="0" applyNumberFormat="1" applyFont="1" applyBorder="1" applyAlignment="1">
      <alignment horizontal="center" vertical="center"/>
    </xf>
    <xf numFmtId="165" fontId="15" fillId="2" borderId="25" xfId="0" applyNumberFormat="1" applyFont="1" applyFill="1" applyBorder="1" applyAlignment="1">
      <alignment horizontal="center" vertical="center"/>
    </xf>
    <xf numFmtId="0" fontId="15" fillId="0" borderId="2" xfId="0" applyFont="1" applyBorder="1" applyAlignment="1">
      <alignment horizontal="center"/>
    </xf>
    <xf numFmtId="3" fontId="91" fillId="4" borderId="2" xfId="0" applyNumberFormat="1" applyFont="1" applyFill="1" applyBorder="1" applyAlignment="1">
      <alignment horizontal="center" vertical="center"/>
    </xf>
    <xf numFmtId="3" fontId="108" fillId="4" borderId="2" xfId="0" applyNumberFormat="1" applyFont="1" applyFill="1" applyBorder="1" applyAlignment="1">
      <alignment horizontal="center" vertical="center"/>
    </xf>
    <xf numFmtId="0" fontId="15" fillId="0" borderId="0" xfId="0" applyFont="1" applyBorder="1" applyAlignment="1">
      <alignment horizontal="center"/>
    </xf>
    <xf numFmtId="170" fontId="15" fillId="2" borderId="2" xfId="4" applyNumberFormat="1" applyFont="1" applyFill="1" applyBorder="1" applyAlignment="1">
      <alignment horizontal="center" vertical="center"/>
    </xf>
    <xf numFmtId="165" fontId="15" fillId="2" borderId="2" xfId="4" applyNumberFormat="1" applyFont="1" applyFill="1" applyBorder="1" applyAlignment="1">
      <alignment horizontal="center" vertical="center"/>
    </xf>
    <xf numFmtId="0" fontId="6" fillId="3" borderId="2" xfId="0" applyFont="1" applyFill="1" applyBorder="1" applyAlignment="1">
      <alignment horizontal="left" vertical="center" wrapText="1"/>
    </xf>
    <xf numFmtId="3" fontId="49" fillId="2" borderId="9" xfId="0" applyNumberFormat="1" applyFont="1" applyFill="1" applyBorder="1" applyAlignment="1">
      <alignment horizontal="center" vertical="center"/>
    </xf>
    <xf numFmtId="0" fontId="91" fillId="4" borderId="3" xfId="0" applyFont="1" applyFill="1" applyBorder="1" applyAlignment="1">
      <alignment horizontal="left" vertical="center" wrapText="1"/>
    </xf>
    <xf numFmtId="166" fontId="112" fillId="0" borderId="2" xfId="0" applyNumberFormat="1" applyFont="1" applyBorder="1" applyAlignment="1">
      <alignment horizontal="center" vertical="center" wrapText="1"/>
    </xf>
    <xf numFmtId="3" fontId="119" fillId="2" borderId="2" xfId="0" applyNumberFormat="1" applyFont="1" applyFill="1" applyBorder="1" applyAlignment="1">
      <alignment horizontal="center" vertical="center" wrapText="1" readingOrder="1"/>
    </xf>
    <xf numFmtId="1" fontId="140" fillId="2" borderId="0" xfId="0" applyNumberFormat="1" applyFont="1" applyFill="1" applyAlignment="1">
      <alignment wrapText="1"/>
    </xf>
    <xf numFmtId="0" fontId="6" fillId="0" borderId="0" xfId="3" applyFont="1" applyBorder="1" applyAlignment="1">
      <alignment vertical="center"/>
    </xf>
    <xf numFmtId="0" fontId="5" fillId="0" borderId="10" xfId="3" applyFont="1" applyBorder="1" applyAlignment="1">
      <alignment vertical="center" wrapText="1"/>
    </xf>
    <xf numFmtId="173" fontId="49" fillId="2" borderId="36" xfId="0" applyNumberFormat="1" applyFont="1" applyFill="1" applyBorder="1" applyAlignment="1">
      <alignment horizontal="center" vertical="center"/>
    </xf>
    <xf numFmtId="4" fontId="15" fillId="2" borderId="17" xfId="0" applyNumberFormat="1" applyFont="1" applyFill="1" applyBorder="1" applyAlignment="1">
      <alignment horizontal="center" vertical="center"/>
    </xf>
    <xf numFmtId="0" fontId="6" fillId="3" borderId="2" xfId="3" applyFont="1" applyFill="1" applyBorder="1" applyAlignment="1">
      <alignment horizontal="left" vertical="center" wrapText="1" indent="2"/>
    </xf>
    <xf numFmtId="0" fontId="6" fillId="0" borderId="9" xfId="3" applyFont="1" applyBorder="1" applyAlignment="1">
      <alignment horizontal="left" vertical="center"/>
    </xf>
    <xf numFmtId="3" fontId="6" fillId="0" borderId="0" xfId="3" applyNumberFormat="1" applyFont="1" applyAlignment="1">
      <alignment vertical="center"/>
    </xf>
    <xf numFmtId="0" fontId="94" fillId="11" borderId="0" xfId="0" applyFont="1" applyFill="1" applyAlignment="1">
      <alignment horizontal="center" vertical="center" wrapText="1"/>
    </xf>
    <xf numFmtId="3" fontId="55" fillId="0" borderId="0" xfId="0" applyNumberFormat="1" applyFont="1"/>
    <xf numFmtId="0" fontId="6" fillId="0" borderId="2" xfId="3" applyFont="1" applyBorder="1" applyAlignment="1">
      <alignment vertical="center" wrapText="1"/>
    </xf>
    <xf numFmtId="175" fontId="49" fillId="2" borderId="2" xfId="0" applyNumberFormat="1" applyFont="1" applyFill="1" applyBorder="1" applyAlignment="1">
      <alignment horizontal="center" vertical="center"/>
    </xf>
    <xf numFmtId="174" fontId="49" fillId="2" borderId="2" xfId="0" applyNumberFormat="1" applyFont="1" applyFill="1" applyBorder="1" applyAlignment="1">
      <alignment horizontal="center" vertical="center"/>
    </xf>
    <xf numFmtId="4" fontId="49" fillId="2" borderId="17" xfId="0" applyNumberFormat="1" applyFont="1" applyFill="1" applyBorder="1" applyAlignment="1">
      <alignment horizontal="center" vertical="center"/>
    </xf>
    <xf numFmtId="175" fontId="49" fillId="2" borderId="20" xfId="0" applyNumberFormat="1" applyFont="1" applyFill="1" applyBorder="1" applyAlignment="1">
      <alignment horizontal="center" vertical="center"/>
    </xf>
    <xf numFmtId="175" fontId="46" fillId="0" borderId="2" xfId="0" applyNumberFormat="1" applyFont="1" applyBorder="1" applyAlignment="1">
      <alignment horizontal="center" vertical="center" wrapText="1"/>
    </xf>
    <xf numFmtId="176" fontId="49" fillId="2" borderId="36" xfId="0" applyNumberFormat="1" applyFont="1" applyFill="1" applyBorder="1" applyAlignment="1">
      <alignment horizontal="center" vertical="center"/>
    </xf>
    <xf numFmtId="0" fontId="6" fillId="3" borderId="28" xfId="3" applyFont="1" applyFill="1" applyBorder="1" applyAlignment="1">
      <alignment horizontal="left" vertical="center" wrapText="1"/>
    </xf>
    <xf numFmtId="3" fontId="46" fillId="3" borderId="2" xfId="0" applyNumberFormat="1" applyFont="1" applyFill="1" applyBorder="1" applyAlignment="1">
      <alignment horizontal="center" vertical="center" wrapText="1"/>
    </xf>
    <xf numFmtId="3" fontId="49" fillId="3" borderId="2" xfId="0" applyNumberFormat="1" applyFont="1" applyFill="1" applyBorder="1" applyAlignment="1">
      <alignment horizontal="center" vertical="center"/>
    </xf>
    <xf numFmtId="3" fontId="49" fillId="3" borderId="10" xfId="0" applyNumberFormat="1" applyFont="1" applyFill="1" applyBorder="1" applyAlignment="1">
      <alignment horizontal="center" vertical="center"/>
    </xf>
    <xf numFmtId="165" fontId="15" fillId="2" borderId="48" xfId="0" applyNumberFormat="1" applyFont="1" applyFill="1" applyBorder="1" applyAlignment="1">
      <alignment horizontal="center" vertical="center"/>
    </xf>
    <xf numFmtId="165" fontId="49" fillId="2" borderId="44" xfId="0" applyNumberFormat="1" applyFont="1" applyFill="1" applyBorder="1" applyAlignment="1">
      <alignment horizontal="center" vertical="center"/>
    </xf>
    <xf numFmtId="165" fontId="49" fillId="2" borderId="9" xfId="0" applyNumberFormat="1" applyFont="1" applyFill="1" applyBorder="1" applyAlignment="1">
      <alignment horizontal="center" vertical="center"/>
    </xf>
    <xf numFmtId="165" fontId="46" fillId="0" borderId="2" xfId="0" applyNumberFormat="1" applyFont="1" applyBorder="1" applyAlignment="1">
      <alignment horizontal="center" vertical="center"/>
    </xf>
    <xf numFmtId="165" fontId="15" fillId="2" borderId="20" xfId="0" applyNumberFormat="1" applyFont="1" applyFill="1" applyBorder="1" applyAlignment="1">
      <alignment horizontal="center" vertical="center"/>
    </xf>
    <xf numFmtId="3" fontId="61" fillId="0" borderId="0" xfId="0" applyNumberFormat="1" applyFont="1"/>
    <xf numFmtId="3" fontId="5" fillId="3" borderId="0" xfId="0" applyNumberFormat="1" applyFont="1" applyFill="1" applyBorder="1" applyAlignment="1" applyProtection="1">
      <alignment horizontal="center" vertical="center"/>
      <protection locked="0"/>
    </xf>
    <xf numFmtId="3" fontId="90" fillId="3" borderId="0" xfId="0" applyNumberFormat="1" applyFont="1" applyFill="1" applyBorder="1" applyAlignment="1" applyProtection="1">
      <alignment horizontal="center" vertical="center"/>
      <protection locked="0"/>
    </xf>
    <xf numFmtId="0" fontId="60" fillId="3" borderId="0" xfId="0" applyFont="1" applyFill="1" applyBorder="1"/>
    <xf numFmtId="3" fontId="15" fillId="0" borderId="0" xfId="0" applyNumberFormat="1" applyFont="1"/>
    <xf numFmtId="0" fontId="5" fillId="0" borderId="0" xfId="3" applyFont="1" applyBorder="1"/>
    <xf numFmtId="0" fontId="5" fillId="0" borderId="0" xfId="3" applyFont="1" applyBorder="1" applyAlignment="1">
      <alignment vertical="center"/>
    </xf>
    <xf numFmtId="0" fontId="8" fillId="0" borderId="10" xfId="3" applyFont="1" applyBorder="1" applyAlignment="1">
      <alignment vertical="center" wrapText="1"/>
    </xf>
    <xf numFmtId="0" fontId="8" fillId="0" borderId="1" xfId="3" applyFont="1" applyBorder="1" applyAlignment="1">
      <alignment vertical="center" wrapText="1"/>
    </xf>
    <xf numFmtId="0" fontId="8" fillId="0" borderId="9" xfId="3" applyFont="1" applyBorder="1" applyAlignment="1">
      <alignment vertical="center" wrapText="1"/>
    </xf>
    <xf numFmtId="165" fontId="6" fillId="0" borderId="2" xfId="3" applyNumberFormat="1" applyFont="1" applyBorder="1" applyAlignment="1">
      <alignment horizontal="center" vertical="center" wrapText="1"/>
    </xf>
    <xf numFmtId="3" fontId="6" fillId="3" borderId="2" xfId="3" applyNumberFormat="1" applyFont="1" applyFill="1" applyBorder="1" applyAlignment="1">
      <alignment horizontal="center" vertical="center" wrapText="1"/>
    </xf>
    <xf numFmtId="4" fontId="6" fillId="0" borderId="0" xfId="3" applyNumberFormat="1" applyFont="1" applyAlignment="1">
      <alignment vertical="center"/>
    </xf>
    <xf numFmtId="0" fontId="49" fillId="6" borderId="0" xfId="0" applyFont="1" applyFill="1"/>
    <xf numFmtId="0" fontId="106" fillId="0" borderId="0" xfId="0" applyFont="1"/>
    <xf numFmtId="3" fontId="49" fillId="2" borderId="25" xfId="0" applyNumberFormat="1" applyFont="1" applyFill="1" applyBorder="1" applyAlignment="1">
      <alignment horizontal="center" vertical="center"/>
    </xf>
    <xf numFmtId="3" fontId="49" fillId="2" borderId="17" xfId="0" applyNumberFormat="1" applyFont="1" applyFill="1" applyBorder="1" applyAlignment="1">
      <alignment horizontal="center" vertical="center"/>
    </xf>
    <xf numFmtId="3" fontId="22" fillId="4" borderId="23" xfId="0" applyNumberFormat="1" applyFont="1" applyFill="1" applyBorder="1" applyAlignment="1">
      <alignment horizontal="center" vertical="center"/>
    </xf>
    <xf numFmtId="3" fontId="22" fillId="4" borderId="21" xfId="0" applyNumberFormat="1" applyFont="1" applyFill="1" applyBorder="1" applyAlignment="1">
      <alignment horizontal="center" vertical="center"/>
    </xf>
    <xf numFmtId="3" fontId="49" fillId="2" borderId="48" xfId="0" applyNumberFormat="1" applyFont="1" applyFill="1" applyBorder="1" applyAlignment="1">
      <alignment horizontal="center" vertical="center"/>
    </xf>
    <xf numFmtId="3" fontId="49" fillId="2" borderId="25" xfId="4" applyNumberFormat="1" applyFont="1" applyFill="1" applyBorder="1" applyAlignment="1">
      <alignment horizontal="center" vertical="center"/>
    </xf>
    <xf numFmtId="3" fontId="49" fillId="2" borderId="17" xfId="4" applyNumberFormat="1" applyFont="1" applyFill="1" applyBorder="1" applyAlignment="1">
      <alignment horizontal="center" vertical="center"/>
    </xf>
    <xf numFmtId="3" fontId="2" fillId="2" borderId="28" xfId="0" applyNumberFormat="1" applyFont="1" applyFill="1" applyBorder="1" applyAlignment="1">
      <alignment horizontal="center" vertical="center"/>
    </xf>
    <xf numFmtId="3" fontId="2" fillId="2" borderId="2" xfId="0" applyNumberFormat="1" applyFont="1" applyFill="1" applyBorder="1" applyAlignment="1">
      <alignment horizontal="center" vertical="center"/>
    </xf>
    <xf numFmtId="3" fontId="49" fillId="2" borderId="28" xfId="4" applyNumberFormat="1" applyFont="1" applyFill="1" applyBorder="1" applyAlignment="1">
      <alignment horizontal="center" vertical="center"/>
    </xf>
    <xf numFmtId="3" fontId="49" fillId="2" borderId="2" xfId="4" applyNumberFormat="1" applyFont="1" applyFill="1" applyBorder="1" applyAlignment="1">
      <alignment horizontal="center" vertical="center"/>
    </xf>
    <xf numFmtId="3" fontId="49" fillId="2" borderId="38" xfId="4" applyNumberFormat="1" applyFont="1" applyFill="1" applyBorder="1" applyAlignment="1">
      <alignment horizontal="center" vertical="center"/>
    </xf>
    <xf numFmtId="3" fontId="2" fillId="0" borderId="0" xfId="0" applyNumberFormat="1" applyFont="1" applyAlignment="1">
      <alignment horizontal="center" vertical="center"/>
    </xf>
    <xf numFmtId="0" fontId="15" fillId="2" borderId="0" xfId="0" applyFont="1" applyFill="1"/>
    <xf numFmtId="0" fontId="20" fillId="2" borderId="0" xfId="0" applyFont="1" applyFill="1" applyAlignment="1">
      <alignment horizontal="left"/>
    </xf>
    <xf numFmtId="0" fontId="2" fillId="2" borderId="42" xfId="0" applyFont="1" applyFill="1" applyBorder="1" applyAlignment="1">
      <alignment horizontal="center" vertical="center" wrapText="1"/>
    </xf>
    <xf numFmtId="3" fontId="46" fillId="2" borderId="38" xfId="0" applyNumberFormat="1" applyFont="1" applyFill="1" applyBorder="1" applyAlignment="1">
      <alignment horizontal="center" vertical="center"/>
    </xf>
    <xf numFmtId="3" fontId="46" fillId="2" borderId="28" xfId="0" applyNumberFormat="1" applyFont="1" applyFill="1" applyBorder="1" applyAlignment="1">
      <alignment horizontal="center" vertical="center"/>
    </xf>
    <xf numFmtId="3" fontId="46" fillId="2" borderId="48" xfId="0" applyNumberFormat="1" applyFont="1" applyFill="1" applyBorder="1" applyAlignment="1">
      <alignment horizontal="center" vertical="center"/>
    </xf>
    <xf numFmtId="3" fontId="46" fillId="2" borderId="2" xfId="0" applyNumberFormat="1" applyFont="1" applyFill="1" applyBorder="1" applyAlignment="1">
      <alignment horizontal="center" vertical="center"/>
    </xf>
    <xf numFmtId="3" fontId="46" fillId="2" borderId="25" xfId="0" applyNumberFormat="1" applyFont="1" applyFill="1" applyBorder="1" applyAlignment="1">
      <alignment horizontal="center" vertical="center"/>
    </xf>
    <xf numFmtId="3" fontId="108" fillId="2" borderId="0" xfId="0" applyNumberFormat="1" applyFont="1" applyFill="1" applyAlignment="1">
      <alignment horizontal="center" vertical="center"/>
    </xf>
    <xf numFmtId="0" fontId="28" fillId="2" borderId="0" xfId="0" applyFont="1" applyFill="1"/>
    <xf numFmtId="0" fontId="16" fillId="2" borderId="0" xfId="0" applyFont="1" applyFill="1"/>
    <xf numFmtId="0" fontId="49" fillId="2" borderId="0" xfId="0" applyFont="1" applyFill="1"/>
    <xf numFmtId="3" fontId="95" fillId="2" borderId="23" xfId="0" applyNumberFormat="1" applyFont="1" applyFill="1" applyBorder="1" applyAlignment="1">
      <alignment horizontal="center" vertical="center"/>
    </xf>
    <xf numFmtId="3" fontId="95" fillId="2" borderId="42" xfId="0" applyNumberFormat="1" applyFont="1" applyFill="1" applyBorder="1" applyAlignment="1">
      <alignment horizontal="center" vertical="center"/>
    </xf>
    <xf numFmtId="3" fontId="147" fillId="2" borderId="42" xfId="0" applyNumberFormat="1" applyFont="1" applyFill="1" applyBorder="1" applyAlignment="1">
      <alignment horizontal="center" vertical="center"/>
    </xf>
    <xf numFmtId="3" fontId="148" fillId="2" borderId="23" xfId="0" applyNumberFormat="1" applyFont="1" applyFill="1" applyBorder="1" applyAlignment="1">
      <alignment horizontal="center" vertical="center"/>
    </xf>
    <xf numFmtId="3" fontId="15" fillId="2" borderId="0" xfId="0" applyNumberFormat="1" applyFont="1" applyFill="1"/>
    <xf numFmtId="0" fontId="5" fillId="3" borderId="7" xfId="3" applyFont="1" applyFill="1" applyBorder="1" applyAlignment="1">
      <alignment vertical="center"/>
    </xf>
    <xf numFmtId="0" fontId="10" fillId="0" borderId="0" xfId="3" applyFont="1" applyAlignment="1">
      <alignment vertical="center"/>
    </xf>
    <xf numFmtId="0" fontId="6" fillId="0" borderId="7" xfId="3" applyFont="1" applyBorder="1"/>
    <xf numFmtId="3" fontId="39" fillId="0" borderId="0" xfId="0" applyNumberFormat="1" applyFont="1"/>
    <xf numFmtId="165" fontId="91" fillId="4" borderId="23" xfId="0" applyNumberFormat="1" applyFont="1" applyFill="1" applyBorder="1" applyAlignment="1">
      <alignment horizontal="center" vertical="center"/>
    </xf>
    <xf numFmtId="165" fontId="91" fillId="4" borderId="21" xfId="0" applyNumberFormat="1" applyFont="1" applyFill="1" applyBorder="1" applyAlignment="1">
      <alignment horizontal="center" vertical="center"/>
    </xf>
    <xf numFmtId="165" fontId="91" fillId="4" borderId="22" xfId="0" applyNumberFormat="1" applyFont="1" applyFill="1" applyBorder="1" applyAlignment="1">
      <alignment horizontal="center" vertical="center"/>
    </xf>
    <xf numFmtId="4" fontId="49" fillId="2" borderId="38" xfId="0" applyNumberFormat="1" applyFont="1" applyFill="1" applyBorder="1" applyAlignment="1">
      <alignment horizontal="center" vertical="center"/>
    </xf>
    <xf numFmtId="165" fontId="91" fillId="4" borderId="42" xfId="0" applyNumberFormat="1" applyFont="1" applyFill="1" applyBorder="1" applyAlignment="1">
      <alignment horizontal="center" vertical="center"/>
    </xf>
    <xf numFmtId="165" fontId="91" fillId="4" borderId="16" xfId="0" applyNumberFormat="1" applyFont="1" applyFill="1" applyBorder="1" applyAlignment="1">
      <alignment horizontal="center" vertical="center"/>
    </xf>
    <xf numFmtId="165" fontId="91" fillId="4" borderId="40" xfId="0" applyNumberFormat="1" applyFont="1" applyFill="1" applyBorder="1" applyAlignment="1">
      <alignment horizontal="center" vertical="center"/>
    </xf>
    <xf numFmtId="4" fontId="108" fillId="0" borderId="0" xfId="0" applyNumberFormat="1" applyFont="1" applyAlignment="1">
      <alignment horizontal="center" vertical="center"/>
    </xf>
    <xf numFmtId="4" fontId="15" fillId="2" borderId="2" xfId="4" applyNumberFormat="1" applyFont="1" applyFill="1" applyBorder="1" applyAlignment="1">
      <alignment horizontal="center" vertical="center"/>
    </xf>
    <xf numFmtId="0" fontId="6" fillId="3" borderId="38" xfId="3" applyFont="1" applyFill="1" applyBorder="1" applyAlignment="1">
      <alignment horizontal="left" vertical="center" wrapText="1"/>
    </xf>
    <xf numFmtId="3" fontId="46" fillId="3" borderId="36" xfId="0" applyNumberFormat="1" applyFont="1" applyFill="1" applyBorder="1" applyAlignment="1">
      <alignment horizontal="center" vertical="center" wrapText="1"/>
    </xf>
    <xf numFmtId="0" fontId="6" fillId="3" borderId="28" xfId="3" applyFont="1" applyFill="1" applyBorder="1" applyAlignment="1">
      <alignment horizontal="left" vertical="center" wrapText="1"/>
    </xf>
    <xf numFmtId="3" fontId="46" fillId="3" borderId="2" xfId="0" applyNumberFormat="1" applyFont="1" applyFill="1" applyBorder="1" applyAlignment="1">
      <alignment horizontal="center" vertical="center" wrapText="1"/>
    </xf>
    <xf numFmtId="3" fontId="5" fillId="0" borderId="18" xfId="0" applyNumberFormat="1" applyFont="1" applyBorder="1" applyAlignment="1" applyProtection="1">
      <alignment horizontal="center" vertical="center"/>
      <protection locked="0"/>
    </xf>
    <xf numFmtId="3" fontId="22" fillId="4" borderId="67" xfId="0" applyNumberFormat="1" applyFont="1" applyFill="1" applyBorder="1" applyAlignment="1" applyProtection="1">
      <alignment horizontal="center" vertical="center"/>
      <protection locked="0"/>
    </xf>
    <xf numFmtId="0" fontId="49" fillId="2" borderId="0" xfId="0" applyFont="1" applyFill="1"/>
    <xf numFmtId="4" fontId="6" fillId="0" borderId="2" xfId="3" applyNumberFormat="1" applyFont="1" applyBorder="1" applyAlignment="1">
      <alignment horizontal="center" vertical="center" wrapText="1"/>
    </xf>
    <xf numFmtId="4" fontId="91" fillId="4" borderId="41" xfId="0" applyNumberFormat="1" applyFont="1" applyFill="1" applyBorder="1" applyAlignment="1">
      <alignment horizontal="center" vertical="center"/>
    </xf>
    <xf numFmtId="4" fontId="91" fillId="4" borderId="21" xfId="0" applyNumberFormat="1" applyFont="1" applyFill="1" applyBorder="1" applyAlignment="1">
      <alignment horizontal="center" vertical="center"/>
    </xf>
    <xf numFmtId="4" fontId="91" fillId="4" borderId="24" xfId="0" applyNumberFormat="1" applyFont="1" applyFill="1" applyBorder="1" applyAlignment="1">
      <alignment horizontal="center" vertical="center"/>
    </xf>
    <xf numFmtId="4" fontId="91" fillId="4" borderId="42" xfId="0" applyNumberFormat="1" applyFont="1" applyFill="1" applyBorder="1" applyAlignment="1">
      <alignment horizontal="center" vertical="center"/>
    </xf>
    <xf numFmtId="4" fontId="91" fillId="4" borderId="16" xfId="0" applyNumberFormat="1" applyFont="1" applyFill="1" applyBorder="1" applyAlignment="1">
      <alignment horizontal="center" vertical="center"/>
    </xf>
    <xf numFmtId="4" fontId="91" fillId="4" borderId="40" xfId="0" applyNumberFormat="1" applyFont="1" applyFill="1" applyBorder="1" applyAlignment="1">
      <alignment horizontal="center" vertical="center"/>
    </xf>
    <xf numFmtId="3" fontId="5" fillId="2" borderId="2" xfId="0" applyNumberFormat="1" applyFont="1" applyFill="1" applyBorder="1" applyAlignment="1" applyProtection="1">
      <alignment horizontal="center" vertical="center"/>
      <protection locked="0"/>
    </xf>
    <xf numFmtId="0" fontId="5" fillId="3" borderId="0" xfId="3" applyFont="1" applyFill="1"/>
    <xf numFmtId="0" fontId="5" fillId="3" borderId="0" xfId="3" applyFont="1" applyFill="1" applyAlignment="1">
      <alignment vertical="center"/>
    </xf>
    <xf numFmtId="0" fontId="6" fillId="3" borderId="0" xfId="3" applyFont="1" applyFill="1" applyAlignment="1">
      <alignment horizontal="center" vertical="center"/>
    </xf>
    <xf numFmtId="0" fontId="8" fillId="3" borderId="0" xfId="3" applyFont="1" applyFill="1" applyAlignment="1">
      <alignment horizontal="center" vertical="center" wrapText="1"/>
    </xf>
    <xf numFmtId="3" fontId="6" fillId="3" borderId="2" xfId="3" applyNumberFormat="1" applyFont="1" applyFill="1" applyBorder="1" applyAlignment="1">
      <alignment horizontal="center" vertical="center" wrapText="1"/>
    </xf>
    <xf numFmtId="0" fontId="8" fillId="3" borderId="1" xfId="3" applyFont="1" applyFill="1" applyBorder="1" applyAlignment="1">
      <alignment vertical="center" wrapText="1"/>
    </xf>
    <xf numFmtId="164" fontId="6" fillId="3" borderId="0" xfId="3" applyNumberFormat="1" applyFont="1" applyFill="1" applyAlignment="1">
      <alignment horizontal="center" vertical="center" wrapText="1"/>
    </xf>
    <xf numFmtId="165" fontId="6" fillId="3" borderId="0" xfId="3" applyNumberFormat="1" applyFont="1" applyFill="1" applyAlignment="1">
      <alignment horizontal="right" vertical="center" wrapText="1"/>
    </xf>
    <xf numFmtId="0" fontId="6" fillId="0" borderId="1" xfId="3" applyFont="1" applyBorder="1" applyAlignment="1">
      <alignment vertical="center"/>
    </xf>
    <xf numFmtId="0" fontId="6" fillId="0" borderId="9" xfId="3" applyFont="1" applyBorder="1" applyAlignment="1">
      <alignment vertical="center"/>
    </xf>
    <xf numFmtId="0" fontId="6" fillId="0" borderId="10" xfId="3" applyFont="1" applyBorder="1" applyAlignment="1">
      <alignment vertical="center" wrapText="1"/>
    </xf>
    <xf numFmtId="0" fontId="6" fillId="0" borderId="1" xfId="3" applyFont="1" applyBorder="1" applyAlignment="1">
      <alignment vertical="center" wrapText="1"/>
    </xf>
    <xf numFmtId="0" fontId="6" fillId="0" borderId="9" xfId="3" applyFont="1" applyBorder="1" applyAlignment="1">
      <alignment vertical="center" wrapText="1"/>
    </xf>
    <xf numFmtId="0" fontId="13" fillId="0" borderId="10" xfId="3" applyFont="1" applyBorder="1" applyAlignment="1">
      <alignment vertical="center" wrapText="1"/>
    </xf>
    <xf numFmtId="0" fontId="13" fillId="0" borderId="1" xfId="3" applyFont="1" applyBorder="1" applyAlignment="1">
      <alignment vertical="center" wrapText="1"/>
    </xf>
    <xf numFmtId="0" fontId="13" fillId="0" borderId="9" xfId="3" applyFont="1" applyBorder="1" applyAlignment="1">
      <alignment vertical="center" wrapText="1"/>
    </xf>
    <xf numFmtId="0" fontId="6" fillId="3" borderId="2" xfId="3" applyFont="1" applyFill="1" applyBorder="1" applyAlignment="1">
      <alignment horizontal="center" vertical="center" wrapText="1"/>
    </xf>
    <xf numFmtId="3" fontId="6" fillId="2" borderId="2" xfId="3" applyNumberFormat="1" applyFont="1" applyFill="1" applyBorder="1" applyAlignment="1">
      <alignment horizontal="center" vertical="center" wrapText="1"/>
    </xf>
    <xf numFmtId="165" fontId="6" fillId="3" borderId="2" xfId="3" applyNumberFormat="1" applyFont="1" applyFill="1" applyBorder="1" applyAlignment="1">
      <alignment horizontal="center" vertical="center" wrapText="1"/>
    </xf>
    <xf numFmtId="4" fontId="6" fillId="3" borderId="2" xfId="3" applyNumberFormat="1" applyFont="1" applyFill="1" applyBorder="1" applyAlignment="1">
      <alignment horizontal="center" vertical="center" wrapText="1"/>
    </xf>
    <xf numFmtId="0" fontId="15" fillId="0" borderId="0" xfId="0" applyFont="1" applyAlignment="1">
      <alignment horizontal="center"/>
    </xf>
    <xf numFmtId="0" fontId="138" fillId="0" borderId="0" xfId="0" applyFont="1" applyAlignment="1">
      <alignment horizontal="center"/>
    </xf>
    <xf numFmtId="0" fontId="130" fillId="0" borderId="0" xfId="0" applyFont="1" applyAlignment="1">
      <alignment horizontal="left" vertical="center" wrapText="1"/>
    </xf>
    <xf numFmtId="0" fontId="127" fillId="0" borderId="0" xfId="0" applyFont="1" applyAlignment="1">
      <alignment horizontal="center" vertical="center" wrapText="1"/>
    </xf>
    <xf numFmtId="0" fontId="3" fillId="4" borderId="58" xfId="0" applyFont="1" applyFill="1" applyBorder="1" applyAlignment="1">
      <alignment horizontal="left" vertical="center"/>
    </xf>
    <xf numFmtId="0" fontId="3" fillId="4" borderId="0" xfId="0" applyFont="1" applyFill="1" applyAlignment="1">
      <alignment horizontal="left" vertical="center"/>
    </xf>
    <xf numFmtId="0" fontId="50" fillId="0" borderId="0" xfId="1" applyFont="1" applyAlignment="1">
      <alignment horizontal="left" vertical="center" wrapText="1"/>
    </xf>
    <xf numFmtId="0" fontId="50" fillId="0" borderId="66" xfId="1" applyFont="1" applyBorder="1" applyAlignment="1">
      <alignment horizontal="left" vertical="center" wrapText="1"/>
    </xf>
    <xf numFmtId="0" fontId="58" fillId="0" borderId="16" xfId="1" applyFont="1" applyBorder="1" applyAlignment="1">
      <alignment vertical="center" wrapText="1"/>
    </xf>
    <xf numFmtId="0" fontId="58" fillId="0" borderId="17" xfId="1" applyFont="1" applyBorder="1" applyAlignment="1">
      <alignment vertical="center" wrapText="1"/>
    </xf>
    <xf numFmtId="0" fontId="15" fillId="0" borderId="16" xfId="0" applyFont="1" applyBorder="1" applyAlignment="1">
      <alignment horizontal="justify" vertical="center" wrapText="1"/>
    </xf>
    <xf numFmtId="0" fontId="15" fillId="0" borderId="17" xfId="0" applyFont="1" applyBorder="1" applyAlignment="1">
      <alignment horizontal="justify" vertical="center" wrapText="1"/>
    </xf>
    <xf numFmtId="0" fontId="53" fillId="0" borderId="10"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9" xfId="0" applyFont="1" applyBorder="1" applyAlignment="1">
      <alignment horizontal="center" vertical="center" wrapText="1"/>
    </xf>
    <xf numFmtId="0" fontId="57" fillId="0" borderId="0" xfId="0" applyFont="1" applyAlignment="1">
      <alignment horizontal="left" vertical="center" wrapText="1"/>
    </xf>
    <xf numFmtId="0" fontId="20" fillId="0" borderId="10" xfId="0" applyFont="1" applyBorder="1" applyAlignment="1">
      <alignment horizontal="center" vertical="center"/>
    </xf>
    <xf numFmtId="0" fontId="20" fillId="0" borderId="1" xfId="0" applyFont="1" applyBorder="1" applyAlignment="1">
      <alignment horizontal="center" vertical="center"/>
    </xf>
    <xf numFmtId="0" fontId="20" fillId="0" borderId="9" xfId="0" applyFont="1" applyBorder="1" applyAlignment="1">
      <alignment horizontal="center" vertical="center"/>
    </xf>
    <xf numFmtId="0" fontId="20" fillId="0" borderId="1" xfId="0" applyFont="1" applyBorder="1" applyAlignment="1">
      <alignment horizontal="center" vertical="center" wrapText="1"/>
    </xf>
    <xf numFmtId="0" fontId="20" fillId="0" borderId="9" xfId="0" applyFont="1" applyBorder="1" applyAlignment="1">
      <alignment horizontal="center" vertical="center" wrapText="1"/>
    </xf>
    <xf numFmtId="0" fontId="50" fillId="0" borderId="4" xfId="1" applyFont="1" applyBorder="1" applyAlignment="1">
      <alignment horizontal="left" vertical="center" wrapText="1"/>
    </xf>
    <xf numFmtId="0" fontId="50" fillId="0" borderId="5" xfId="1" applyFont="1" applyBorder="1" applyAlignment="1">
      <alignment horizontal="left" vertical="center" wrapText="1"/>
    </xf>
    <xf numFmtId="0" fontId="50" fillId="0" borderId="7" xfId="1" applyFont="1" applyBorder="1" applyAlignment="1">
      <alignment horizontal="left" vertical="center" wrapText="1"/>
    </xf>
    <xf numFmtId="0" fontId="50" fillId="0" borderId="8" xfId="1" applyFont="1" applyBorder="1" applyAlignment="1">
      <alignment horizontal="left" vertical="center" wrapText="1"/>
    </xf>
    <xf numFmtId="0" fontId="58" fillId="0" borderId="18" xfId="1" applyFont="1" applyBorder="1" applyAlignment="1">
      <alignment vertical="center" wrapText="1"/>
    </xf>
    <xf numFmtId="0" fontId="43" fillId="0" borderId="16" xfId="0" applyFont="1" applyBorder="1" applyAlignment="1">
      <alignment horizontal="left" vertical="top" wrapText="1"/>
    </xf>
    <xf numFmtId="0" fontId="43" fillId="0" borderId="18" xfId="0" applyFont="1" applyBorder="1" applyAlignment="1">
      <alignment horizontal="left" vertical="top" wrapText="1"/>
    </xf>
    <xf numFmtId="0" fontId="43" fillId="0" borderId="17" xfId="0" applyFont="1" applyBorder="1" applyAlignment="1">
      <alignment horizontal="left" vertical="top" wrapText="1"/>
    </xf>
    <xf numFmtId="0" fontId="15" fillId="0" borderId="16" xfId="0" applyFont="1" applyBorder="1" applyAlignment="1">
      <alignment horizontal="left" vertical="top" wrapText="1"/>
    </xf>
    <xf numFmtId="0" fontId="15" fillId="0" borderId="18" xfId="0" applyFont="1" applyBorder="1" applyAlignment="1">
      <alignment horizontal="left" vertical="top" wrapText="1"/>
    </xf>
    <xf numFmtId="0" fontId="15" fillId="0" borderId="17" xfId="0" applyFont="1" applyBorder="1" applyAlignment="1">
      <alignment horizontal="left" vertical="top" wrapText="1"/>
    </xf>
    <xf numFmtId="0" fontId="84" fillId="0" borderId="0" xfId="0" applyFont="1" applyAlignment="1">
      <alignment horizontal="left" vertical="center" wrapText="1"/>
    </xf>
    <xf numFmtId="0" fontId="84" fillId="0" borderId="0" xfId="0" applyFont="1" applyAlignment="1">
      <alignment horizontal="left" vertical="center"/>
    </xf>
    <xf numFmtId="0" fontId="39" fillId="5" borderId="69" xfId="0" applyFont="1" applyFill="1" applyBorder="1" applyAlignment="1">
      <alignment horizontal="center" vertical="center" wrapText="1"/>
    </xf>
    <xf numFmtId="0" fontId="39" fillId="5" borderId="70" xfId="0" applyFont="1" applyFill="1" applyBorder="1" applyAlignment="1">
      <alignment horizontal="center" vertical="center" wrapText="1"/>
    </xf>
    <xf numFmtId="0" fontId="39" fillId="5" borderId="71" xfId="0" applyFont="1" applyFill="1" applyBorder="1" applyAlignment="1">
      <alignment horizontal="center" vertical="center" wrapText="1"/>
    </xf>
    <xf numFmtId="0" fontId="58" fillId="0" borderId="16" xfId="1" applyFont="1" applyBorder="1" applyAlignment="1">
      <alignment horizontal="left" vertical="center" wrapText="1"/>
    </xf>
    <xf numFmtId="0" fontId="58" fillId="0" borderId="18" xfId="1" applyFont="1" applyBorder="1" applyAlignment="1">
      <alignment horizontal="left" vertical="center" wrapText="1"/>
    </xf>
    <xf numFmtId="0" fontId="58" fillId="0" borderId="17" xfId="1" applyFont="1" applyBorder="1" applyAlignment="1">
      <alignment horizontal="left" vertical="center" wrapText="1"/>
    </xf>
    <xf numFmtId="0" fontId="43" fillId="0" borderId="16" xfId="0" applyFont="1" applyBorder="1" applyAlignment="1">
      <alignment horizontal="left" vertical="center" wrapText="1"/>
    </xf>
    <xf numFmtId="0" fontId="43" fillId="0" borderId="18" xfId="0" applyFont="1" applyBorder="1" applyAlignment="1">
      <alignment horizontal="left" vertical="center" wrapText="1"/>
    </xf>
    <xf numFmtId="0" fontId="43" fillId="0" borderId="17" xfId="0" applyFont="1" applyBorder="1" applyAlignment="1">
      <alignment horizontal="left" vertical="center" wrapText="1"/>
    </xf>
    <xf numFmtId="0" fontId="43" fillId="0" borderId="16" xfId="0" applyFont="1" applyBorder="1" applyAlignment="1">
      <alignment horizontal="justify" vertical="center" wrapText="1"/>
    </xf>
    <xf numFmtId="0" fontId="43" fillId="0" borderId="17" xfId="0" applyFont="1" applyBorder="1" applyAlignment="1">
      <alignment horizontal="justify" vertical="center" wrapText="1"/>
    </xf>
    <xf numFmtId="0" fontId="15" fillId="0" borderId="6" xfId="0" applyFont="1" applyBorder="1" applyAlignment="1">
      <alignment horizontal="left" vertical="center" wrapText="1"/>
    </xf>
    <xf numFmtId="0" fontId="15" fillId="0" borderId="8" xfId="0" applyFont="1" applyBorder="1" applyAlignment="1">
      <alignment horizontal="left" vertical="center" wrapText="1"/>
    </xf>
    <xf numFmtId="0" fontId="20" fillId="0" borderId="0" xfId="0" applyFont="1" applyAlignment="1">
      <alignment horizontal="left"/>
    </xf>
    <xf numFmtId="0" fontId="20" fillId="13" borderId="0" xfId="0" applyFont="1" applyFill="1" applyAlignment="1">
      <alignment horizontal="center" vertical="center" wrapText="1"/>
    </xf>
    <xf numFmtId="0" fontId="56" fillId="0" borderId="3" xfId="0" applyFont="1" applyBorder="1" applyAlignment="1">
      <alignment horizontal="center" vertical="center" wrapText="1"/>
    </xf>
    <xf numFmtId="0" fontId="56" fillId="0" borderId="5" xfId="0" applyFont="1" applyBorder="1" applyAlignment="1">
      <alignment horizontal="center" vertical="center" wrapText="1"/>
    </xf>
    <xf numFmtId="0" fontId="15" fillId="2" borderId="19" xfId="0" applyFont="1" applyFill="1" applyBorder="1" applyAlignment="1">
      <alignment horizontal="left" vertical="center" wrapText="1"/>
    </xf>
    <xf numFmtId="0" fontId="15" fillId="2" borderId="66" xfId="0" applyFont="1" applyFill="1" applyBorder="1" applyAlignment="1">
      <alignment horizontal="left" vertical="center" wrapText="1"/>
    </xf>
    <xf numFmtId="0" fontId="15" fillId="0" borderId="19" xfId="0" applyFont="1" applyBorder="1" applyAlignment="1">
      <alignment horizontal="left" vertical="center" wrapText="1"/>
    </xf>
    <xf numFmtId="0" fontId="15" fillId="0" borderId="66" xfId="0" applyFont="1" applyBorder="1" applyAlignment="1">
      <alignment horizontal="left" vertical="center" wrapText="1"/>
    </xf>
    <xf numFmtId="0" fontId="102" fillId="0" borderId="0" xfId="1" applyFont="1" applyAlignment="1">
      <alignment horizontal="left" vertical="center"/>
    </xf>
    <xf numFmtId="0" fontId="87" fillId="0" borderId="48" xfId="0" applyFont="1" applyBorder="1" applyAlignment="1">
      <alignment horizontal="left" vertical="center" wrapText="1"/>
    </xf>
    <xf numFmtId="0" fontId="87" fillId="0" borderId="68" xfId="0" applyFont="1" applyBorder="1" applyAlignment="1">
      <alignment horizontal="left" vertical="center" wrapText="1"/>
    </xf>
    <xf numFmtId="0" fontId="87" fillId="0" borderId="49" xfId="0" applyFont="1" applyBorder="1" applyAlignment="1">
      <alignment horizontal="left" vertical="center" wrapText="1"/>
    </xf>
    <xf numFmtId="0" fontId="100" fillId="0" borderId="48" xfId="0" applyFont="1" applyBorder="1" applyAlignment="1">
      <alignment horizontal="left" vertical="center" wrapText="1"/>
    </xf>
    <xf numFmtId="0" fontId="100" fillId="0" borderId="68" xfId="0" applyFont="1" applyBorder="1" applyAlignment="1">
      <alignment horizontal="left" vertical="center" wrapText="1"/>
    </xf>
    <xf numFmtId="0" fontId="100" fillId="0" borderId="49" xfId="0" applyFont="1" applyBorder="1" applyAlignment="1">
      <alignment horizontal="left" vertical="center" wrapText="1"/>
    </xf>
    <xf numFmtId="0" fontId="24" fillId="0" borderId="2" xfId="0" applyFont="1" applyBorder="1" applyAlignment="1">
      <alignment horizontal="center" vertical="center" wrapText="1"/>
    </xf>
    <xf numFmtId="0" fontId="24" fillId="0" borderId="21" xfId="0" applyFont="1" applyBorder="1" applyAlignment="1">
      <alignment horizontal="center" vertical="center" wrapText="1"/>
    </xf>
    <xf numFmtId="0" fontId="99" fillId="0" borderId="2" xfId="0" applyFont="1" applyBorder="1" applyAlignment="1">
      <alignment horizontal="center" vertical="center" wrapText="1"/>
    </xf>
    <xf numFmtId="0" fontId="99" fillId="0" borderId="2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21" xfId="0" applyFont="1" applyBorder="1" applyAlignment="1">
      <alignment horizontal="center" vertical="center" wrapText="1"/>
    </xf>
    <xf numFmtId="0" fontId="29" fillId="0" borderId="0" xfId="0" applyFont="1" applyAlignment="1">
      <alignment horizontal="left" vertical="center"/>
    </xf>
    <xf numFmtId="0" fontId="87" fillId="11" borderId="69" xfId="0" applyFont="1" applyFill="1" applyBorder="1" applyAlignment="1">
      <alignment horizontal="left" vertical="center" wrapText="1"/>
    </xf>
    <xf numFmtId="0" fontId="87" fillId="11" borderId="70" xfId="0" applyFont="1" applyFill="1" applyBorder="1" applyAlignment="1">
      <alignment horizontal="left" vertical="center" wrapText="1"/>
    </xf>
    <xf numFmtId="0" fontId="87" fillId="11" borderId="72" xfId="0" applyFont="1" applyFill="1" applyBorder="1" applyAlignment="1">
      <alignment horizontal="left" vertical="center" wrapText="1"/>
    </xf>
    <xf numFmtId="0" fontId="24" fillId="0" borderId="10" xfId="0" applyFont="1" applyBorder="1" applyAlignment="1">
      <alignment horizontal="center" vertical="center"/>
    </xf>
    <xf numFmtId="0" fontId="24" fillId="0" borderId="1" xfId="0" applyFont="1" applyBorder="1" applyAlignment="1">
      <alignment horizontal="center" vertical="center"/>
    </xf>
    <xf numFmtId="0" fontId="24" fillId="0" borderId="46" xfId="0" applyFont="1" applyBorder="1" applyAlignment="1">
      <alignment horizontal="center" vertical="center"/>
    </xf>
    <xf numFmtId="49" fontId="24" fillId="0" borderId="10" xfId="0" applyNumberFormat="1" applyFont="1" applyBorder="1" applyAlignment="1">
      <alignment horizontal="center" vertical="center"/>
    </xf>
    <xf numFmtId="49" fontId="24" fillId="0" borderId="1" xfId="0" applyNumberFormat="1" applyFont="1" applyBorder="1" applyAlignment="1">
      <alignment horizontal="center" vertical="center"/>
    </xf>
    <xf numFmtId="49" fontId="24" fillId="0" borderId="46" xfId="0" applyNumberFormat="1" applyFont="1" applyBorder="1" applyAlignment="1">
      <alignment horizontal="center" vertical="center"/>
    </xf>
    <xf numFmtId="0" fontId="29" fillId="14" borderId="0" xfId="0" applyFont="1" applyFill="1" applyAlignment="1">
      <alignment horizontal="center" vertical="center" wrapText="1"/>
    </xf>
    <xf numFmtId="0" fontId="87" fillId="0" borderId="48" xfId="0" applyFont="1" applyBorder="1" applyAlignment="1">
      <alignment horizontal="center" vertical="center"/>
    </xf>
    <xf numFmtId="0" fontId="87" fillId="0" borderId="49" xfId="0" applyFont="1" applyBorder="1" applyAlignment="1">
      <alignment horizontal="center" vertical="center"/>
    </xf>
    <xf numFmtId="0" fontId="87" fillId="0" borderId="34" xfId="0" applyFont="1" applyBorder="1" applyAlignment="1">
      <alignment horizontal="center" vertical="center" wrapText="1"/>
    </xf>
    <xf numFmtId="0" fontId="87" fillId="0" borderId="50" xfId="0" applyFont="1" applyBorder="1" applyAlignment="1">
      <alignment horizontal="center" vertical="center" wrapText="1"/>
    </xf>
    <xf numFmtId="0" fontId="87" fillId="12" borderId="51" xfId="0" applyFont="1" applyFill="1" applyBorder="1" applyAlignment="1">
      <alignment horizontal="center" vertical="center" wrapText="1"/>
    </xf>
    <xf numFmtId="0" fontId="87" fillId="12" borderId="73" xfId="0" applyFont="1" applyFill="1" applyBorder="1" applyAlignment="1">
      <alignment horizontal="center" vertical="center" wrapText="1"/>
    </xf>
    <xf numFmtId="0" fontId="22" fillId="5" borderId="0" xfId="0" applyFont="1" applyFill="1" applyAlignment="1">
      <alignment horizontal="center" vertical="center" wrapText="1"/>
    </xf>
    <xf numFmtId="0" fontId="5" fillId="0" borderId="16"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50" xfId="0" applyFont="1" applyBorder="1" applyAlignment="1">
      <alignment horizontal="center" vertical="center" wrapText="1"/>
    </xf>
    <xf numFmtId="0" fontId="88" fillId="0" borderId="34" xfId="0" applyFont="1" applyBorder="1" applyAlignment="1">
      <alignment horizontal="center" vertical="center" wrapText="1"/>
    </xf>
    <xf numFmtId="0" fontId="88" fillId="0" borderId="18" xfId="0" applyFont="1" applyBorder="1" applyAlignment="1">
      <alignment horizontal="center" vertical="center" wrapText="1"/>
    </xf>
    <xf numFmtId="0" fontId="88" fillId="0" borderId="17" xfId="0" applyFont="1" applyBorder="1" applyAlignment="1">
      <alignment horizontal="center" vertical="center" wrapText="1"/>
    </xf>
    <xf numFmtId="1" fontId="93" fillId="0" borderId="10" xfId="4" applyNumberFormat="1" applyFont="1" applyBorder="1" applyAlignment="1">
      <alignment horizontal="center" vertical="center"/>
    </xf>
    <xf numFmtId="1" fontId="93" fillId="0" borderId="1" xfId="4" applyNumberFormat="1" applyFont="1" applyBorder="1" applyAlignment="1">
      <alignment horizontal="center" vertical="center"/>
    </xf>
    <xf numFmtId="1" fontId="93" fillId="0" borderId="9" xfId="4" applyNumberFormat="1" applyFont="1" applyBorder="1" applyAlignment="1">
      <alignment horizontal="center" vertical="center"/>
    </xf>
    <xf numFmtId="1" fontId="10" fillId="0" borderId="10" xfId="4" applyNumberFormat="1" applyFont="1" applyBorder="1" applyAlignment="1">
      <alignment horizontal="center" vertical="center"/>
    </xf>
    <xf numFmtId="1" fontId="10" fillId="0" borderId="1" xfId="4" applyNumberFormat="1" applyFont="1" applyBorder="1" applyAlignment="1">
      <alignment horizontal="center" vertical="center"/>
    </xf>
    <xf numFmtId="1" fontId="10" fillId="0" borderId="9" xfId="4" applyNumberFormat="1" applyFont="1" applyBorder="1" applyAlignment="1">
      <alignment horizontal="center" vertical="center"/>
    </xf>
    <xf numFmtId="0" fontId="28" fillId="2" borderId="3" xfId="0" applyFont="1" applyFill="1" applyBorder="1" applyAlignment="1">
      <alignment horizontal="center" vertical="center"/>
    </xf>
    <xf numFmtId="0" fontId="28" fillId="2" borderId="19" xfId="0" applyFont="1" applyFill="1" applyBorder="1" applyAlignment="1">
      <alignment horizontal="center" vertical="center"/>
    </xf>
    <xf numFmtId="0" fontId="28" fillId="2" borderId="6" xfId="0" applyFont="1" applyFill="1" applyBorder="1" applyAlignment="1">
      <alignment horizontal="center" vertical="center"/>
    </xf>
    <xf numFmtId="3" fontId="10" fillId="8" borderId="5" xfId="0" applyNumberFormat="1" applyFont="1" applyFill="1" applyBorder="1" applyAlignment="1">
      <alignment horizontal="center" vertical="center" wrapText="1"/>
    </xf>
    <xf numFmtId="3" fontId="10" fillId="8" borderId="66" xfId="0" applyNumberFormat="1" applyFont="1" applyFill="1" applyBorder="1" applyAlignment="1">
      <alignment horizontal="center" vertical="center" wrapText="1"/>
    </xf>
    <xf numFmtId="3" fontId="10" fillId="8" borderId="8" xfId="0" applyNumberFormat="1" applyFont="1" applyFill="1" applyBorder="1" applyAlignment="1">
      <alignment horizontal="center" vertical="center" wrapText="1"/>
    </xf>
    <xf numFmtId="0" fontId="81" fillId="0" borderId="48" xfId="0" applyFont="1" applyBorder="1" applyAlignment="1">
      <alignment horizontal="center" vertical="center" wrapText="1"/>
    </xf>
    <xf numFmtId="0" fontId="81" fillId="0" borderId="68" xfId="0" applyFont="1" applyBorder="1" applyAlignment="1">
      <alignment horizontal="center" vertical="center" wrapText="1"/>
    </xf>
    <xf numFmtId="0" fontId="81" fillId="0" borderId="49" xfId="0" applyFont="1" applyBorder="1" applyAlignment="1">
      <alignment horizontal="center" vertical="center" wrapText="1"/>
    </xf>
    <xf numFmtId="3" fontId="88" fillId="0" borderId="34" xfId="0" applyNumberFormat="1" applyFont="1" applyBorder="1" applyAlignment="1">
      <alignment horizontal="center" vertical="center" wrapText="1"/>
    </xf>
    <xf numFmtId="3" fontId="88" fillId="0" borderId="18" xfId="0" applyNumberFormat="1" applyFont="1" applyBorder="1" applyAlignment="1">
      <alignment horizontal="center" vertical="center" wrapText="1"/>
    </xf>
    <xf numFmtId="3" fontId="88" fillId="0" borderId="17" xfId="0" applyNumberFormat="1" applyFont="1" applyBorder="1" applyAlignment="1">
      <alignment horizontal="center" vertical="center" wrapText="1"/>
    </xf>
    <xf numFmtId="0" fontId="39" fillId="2" borderId="16" xfId="0" applyFont="1" applyFill="1" applyBorder="1" applyAlignment="1">
      <alignment horizontal="center" vertical="center" wrapText="1"/>
    </xf>
    <xf numFmtId="0" fontId="39" fillId="2" borderId="18" xfId="0" applyFont="1" applyFill="1" applyBorder="1" applyAlignment="1">
      <alignment horizontal="center" vertical="center" wrapText="1"/>
    </xf>
    <xf numFmtId="0" fontId="39" fillId="2" borderId="17" xfId="0" applyFont="1" applyFill="1" applyBorder="1" applyAlignment="1">
      <alignment horizontal="center" vertical="center" wrapText="1"/>
    </xf>
    <xf numFmtId="0" fontId="28" fillId="2" borderId="16" xfId="0" applyFont="1" applyFill="1" applyBorder="1" applyAlignment="1">
      <alignment horizontal="center" vertical="center" wrapText="1"/>
    </xf>
    <xf numFmtId="0" fontId="28" fillId="2" borderId="18" xfId="0" applyFont="1" applyFill="1" applyBorder="1" applyAlignment="1">
      <alignment horizontal="center" vertical="center" wrapText="1"/>
    </xf>
    <xf numFmtId="0" fontId="28" fillId="2" borderId="17" xfId="0" applyFont="1" applyFill="1" applyBorder="1" applyAlignment="1">
      <alignment horizontal="center" vertical="center" wrapText="1"/>
    </xf>
    <xf numFmtId="0" fontId="28" fillId="2" borderId="16" xfId="0" applyFont="1" applyFill="1" applyBorder="1" applyAlignment="1">
      <alignment horizontal="center" vertical="center"/>
    </xf>
    <xf numFmtId="0" fontId="28" fillId="2" borderId="18" xfId="0" applyFont="1" applyFill="1" applyBorder="1" applyAlignment="1">
      <alignment horizontal="center" vertical="center"/>
    </xf>
    <xf numFmtId="0" fontId="28" fillId="2" borderId="17" xfId="0" applyFont="1" applyFill="1" applyBorder="1" applyAlignment="1">
      <alignment horizontal="center" vertical="center"/>
    </xf>
    <xf numFmtId="0" fontId="81" fillId="0" borderId="34" xfId="0" applyFont="1" applyBorder="1" applyAlignment="1">
      <alignment horizontal="center" vertical="center" wrapText="1"/>
    </xf>
    <xf numFmtId="0" fontId="81" fillId="0" borderId="18" xfId="0" applyFont="1" applyBorder="1" applyAlignment="1">
      <alignment horizontal="center" vertical="center" wrapText="1"/>
    </xf>
    <xf numFmtId="0" fontId="81" fillId="0" borderId="50" xfId="0" applyFont="1" applyBorder="1" applyAlignment="1">
      <alignment horizontal="center" vertical="center" wrapText="1"/>
    </xf>
    <xf numFmtId="3" fontId="88" fillId="0" borderId="35" xfId="0" applyNumberFormat="1" applyFont="1" applyBorder="1" applyAlignment="1">
      <alignment horizontal="center" vertical="center" wrapText="1"/>
    </xf>
    <xf numFmtId="3" fontId="88" fillId="0" borderId="67" xfId="0" applyNumberFormat="1" applyFont="1" applyBorder="1" applyAlignment="1">
      <alignment horizontal="center" vertical="center" wrapText="1"/>
    </xf>
    <xf numFmtId="3" fontId="88" fillId="0" borderId="26" xfId="0" applyNumberFormat="1" applyFont="1" applyBorder="1" applyAlignment="1">
      <alignment horizontal="center" vertical="center" wrapText="1"/>
    </xf>
    <xf numFmtId="1" fontId="10" fillId="0" borderId="2" xfId="4" applyNumberFormat="1" applyFont="1" applyBorder="1" applyAlignment="1">
      <alignment horizontal="center" vertical="center"/>
    </xf>
    <xf numFmtId="3" fontId="10" fillId="8" borderId="2" xfId="0" applyNumberFormat="1" applyFont="1" applyFill="1" applyBorder="1" applyAlignment="1">
      <alignment horizontal="center" vertical="center" wrapText="1"/>
    </xf>
    <xf numFmtId="3" fontId="10" fillId="8" borderId="9" xfId="0" applyNumberFormat="1" applyFont="1" applyFill="1" applyBorder="1" applyAlignment="1">
      <alignment horizontal="center" vertical="center" wrapText="1"/>
    </xf>
    <xf numFmtId="1" fontId="93" fillId="0" borderId="2" xfId="4" applyNumberFormat="1" applyFont="1" applyBorder="1" applyAlignment="1">
      <alignment horizontal="center" vertical="center"/>
    </xf>
    <xf numFmtId="0" fontId="39" fillId="2" borderId="2" xfId="0" applyFont="1" applyFill="1" applyBorder="1" applyAlignment="1">
      <alignment horizontal="center" vertical="center" wrapText="1"/>
    </xf>
    <xf numFmtId="0" fontId="28" fillId="2" borderId="2" xfId="0" applyFont="1" applyFill="1" applyBorder="1" applyAlignment="1">
      <alignment horizontal="center" vertical="center" wrapText="1"/>
    </xf>
    <xf numFmtId="0" fontId="28" fillId="2" borderId="2" xfId="0" applyFont="1" applyFill="1" applyBorder="1" applyAlignment="1">
      <alignment horizontal="center" vertical="center"/>
    </xf>
    <xf numFmtId="0" fontId="28" fillId="2" borderId="10" xfId="0" applyFont="1" applyFill="1" applyBorder="1" applyAlignment="1">
      <alignment horizontal="center" vertical="center"/>
    </xf>
    <xf numFmtId="3" fontId="10" fillId="8" borderId="1" xfId="0" applyNumberFormat="1" applyFont="1" applyFill="1" applyBorder="1" applyAlignment="1">
      <alignment horizontal="center" vertical="center" wrapText="1"/>
    </xf>
    <xf numFmtId="0" fontId="149" fillId="2" borderId="2" xfId="0" applyFont="1" applyFill="1" applyBorder="1" applyAlignment="1">
      <alignment horizontal="center" vertical="center" wrapText="1"/>
    </xf>
    <xf numFmtId="0" fontId="149" fillId="3" borderId="2" xfId="0" applyFont="1" applyFill="1" applyBorder="1" applyAlignment="1">
      <alignment horizontal="center" vertical="center" wrapText="1"/>
    </xf>
    <xf numFmtId="0" fontId="94" fillId="2" borderId="2" xfId="0" applyFont="1" applyFill="1" applyBorder="1" applyAlignment="1">
      <alignment horizontal="center" vertical="center" wrapText="1"/>
    </xf>
    <xf numFmtId="0" fontId="22" fillId="0" borderId="38"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36" xfId="0" applyFont="1" applyBorder="1" applyAlignment="1">
      <alignment horizontal="center" vertical="center" wrapText="1"/>
    </xf>
    <xf numFmtId="0" fontId="22" fillId="0" borderId="2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8" fillId="8" borderId="16" xfId="0" applyFont="1" applyFill="1" applyBorder="1" applyAlignment="1">
      <alignment horizontal="center" vertical="center" wrapText="1"/>
    </xf>
    <xf numFmtId="0" fontId="8" fillId="8" borderId="17" xfId="0" applyFont="1" applyFill="1" applyBorder="1" applyAlignment="1">
      <alignment horizontal="center" vertical="center" wrapText="1"/>
    </xf>
    <xf numFmtId="0" fontId="22" fillId="0" borderId="10"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9" xfId="0" applyFont="1" applyBorder="1" applyAlignment="1">
      <alignment horizontal="center" vertical="center" wrapText="1"/>
    </xf>
    <xf numFmtId="0" fontId="56" fillId="0" borderId="0" xfId="0" applyFont="1" applyAlignment="1" applyProtection="1">
      <alignment horizontal="left" vertical="center" wrapText="1"/>
      <protection locked="0"/>
    </xf>
    <xf numFmtId="0" fontId="39" fillId="0" borderId="36" xfId="0" applyFont="1" applyBorder="1" applyAlignment="1">
      <alignment horizontal="center" vertical="center" wrapText="1"/>
    </xf>
    <xf numFmtId="0" fontId="39" fillId="0" borderId="21" xfId="0" applyFont="1" applyBorder="1" applyAlignment="1">
      <alignment horizontal="center" vertical="center" wrapText="1"/>
    </xf>
    <xf numFmtId="0" fontId="84" fillId="10" borderId="0" xfId="0" applyFont="1" applyFill="1" applyAlignment="1" applyProtection="1">
      <alignment horizontal="left" vertical="center" wrapText="1"/>
      <protection locked="0"/>
    </xf>
    <xf numFmtId="0" fontId="5" fillId="0" borderId="85" xfId="0" applyFont="1" applyBorder="1" applyAlignment="1" applyProtection="1">
      <alignment horizontal="left" vertical="center" wrapText="1"/>
      <protection locked="0"/>
    </xf>
    <xf numFmtId="0" fontId="5" fillId="0" borderId="9" xfId="0" applyFont="1" applyBorder="1" applyAlignment="1" applyProtection="1">
      <alignment horizontal="left" vertical="center" wrapText="1"/>
      <protection locked="0"/>
    </xf>
    <xf numFmtId="0" fontId="5" fillId="0" borderId="85" xfId="0" applyFont="1" applyBorder="1" applyAlignment="1" applyProtection="1">
      <alignment wrapText="1"/>
      <protection locked="0"/>
    </xf>
    <xf numFmtId="0" fontId="5" fillId="0" borderId="9" xfId="0" applyFont="1" applyBorder="1" applyAlignment="1" applyProtection="1">
      <alignment wrapText="1"/>
      <protection locked="0"/>
    </xf>
    <xf numFmtId="0" fontId="5" fillId="0" borderId="85" xfId="0" applyFont="1" applyBorder="1" applyAlignment="1" applyProtection="1">
      <alignment horizontal="left" vertical="center" wrapText="1" indent="2"/>
      <protection locked="0"/>
    </xf>
    <xf numFmtId="0" fontId="5" fillId="0" borderId="9" xfId="0" applyFont="1" applyBorder="1" applyAlignment="1" applyProtection="1">
      <alignment horizontal="left" vertical="center" wrapText="1" indent="2"/>
      <protection locked="0"/>
    </xf>
    <xf numFmtId="0" fontId="5" fillId="0" borderId="28" xfId="0"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0" fontId="8" fillId="0" borderId="23" xfId="0" applyFont="1" applyBorder="1" applyAlignment="1" applyProtection="1">
      <alignment horizontal="left" vertical="center" wrapText="1"/>
      <protection locked="0"/>
    </xf>
    <xf numFmtId="0" fontId="8" fillId="0" borderId="21" xfId="0" applyFont="1" applyBorder="1" applyAlignment="1" applyProtection="1">
      <alignment horizontal="left" vertical="center" wrapText="1"/>
      <protection locked="0"/>
    </xf>
    <xf numFmtId="0" fontId="56" fillId="0" borderId="48" xfId="0" applyFont="1" applyBorder="1" applyAlignment="1" applyProtection="1">
      <alignment horizontal="center" vertical="center"/>
      <protection locked="0"/>
    </xf>
    <xf numFmtId="0" fontId="56" fillId="0" borderId="34" xfId="0" applyFont="1" applyBorder="1" applyAlignment="1" applyProtection="1">
      <alignment horizontal="center" vertical="center"/>
      <protection locked="0"/>
    </xf>
    <xf numFmtId="0" fontId="5" fillId="0" borderId="38" xfId="0" applyFont="1" applyBorder="1" applyAlignment="1" applyProtection="1">
      <alignment horizontal="left" vertical="center" wrapText="1"/>
      <protection locked="0"/>
    </xf>
    <xf numFmtId="0" fontId="5" fillId="0" borderId="36" xfId="0" applyFont="1" applyBorder="1" applyAlignment="1" applyProtection="1">
      <alignment horizontal="left" vertical="center" wrapText="1"/>
      <protection locked="0"/>
    </xf>
    <xf numFmtId="49" fontId="39" fillId="0" borderId="37" xfId="0" applyNumberFormat="1" applyFont="1" applyBorder="1" applyAlignment="1">
      <alignment horizontal="center" vertical="center"/>
    </xf>
    <xf numFmtId="49" fontId="39" fillId="0" borderId="22" xfId="0" applyNumberFormat="1" applyFont="1" applyBorder="1" applyAlignment="1">
      <alignment horizontal="center" vertical="center"/>
    </xf>
    <xf numFmtId="0" fontId="22" fillId="0" borderId="44" xfId="0" applyFont="1" applyBorder="1" applyAlignment="1">
      <alignment horizontal="center" vertical="center" wrapText="1"/>
    </xf>
    <xf numFmtId="0" fontId="22" fillId="0" borderId="41" xfId="0" applyFont="1" applyBorder="1" applyAlignment="1">
      <alignment horizontal="center" vertical="center" wrapText="1"/>
    </xf>
    <xf numFmtId="49" fontId="39" fillId="0" borderId="36" xfId="0" applyNumberFormat="1" applyFont="1" applyBorder="1" applyAlignment="1">
      <alignment horizontal="center" vertical="center"/>
    </xf>
    <xf numFmtId="49" fontId="39" fillId="0" borderId="21" xfId="0" applyNumberFormat="1" applyFont="1" applyBorder="1" applyAlignment="1">
      <alignment horizontal="center" vertical="center"/>
    </xf>
    <xf numFmtId="0" fontId="81" fillId="0" borderId="74" xfId="0" applyFont="1" applyBorder="1" applyAlignment="1" applyProtection="1">
      <alignment horizontal="left"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left" vertical="center" wrapText="1"/>
      <protection locked="0"/>
    </xf>
    <xf numFmtId="0" fontId="81" fillId="0" borderId="75" xfId="0" applyFont="1" applyBorder="1" applyAlignment="1" applyProtection="1">
      <alignment horizontal="left"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left" vertical="center" wrapText="1"/>
      <protection locked="0"/>
    </xf>
    <xf numFmtId="3" fontId="5" fillId="0" borderId="16" xfId="0" applyNumberFormat="1" applyFont="1" applyBorder="1" applyAlignment="1" applyProtection="1">
      <alignment horizontal="center" vertical="center"/>
      <protection locked="0"/>
    </xf>
    <xf numFmtId="3" fontId="5" fillId="0" borderId="17" xfId="0" applyNumberFormat="1" applyFont="1" applyBorder="1" applyAlignment="1" applyProtection="1">
      <alignment horizontal="center" vertical="center"/>
      <protection locked="0"/>
    </xf>
    <xf numFmtId="0" fontId="75" fillId="2" borderId="58" xfId="0" applyFont="1" applyFill="1" applyBorder="1" applyAlignment="1" applyProtection="1">
      <alignment horizontal="left" vertical="center" wrapText="1"/>
      <protection locked="0"/>
    </xf>
    <xf numFmtId="0" fontId="75" fillId="2" borderId="0" xfId="0" applyFont="1" applyFill="1" applyAlignment="1" applyProtection="1">
      <alignment horizontal="left" vertical="center" wrapText="1"/>
      <protection locked="0"/>
    </xf>
    <xf numFmtId="0" fontId="75" fillId="2" borderId="59" xfId="0" applyFont="1" applyFill="1" applyBorder="1" applyAlignment="1" applyProtection="1">
      <alignment horizontal="left" vertical="center" wrapText="1"/>
      <protection locked="0"/>
    </xf>
    <xf numFmtId="1" fontId="81" fillId="0" borderId="85" xfId="4" applyNumberFormat="1" applyFont="1" applyBorder="1" applyAlignment="1">
      <alignment horizontal="center" vertical="center"/>
    </xf>
    <xf numFmtId="1" fontId="81" fillId="0" borderId="1" xfId="4" applyNumberFormat="1" applyFont="1" applyBorder="1" applyAlignment="1">
      <alignment horizontal="center" vertical="center"/>
    </xf>
    <xf numFmtId="1" fontId="81" fillId="0" borderId="46" xfId="4" applyNumberFormat="1" applyFont="1" applyBorder="1" applyAlignment="1">
      <alignment horizontal="center" vertical="center"/>
    </xf>
    <xf numFmtId="3" fontId="145" fillId="0" borderId="16" xfId="0" applyNumberFormat="1" applyFont="1" applyBorder="1" applyAlignment="1" applyProtection="1">
      <alignment horizontal="center" vertical="center"/>
      <protection locked="0"/>
    </xf>
    <xf numFmtId="3" fontId="145" fillId="0" borderId="17" xfId="0" applyNumberFormat="1" applyFont="1" applyBorder="1" applyAlignment="1" applyProtection="1">
      <alignment horizontal="center" vertical="center"/>
      <protection locked="0"/>
    </xf>
    <xf numFmtId="0" fontId="84" fillId="14" borderId="10" xfId="0" applyFont="1" applyFill="1" applyBorder="1" applyAlignment="1">
      <alignment horizontal="center" vertical="center"/>
    </xf>
    <xf numFmtId="0" fontId="84" fillId="14" borderId="1" xfId="0" applyFont="1" applyFill="1" applyBorder="1" applyAlignment="1">
      <alignment horizontal="center" vertical="center"/>
    </xf>
    <xf numFmtId="0" fontId="84" fillId="14" borderId="9" xfId="0" applyFont="1" applyFill="1" applyBorder="1" applyAlignment="1">
      <alignment horizontal="center" vertical="center"/>
    </xf>
    <xf numFmtId="0" fontId="39" fillId="0" borderId="2" xfId="0" applyFont="1" applyBorder="1" applyAlignment="1">
      <alignment horizontal="center" vertical="center" wrapText="1"/>
    </xf>
    <xf numFmtId="0" fontId="72" fillId="0" borderId="52" xfId="0" applyFont="1" applyBorder="1" applyAlignment="1">
      <alignment horizontal="center" vertical="center" wrapText="1"/>
    </xf>
    <xf numFmtId="0" fontId="72" fillId="0" borderId="54" xfId="0" applyFont="1" applyBorder="1" applyAlignment="1">
      <alignment horizontal="center" vertical="center" wrapText="1"/>
    </xf>
    <xf numFmtId="3" fontId="22" fillId="4" borderId="40" xfId="0" applyNumberFormat="1" applyFont="1" applyFill="1" applyBorder="1" applyAlignment="1" applyProtection="1">
      <alignment horizontal="center" vertical="center"/>
      <protection locked="0"/>
    </xf>
    <xf numFmtId="3" fontId="22" fillId="4" borderId="26" xfId="0" applyNumberFormat="1" applyFont="1" applyFill="1" applyBorder="1" applyAlignment="1" applyProtection="1">
      <alignment horizontal="center" vertical="center"/>
      <protection locked="0"/>
    </xf>
    <xf numFmtId="0" fontId="70" fillId="0" borderId="86" xfId="0" applyFont="1" applyBorder="1" applyAlignment="1">
      <alignment horizontal="center" vertical="center" wrapText="1"/>
    </xf>
    <xf numFmtId="0" fontId="70" fillId="0" borderId="87" xfId="0" applyFont="1" applyBorder="1" applyAlignment="1">
      <alignment horizontal="center" vertical="center" wrapText="1"/>
    </xf>
    <xf numFmtId="0" fontId="70" fillId="0" borderId="45" xfId="0" applyFont="1" applyBorder="1" applyAlignment="1">
      <alignment horizontal="center" vertical="center" wrapText="1"/>
    </xf>
    <xf numFmtId="49" fontId="81" fillId="0" borderId="21" xfId="0" applyNumberFormat="1" applyFont="1" applyBorder="1" applyAlignment="1">
      <alignment horizontal="left" vertical="center"/>
    </xf>
    <xf numFmtId="0" fontId="81" fillId="0" borderId="21" xfId="0" applyFont="1" applyBorder="1" applyAlignment="1">
      <alignment horizontal="left" vertical="center"/>
    </xf>
    <xf numFmtId="0" fontId="81" fillId="0" borderId="22" xfId="0" applyFont="1" applyBorder="1" applyAlignment="1">
      <alignment horizontal="left" vertical="center"/>
    </xf>
    <xf numFmtId="0" fontId="75" fillId="0" borderId="58" xfId="0" applyFont="1" applyBorder="1" applyAlignment="1" applyProtection="1">
      <alignment horizontal="left" vertical="center" wrapText="1"/>
      <protection locked="0"/>
    </xf>
    <xf numFmtId="0" fontId="75" fillId="0" borderId="0" xfId="0" applyFont="1" applyAlignment="1" applyProtection="1">
      <alignment horizontal="left" vertical="center" wrapText="1"/>
      <protection locked="0"/>
    </xf>
    <xf numFmtId="0" fontId="75" fillId="0" borderId="59" xfId="0" applyFont="1" applyBorder="1" applyAlignment="1" applyProtection="1">
      <alignment horizontal="left" vertical="center" wrapText="1"/>
      <protection locked="0"/>
    </xf>
    <xf numFmtId="0" fontId="75" fillId="0" borderId="60" xfId="0" applyFont="1" applyBorder="1" applyAlignment="1">
      <alignment horizontal="left" vertical="center" wrapText="1"/>
    </xf>
    <xf numFmtId="0" fontId="75" fillId="0" borderId="39" xfId="0" applyFont="1" applyBorder="1" applyAlignment="1">
      <alignment horizontal="left" vertical="center" wrapText="1"/>
    </xf>
    <xf numFmtId="0" fontId="75" fillId="0" borderId="61" xfId="0" applyFont="1" applyBorder="1" applyAlignment="1">
      <alignment horizontal="left" vertical="center" wrapText="1"/>
    </xf>
    <xf numFmtId="0" fontId="75" fillId="8" borderId="58" xfId="0" applyFont="1" applyFill="1" applyBorder="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75" fillId="8" borderId="59" xfId="0" applyFont="1" applyFill="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0" borderId="1"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72" fillId="0" borderId="55" xfId="0" applyFont="1" applyBorder="1" applyAlignment="1" applyProtection="1">
      <alignment horizontal="center" vertical="center" wrapText="1"/>
      <protection locked="0"/>
    </xf>
    <xf numFmtId="0" fontId="72" fillId="0" borderId="56" xfId="0" applyFont="1" applyBorder="1" applyAlignment="1" applyProtection="1">
      <alignment horizontal="center" vertical="center" wrapText="1"/>
      <protection locked="0"/>
    </xf>
    <xf numFmtId="0" fontId="72" fillId="0" borderId="57" xfId="0" applyFont="1" applyBorder="1" applyAlignment="1" applyProtection="1">
      <alignment horizontal="center" vertical="center" wrapText="1"/>
      <protection locked="0"/>
    </xf>
    <xf numFmtId="0" fontId="70" fillId="0" borderId="55" xfId="0" applyFont="1" applyBorder="1" applyAlignment="1">
      <alignment horizontal="center" vertical="center" wrapText="1"/>
    </xf>
    <xf numFmtId="0" fontId="70" fillId="0" borderId="56" xfId="0" applyFont="1" applyBorder="1" applyAlignment="1">
      <alignment horizontal="center" vertical="center" wrapText="1"/>
    </xf>
    <xf numFmtId="0" fontId="70" fillId="0" borderId="57" xfId="0" applyFont="1" applyBorder="1" applyAlignment="1">
      <alignment horizontal="center" vertical="center" wrapText="1"/>
    </xf>
    <xf numFmtId="0" fontId="70" fillId="0" borderId="60" xfId="0" applyFont="1" applyBorder="1" applyAlignment="1">
      <alignment horizontal="center" vertical="center" wrapText="1"/>
    </xf>
    <xf numFmtId="0" fontId="70" fillId="0" borderId="39" xfId="0" applyFont="1" applyBorder="1" applyAlignment="1">
      <alignment horizontal="center" vertical="center" wrapText="1"/>
    </xf>
    <xf numFmtId="0" fontId="70" fillId="0" borderId="61" xfId="0" applyFont="1" applyBorder="1" applyAlignment="1">
      <alignment horizontal="center" vertical="center" wrapText="1"/>
    </xf>
    <xf numFmtId="0" fontId="139" fillId="0" borderId="82" xfId="1" applyFont="1" applyBorder="1" applyAlignment="1">
      <alignment horizontal="center" vertical="center" wrapText="1"/>
    </xf>
    <xf numFmtId="0" fontId="139" fillId="0" borderId="83" xfId="1" applyFont="1" applyBorder="1" applyAlignment="1">
      <alignment horizontal="center" vertical="center" wrapText="1"/>
    </xf>
    <xf numFmtId="0" fontId="143" fillId="0" borderId="74" xfId="0" applyFont="1" applyBorder="1" applyAlignment="1" applyProtection="1">
      <alignment horizontal="left" vertical="center" wrapText="1"/>
      <protection locked="0"/>
    </xf>
    <xf numFmtId="0" fontId="143" fillId="0" borderId="4" xfId="0" applyFont="1" applyBorder="1" applyAlignment="1" applyProtection="1">
      <alignment horizontal="left" vertical="center" wrapText="1"/>
      <protection locked="0"/>
    </xf>
    <xf numFmtId="0" fontId="143" fillId="0" borderId="5" xfId="0" applyFont="1" applyBorder="1" applyAlignment="1" applyProtection="1">
      <alignment horizontal="left" vertical="center" wrapText="1"/>
      <protection locked="0"/>
    </xf>
    <xf numFmtId="0" fontId="143" fillId="0" borderId="75" xfId="0" applyFont="1" applyBorder="1" applyAlignment="1" applyProtection="1">
      <alignment horizontal="left" vertical="center" wrapText="1"/>
      <protection locked="0"/>
    </xf>
    <xf numFmtId="0" fontId="143" fillId="0" borderId="7" xfId="0" applyFont="1" applyBorder="1" applyAlignment="1" applyProtection="1">
      <alignment horizontal="left" vertical="center" wrapText="1"/>
      <protection locked="0"/>
    </xf>
    <xf numFmtId="0" fontId="143" fillId="0" borderId="8" xfId="0" applyFont="1" applyBorder="1" applyAlignment="1" applyProtection="1">
      <alignment horizontal="left" vertical="center" wrapText="1"/>
      <protection locked="0"/>
    </xf>
    <xf numFmtId="1" fontId="81" fillId="4" borderId="76" xfId="4" applyNumberFormat="1" applyFont="1" applyFill="1" applyBorder="1" applyAlignment="1">
      <alignment horizontal="center" vertical="center"/>
    </xf>
    <xf numFmtId="1" fontId="81" fillId="4" borderId="77" xfId="4" applyNumberFormat="1" applyFont="1" applyFill="1" applyBorder="1" applyAlignment="1">
      <alignment horizontal="center" vertical="center"/>
    </xf>
    <xf numFmtId="1" fontId="81" fillId="4" borderId="47" xfId="4" applyNumberFormat="1" applyFont="1" applyFill="1" applyBorder="1" applyAlignment="1">
      <alignment horizontal="center" vertical="center"/>
    </xf>
    <xf numFmtId="3" fontId="10" fillId="8" borderId="4" xfId="0" applyNumberFormat="1" applyFont="1" applyFill="1" applyBorder="1" applyAlignment="1">
      <alignment horizontal="center" vertical="center" wrapText="1"/>
    </xf>
    <xf numFmtId="3" fontId="10" fillId="8" borderId="0" xfId="0" applyNumberFormat="1" applyFont="1" applyFill="1" applyAlignment="1">
      <alignment horizontal="center" vertical="center" wrapText="1"/>
    </xf>
    <xf numFmtId="3" fontId="10" fillId="8" borderId="7" xfId="0" applyNumberFormat="1" applyFont="1" applyFill="1" applyBorder="1" applyAlignment="1">
      <alignment horizontal="center" vertical="center" wrapText="1"/>
    </xf>
    <xf numFmtId="0" fontId="39" fillId="0" borderId="16" xfId="0" applyFont="1" applyBorder="1" applyAlignment="1">
      <alignment horizontal="center" vertical="center" wrapText="1"/>
    </xf>
    <xf numFmtId="0" fontId="39" fillId="0" borderId="17" xfId="0" applyFont="1" applyBorder="1" applyAlignment="1">
      <alignment horizontal="center" vertical="center" wrapText="1"/>
    </xf>
    <xf numFmtId="3" fontId="10" fillId="8" borderId="16" xfId="0" applyNumberFormat="1" applyFont="1" applyFill="1" applyBorder="1" applyAlignment="1">
      <alignment horizontal="center" vertical="center" wrapText="1"/>
    </xf>
    <xf numFmtId="3" fontId="10" fillId="8" borderId="18" xfId="0" applyNumberFormat="1" applyFont="1" applyFill="1" applyBorder="1" applyAlignment="1">
      <alignment horizontal="center" vertical="center" wrapText="1"/>
    </xf>
    <xf numFmtId="3" fontId="10" fillId="8" borderId="17" xfId="0" applyNumberFormat="1" applyFont="1" applyFill="1" applyBorder="1" applyAlignment="1">
      <alignment horizontal="center" vertical="center" wrapText="1"/>
    </xf>
    <xf numFmtId="0" fontId="135" fillId="0" borderId="79" xfId="0" applyFont="1" applyBorder="1" applyAlignment="1">
      <alignment horizontal="center" vertical="center"/>
    </xf>
    <xf numFmtId="0" fontId="135" fillId="0" borderId="80" xfId="0" applyFont="1" applyBorder="1" applyAlignment="1">
      <alignment horizontal="center" vertical="center"/>
    </xf>
    <xf numFmtId="0" fontId="135" fillId="0" borderId="81" xfId="0" applyFont="1" applyBorder="1" applyAlignment="1">
      <alignment horizontal="center" vertical="center"/>
    </xf>
    <xf numFmtId="0" fontId="22" fillId="0" borderId="38" xfId="0" applyFont="1" applyBorder="1" applyAlignment="1" applyProtection="1">
      <alignment horizontal="center" vertical="center"/>
      <protection locked="0"/>
    </xf>
    <xf numFmtId="0" fontId="22" fillId="0" borderId="36" xfId="0" applyFont="1" applyBorder="1" applyAlignment="1" applyProtection="1">
      <alignment horizontal="center" vertical="center"/>
      <protection locked="0"/>
    </xf>
    <xf numFmtId="0" fontId="81" fillId="0" borderId="28" xfId="0" applyFont="1" applyBorder="1" applyAlignment="1" applyProtection="1">
      <alignment horizontal="left" vertical="center" wrapText="1"/>
      <protection locked="0"/>
    </xf>
    <xf numFmtId="0" fontId="81" fillId="0" borderId="2" xfId="0" applyFont="1" applyBorder="1" applyAlignment="1" applyProtection="1">
      <alignment horizontal="left" vertical="center" wrapText="1"/>
      <protection locked="0"/>
    </xf>
    <xf numFmtId="0" fontId="79" fillId="4" borderId="23" xfId="0" applyFont="1" applyFill="1" applyBorder="1" applyAlignment="1" applyProtection="1">
      <alignment horizontal="left" vertical="center" wrapText="1"/>
      <protection locked="0"/>
    </xf>
    <xf numFmtId="0" fontId="79" fillId="4" borderId="21" xfId="0" applyFont="1" applyFill="1" applyBorder="1" applyAlignment="1" applyProtection="1">
      <alignment horizontal="left" vertical="center" wrapText="1"/>
      <protection locked="0"/>
    </xf>
    <xf numFmtId="0" fontId="79" fillId="0" borderId="23" xfId="0" applyFont="1" applyBorder="1" applyAlignment="1">
      <alignment horizontal="left" vertical="center" wrapText="1"/>
    </xf>
    <xf numFmtId="0" fontId="79" fillId="0" borderId="21" xfId="0" applyFont="1" applyBorder="1" applyAlignment="1">
      <alignment horizontal="left" vertical="center" wrapText="1"/>
    </xf>
    <xf numFmtId="0" fontId="79" fillId="0" borderId="82" xfId="0" applyFont="1" applyBorder="1" applyAlignment="1">
      <alignment horizontal="center" vertical="top" wrapText="1"/>
    </xf>
    <xf numFmtId="0" fontId="79" fillId="0" borderId="83" xfId="0" applyFont="1" applyBorder="1" applyAlignment="1">
      <alignment horizontal="center" vertical="top" wrapText="1"/>
    </xf>
    <xf numFmtId="0" fontId="79" fillId="0" borderId="84" xfId="0" applyFont="1" applyBorder="1" applyAlignment="1">
      <alignment horizontal="center" vertical="top" wrapText="1"/>
    </xf>
    <xf numFmtId="0" fontId="79" fillId="0" borderId="28" xfId="0" applyFont="1" applyBorder="1" applyAlignment="1">
      <alignment horizontal="left" vertical="center" wrapText="1"/>
    </xf>
    <xf numFmtId="0" fontId="79" fillId="0" borderId="2" xfId="0" applyFont="1" applyBorder="1" applyAlignment="1">
      <alignment horizontal="left" vertical="center" wrapText="1"/>
    </xf>
    <xf numFmtId="0" fontId="81" fillId="0" borderId="36" xfId="0" applyFont="1" applyBorder="1" applyAlignment="1">
      <alignment horizontal="left" vertical="center" wrapText="1"/>
    </xf>
    <xf numFmtId="0" fontId="81" fillId="0" borderId="37" xfId="0" applyFont="1" applyBorder="1" applyAlignment="1">
      <alignment horizontal="left" vertical="center" wrapText="1"/>
    </xf>
    <xf numFmtId="0" fontId="81" fillId="0" borderId="2" xfId="0" applyFont="1" applyBorder="1" applyAlignment="1">
      <alignment horizontal="left" vertical="center"/>
    </xf>
    <xf numFmtId="0" fontId="81" fillId="0" borderId="20" xfId="0" applyFont="1" applyBorder="1" applyAlignment="1">
      <alignment horizontal="left" vertical="center"/>
    </xf>
    <xf numFmtId="0" fontId="79" fillId="0" borderId="38" xfId="0" applyFont="1" applyBorder="1" applyAlignment="1">
      <alignment horizontal="left" vertical="center" wrapText="1"/>
    </xf>
    <xf numFmtId="0" fontId="79" fillId="0" borderId="36" xfId="0" applyFont="1" applyBorder="1" applyAlignment="1">
      <alignment horizontal="left" vertical="center" wrapText="1"/>
    </xf>
    <xf numFmtId="0" fontId="79" fillId="4" borderId="76" xfId="0" applyFont="1" applyFill="1" applyBorder="1" applyAlignment="1">
      <alignment horizontal="left" vertical="center" wrapText="1"/>
    </xf>
    <xf numFmtId="0" fontId="79" fillId="4" borderId="77" xfId="0" applyFont="1" applyFill="1" applyBorder="1" applyAlignment="1">
      <alignment horizontal="left" vertical="center" wrapText="1"/>
    </xf>
    <xf numFmtId="0" fontId="79" fillId="4" borderId="47" xfId="0" applyFont="1" applyFill="1" applyBorder="1" applyAlignment="1">
      <alignment horizontal="left" vertical="center" wrapText="1"/>
    </xf>
    <xf numFmtId="0" fontId="72" fillId="0" borderId="75" xfId="0" applyFont="1" applyBorder="1" applyAlignment="1">
      <alignment horizontal="left" vertical="center" wrapText="1"/>
    </xf>
    <xf numFmtId="0" fontId="72" fillId="0" borderId="7" xfId="0" applyFont="1" applyBorder="1" applyAlignment="1">
      <alignment horizontal="left" vertical="center" wrapText="1"/>
    </xf>
    <xf numFmtId="0" fontId="72" fillId="0" borderId="78" xfId="0" applyFont="1" applyBorder="1" applyAlignment="1">
      <alignment horizontal="left" vertical="center" wrapText="1"/>
    </xf>
    <xf numFmtId="0" fontId="79" fillId="0" borderId="85" xfId="0" applyFont="1" applyBorder="1" applyAlignment="1">
      <alignment horizontal="left" vertical="center" wrapText="1"/>
    </xf>
    <xf numFmtId="0" fontId="79" fillId="0" borderId="1" xfId="0" applyFont="1" applyBorder="1" applyAlignment="1">
      <alignment horizontal="left" vertical="center" wrapText="1"/>
    </xf>
    <xf numFmtId="0" fontId="79" fillId="0" borderId="46" xfId="0" applyFont="1" applyBorder="1" applyAlignment="1">
      <alignment horizontal="left" vertical="center" wrapText="1"/>
    </xf>
    <xf numFmtId="0" fontId="84" fillId="0" borderId="10" xfId="0" applyFont="1" applyBorder="1" applyAlignment="1">
      <alignment horizontal="center" vertical="center"/>
    </xf>
    <xf numFmtId="0" fontId="84" fillId="0" borderId="1" xfId="0" applyFont="1" applyBorder="1" applyAlignment="1">
      <alignment horizontal="center" vertical="center"/>
    </xf>
    <xf numFmtId="0" fontId="84" fillId="0" borderId="9" xfId="0" applyFont="1" applyBorder="1" applyAlignment="1">
      <alignment horizontal="center" vertical="center"/>
    </xf>
    <xf numFmtId="0" fontId="85" fillId="0" borderId="69" xfId="0" applyFont="1" applyBorder="1" applyAlignment="1">
      <alignment horizontal="center" vertical="center"/>
    </xf>
    <xf numFmtId="0" fontId="85" fillId="0" borderId="70" xfId="0" applyFont="1" applyBorder="1" applyAlignment="1">
      <alignment horizontal="center" vertical="center"/>
    </xf>
    <xf numFmtId="0" fontId="85" fillId="0" borderId="71" xfId="0" applyFont="1" applyBorder="1" applyAlignment="1">
      <alignment horizontal="center" vertical="center"/>
    </xf>
    <xf numFmtId="0" fontId="150" fillId="2" borderId="2" xfId="0" applyFont="1" applyFill="1" applyBorder="1" applyAlignment="1">
      <alignment horizontal="center" vertical="center" wrapText="1"/>
    </xf>
    <xf numFmtId="0" fontId="71" fillId="0" borderId="0" xfId="0" applyFont="1" applyAlignment="1">
      <alignment horizontal="left"/>
    </xf>
    <xf numFmtId="0" fontId="22" fillId="11" borderId="55" xfId="0" applyFont="1" applyFill="1" applyBorder="1" applyAlignment="1">
      <alignment horizontal="left" vertical="center"/>
    </xf>
    <xf numFmtId="0" fontId="22" fillId="11" borderId="56" xfId="0" applyFont="1" applyFill="1" applyBorder="1" applyAlignment="1">
      <alignment horizontal="left" vertical="center"/>
    </xf>
    <xf numFmtId="0" fontId="22" fillId="11" borderId="57" xfId="0" applyFont="1" applyFill="1" applyBorder="1" applyAlignment="1">
      <alignment horizontal="left" vertical="center"/>
    </xf>
    <xf numFmtId="0" fontId="22" fillId="0" borderId="38" xfId="3" applyFont="1" applyBorder="1" applyAlignment="1">
      <alignment horizontal="center" vertical="center" wrapText="1"/>
    </xf>
    <xf numFmtId="0" fontId="22" fillId="0" borderId="28" xfId="3" applyFont="1" applyBorder="1" applyAlignment="1">
      <alignment horizontal="center" vertical="center" wrapText="1"/>
    </xf>
    <xf numFmtId="0" fontId="22" fillId="0" borderId="23" xfId="3" applyFont="1" applyBorder="1" applyAlignment="1">
      <alignment horizontal="center" vertical="center" wrapText="1"/>
    </xf>
    <xf numFmtId="0" fontId="22" fillId="0" borderId="2" xfId="3" applyFont="1" applyBorder="1" applyAlignment="1">
      <alignment horizontal="center" vertical="center" wrapText="1"/>
    </xf>
    <xf numFmtId="0" fontId="20" fillId="13" borderId="0" xfId="0" applyFont="1" applyFill="1" applyAlignment="1" applyProtection="1">
      <alignment horizontal="center" vertical="center" wrapText="1"/>
      <protection locked="0"/>
    </xf>
    <xf numFmtId="0" fontId="15" fillId="0" borderId="36" xfId="0" applyFont="1" applyBorder="1" applyAlignment="1">
      <alignment horizontal="left" vertical="center"/>
    </xf>
    <xf numFmtId="0" fontId="15" fillId="0" borderId="37" xfId="0" applyFont="1" applyBorder="1" applyAlignment="1">
      <alignment horizontal="left" vertical="center"/>
    </xf>
    <xf numFmtId="0" fontId="15" fillId="0" borderId="2" xfId="0" applyFont="1" applyBorder="1" applyAlignment="1">
      <alignment horizontal="left" vertical="center"/>
    </xf>
    <xf numFmtId="0" fontId="15" fillId="0" borderId="20" xfId="0" applyFont="1" applyBorder="1" applyAlignment="1">
      <alignment horizontal="left" vertical="center"/>
    </xf>
    <xf numFmtId="0" fontId="15" fillId="0" borderId="58" xfId="0" applyFont="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5" fillId="0" borderId="59" xfId="0" applyFont="1" applyBorder="1" applyAlignment="1" applyProtection="1">
      <alignment horizontal="left" vertical="center" wrapText="1"/>
      <protection locked="0"/>
    </xf>
    <xf numFmtId="0" fontId="15" fillId="0" borderId="60" xfId="0" applyFont="1" applyBorder="1" applyAlignment="1">
      <alignment horizontal="left" vertical="center" wrapText="1"/>
    </xf>
    <xf numFmtId="0" fontId="15" fillId="0" borderId="39" xfId="0" applyFont="1" applyBorder="1" applyAlignment="1">
      <alignment horizontal="left" vertical="center" wrapText="1"/>
    </xf>
    <xf numFmtId="0" fontId="15" fillId="0" borderId="61" xfId="0" applyFont="1" applyBorder="1" applyAlignment="1">
      <alignment horizontal="left" vertical="center" wrapText="1"/>
    </xf>
    <xf numFmtId="0" fontId="39" fillId="0" borderId="55" xfId="0" applyFont="1" applyBorder="1" applyAlignment="1" applyProtection="1">
      <alignment horizontal="center" vertical="center" wrapText="1"/>
      <protection locked="0"/>
    </xf>
    <xf numFmtId="0" fontId="39" fillId="0" borderId="56"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15" fillId="2" borderId="58" xfId="0" applyFont="1" applyFill="1" applyBorder="1" applyAlignment="1" applyProtection="1">
      <alignment horizontal="left" vertical="center" wrapText="1"/>
      <protection locked="0"/>
    </xf>
    <xf numFmtId="0" fontId="15" fillId="2" borderId="0" xfId="0" applyFont="1" applyFill="1" applyAlignment="1" applyProtection="1">
      <alignment horizontal="left" vertical="center" wrapText="1"/>
      <protection locked="0"/>
    </xf>
    <xf numFmtId="0" fontId="15" fillId="2" borderId="59" xfId="0" applyFont="1" applyFill="1" applyBorder="1" applyAlignment="1" applyProtection="1">
      <alignment horizontal="left" vertical="center" wrapText="1"/>
      <protection locked="0"/>
    </xf>
    <xf numFmtId="0" fontId="56" fillId="0" borderId="23" xfId="0" applyFont="1" applyBorder="1" applyAlignment="1">
      <alignment horizontal="left" vertical="center" wrapText="1"/>
    </xf>
    <xf numFmtId="0" fontId="56" fillId="0" borderId="21" xfId="0" applyFont="1" applyBorder="1" applyAlignment="1">
      <alignment horizontal="left" vertical="center" wrapText="1"/>
    </xf>
    <xf numFmtId="49" fontId="15" fillId="0" borderId="21" xfId="0" applyNumberFormat="1" applyFont="1" applyBorder="1" applyAlignment="1">
      <alignment horizontal="left" vertical="center"/>
    </xf>
    <xf numFmtId="49" fontId="15" fillId="0" borderId="22" xfId="0" applyNumberFormat="1" applyFont="1" applyBorder="1" applyAlignment="1">
      <alignment horizontal="left" vertical="center"/>
    </xf>
    <xf numFmtId="0" fontId="39" fillId="0" borderId="52" xfId="0" applyFont="1" applyBorder="1" applyAlignment="1">
      <alignment horizontal="center" vertical="top" wrapText="1"/>
    </xf>
    <xf numFmtId="0" fontId="39" fillId="0" borderId="53" xfId="0" applyFont="1" applyBorder="1" applyAlignment="1">
      <alignment horizontal="center" vertical="top" wrapText="1"/>
    </xf>
    <xf numFmtId="0" fontId="39" fillId="0" borderId="54" xfId="0" applyFont="1" applyBorder="1" applyAlignment="1">
      <alignment horizontal="center" vertical="top" wrapText="1"/>
    </xf>
    <xf numFmtId="0" fontId="29" fillId="0" borderId="0" xfId="0" applyFont="1" applyAlignment="1">
      <alignment horizontal="left"/>
    </xf>
    <xf numFmtId="0" fontId="123" fillId="0" borderId="79" xfId="0" applyFont="1" applyBorder="1" applyAlignment="1">
      <alignment horizontal="center" vertical="center"/>
    </xf>
    <xf numFmtId="0" fontId="123" fillId="0" borderId="80" xfId="0" applyFont="1" applyBorder="1" applyAlignment="1">
      <alignment horizontal="center" vertical="center"/>
    </xf>
    <xf numFmtId="0" fontId="123" fillId="0" borderId="81" xfId="0" applyFont="1" applyBorder="1" applyAlignment="1">
      <alignment horizontal="center" vertical="center"/>
    </xf>
    <xf numFmtId="0" fontId="56" fillId="0" borderId="38" xfId="0" applyFont="1" applyBorder="1" applyAlignment="1">
      <alignment horizontal="left" vertical="center" wrapText="1"/>
    </xf>
    <xf numFmtId="0" fontId="56" fillId="0" borderId="36" xfId="0" applyFont="1" applyBorder="1" applyAlignment="1">
      <alignment horizontal="left" vertical="center" wrapText="1"/>
    </xf>
    <xf numFmtId="0" fontId="56" fillId="0" borderId="28" xfId="0" applyFont="1" applyBorder="1" applyAlignment="1">
      <alignment horizontal="left" vertical="center" wrapText="1"/>
    </xf>
    <xf numFmtId="0" fontId="56" fillId="0" borderId="2" xfId="0" applyFont="1" applyBorder="1" applyAlignment="1">
      <alignment horizontal="left" vertical="center" wrapText="1"/>
    </xf>
    <xf numFmtId="0" fontId="22" fillId="0" borderId="25" xfId="3" applyFont="1" applyBorder="1" applyAlignment="1">
      <alignment horizontal="center" vertical="center" wrapText="1"/>
    </xf>
    <xf numFmtId="0" fontId="22" fillId="0" borderId="42" xfId="3" applyFont="1" applyBorder="1" applyAlignment="1">
      <alignment horizontal="center" vertical="center" wrapText="1"/>
    </xf>
    <xf numFmtId="0" fontId="22" fillId="0" borderId="37" xfId="0" applyFont="1" applyBorder="1" applyAlignment="1">
      <alignment horizontal="center" vertical="center" wrapText="1"/>
    </xf>
    <xf numFmtId="0" fontId="39" fillId="0" borderId="38" xfId="0" applyFont="1" applyBorder="1" applyAlignment="1">
      <alignment horizontal="center" vertical="center"/>
    </xf>
    <xf numFmtId="0" fontId="39" fillId="0" borderId="43" xfId="0" applyFont="1" applyBorder="1" applyAlignment="1">
      <alignment horizontal="center" vertical="center"/>
    </xf>
    <xf numFmtId="0" fontId="106" fillId="0" borderId="0" xfId="0" applyFont="1" applyAlignment="1">
      <alignment horizontal="center" vertical="center"/>
    </xf>
    <xf numFmtId="0" fontId="52" fillId="0" borderId="58" xfId="0" applyNumberFormat="1" applyFont="1" applyBorder="1" applyAlignment="1">
      <alignment horizontal="left" vertical="top" wrapText="1"/>
    </xf>
    <xf numFmtId="0" fontId="52" fillId="0" borderId="0" xfId="0" applyNumberFormat="1" applyFont="1" applyBorder="1" applyAlignment="1">
      <alignment horizontal="left" vertical="top" wrapText="1"/>
    </xf>
    <xf numFmtId="0" fontId="15" fillId="0" borderId="74" xfId="0" applyFont="1" applyBorder="1" applyAlignment="1">
      <alignment horizontal="left" vertical="center"/>
    </xf>
    <xf numFmtId="0" fontId="15" fillId="0" borderId="4" xfId="0" applyFont="1" applyBorder="1" applyAlignment="1">
      <alignment horizontal="left" vertical="center"/>
    </xf>
    <xf numFmtId="0" fontId="15" fillId="0" borderId="88" xfId="0" applyFont="1" applyBorder="1" applyAlignment="1">
      <alignment horizontal="left" vertical="center"/>
    </xf>
    <xf numFmtId="0" fontId="15" fillId="3" borderId="23" xfId="0" applyFont="1" applyFill="1" applyBorder="1" applyAlignment="1">
      <alignment horizontal="left" vertical="center" wrapText="1"/>
    </xf>
    <xf numFmtId="0" fontId="15" fillId="3" borderId="21" xfId="0" applyFont="1" applyFill="1" applyBorder="1" applyAlignment="1">
      <alignment horizontal="left" vertical="center" wrapText="1"/>
    </xf>
    <xf numFmtId="0" fontId="15" fillId="3" borderId="22" xfId="0" applyFont="1" applyFill="1" applyBorder="1" applyAlignment="1">
      <alignment horizontal="left" vertical="center" wrapText="1"/>
    </xf>
    <xf numFmtId="0" fontId="15" fillId="3" borderId="38" xfId="0" applyFont="1" applyFill="1" applyBorder="1" applyAlignment="1">
      <alignment horizontal="left" vertical="center"/>
    </xf>
    <xf numFmtId="0" fontId="15" fillId="3" borderId="36" xfId="0" applyFont="1" applyFill="1" applyBorder="1" applyAlignment="1">
      <alignment horizontal="left" vertical="center"/>
    </xf>
    <xf numFmtId="0" fontId="15" fillId="3" borderId="37" xfId="0" applyFont="1" applyFill="1" applyBorder="1" applyAlignment="1">
      <alignment horizontal="left" vertical="center"/>
    </xf>
    <xf numFmtId="0" fontId="15" fillId="0" borderId="28" xfId="0" applyFont="1" applyBorder="1" applyAlignment="1">
      <alignment horizontal="left" vertical="center" wrapText="1"/>
    </xf>
    <xf numFmtId="0" fontId="15" fillId="0" borderId="2" xfId="0" applyFont="1" applyBorder="1" applyAlignment="1">
      <alignment horizontal="left" vertical="center" wrapText="1"/>
    </xf>
    <xf numFmtId="0" fontId="15" fillId="0" borderId="20" xfId="0" applyFont="1" applyBorder="1" applyAlignment="1">
      <alignment horizontal="left" vertical="center" wrapText="1"/>
    </xf>
    <xf numFmtId="0" fontId="15" fillId="3" borderId="28" xfId="0" applyFont="1" applyFill="1" applyBorder="1" applyAlignment="1">
      <alignment horizontal="left" vertical="top" wrapText="1"/>
    </xf>
    <xf numFmtId="0" fontId="15" fillId="3" borderId="2" xfId="0" applyFont="1" applyFill="1" applyBorder="1" applyAlignment="1">
      <alignment horizontal="left" vertical="top" wrapText="1"/>
    </xf>
    <xf numFmtId="0" fontId="15" fillId="3" borderId="20" xfId="0" applyFont="1" applyFill="1" applyBorder="1" applyAlignment="1">
      <alignment horizontal="left" vertical="top" wrapText="1"/>
    </xf>
    <xf numFmtId="0" fontId="15" fillId="3" borderId="28" xfId="0" applyFont="1" applyFill="1" applyBorder="1" applyAlignment="1">
      <alignment horizontal="left" vertical="center" wrapText="1"/>
    </xf>
    <xf numFmtId="0" fontId="15" fillId="3" borderId="2" xfId="0" applyFont="1" applyFill="1" applyBorder="1" applyAlignment="1">
      <alignment horizontal="left" vertical="center" wrapText="1"/>
    </xf>
    <xf numFmtId="0" fontId="15" fillId="3" borderId="20" xfId="0" applyFont="1" applyFill="1" applyBorder="1" applyAlignment="1">
      <alignment horizontal="left" vertical="center" wrapText="1"/>
    </xf>
    <xf numFmtId="0" fontId="15" fillId="0" borderId="28" xfId="0" applyFont="1" applyBorder="1" applyAlignment="1">
      <alignment horizontal="left" vertical="top" wrapText="1"/>
    </xf>
    <xf numFmtId="0" fontId="15" fillId="0" borderId="2" xfId="0" applyFont="1" applyBorder="1" applyAlignment="1">
      <alignment horizontal="left" vertical="top" wrapText="1"/>
    </xf>
    <xf numFmtId="0" fontId="15" fillId="0" borderId="20" xfId="0" applyFont="1" applyBorder="1" applyAlignment="1">
      <alignment horizontal="left" vertical="top" wrapText="1"/>
    </xf>
    <xf numFmtId="0" fontId="15" fillId="0" borderId="38" xfId="0" applyFont="1" applyBorder="1" applyAlignment="1">
      <alignment horizontal="left" vertical="center" wrapText="1"/>
    </xf>
    <xf numFmtId="0" fontId="15" fillId="0" borderId="36" xfId="0" applyFont="1" applyBorder="1" applyAlignment="1">
      <alignment horizontal="left" vertical="center" wrapText="1"/>
    </xf>
    <xf numFmtId="0" fontId="15" fillId="0" borderId="37" xfId="0" applyFont="1" applyBorder="1" applyAlignment="1">
      <alignment horizontal="left" vertical="center" wrapText="1"/>
    </xf>
    <xf numFmtId="0" fontId="49" fillId="2" borderId="28" xfId="0" applyFont="1" applyFill="1" applyBorder="1" applyAlignment="1">
      <alignment horizontal="left" vertical="center" wrapText="1"/>
    </xf>
    <xf numFmtId="0" fontId="49" fillId="2" borderId="2" xfId="0" applyFont="1" applyFill="1" applyBorder="1" applyAlignment="1">
      <alignment horizontal="left" vertical="center" wrapText="1"/>
    </xf>
    <xf numFmtId="0" fontId="49" fillId="2" borderId="20" xfId="0" applyFont="1" applyFill="1" applyBorder="1" applyAlignment="1">
      <alignment horizontal="left" vertical="center" wrapText="1"/>
    </xf>
    <xf numFmtId="0" fontId="16" fillId="0" borderId="48" xfId="0" applyFont="1" applyBorder="1" applyAlignment="1">
      <alignment horizontal="center" vertical="center"/>
    </xf>
    <xf numFmtId="0" fontId="16" fillId="0" borderId="34" xfId="0" applyFont="1" applyBorder="1" applyAlignment="1">
      <alignment horizontal="center" vertical="center"/>
    </xf>
    <xf numFmtId="0" fontId="16" fillId="0" borderId="35" xfId="0" applyFont="1" applyBorder="1" applyAlignment="1">
      <alignment horizontal="center" vertical="center"/>
    </xf>
    <xf numFmtId="0" fontId="15" fillId="0" borderId="58" xfId="0" applyFont="1" applyBorder="1" applyAlignment="1">
      <alignment vertical="center"/>
    </xf>
    <xf numFmtId="0" fontId="15" fillId="0" borderId="0" xfId="0" applyFont="1" applyAlignment="1">
      <alignment vertical="center"/>
    </xf>
    <xf numFmtId="0" fontId="15" fillId="3" borderId="85"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5" fillId="3" borderId="46" xfId="0" applyFont="1" applyFill="1" applyBorder="1" applyAlignment="1">
      <alignment horizontal="left" vertical="center" wrapText="1"/>
    </xf>
    <xf numFmtId="0" fontId="15" fillId="0" borderId="23" xfId="0" applyFont="1" applyBorder="1" applyAlignment="1">
      <alignment horizontal="left" vertical="center" wrapText="1"/>
    </xf>
    <xf numFmtId="0" fontId="15" fillId="0" borderId="21" xfId="0" applyFont="1" applyBorder="1" applyAlignment="1">
      <alignment horizontal="left" vertical="center" wrapText="1"/>
    </xf>
    <xf numFmtId="0" fontId="15" fillId="0" borderId="22" xfId="0" applyFont="1" applyBorder="1" applyAlignment="1">
      <alignment horizontal="left" vertical="center" wrapText="1"/>
    </xf>
    <xf numFmtId="0" fontId="49" fillId="0" borderId="28" xfId="0" applyFont="1" applyBorder="1" applyAlignment="1">
      <alignment horizontal="left" vertical="center" wrapText="1"/>
    </xf>
    <xf numFmtId="0" fontId="49" fillId="0" borderId="2" xfId="0" applyFont="1" applyBorder="1" applyAlignment="1">
      <alignment horizontal="left" vertical="center" wrapText="1"/>
    </xf>
    <xf numFmtId="0" fontId="49" fillId="0" borderId="20" xfId="0" applyFont="1" applyBorder="1" applyAlignment="1">
      <alignment horizontal="left" vertical="center" wrapText="1"/>
    </xf>
    <xf numFmtId="0" fontId="15" fillId="0" borderId="85" xfId="0" applyFont="1" applyBorder="1" applyAlignment="1">
      <alignment horizontal="left" vertical="center" wrapText="1"/>
    </xf>
    <xf numFmtId="0" fontId="15" fillId="0" borderId="1" xfId="0" applyFont="1" applyBorder="1" applyAlignment="1">
      <alignment horizontal="left" vertical="center" wrapText="1"/>
    </xf>
    <xf numFmtId="0" fontId="15" fillId="0" borderId="46" xfId="0" applyFont="1" applyBorder="1" applyAlignment="1">
      <alignment horizontal="left" vertical="center" wrapText="1"/>
    </xf>
    <xf numFmtId="0" fontId="49" fillId="5" borderId="58" xfId="0" applyFont="1" applyFill="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0" fontId="49" fillId="5" borderId="59" xfId="0" applyFont="1" applyFill="1" applyBorder="1" applyAlignment="1" applyProtection="1">
      <alignment horizontal="left" vertical="center" wrapText="1"/>
      <protection locked="0"/>
    </xf>
    <xf numFmtId="0" fontId="22" fillId="4" borderId="2" xfId="0" applyFont="1" applyFill="1" applyBorder="1" applyAlignment="1">
      <alignment horizontal="center" vertical="center" wrapText="1"/>
    </xf>
    <xf numFmtId="0" fontId="79" fillId="5" borderId="0" xfId="0" applyFont="1" applyFill="1" applyBorder="1" applyAlignment="1">
      <alignment horizontal="center" vertical="center" wrapText="1"/>
    </xf>
    <xf numFmtId="0" fontId="15" fillId="0" borderId="58" xfId="0" applyFont="1" applyFill="1" applyBorder="1" applyAlignment="1" applyProtection="1">
      <alignment horizontal="left" vertical="center" wrapText="1"/>
      <protection locked="0"/>
    </xf>
    <xf numFmtId="0" fontId="15" fillId="0" borderId="0" xfId="0" applyFont="1" applyFill="1" applyAlignment="1" applyProtection="1">
      <alignment horizontal="left" vertical="center" wrapText="1"/>
      <protection locked="0"/>
    </xf>
    <xf numFmtId="0" fontId="15" fillId="0" borderId="59" xfId="0" applyFont="1" applyFill="1" applyBorder="1" applyAlignment="1" applyProtection="1">
      <alignment horizontal="left" vertical="center" wrapText="1"/>
      <protection locked="0"/>
    </xf>
    <xf numFmtId="0" fontId="122" fillId="0" borderId="79" xfId="0" applyFont="1" applyBorder="1" applyAlignment="1">
      <alignment horizontal="center" vertical="center" wrapText="1"/>
    </xf>
    <xf numFmtId="0" fontId="122" fillId="0" borderId="80" xfId="0" applyFont="1" applyBorder="1" applyAlignment="1">
      <alignment horizontal="center" vertical="center" wrapText="1"/>
    </xf>
    <xf numFmtId="0" fontId="122" fillId="0" borderId="81" xfId="0" applyFont="1" applyBorder="1" applyAlignment="1">
      <alignment horizontal="center" vertical="center" wrapText="1"/>
    </xf>
    <xf numFmtId="0" fontId="84" fillId="0" borderId="0" xfId="0" applyFont="1" applyAlignment="1">
      <alignment horizontal="left"/>
    </xf>
    <xf numFmtId="172" fontId="38" fillId="3" borderId="0" xfId="0" applyNumberFormat="1" applyFont="1" applyFill="1" applyAlignment="1">
      <alignment horizontal="center" vertical="center"/>
    </xf>
    <xf numFmtId="0" fontId="20" fillId="0" borderId="55" xfId="0" applyFont="1" applyBorder="1" applyAlignment="1" applyProtection="1">
      <alignment horizontal="center" vertical="center" wrapText="1"/>
      <protection locked="0"/>
    </xf>
    <xf numFmtId="0" fontId="20" fillId="0" borderId="56" xfId="0" applyFont="1" applyBorder="1" applyAlignment="1" applyProtection="1">
      <alignment horizontal="center" vertical="center" wrapText="1"/>
      <protection locked="0"/>
    </xf>
    <xf numFmtId="0" fontId="20" fillId="0" borderId="57" xfId="0" applyFont="1" applyBorder="1" applyAlignment="1" applyProtection="1">
      <alignment horizontal="center" vertical="center" wrapText="1"/>
      <protection locked="0"/>
    </xf>
    <xf numFmtId="0" fontId="15" fillId="0" borderId="21" xfId="0" applyFont="1" applyBorder="1" applyAlignment="1">
      <alignment horizontal="left" vertical="center"/>
    </xf>
    <xf numFmtId="0" fontId="15" fillId="0" borderId="22" xfId="0" applyFont="1" applyBorder="1" applyAlignment="1">
      <alignment horizontal="left" vertical="center"/>
    </xf>
    <xf numFmtId="1" fontId="113" fillId="0" borderId="2" xfId="0" applyNumberFormat="1" applyFont="1" applyBorder="1" applyAlignment="1">
      <alignment horizontal="center" vertical="center" wrapText="1"/>
    </xf>
    <xf numFmtId="0" fontId="119" fillId="0" borderId="2" xfId="0" applyFont="1" applyBorder="1" applyAlignment="1">
      <alignment horizontal="center" vertical="center" wrapText="1" readingOrder="1"/>
    </xf>
    <xf numFmtId="0" fontId="55" fillId="0" borderId="36" xfId="0" applyFont="1" applyBorder="1" applyAlignment="1">
      <alignment horizontal="left" vertical="center" wrapText="1"/>
    </xf>
    <xf numFmtId="0" fontId="55" fillId="0" borderId="37" xfId="0" applyFont="1" applyBorder="1" applyAlignment="1">
      <alignment horizontal="left" vertical="center" wrapText="1"/>
    </xf>
    <xf numFmtId="0" fontId="55" fillId="0" borderId="2" xfId="0" applyFont="1" applyBorder="1" applyAlignment="1">
      <alignment horizontal="left" vertical="center" wrapText="1"/>
    </xf>
    <xf numFmtId="0" fontId="55" fillId="0" borderId="20" xfId="0" applyFont="1" applyBorder="1" applyAlignment="1">
      <alignment horizontal="left" vertical="center" wrapText="1"/>
    </xf>
    <xf numFmtId="0" fontId="113" fillId="0" borderId="2" xfId="0" applyFont="1" applyBorder="1" applyAlignment="1">
      <alignment horizontal="center" vertical="center" wrapText="1" readingOrder="1"/>
    </xf>
    <xf numFmtId="0" fontId="113" fillId="0" borderId="2" xfId="0" applyFont="1" applyBorder="1" applyAlignment="1">
      <alignment horizontal="center" vertical="center" wrapText="1"/>
    </xf>
    <xf numFmtId="49" fontId="55" fillId="0" borderId="21" xfId="0" applyNumberFormat="1" applyFont="1" applyBorder="1" applyAlignment="1">
      <alignment horizontal="left" vertical="center" wrapText="1"/>
    </xf>
    <xf numFmtId="49" fontId="55" fillId="0" borderId="22" xfId="0" applyNumberFormat="1" applyFont="1" applyBorder="1" applyAlignment="1">
      <alignment horizontal="left" vertical="center" wrapText="1"/>
    </xf>
    <xf numFmtId="0" fontId="53" fillId="0" borderId="89" xfId="0" applyFont="1" applyBorder="1" applyAlignment="1">
      <alignment horizontal="center" vertical="center" wrapText="1"/>
    </xf>
    <xf numFmtId="0" fontId="53" fillId="0" borderId="89" xfId="0" applyFont="1" applyBorder="1" applyAlignment="1">
      <alignment horizontal="center" vertical="center"/>
    </xf>
    <xf numFmtId="0" fontId="115" fillId="0" borderId="2" xfId="0" applyFont="1" applyBorder="1" applyAlignment="1">
      <alignment horizontal="center" vertical="center" wrapText="1" readingOrder="1"/>
    </xf>
    <xf numFmtId="0" fontId="114" fillId="0" borderId="79" xfId="0" applyFont="1" applyBorder="1" applyAlignment="1">
      <alignment horizontal="center" vertical="center"/>
    </xf>
    <xf numFmtId="0" fontId="114" fillId="0" borderId="80" xfId="0" applyFont="1" applyBorder="1" applyAlignment="1">
      <alignment horizontal="center" vertical="center"/>
    </xf>
    <xf numFmtId="0" fontId="114" fillId="0" borderId="81" xfId="0" applyFont="1" applyBorder="1" applyAlignment="1">
      <alignment horizontal="center" vertical="center"/>
    </xf>
    <xf numFmtId="0" fontId="56" fillId="9" borderId="0" xfId="0" applyFont="1" applyFill="1" applyAlignment="1">
      <alignment horizontal="center" vertical="center" wrapText="1"/>
    </xf>
    <xf numFmtId="0" fontId="117" fillId="4" borderId="2" xfId="0" applyFont="1" applyFill="1" applyBorder="1" applyAlignment="1">
      <alignment horizontal="left" vertical="center" wrapText="1" readingOrder="1"/>
    </xf>
    <xf numFmtId="0" fontId="116" fillId="0" borderId="2" xfId="0" applyFont="1" applyBorder="1" applyAlignment="1">
      <alignment horizontal="center" vertical="center" wrapText="1" readingOrder="1"/>
    </xf>
    <xf numFmtId="0" fontId="115" fillId="0" borderId="10" xfId="0" applyFont="1" applyBorder="1" applyAlignment="1">
      <alignment horizontal="left" vertical="center" wrapText="1" readingOrder="1"/>
    </xf>
    <xf numFmtId="0" fontId="115" fillId="0" borderId="1" xfId="0" applyFont="1" applyBorder="1" applyAlignment="1">
      <alignment horizontal="left" vertical="center" wrapText="1" readingOrder="1"/>
    </xf>
    <xf numFmtId="0" fontId="115" fillId="0" borderId="9" xfId="0" applyFont="1" applyBorder="1" applyAlignment="1">
      <alignment horizontal="left" vertical="center" wrapText="1" readingOrder="1"/>
    </xf>
    <xf numFmtId="0" fontId="5" fillId="0" borderId="7" xfId="3" applyFont="1" applyBorder="1" applyAlignment="1">
      <alignment horizontal="center"/>
    </xf>
    <xf numFmtId="0" fontId="5" fillId="0" borderId="0" xfId="3" applyFont="1" applyBorder="1" applyAlignment="1">
      <alignment horizontal="center"/>
    </xf>
    <xf numFmtId="0" fontId="8" fillId="0" borderId="10" xfId="3" applyFont="1" applyBorder="1" applyAlignment="1">
      <alignment horizontal="left" vertical="center" wrapText="1"/>
    </xf>
    <xf numFmtId="0" fontId="8" fillId="0" borderId="1" xfId="3" applyFont="1" applyBorder="1" applyAlignment="1">
      <alignment horizontal="left" vertical="center" wrapText="1"/>
    </xf>
    <xf numFmtId="0" fontId="8" fillId="0" borderId="9" xfId="3" applyFont="1" applyBorder="1" applyAlignment="1">
      <alignment horizontal="left" vertical="center" wrapText="1"/>
    </xf>
    <xf numFmtId="0" fontId="22" fillId="0" borderId="0" xfId="3" applyFont="1" applyAlignment="1">
      <alignment horizontal="center" vertical="center"/>
    </xf>
    <xf numFmtId="0" fontId="6" fillId="0" borderId="2" xfId="3" applyFont="1" applyBorder="1" applyAlignment="1">
      <alignment horizontal="center" vertical="center"/>
    </xf>
    <xf numFmtId="0" fontId="6" fillId="0" borderId="2" xfId="3" applyFont="1" applyBorder="1" applyAlignment="1">
      <alignment horizontal="center" vertical="center" wrapText="1"/>
    </xf>
    <xf numFmtId="0" fontId="6" fillId="3" borderId="2" xfId="3" applyFont="1" applyFill="1" applyBorder="1" applyAlignment="1">
      <alignment horizontal="center" vertical="center" wrapText="1"/>
    </xf>
    <xf numFmtId="0" fontId="5" fillId="0" borderId="1" xfId="3" applyFont="1" applyBorder="1" applyAlignment="1">
      <alignment horizontal="left" vertical="center" wrapText="1"/>
    </xf>
    <xf numFmtId="0" fontId="5" fillId="0" borderId="9" xfId="3" applyFont="1" applyBorder="1" applyAlignment="1">
      <alignment horizontal="left" vertical="center" wrapText="1"/>
    </xf>
    <xf numFmtId="0" fontId="5" fillId="0" borderId="10" xfId="3" applyFont="1" applyBorder="1" applyAlignment="1">
      <alignment horizontal="left" vertical="center"/>
    </xf>
    <xf numFmtId="0" fontId="5" fillId="0" borderId="9" xfId="3" applyFont="1" applyBorder="1" applyAlignment="1">
      <alignment horizontal="left" vertical="center"/>
    </xf>
    <xf numFmtId="0" fontId="10" fillId="0" borderId="0" xfId="3" applyFont="1" applyAlignment="1">
      <alignment horizontal="left" vertical="center"/>
    </xf>
    <xf numFmtId="0" fontId="10" fillId="0" borderId="0" xfId="3" applyFont="1" applyAlignment="1">
      <alignment horizontal="center" vertical="center"/>
    </xf>
    <xf numFmtId="165" fontId="6" fillId="0" borderId="0" xfId="3" applyNumberFormat="1" applyFont="1" applyAlignment="1">
      <alignment horizontal="left" vertical="center" wrapText="1"/>
    </xf>
    <xf numFmtId="0" fontId="6" fillId="0" borderId="7" xfId="3" applyFont="1" applyBorder="1" applyAlignment="1">
      <alignment horizontal="center" vertical="center"/>
    </xf>
    <xf numFmtId="0" fontId="5" fillId="0" borderId="10" xfId="3" applyFont="1" applyBorder="1" applyAlignment="1">
      <alignment horizontal="left" vertical="center" wrapText="1"/>
    </xf>
    <xf numFmtId="0" fontId="5" fillId="3" borderId="1" xfId="3" applyFont="1" applyFill="1" applyBorder="1" applyAlignment="1">
      <alignment horizontal="left" vertical="center" wrapText="1"/>
    </xf>
    <xf numFmtId="0" fontId="5" fillId="3" borderId="9" xfId="3" applyFont="1" applyFill="1" applyBorder="1" applyAlignment="1">
      <alignment horizontal="left" vertical="center" wrapText="1"/>
    </xf>
    <xf numFmtId="0" fontId="6" fillId="0" borderId="1" xfId="3" applyFont="1" applyBorder="1" applyAlignment="1">
      <alignment horizontal="left" vertical="center" wrapText="1"/>
    </xf>
    <xf numFmtId="0" fontId="6" fillId="0" borderId="9" xfId="3" applyFont="1" applyBorder="1" applyAlignment="1">
      <alignment horizontal="left" vertical="center" wrapText="1"/>
    </xf>
    <xf numFmtId="0" fontId="5" fillId="0" borderId="4" xfId="3" applyFont="1" applyBorder="1" applyAlignment="1">
      <alignment horizontal="center"/>
    </xf>
    <xf numFmtId="0" fontId="6" fillId="0" borderId="2" xfId="3" applyFont="1" applyBorder="1" applyAlignment="1">
      <alignment horizontal="left" vertical="center"/>
    </xf>
    <xf numFmtId="0" fontId="6" fillId="0" borderId="10" xfId="3" applyFont="1" applyBorder="1" applyAlignment="1">
      <alignment horizontal="center" vertical="center"/>
    </xf>
    <xf numFmtId="0" fontId="6" fillId="0" borderId="1" xfId="3" applyFont="1" applyBorder="1" applyAlignment="1">
      <alignment horizontal="center" vertical="center"/>
    </xf>
    <xf numFmtId="0" fontId="6" fillId="0" borderId="9" xfId="3" applyFont="1" applyBorder="1" applyAlignment="1">
      <alignment horizontal="center" vertical="center"/>
    </xf>
    <xf numFmtId="0" fontId="55" fillId="0" borderId="22" xfId="0" applyFont="1" applyBorder="1" applyAlignment="1">
      <alignment horizontal="left" vertical="center" wrapText="1"/>
    </xf>
    <xf numFmtId="0" fontId="55" fillId="0" borderId="21" xfId="0" applyFont="1" applyBorder="1" applyAlignment="1">
      <alignment horizontal="left" vertical="center" wrapText="1"/>
    </xf>
  </cellXfs>
  <cellStyles count="5">
    <cellStyle name="Гиперссылка" xfId="1" builtinId="8"/>
    <cellStyle name="Денежный 2" xfId="2"/>
    <cellStyle name="Обычный" xfId="0" builtinId="0"/>
    <cellStyle name="Обычный 2" xfId="3"/>
    <cellStyle name="Процентный" xfId="4" builtinId="5"/>
  </cellStyles>
  <dxfs count="8683">
    <dxf>
      <fill>
        <patternFill>
          <bgColor theme="0"/>
        </patternFill>
      </fill>
    </dxf>
    <dxf>
      <fill>
        <patternFill>
          <bgColor theme="0"/>
        </patternFill>
      </fill>
    </dxf>
    <dxf>
      <fill>
        <patternFill>
          <bgColor theme="0"/>
        </patternFill>
      </fill>
    </dxf>
    <dxf>
      <fill>
        <patternFill>
          <bgColor theme="0"/>
        </patternFill>
      </fill>
    </dxf>
    <dxf>
      <font>
        <color rgb="FFFF0000"/>
      </font>
      <fill>
        <patternFill patternType="none">
          <bgColor indexed="65"/>
        </patternFill>
      </fill>
    </dxf>
    <dxf>
      <fill>
        <patternFill>
          <bgColor rgb="FFFF6565"/>
        </patternFill>
      </fill>
    </dxf>
    <dxf>
      <fill>
        <patternFill>
          <bgColor rgb="FFFF6565"/>
        </patternFill>
      </fill>
    </dxf>
    <dxf>
      <fill>
        <patternFill>
          <bgColor rgb="FFFF6565"/>
        </patternFill>
      </fill>
    </dxf>
    <dxf>
      <fill>
        <patternFill>
          <bgColor theme="0"/>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theme="0"/>
        </patternFill>
      </fill>
    </dxf>
    <dxf>
      <fill>
        <patternFill>
          <bgColor theme="0"/>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externalLink" Target="externalLinks/externalLink3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lang="uk-UA" sz="2000" b="1" i="0" u="none" strike="noStrike" kern="1200" spc="0" baseline="0">
                <a:solidFill>
                  <a:sysClr val="windowText" lastClr="000000"/>
                </a:solidFill>
                <a:latin typeface="+mn-lt"/>
                <a:ea typeface="+mn-ea"/>
                <a:cs typeface="+mn-cs"/>
              </a:defRPr>
            </a:pPr>
            <a:r>
              <a:rPr lang="ru-RU" sz="2000" b="1"/>
              <a:t>Доходи надавача ПМД</a:t>
            </a:r>
          </a:p>
        </c:rich>
      </c:tx>
      <c:layout>
        <c:manualLayout>
          <c:xMode val="edge"/>
          <c:yMode val="edge"/>
          <c:x val="5.1592194007533898E-2"/>
          <c:y val="7.9272576076505286E-2"/>
        </c:manualLayout>
      </c:layout>
      <c:spPr>
        <a:noFill/>
        <a:ln w="25400">
          <a:noFill/>
        </a:ln>
      </c:spPr>
    </c:title>
    <c:plotArea>
      <c:layout>
        <c:manualLayout>
          <c:layoutTarget val="inner"/>
          <c:xMode val="edge"/>
          <c:yMode val="edge"/>
          <c:x val="8.8691738875106368E-2"/>
          <c:y val="0.29406648786467393"/>
          <c:w val="0.89826194670871617"/>
          <c:h val="0.56508936698818912"/>
        </c:manualLayout>
      </c:layout>
      <c:barChart>
        <c:barDir val="col"/>
        <c:grouping val="clustered"/>
        <c:ser>
          <c:idx val="0"/>
          <c:order val="0"/>
          <c:tx>
            <c:strRef>
              <c:f>ДРУК!$B$9</c:f>
              <c:strCache>
                <c:ptCount val="1"/>
                <c:pt idx="0">
                  <c:v>Надходження надавача ПМД від медичного обслуговування населення за програмою медичних гарантій, грн. В.т.числі ПМД</c:v>
                </c:pt>
              </c:strCache>
            </c:strRef>
          </c:tx>
          <c:spPr>
            <a:solidFill>
              <a:srgbClr val="00B050"/>
            </a:solidFill>
            <a:ln w="25400">
              <a:noFill/>
            </a:ln>
          </c:spPr>
          <c:cat>
            <c:strRef>
              <c:f>ДРУК!$C$8:$G$8</c:f>
              <c:strCache>
                <c:ptCount val="5"/>
                <c:pt idx="0">
                  <c:v>Доходи у І кварталі, грн.</c:v>
                </c:pt>
                <c:pt idx="1">
                  <c:v>Доходи у ІІ кварталі, грн.</c:v>
                </c:pt>
                <c:pt idx="2">
                  <c:v>Доходи у ІІІ кварталі, грн.</c:v>
                </c:pt>
                <c:pt idx="3">
                  <c:v>Доходи у IV кварталі, грн.</c:v>
                </c:pt>
                <c:pt idx="4">
                  <c:v>Всього річні ДОХОДИ надавача ПМД, грн.</c:v>
                </c:pt>
              </c:strCache>
            </c:strRef>
          </c:cat>
          <c:val>
            <c:numRef>
              <c:f>ДРУК!$C$9:$G$9</c:f>
              <c:numCache>
                <c:formatCode>#,##0</c:formatCode>
                <c:ptCount val="5"/>
                <c:pt idx="0">
                  <c:v>8762424.3874162696</c:v>
                </c:pt>
                <c:pt idx="1">
                  <c:v>8762424.3874162696</c:v>
                </c:pt>
                <c:pt idx="2">
                  <c:v>8762424.3874162696</c:v>
                </c:pt>
                <c:pt idx="3">
                  <c:v>8762424.3874162696</c:v>
                </c:pt>
                <c:pt idx="4">
                  <c:v>35049697.549665079</c:v>
                </c:pt>
              </c:numCache>
            </c:numRef>
          </c:val>
        </c:ser>
        <c:ser>
          <c:idx val="2"/>
          <c:order val="1"/>
          <c:tx>
            <c:strRef>
              <c:f>ДРУК!$B$10</c:f>
              <c:strCache>
                <c:ptCount val="1"/>
                <c:pt idx="0">
                  <c:v>Інші надходження/доходи надавача ПМД, грн.</c:v>
                </c:pt>
              </c:strCache>
            </c:strRef>
          </c:tx>
          <c:spPr>
            <a:solidFill>
              <a:srgbClr val="A5A5A5"/>
            </a:solidFill>
            <a:ln w="25400">
              <a:noFill/>
            </a:ln>
          </c:spPr>
          <c:cat>
            <c:strRef>
              <c:f>ДРУК!$C$8:$G$8</c:f>
              <c:strCache>
                <c:ptCount val="5"/>
                <c:pt idx="0">
                  <c:v>Доходи у І кварталі, грн.</c:v>
                </c:pt>
                <c:pt idx="1">
                  <c:v>Доходи у ІІ кварталі, грн.</c:v>
                </c:pt>
                <c:pt idx="2">
                  <c:v>Доходи у ІІІ кварталі, грн.</c:v>
                </c:pt>
                <c:pt idx="3">
                  <c:v>Доходи у IV кварталі, грн.</c:v>
                </c:pt>
                <c:pt idx="4">
                  <c:v>Всього річні ДОХОДИ надавача ПМД, грн.</c:v>
                </c:pt>
              </c:strCache>
            </c:strRef>
          </c:cat>
          <c:val>
            <c:numRef>
              <c:f>ДРУК!$C$10:$G$10</c:f>
              <c:numCache>
                <c:formatCode>#,##0</c:formatCode>
                <c:ptCount val="5"/>
                <c:pt idx="0">
                  <c:v>1614088.3300439999</c:v>
                </c:pt>
                <c:pt idx="1">
                  <c:v>1228769.9168719999</c:v>
                </c:pt>
                <c:pt idx="2">
                  <c:v>841895.96136800002</c:v>
                </c:pt>
                <c:pt idx="3">
                  <c:v>1456816.8926039999</c:v>
                </c:pt>
                <c:pt idx="4">
                  <c:v>5141571.1008879999</c:v>
                </c:pt>
              </c:numCache>
            </c:numRef>
          </c:val>
        </c:ser>
        <c:ser>
          <c:idx val="3"/>
          <c:order val="2"/>
          <c:tx>
            <c:strRef>
              <c:f>ДРУК!$B$11</c:f>
              <c:strCache>
                <c:ptCount val="1"/>
                <c:pt idx="0">
                  <c:v>ВСЬОГО ДОХОДІВ надавача ПМД, грн.</c:v>
                </c:pt>
              </c:strCache>
            </c:strRef>
          </c:tx>
          <c:spPr>
            <a:solidFill>
              <a:srgbClr val="FFC000"/>
            </a:solidFill>
            <a:ln w="25400">
              <a:noFill/>
            </a:ln>
          </c:spPr>
          <c:dLbls>
            <c:spPr>
              <a:noFill/>
              <a:ln w="25400">
                <a:noFill/>
              </a:ln>
            </c:spPr>
            <c:txPr>
              <a:bodyPr rot="0" spcFirstLastPara="1" vertOverflow="ellipsis" vert="horz" wrap="square" lIns="38100" tIns="19050" rIns="38100" bIns="19050" anchor="ctr" anchorCtr="1">
                <a:spAutoFit/>
              </a:bodyPr>
              <a:lstStyle/>
              <a:p>
                <a:pPr>
                  <a:defRPr lang="uk-UA" sz="1400" b="1" i="0" u="none" strike="noStrike" kern="1200" baseline="0">
                    <a:solidFill>
                      <a:sysClr val="windowText" lastClr="000000"/>
                    </a:solidFill>
                    <a:latin typeface="+mn-lt"/>
                    <a:ea typeface="+mn-ea"/>
                    <a:cs typeface="+mn-cs"/>
                  </a:defRPr>
                </a:pPr>
                <a:endParaRPr lang="en-US"/>
              </a:p>
            </c:txPr>
            <c:showVal val="1"/>
          </c:dLbls>
          <c:cat>
            <c:strRef>
              <c:f>ДРУК!$C$8:$G$8</c:f>
              <c:strCache>
                <c:ptCount val="5"/>
                <c:pt idx="0">
                  <c:v>Доходи у І кварталі, грн.</c:v>
                </c:pt>
                <c:pt idx="1">
                  <c:v>Доходи у ІІ кварталі, грн.</c:v>
                </c:pt>
                <c:pt idx="2">
                  <c:v>Доходи у ІІІ кварталі, грн.</c:v>
                </c:pt>
                <c:pt idx="3">
                  <c:v>Доходи у IV кварталі, грн.</c:v>
                </c:pt>
                <c:pt idx="4">
                  <c:v>Всього річні ДОХОДИ надавача ПМД, грн.</c:v>
                </c:pt>
              </c:strCache>
            </c:strRef>
          </c:cat>
          <c:val>
            <c:numRef>
              <c:f>ДРУК!$C$11:$G$11</c:f>
              <c:numCache>
                <c:formatCode>#,##0</c:formatCode>
                <c:ptCount val="5"/>
                <c:pt idx="0">
                  <c:v>10376512.717460269</c:v>
                </c:pt>
                <c:pt idx="1">
                  <c:v>9991194.30428827</c:v>
                </c:pt>
                <c:pt idx="2">
                  <c:v>9604320.3487842698</c:v>
                </c:pt>
                <c:pt idx="3">
                  <c:v>10219241.28002027</c:v>
                </c:pt>
                <c:pt idx="4">
                  <c:v>40191268.650553077</c:v>
                </c:pt>
              </c:numCache>
            </c:numRef>
          </c:val>
        </c:ser>
        <c:gapWidth val="219"/>
        <c:overlap val="-27"/>
        <c:axId val="76740480"/>
        <c:axId val="76742016"/>
      </c:barChart>
      <c:catAx>
        <c:axId val="76740480"/>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uk-UA" sz="1400" b="0" i="0" u="none" strike="noStrike" kern="1200" baseline="0">
                <a:solidFill>
                  <a:sysClr val="windowText" lastClr="000000"/>
                </a:solidFill>
                <a:latin typeface="+mn-lt"/>
                <a:ea typeface="+mn-ea"/>
                <a:cs typeface="+mn-cs"/>
              </a:defRPr>
            </a:pPr>
            <a:endParaRPr lang="en-US"/>
          </a:p>
        </c:txPr>
        <c:crossAx val="76742016"/>
        <c:crosses val="autoZero"/>
        <c:auto val="1"/>
        <c:lblAlgn val="ctr"/>
        <c:lblOffset val="100"/>
      </c:catAx>
      <c:valAx>
        <c:axId val="76742016"/>
        <c:scaling>
          <c:orientation val="minMax"/>
          <c:max val="180000000"/>
        </c:scaling>
        <c:axPos val="l"/>
        <c:numFmt formatCode="#,##0" sourceLinked="1"/>
        <c:majorTickMark val="none"/>
        <c:tickLblPos val="nextTo"/>
        <c:spPr>
          <a:ln w="6350">
            <a:noFill/>
          </a:ln>
        </c:spPr>
        <c:txPr>
          <a:bodyPr rot="-60000000" spcFirstLastPara="1" vertOverflow="ellipsis" vert="horz" wrap="square" anchor="ctr" anchorCtr="1"/>
          <a:lstStyle/>
          <a:p>
            <a:pPr>
              <a:defRPr lang="uk-UA" sz="1400" b="0" i="0" u="none" strike="noStrike" kern="1200" baseline="0">
                <a:solidFill>
                  <a:sysClr val="windowText" lastClr="000000"/>
                </a:solidFill>
                <a:latin typeface="+mn-lt"/>
                <a:ea typeface="+mn-ea"/>
                <a:cs typeface="+mn-cs"/>
              </a:defRPr>
            </a:pPr>
            <a:endParaRPr lang="en-US"/>
          </a:p>
        </c:txPr>
        <c:crossAx val="76740480"/>
        <c:crosses val="autoZero"/>
        <c:crossBetween val="between"/>
      </c:valAx>
      <c:spPr>
        <a:noFill/>
        <a:ln w="25400">
          <a:noFill/>
        </a:ln>
      </c:spPr>
    </c:plotArea>
    <c:legend>
      <c:legendPos val="r"/>
      <c:layout>
        <c:manualLayout>
          <c:xMode val="edge"/>
          <c:yMode val="edge"/>
          <c:x val="0.37000844444692055"/>
          <c:y val="2.9702999016668296E-2"/>
          <c:w val="0.61858239941676807"/>
          <c:h val="0.18415859390334344"/>
        </c:manualLayout>
      </c:layout>
      <c:spPr>
        <a:noFill/>
        <a:ln w="25400">
          <a:noFill/>
        </a:ln>
      </c:spPr>
      <c:txPr>
        <a:bodyPr rot="0" spcFirstLastPara="1" vertOverflow="ellipsis" vert="horz" wrap="square" anchor="ctr" anchorCtr="1"/>
        <a:lstStyle/>
        <a:p>
          <a:pPr>
            <a:defRPr lang="uk-UA" sz="1200" b="0" i="0" u="none" strike="noStrike" kern="1200" baseline="0">
              <a:solidFill>
                <a:sysClr val="windowText" lastClr="000000"/>
              </a:solidFill>
              <a:latin typeface="+mn-lt"/>
              <a:ea typeface="+mn-ea"/>
              <a:cs typeface="+mn-cs"/>
            </a:defRPr>
          </a:pPr>
          <a:endParaRPr lang="en-US"/>
        </a:p>
      </c:txPr>
    </c:legend>
    <c:plotVisOnly val="1"/>
    <c:dispBlanksAs val="gap"/>
  </c:chart>
  <c:spPr>
    <a:solidFill>
      <a:schemeClr val="bg1"/>
    </a:solidFill>
    <a:ln w="9525" cap="flat" cmpd="sng" algn="ctr">
      <a:noFill/>
      <a:round/>
    </a:ln>
    <a:effectLst/>
  </c:spPr>
  <c:txPr>
    <a:bodyPr/>
    <a:lstStyle/>
    <a:p>
      <a:pPr>
        <a:defRPr sz="1400">
          <a:solidFill>
            <a:sysClr val="windowText" lastClr="000000"/>
          </a:solidFill>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6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pie3DChart>
        <c:varyColors val="1"/>
        <c:ser>
          <c:idx val="0"/>
          <c:order val="0"/>
          <c:tx>
            <c:strRef>
              <c:f>ДРУК!$E$13</c:f>
              <c:strCache>
                <c:ptCount val="1"/>
                <c:pt idx="0">
                  <c:v>Видатки у ІІІ кварталі, грн.</c:v>
                </c:pt>
              </c:strCache>
            </c:strRef>
          </c:tx>
          <c:dPt>
            <c:idx val="0"/>
            <c:spPr>
              <a:solidFill>
                <a:srgbClr val="5B9BD5"/>
              </a:solidFill>
              <a:ln w="25400">
                <a:solidFill>
                  <a:srgbClr val="FFFFFF"/>
                </a:solidFill>
                <a:prstDash val="solid"/>
              </a:ln>
            </c:spPr>
          </c:dPt>
          <c:dPt>
            <c:idx val="1"/>
            <c:spPr>
              <a:solidFill>
                <a:srgbClr val="ED7D31"/>
              </a:solidFill>
              <a:ln w="25400">
                <a:solidFill>
                  <a:srgbClr val="FFFFFF"/>
                </a:solidFill>
                <a:prstDash val="solid"/>
              </a:ln>
            </c:spPr>
          </c:dPt>
          <c:dPt>
            <c:idx val="2"/>
            <c:spPr>
              <a:solidFill>
                <a:srgbClr val="A5A5A5"/>
              </a:solidFill>
              <a:ln w="25400">
                <a:solidFill>
                  <a:srgbClr val="FFFFFF"/>
                </a:solidFill>
                <a:prstDash val="solid"/>
              </a:ln>
            </c:spPr>
          </c:dPt>
          <c:dPt>
            <c:idx val="3"/>
            <c:spPr>
              <a:solidFill>
                <a:srgbClr val="FFC000"/>
              </a:solidFill>
              <a:ln w="25400">
                <a:solidFill>
                  <a:srgbClr val="FFFFFF"/>
                </a:solidFill>
                <a:prstDash val="solid"/>
              </a:ln>
            </c:spPr>
          </c:dPt>
          <c:dPt>
            <c:idx val="4"/>
            <c:spPr>
              <a:solidFill>
                <a:srgbClr val="4472C4"/>
              </a:solidFill>
              <a:ln w="25400">
                <a:solidFill>
                  <a:srgbClr val="FFFFFF"/>
                </a:solidFill>
                <a:prstDash val="solid"/>
              </a:ln>
            </c:spPr>
          </c:dPt>
          <c:dPt>
            <c:idx val="5"/>
            <c:spPr>
              <a:solidFill>
                <a:srgbClr val="70AD47"/>
              </a:solidFill>
              <a:ln w="25400">
                <a:solidFill>
                  <a:srgbClr val="FFFFFF"/>
                </a:solidFill>
                <a:prstDash val="solid"/>
              </a:ln>
            </c:spPr>
          </c:dPt>
          <c:dPt>
            <c:idx val="6"/>
            <c:spPr>
              <a:solidFill>
                <a:schemeClr val="accent1">
                  <a:lumMod val="60000"/>
                </a:schemeClr>
              </a:solidFill>
              <a:ln w="25400">
                <a:solidFill>
                  <a:schemeClr val="lt1"/>
                </a:solidFill>
              </a:ln>
              <a:effectLst/>
              <a:sp3d contourW="25400">
                <a:contourClr>
                  <a:schemeClr val="lt1"/>
                </a:contourClr>
              </a:sp3d>
            </c:spPr>
          </c:dPt>
          <c:dLbls>
            <c:spPr>
              <a:noFill/>
              <a:ln w="25400">
                <a:noFill/>
              </a:ln>
            </c:spPr>
            <c:txPr>
              <a:bodyPr rot="0" spcFirstLastPara="1" vertOverflow="ellipsis" vert="horz" wrap="square" lIns="38100" tIns="19050" rIns="38100" bIns="19050" anchor="ctr" anchorCtr="1">
                <a:spAutoFit/>
              </a:bodyPr>
              <a:lstStyle/>
              <a:p>
                <a:pPr>
                  <a:defRPr lang="uk-UA" sz="900" b="0" i="0" u="none" strike="noStrike" kern="1200" baseline="0">
                    <a:solidFill>
                      <a:sysClr val="windowText" lastClr="000000"/>
                    </a:solidFill>
                    <a:latin typeface="+mn-lt"/>
                    <a:ea typeface="+mn-ea"/>
                    <a:cs typeface="+mn-cs"/>
                  </a:defRPr>
                </a:pPr>
                <a:endParaRPr lang="en-US"/>
              </a:p>
            </c:txPr>
            <c:showVal val="1"/>
            <c:showLeaderLines val="1"/>
            <c:leaderLines>
              <c:spPr>
                <a:ln w="9525" cap="flat" cmpd="sng" algn="ctr">
                  <a:solidFill>
                    <a:schemeClr val="tx1">
                      <a:lumMod val="35000"/>
                      <a:lumOff val="65000"/>
                    </a:schemeClr>
                  </a:solidFill>
                  <a:round/>
                </a:ln>
                <a:effectLst/>
              </c:spPr>
            </c:leaderLines>
          </c:dLbls>
          <c:cat>
            <c:strRef>
              <c:f>ДРУК!$B$14:$B$20</c:f>
              <c:strCache>
                <c:ptCount val="7"/>
                <c:pt idx="0">
                  <c:v>Заробітна плата, грн.</c:v>
                </c:pt>
                <c:pt idx="1">
                  <c:v>Нарахування на оплату праці, грн.</c:v>
                </c:pt>
                <c:pt idx="2">
                  <c:v>Витрати на канцтовари, офісне приладдя та устаткування </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ДРУК!$E$14:$E$20</c:f>
              <c:numCache>
                <c:formatCode>#,##0</c:formatCode>
                <c:ptCount val="7"/>
                <c:pt idx="0">
                  <c:v>6207420</c:v>
                </c:pt>
                <c:pt idx="1">
                  <c:v>1350944.4</c:v>
                </c:pt>
                <c:pt idx="2">
                  <c:v>0</c:v>
                </c:pt>
                <c:pt idx="3">
                  <c:v>93966.501367999997</c:v>
                </c:pt>
                <c:pt idx="4">
                  <c:v>30000</c:v>
                </c:pt>
                <c:pt idx="5">
                  <c:v>33300</c:v>
                </c:pt>
                <c:pt idx="6">
                  <c:v>190000</c:v>
                </c:pt>
              </c:numCache>
            </c:numRef>
          </c:val>
        </c:ser>
      </c:pie3DChart>
      <c:spPr>
        <a:noFill/>
        <a:ln w="25400">
          <a:noFill/>
        </a:ln>
      </c:spPr>
    </c:plotArea>
    <c:legend>
      <c:legendPos val="r"/>
      <c:layout>
        <c:manualLayout>
          <c:xMode val="edge"/>
          <c:yMode val="edge"/>
          <c:x val="0.26825633383010433"/>
          <c:y val="0.62727272727272732"/>
          <c:w val="0.45901639344262296"/>
          <c:h val="0.35454545454545455"/>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6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pie3DChart>
        <c:varyColors val="1"/>
        <c:ser>
          <c:idx val="0"/>
          <c:order val="0"/>
          <c:tx>
            <c:strRef>
              <c:f>ДРУК!$F$13</c:f>
              <c:strCache>
                <c:ptCount val="1"/>
                <c:pt idx="0">
                  <c:v>Видатки у IV кварталі, грн.</c:v>
                </c:pt>
              </c:strCache>
            </c:strRef>
          </c:tx>
          <c:dPt>
            <c:idx val="0"/>
            <c:spPr>
              <a:solidFill>
                <a:srgbClr val="5B9BD5"/>
              </a:solidFill>
              <a:ln w="25400">
                <a:solidFill>
                  <a:srgbClr val="FFFFFF"/>
                </a:solidFill>
                <a:prstDash val="solid"/>
              </a:ln>
            </c:spPr>
          </c:dPt>
          <c:dPt>
            <c:idx val="1"/>
            <c:spPr>
              <a:solidFill>
                <a:srgbClr val="ED7D31"/>
              </a:solidFill>
              <a:ln w="25400">
                <a:solidFill>
                  <a:srgbClr val="FFFFFF"/>
                </a:solidFill>
                <a:prstDash val="solid"/>
              </a:ln>
            </c:spPr>
          </c:dPt>
          <c:dPt>
            <c:idx val="2"/>
            <c:spPr>
              <a:solidFill>
                <a:srgbClr val="A5A5A5"/>
              </a:solidFill>
              <a:ln w="25400">
                <a:solidFill>
                  <a:srgbClr val="FFFFFF"/>
                </a:solidFill>
                <a:prstDash val="solid"/>
              </a:ln>
            </c:spPr>
          </c:dPt>
          <c:dPt>
            <c:idx val="3"/>
            <c:spPr>
              <a:solidFill>
                <a:srgbClr val="FFC000"/>
              </a:solidFill>
              <a:ln w="25400">
                <a:solidFill>
                  <a:srgbClr val="FFFFFF"/>
                </a:solidFill>
                <a:prstDash val="solid"/>
              </a:ln>
            </c:spPr>
          </c:dPt>
          <c:dPt>
            <c:idx val="4"/>
            <c:spPr>
              <a:solidFill>
                <a:srgbClr val="4472C4"/>
              </a:solidFill>
              <a:ln w="25400">
                <a:solidFill>
                  <a:srgbClr val="FFFFFF"/>
                </a:solidFill>
                <a:prstDash val="solid"/>
              </a:ln>
            </c:spPr>
          </c:dPt>
          <c:dPt>
            <c:idx val="5"/>
            <c:spPr>
              <a:solidFill>
                <a:srgbClr val="70AD47"/>
              </a:solidFill>
              <a:ln w="25400">
                <a:solidFill>
                  <a:srgbClr val="FFFFFF"/>
                </a:solidFill>
                <a:prstDash val="solid"/>
              </a:ln>
            </c:spPr>
          </c:dPt>
          <c:dPt>
            <c:idx val="6"/>
            <c:spPr>
              <a:solidFill>
                <a:schemeClr val="accent1">
                  <a:lumMod val="60000"/>
                </a:schemeClr>
              </a:solidFill>
              <a:ln w="25400">
                <a:solidFill>
                  <a:schemeClr val="lt1"/>
                </a:solidFill>
              </a:ln>
              <a:effectLst/>
              <a:sp3d contourW="25400">
                <a:contourClr>
                  <a:schemeClr val="lt1"/>
                </a:contourClr>
              </a:sp3d>
            </c:spPr>
          </c:dPt>
          <c:dLbls>
            <c:spPr>
              <a:noFill/>
              <a:ln w="25400">
                <a:noFill/>
              </a:ln>
            </c:spPr>
            <c:txPr>
              <a:bodyPr rot="0" spcFirstLastPara="1" vertOverflow="ellipsis" vert="horz" wrap="square" lIns="38100" tIns="19050" rIns="38100" bIns="19050" anchor="ctr" anchorCtr="1">
                <a:spAutoFit/>
              </a:bodyPr>
              <a:lstStyle/>
              <a:p>
                <a:pPr>
                  <a:defRPr lang="uk-UA" sz="900" b="0" i="0" u="none" strike="noStrike" kern="1200" baseline="0">
                    <a:solidFill>
                      <a:sysClr val="windowText" lastClr="000000"/>
                    </a:solidFill>
                    <a:latin typeface="+mn-lt"/>
                    <a:ea typeface="+mn-ea"/>
                    <a:cs typeface="+mn-cs"/>
                  </a:defRPr>
                </a:pPr>
                <a:endParaRPr lang="en-US"/>
              </a:p>
            </c:txPr>
            <c:showVal val="1"/>
            <c:showLeaderLines val="1"/>
            <c:leaderLines>
              <c:spPr>
                <a:ln w="9525" cap="flat" cmpd="sng" algn="ctr">
                  <a:solidFill>
                    <a:schemeClr val="tx1">
                      <a:lumMod val="35000"/>
                      <a:lumOff val="65000"/>
                    </a:schemeClr>
                  </a:solidFill>
                  <a:round/>
                </a:ln>
                <a:effectLst/>
              </c:spPr>
            </c:leaderLines>
          </c:dLbls>
          <c:cat>
            <c:strRef>
              <c:f>ДРУК!$B$14:$B$20</c:f>
              <c:strCache>
                <c:ptCount val="7"/>
                <c:pt idx="0">
                  <c:v>Заробітна плата, грн.</c:v>
                </c:pt>
                <c:pt idx="1">
                  <c:v>Нарахування на оплату праці, грн.</c:v>
                </c:pt>
                <c:pt idx="2">
                  <c:v>Витрати на канцтовари, офісне приладдя та устаткування </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ДРУК!$F$14:$F$20</c:f>
              <c:numCache>
                <c:formatCode>#,##0</c:formatCode>
                <c:ptCount val="7"/>
                <c:pt idx="0">
                  <c:v>6207420</c:v>
                </c:pt>
                <c:pt idx="1">
                  <c:v>1350944.4</c:v>
                </c:pt>
                <c:pt idx="2">
                  <c:v>0</c:v>
                </c:pt>
                <c:pt idx="3">
                  <c:v>668304.41260399995</c:v>
                </c:pt>
                <c:pt idx="4">
                  <c:v>20000</c:v>
                </c:pt>
                <c:pt idx="5">
                  <c:v>33300</c:v>
                </c:pt>
                <c:pt idx="6">
                  <c:v>390000</c:v>
                </c:pt>
              </c:numCache>
            </c:numRef>
          </c:val>
        </c:ser>
      </c:pie3DChart>
      <c:spPr>
        <a:noFill/>
        <a:ln w="25400">
          <a:noFill/>
        </a:ln>
      </c:spPr>
    </c:plotArea>
    <c:legend>
      <c:legendPos val="r"/>
      <c:layout>
        <c:manualLayout>
          <c:xMode val="edge"/>
          <c:yMode val="edge"/>
          <c:x val="0.26267320509493369"/>
          <c:y val="0.61805695271121042"/>
          <c:w val="0.47311898929379875"/>
          <c:h val="0.36111192742677461"/>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20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manualLayout>
          <c:layoutTarget val="inner"/>
          <c:xMode val="edge"/>
          <c:yMode val="edge"/>
          <c:x val="6.4406940291565032E-2"/>
          <c:y val="0.15716808582282094"/>
          <c:w val="0.91229789568932862"/>
          <c:h val="0.61380723556286254"/>
        </c:manualLayout>
      </c:layout>
      <c:pie3DChart>
        <c:varyColors val="1"/>
        <c:ser>
          <c:idx val="0"/>
          <c:order val="0"/>
          <c:tx>
            <c:strRef>
              <c:f>ДРУК!$G$13</c:f>
              <c:strCache>
                <c:ptCount val="1"/>
                <c:pt idx="0">
                  <c:v>Всього річні ВИДАТКИ надавача ПМД, грн.</c:v>
                </c:pt>
              </c:strCache>
            </c:strRef>
          </c:tx>
          <c:dPt>
            <c:idx val="0"/>
            <c:spPr>
              <a:solidFill>
                <a:srgbClr val="5B9BD5"/>
              </a:solidFill>
              <a:ln w="25400">
                <a:solidFill>
                  <a:srgbClr val="FFFFFF"/>
                </a:solidFill>
                <a:prstDash val="solid"/>
              </a:ln>
            </c:spPr>
          </c:dPt>
          <c:dPt>
            <c:idx val="1"/>
            <c:spPr>
              <a:solidFill>
                <a:srgbClr val="ED7D31"/>
              </a:solidFill>
              <a:ln w="25400">
                <a:solidFill>
                  <a:srgbClr val="FFFFFF"/>
                </a:solidFill>
                <a:prstDash val="solid"/>
              </a:ln>
            </c:spPr>
          </c:dPt>
          <c:dPt>
            <c:idx val="2"/>
            <c:spPr>
              <a:solidFill>
                <a:srgbClr val="A5A5A5"/>
              </a:solidFill>
              <a:ln w="25400">
                <a:solidFill>
                  <a:srgbClr val="FFFFFF"/>
                </a:solidFill>
                <a:prstDash val="solid"/>
              </a:ln>
            </c:spPr>
          </c:dPt>
          <c:dPt>
            <c:idx val="3"/>
            <c:spPr>
              <a:solidFill>
                <a:srgbClr val="FFC000"/>
              </a:solidFill>
              <a:ln w="25400">
                <a:solidFill>
                  <a:srgbClr val="FFFFFF"/>
                </a:solidFill>
                <a:prstDash val="solid"/>
              </a:ln>
            </c:spPr>
          </c:dPt>
          <c:dPt>
            <c:idx val="4"/>
            <c:spPr>
              <a:solidFill>
                <a:srgbClr val="4472C4"/>
              </a:solidFill>
              <a:ln w="25400">
                <a:solidFill>
                  <a:srgbClr val="FFFFFF"/>
                </a:solidFill>
                <a:prstDash val="solid"/>
              </a:ln>
            </c:spPr>
          </c:dPt>
          <c:dPt>
            <c:idx val="5"/>
            <c:spPr>
              <a:solidFill>
                <a:srgbClr val="70AD47"/>
              </a:solidFill>
              <a:ln w="25400">
                <a:solidFill>
                  <a:srgbClr val="FFFFFF"/>
                </a:solidFill>
                <a:prstDash val="solid"/>
              </a:ln>
            </c:spPr>
          </c:dPt>
          <c:dPt>
            <c:idx val="6"/>
            <c:spPr>
              <a:solidFill>
                <a:schemeClr val="accent1">
                  <a:lumMod val="60000"/>
                </a:schemeClr>
              </a:solidFill>
              <a:ln w="25400">
                <a:solidFill>
                  <a:schemeClr val="lt1"/>
                </a:solidFill>
              </a:ln>
              <a:effectLst/>
              <a:sp3d contourW="25400">
                <a:contourClr>
                  <a:schemeClr val="lt1"/>
                </a:contourClr>
              </a:sp3d>
            </c:spPr>
          </c:dPt>
          <c:dLbls>
            <c:spPr>
              <a:noFill/>
              <a:ln w="25400">
                <a:noFill/>
              </a:ln>
            </c:spPr>
            <c:txPr>
              <a:bodyPr rot="0" spcFirstLastPara="1" vertOverflow="ellipsis" vert="horz" wrap="square" lIns="38100" tIns="19050" rIns="38100" bIns="19050" anchor="ctr" anchorCtr="1">
                <a:spAutoFit/>
              </a:bodyPr>
              <a:lstStyle/>
              <a:p>
                <a:pPr>
                  <a:defRPr lang="uk-UA" sz="1100" b="1" i="0" u="none" strike="noStrike" kern="1200" baseline="0">
                    <a:solidFill>
                      <a:sysClr val="windowText" lastClr="000000"/>
                    </a:solidFill>
                    <a:latin typeface="+mn-lt"/>
                    <a:ea typeface="+mn-ea"/>
                    <a:cs typeface="+mn-cs"/>
                  </a:defRPr>
                </a:pPr>
                <a:endParaRPr lang="en-US"/>
              </a:p>
            </c:txPr>
            <c:showVal val="1"/>
            <c:showLeaderLines val="1"/>
            <c:leaderLines>
              <c:spPr>
                <a:ln w="9525" cap="flat" cmpd="sng" algn="ctr">
                  <a:solidFill>
                    <a:schemeClr val="tx1">
                      <a:lumMod val="35000"/>
                      <a:lumOff val="65000"/>
                    </a:schemeClr>
                  </a:solidFill>
                  <a:round/>
                </a:ln>
                <a:effectLst/>
              </c:spPr>
            </c:leaderLines>
          </c:dLbls>
          <c:cat>
            <c:strRef>
              <c:f>ДРУК!$B$14:$B$20</c:f>
              <c:strCache>
                <c:ptCount val="7"/>
                <c:pt idx="0">
                  <c:v>Заробітна плата, грн.</c:v>
                </c:pt>
                <c:pt idx="1">
                  <c:v>Нарахування на оплату праці, грн.</c:v>
                </c:pt>
                <c:pt idx="2">
                  <c:v>Витрати на канцтовари, офісне приладдя та устаткування </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ДРУК!$G$14:$G$20</c:f>
              <c:numCache>
                <c:formatCode>#,##0</c:formatCode>
                <c:ptCount val="7"/>
                <c:pt idx="0">
                  <c:v>24829680</c:v>
                </c:pt>
                <c:pt idx="1">
                  <c:v>5403777.5999999996</c:v>
                </c:pt>
                <c:pt idx="2">
                  <c:v>0</c:v>
                </c:pt>
                <c:pt idx="3">
                  <c:v>2052757.5908879999</c:v>
                </c:pt>
                <c:pt idx="4">
                  <c:v>140000</c:v>
                </c:pt>
                <c:pt idx="5">
                  <c:v>133200</c:v>
                </c:pt>
                <c:pt idx="6">
                  <c:v>1520000</c:v>
                </c:pt>
              </c:numCache>
            </c:numRef>
          </c:val>
        </c:ser>
      </c:pie3DChart>
      <c:spPr>
        <a:noFill/>
        <a:ln w="25400">
          <a:noFill/>
        </a:ln>
      </c:spPr>
    </c:plotArea>
    <c:legend>
      <c:legendPos val="r"/>
      <c:layout>
        <c:manualLayout>
          <c:xMode val="edge"/>
          <c:yMode val="edge"/>
          <c:x val="0.13555299190010026"/>
          <c:y val="0.82740285410195702"/>
          <c:w val="0.73365084212598131"/>
          <c:h val="0.15658376593757467"/>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4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manualLayout>
          <c:layoutTarget val="inner"/>
          <c:xMode val="edge"/>
          <c:yMode val="edge"/>
          <c:x val="4.7722652464515403E-2"/>
          <c:y val="0.14345744700618895"/>
          <c:w val="0.91427861415993061"/>
          <c:h val="0.63205568789887834"/>
        </c:manualLayout>
      </c:layout>
      <c:pie3DChart>
        <c:varyColors val="1"/>
        <c:ser>
          <c:idx val="2"/>
          <c:order val="0"/>
          <c:tx>
            <c:strRef>
              <c:f>ДРУК!$C$8</c:f>
              <c:strCache>
                <c:ptCount val="1"/>
                <c:pt idx="0">
                  <c:v>Доходи у І кварталі, грн.</c:v>
                </c:pt>
              </c:strCache>
            </c:strRef>
          </c:tx>
          <c:dPt>
            <c:idx val="0"/>
            <c:spPr>
              <a:solidFill>
                <a:srgbClr val="00B050"/>
              </a:solidFill>
              <a:ln w="25400">
                <a:solidFill>
                  <a:srgbClr val="FFFFFF"/>
                </a:solidFill>
                <a:prstDash val="solid"/>
              </a:ln>
            </c:spPr>
          </c:dPt>
          <c:dPt>
            <c:idx val="1"/>
            <c:spPr>
              <a:solidFill>
                <a:schemeClr val="bg1">
                  <a:lumMod val="65000"/>
                </a:schemeClr>
              </a:solidFill>
              <a:ln w="25400">
                <a:solidFill>
                  <a:schemeClr val="lt1"/>
                </a:solidFill>
              </a:ln>
              <a:effectLst/>
              <a:sp3d contourW="25400">
                <a:contourClr>
                  <a:schemeClr val="lt1"/>
                </a:contourClr>
              </a:sp3d>
            </c:spPr>
          </c:dPt>
          <c:cat>
            <c:strRef>
              <c:f>ДРУК!$B$9:$B$10</c:f>
              <c:strCache>
                <c:ptCount val="2"/>
                <c:pt idx="0">
                  <c:v>Надходження надавача ПМД від медичного обслуговування населення за програмою медичних гарантій, грн. В.т.числі ПМД</c:v>
                </c:pt>
                <c:pt idx="1">
                  <c:v>Інші надходження/доходи надавача ПМД, грн.</c:v>
                </c:pt>
              </c:strCache>
            </c:strRef>
          </c:cat>
          <c:val>
            <c:numRef>
              <c:f>ДРУК!$C$9:$C$10</c:f>
              <c:numCache>
                <c:formatCode>#,##0</c:formatCode>
                <c:ptCount val="2"/>
                <c:pt idx="0">
                  <c:v>8762424.3874162696</c:v>
                </c:pt>
                <c:pt idx="1">
                  <c:v>1614088.3300439999</c:v>
                </c:pt>
              </c:numCache>
            </c:numRef>
          </c:val>
        </c:ser>
      </c:pie3DChart>
      <c:spPr>
        <a:noFill/>
        <a:ln w="25400">
          <a:noFill/>
        </a:ln>
      </c:spPr>
    </c:plotArea>
    <c:legend>
      <c:legendPos val="r"/>
      <c:layout>
        <c:manualLayout>
          <c:xMode val="edge"/>
          <c:yMode val="edge"/>
          <c:x val="8.1833060556464818E-2"/>
          <c:y val="0.84172858992943911"/>
          <c:w val="0.82978723404255317"/>
          <c:h val="0.13669096759537899"/>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4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manualLayout>
          <c:layoutTarget val="inner"/>
          <c:xMode val="edge"/>
          <c:yMode val="edge"/>
          <c:x val="0.12041218015514646"/>
          <c:y val="0.18813049176030383"/>
          <c:w val="0.71286326270695788"/>
          <c:h val="0.49731897161325639"/>
        </c:manualLayout>
      </c:layout>
      <c:pie3DChart>
        <c:varyColors val="1"/>
        <c:ser>
          <c:idx val="0"/>
          <c:order val="0"/>
          <c:tx>
            <c:strRef>
              <c:f>ДРУК!$D$8</c:f>
              <c:strCache>
                <c:ptCount val="1"/>
                <c:pt idx="0">
                  <c:v>Доходи у ІІ кварталі, грн.</c:v>
                </c:pt>
              </c:strCache>
            </c:strRef>
          </c:tx>
          <c:spPr>
            <a:solidFill>
              <a:srgbClr val="00B050"/>
            </a:solidFill>
          </c:spPr>
          <c:dPt>
            <c:idx val="0"/>
            <c:explosion val="1"/>
            <c:spPr>
              <a:solidFill>
                <a:srgbClr val="00B050"/>
              </a:solidFill>
              <a:ln w="25400">
                <a:solidFill>
                  <a:srgbClr val="FFFFFF"/>
                </a:solidFill>
                <a:prstDash val="solid"/>
              </a:ln>
            </c:spPr>
          </c:dPt>
          <c:dPt>
            <c:idx val="1"/>
            <c:spPr>
              <a:solidFill>
                <a:schemeClr val="bg1">
                  <a:lumMod val="65000"/>
                </a:schemeClr>
              </a:solidFill>
              <a:ln w="25400">
                <a:solidFill>
                  <a:schemeClr val="lt1"/>
                </a:solidFill>
              </a:ln>
              <a:effectLst/>
              <a:sp3d contourW="25400">
                <a:contourClr>
                  <a:schemeClr val="lt1"/>
                </a:contourClr>
              </a:sp3d>
            </c:spPr>
          </c:dPt>
          <c:dLbls>
            <c:dLbl>
              <c:idx val="0"/>
              <c:layout>
                <c:manualLayout>
                  <c:x val="0.10251955740683517"/>
                  <c:y val="-7.9794606220210409E-2"/>
                </c:manualLayout>
              </c:layout>
              <c:dLblPos val="bestFit"/>
              <c:showVal val="1"/>
            </c:dLbl>
            <c:spPr>
              <a:noFill/>
              <a:ln w="25400">
                <a:noFill/>
              </a:ln>
            </c:spPr>
            <c:txPr>
              <a:bodyPr rot="0" spcFirstLastPara="1" vertOverflow="ellipsis" vert="horz" wrap="square" lIns="38100" tIns="19050" rIns="38100" bIns="19050" anchor="ctr" anchorCtr="1">
                <a:spAutoFit/>
              </a:bodyPr>
              <a:lstStyle/>
              <a:p>
                <a:pPr>
                  <a:defRPr lang="uk-UA" sz="1400" b="1" i="0" u="none" strike="noStrike" kern="1200" baseline="0">
                    <a:solidFill>
                      <a:sysClr val="windowText" lastClr="000000"/>
                    </a:solidFill>
                    <a:latin typeface="+mn-lt"/>
                    <a:ea typeface="+mn-ea"/>
                    <a:cs typeface="+mn-cs"/>
                  </a:defRPr>
                </a:pPr>
                <a:endParaRPr lang="en-US"/>
              </a:p>
            </c:txPr>
            <c:showVal val="1"/>
            <c:showLeaderLines val="1"/>
            <c:leaderLines>
              <c:spPr>
                <a:ln w="9525" cap="flat" cmpd="sng" algn="ctr">
                  <a:solidFill>
                    <a:schemeClr val="tx1">
                      <a:lumMod val="35000"/>
                      <a:lumOff val="65000"/>
                    </a:schemeClr>
                  </a:solidFill>
                  <a:round/>
                </a:ln>
                <a:effectLst/>
              </c:spPr>
            </c:leaderLines>
          </c:dLbls>
          <c:cat>
            <c:strRef>
              <c:f>ДРУК!$B$9:$B$10</c:f>
              <c:strCache>
                <c:ptCount val="2"/>
                <c:pt idx="0">
                  <c:v>Надходження надавача ПМД від медичного обслуговування населення за програмою медичних гарантій, грн. В.т.числі ПМД</c:v>
                </c:pt>
                <c:pt idx="1">
                  <c:v>Інші надходження/доходи надавача ПМД, грн.</c:v>
                </c:pt>
              </c:strCache>
            </c:strRef>
          </c:cat>
          <c:val>
            <c:numRef>
              <c:f>ДРУК!$D$9:$D$10</c:f>
              <c:numCache>
                <c:formatCode>#,##0</c:formatCode>
                <c:ptCount val="2"/>
                <c:pt idx="0">
                  <c:v>8762424.3874162696</c:v>
                </c:pt>
                <c:pt idx="1">
                  <c:v>1228769.9168719999</c:v>
                </c:pt>
              </c:numCache>
            </c:numRef>
          </c:val>
        </c:ser>
      </c:pie3DChart>
      <c:spPr>
        <a:noFill/>
        <a:ln w="25400">
          <a:noFill/>
        </a:ln>
      </c:spPr>
    </c:plotArea>
    <c:legend>
      <c:legendPos val="r"/>
      <c:layout>
        <c:manualLayout>
          <c:xMode val="edge"/>
          <c:yMode val="edge"/>
          <c:x val="9.8566308243727599E-2"/>
          <c:y val="0.81755196304849886"/>
          <c:w val="0.89426523297491034"/>
          <c:h val="0.17551963048498845"/>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4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manualLayout>
          <c:layoutTarget val="inner"/>
          <c:xMode val="edge"/>
          <c:yMode val="edge"/>
          <c:x val="0.18360670434706738"/>
          <c:y val="0.16829268292682928"/>
          <c:w val="0.62950870061851671"/>
          <c:h val="0.58536585365853655"/>
        </c:manualLayout>
      </c:layout>
      <c:pie3DChart>
        <c:varyColors val="1"/>
        <c:ser>
          <c:idx val="0"/>
          <c:order val="0"/>
          <c:tx>
            <c:strRef>
              <c:f>ДРУК!$E$8</c:f>
              <c:strCache>
                <c:ptCount val="1"/>
                <c:pt idx="0">
                  <c:v>Доходи у ІІІ кварталі, грн.</c:v>
                </c:pt>
              </c:strCache>
            </c:strRef>
          </c:tx>
          <c:dPt>
            <c:idx val="0"/>
            <c:spPr>
              <a:solidFill>
                <a:srgbClr val="00B050"/>
              </a:solidFill>
              <a:ln w="25400">
                <a:solidFill>
                  <a:srgbClr val="FFFFFF"/>
                </a:solidFill>
                <a:prstDash val="solid"/>
              </a:ln>
            </c:spPr>
          </c:dPt>
          <c:dPt>
            <c:idx val="1"/>
            <c:spPr>
              <a:solidFill>
                <a:srgbClr val="ED7D31"/>
              </a:solidFill>
              <a:ln w="25400">
                <a:solidFill>
                  <a:srgbClr val="FFFFFF"/>
                </a:solidFill>
                <a:prstDash val="solid"/>
              </a:ln>
            </c:spPr>
          </c:dPt>
          <c:dLbls>
            <c:dLbl>
              <c:idx val="1"/>
              <c:layout>
                <c:manualLayout>
                  <c:x val="0.17556367251846342"/>
                  <c:y val="1.3435171233765437E-2"/>
                </c:manualLayout>
              </c:layout>
              <c:dLblPos val="bestFit"/>
              <c:showVal val="1"/>
            </c:dLbl>
            <c:spPr>
              <a:noFill/>
              <a:ln w="25400">
                <a:noFill/>
              </a:ln>
            </c:spPr>
            <c:txPr>
              <a:bodyPr rot="0" spcFirstLastPara="1" vertOverflow="ellipsis" vert="horz" wrap="square" lIns="38100" tIns="19050" rIns="38100" bIns="19050" anchor="ctr" anchorCtr="1">
                <a:spAutoFit/>
              </a:bodyPr>
              <a:lstStyle/>
              <a:p>
                <a:pPr>
                  <a:defRPr lang="uk-UA" sz="1400" b="1" i="0" u="none" strike="noStrike" kern="1200" baseline="0">
                    <a:solidFill>
                      <a:sysClr val="windowText" lastClr="000000"/>
                    </a:solidFill>
                    <a:latin typeface="+mn-lt"/>
                    <a:ea typeface="+mn-ea"/>
                    <a:cs typeface="+mn-cs"/>
                  </a:defRPr>
                </a:pPr>
                <a:endParaRPr lang="en-US"/>
              </a:p>
            </c:txPr>
            <c:showVal val="1"/>
            <c:showLeaderLines val="1"/>
            <c:leaderLines>
              <c:spPr>
                <a:ln w="9525" cap="flat" cmpd="sng" algn="ctr">
                  <a:solidFill>
                    <a:schemeClr val="tx1">
                      <a:lumMod val="35000"/>
                      <a:lumOff val="65000"/>
                    </a:schemeClr>
                  </a:solidFill>
                  <a:round/>
                </a:ln>
                <a:effectLst/>
              </c:spPr>
            </c:leaderLines>
          </c:dLbls>
          <c:cat>
            <c:strRef>
              <c:f>ДРУК!$B$9:$B$10</c:f>
              <c:strCache>
                <c:ptCount val="2"/>
                <c:pt idx="0">
                  <c:v>Надходження надавача ПМД від медичного обслуговування населення за програмою медичних гарантій, грн. В.т.числі ПМД</c:v>
                </c:pt>
                <c:pt idx="1">
                  <c:v>Інші надходження/доходи надавача ПМД, грн.</c:v>
                </c:pt>
              </c:strCache>
            </c:strRef>
          </c:cat>
          <c:val>
            <c:numRef>
              <c:f>ДРУК!$E$9:$E$10</c:f>
              <c:numCache>
                <c:formatCode>#,##0</c:formatCode>
                <c:ptCount val="2"/>
                <c:pt idx="0">
                  <c:v>8762424.3874162696</c:v>
                </c:pt>
                <c:pt idx="1">
                  <c:v>841895.96136800002</c:v>
                </c:pt>
              </c:numCache>
            </c:numRef>
          </c:val>
        </c:ser>
      </c:pie3DChart>
      <c:spPr>
        <a:noFill/>
        <a:ln w="25400">
          <a:noFill/>
        </a:ln>
      </c:spPr>
    </c:plotArea>
    <c:legend>
      <c:legendPos val="r"/>
      <c:layout>
        <c:manualLayout>
          <c:xMode val="edge"/>
          <c:yMode val="edge"/>
          <c:x val="8.3606624300896756E-2"/>
          <c:y val="0.83902439024390241"/>
          <c:w val="0.83114820628538544"/>
          <c:h val="0.13902439024390245"/>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4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pie3DChart>
        <c:varyColors val="1"/>
        <c:ser>
          <c:idx val="0"/>
          <c:order val="0"/>
          <c:tx>
            <c:strRef>
              <c:f>ДРУК!$F$8</c:f>
              <c:strCache>
                <c:ptCount val="1"/>
                <c:pt idx="0">
                  <c:v>Доходи у IV кварталі, грн.</c:v>
                </c:pt>
              </c:strCache>
            </c:strRef>
          </c:tx>
          <c:dPt>
            <c:idx val="0"/>
            <c:spPr>
              <a:solidFill>
                <a:srgbClr val="00B050"/>
              </a:solidFill>
              <a:ln w="25400">
                <a:solidFill>
                  <a:srgbClr val="FFFFFF"/>
                </a:solidFill>
                <a:prstDash val="solid"/>
              </a:ln>
            </c:spPr>
          </c:dPt>
          <c:dPt>
            <c:idx val="1"/>
            <c:spPr>
              <a:solidFill>
                <a:srgbClr val="ED7D31"/>
              </a:solidFill>
              <a:ln w="25400">
                <a:solidFill>
                  <a:srgbClr val="FFFFFF"/>
                </a:solidFill>
                <a:prstDash val="solid"/>
              </a:ln>
            </c:spPr>
          </c:dPt>
          <c:dLbls>
            <c:dLbl>
              <c:idx val="1"/>
              <c:layout>
                <c:manualLayout>
                  <c:x val="0.12184237614119627"/>
                  <c:y val="-1.8051347642458401E-2"/>
                </c:manualLayout>
              </c:layout>
              <c:dLblPos val="bestFit"/>
              <c:showVal val="1"/>
            </c:dLbl>
            <c:spPr>
              <a:noFill/>
              <a:ln w="25400">
                <a:noFill/>
              </a:ln>
            </c:spPr>
            <c:txPr>
              <a:bodyPr rot="0" spcFirstLastPara="1" vertOverflow="ellipsis" vert="horz" wrap="square" lIns="38100" tIns="19050" rIns="38100" bIns="19050" anchor="ctr" anchorCtr="1">
                <a:spAutoFit/>
              </a:bodyPr>
              <a:lstStyle/>
              <a:p>
                <a:pPr>
                  <a:defRPr lang="uk-UA" sz="1400" b="1" i="0" u="none" strike="noStrike" kern="1200" baseline="0">
                    <a:solidFill>
                      <a:sysClr val="windowText" lastClr="000000"/>
                    </a:solidFill>
                    <a:latin typeface="+mn-lt"/>
                    <a:ea typeface="+mn-ea"/>
                    <a:cs typeface="+mn-cs"/>
                  </a:defRPr>
                </a:pPr>
                <a:endParaRPr lang="en-US"/>
              </a:p>
            </c:txPr>
            <c:showVal val="1"/>
            <c:showLeaderLines val="1"/>
            <c:leaderLines>
              <c:spPr>
                <a:ln w="9525" cap="flat" cmpd="sng" algn="ctr">
                  <a:solidFill>
                    <a:schemeClr val="tx1">
                      <a:lumMod val="35000"/>
                      <a:lumOff val="65000"/>
                    </a:schemeClr>
                  </a:solidFill>
                  <a:round/>
                </a:ln>
                <a:effectLst/>
              </c:spPr>
            </c:leaderLines>
          </c:dLbls>
          <c:cat>
            <c:strRef>
              <c:f>ДРУК!$B$9:$B$10</c:f>
              <c:strCache>
                <c:ptCount val="2"/>
                <c:pt idx="0">
                  <c:v>Надходження надавача ПМД від медичного обслуговування населення за програмою медичних гарантій, грн. В.т.числі ПМД</c:v>
                </c:pt>
                <c:pt idx="1">
                  <c:v>Інші надходження/доходи надавача ПМД, грн.</c:v>
                </c:pt>
              </c:strCache>
            </c:strRef>
          </c:cat>
          <c:val>
            <c:numRef>
              <c:f>ДРУК!$F$9:$F$10</c:f>
              <c:numCache>
                <c:formatCode>#,##0</c:formatCode>
                <c:ptCount val="2"/>
                <c:pt idx="0">
                  <c:v>8762424.3874162696</c:v>
                </c:pt>
                <c:pt idx="1">
                  <c:v>1456816.8926039999</c:v>
                </c:pt>
              </c:numCache>
            </c:numRef>
          </c:val>
        </c:ser>
      </c:pie3DChart>
      <c:spPr>
        <a:noFill/>
        <a:ln w="25400">
          <a:noFill/>
        </a:ln>
      </c:spPr>
    </c:plotArea>
    <c:legend>
      <c:legendPos val="r"/>
      <c:layout>
        <c:manualLayout>
          <c:xMode val="edge"/>
          <c:yMode val="edge"/>
          <c:x val="9.464285714285714E-2"/>
          <c:y val="0.84058169294821139"/>
          <c:w val="0.80892857142857144"/>
          <c:h val="0.13768148418979326"/>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6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manualLayout>
          <c:layoutTarget val="inner"/>
          <c:xMode val="edge"/>
          <c:yMode val="edge"/>
          <c:x val="0.19274104394472824"/>
          <c:y val="0.15429687500000003"/>
          <c:w val="0.65331704505940358"/>
          <c:h val="0.63671875000000011"/>
        </c:manualLayout>
      </c:layout>
      <c:pie3DChart>
        <c:varyColors val="1"/>
        <c:ser>
          <c:idx val="0"/>
          <c:order val="0"/>
          <c:tx>
            <c:strRef>
              <c:f>ДРУК!$G$8</c:f>
              <c:strCache>
                <c:ptCount val="1"/>
                <c:pt idx="0">
                  <c:v>Всього річні ДОХОДИ надавача ПМД, грн.</c:v>
                </c:pt>
              </c:strCache>
            </c:strRef>
          </c:tx>
          <c:dPt>
            <c:idx val="0"/>
            <c:spPr>
              <a:solidFill>
                <a:srgbClr val="00B050"/>
              </a:solidFill>
              <a:ln w="25400">
                <a:solidFill>
                  <a:srgbClr val="FFFFFF"/>
                </a:solidFill>
                <a:prstDash val="solid"/>
              </a:ln>
            </c:spPr>
          </c:dPt>
          <c:dPt>
            <c:idx val="1"/>
            <c:spPr>
              <a:solidFill>
                <a:srgbClr val="ED7D31"/>
              </a:solidFill>
              <a:ln w="25400">
                <a:solidFill>
                  <a:srgbClr val="FFFFFF"/>
                </a:solidFill>
                <a:prstDash val="solid"/>
              </a:ln>
            </c:spPr>
          </c:dPt>
          <c:dLbls>
            <c:spPr>
              <a:noFill/>
              <a:ln w="25400">
                <a:noFill/>
              </a:ln>
            </c:spPr>
            <c:txPr>
              <a:bodyPr rot="0" spcFirstLastPara="1" vertOverflow="ellipsis" vert="horz" wrap="square" lIns="38100" tIns="19050" rIns="38100" bIns="19050" anchor="ctr" anchorCtr="1">
                <a:spAutoFit/>
              </a:bodyPr>
              <a:lstStyle/>
              <a:p>
                <a:pPr>
                  <a:defRPr lang="uk-UA" sz="1400" b="1" i="0" u="none" strike="noStrike" kern="1200" baseline="0">
                    <a:solidFill>
                      <a:sysClr val="windowText" lastClr="000000"/>
                    </a:solidFill>
                    <a:latin typeface="+mn-lt"/>
                    <a:ea typeface="+mn-ea"/>
                    <a:cs typeface="+mn-cs"/>
                  </a:defRPr>
                </a:pPr>
                <a:endParaRPr lang="en-US"/>
              </a:p>
            </c:txPr>
            <c:showVal val="1"/>
            <c:showLeaderLines val="1"/>
            <c:leaderLines>
              <c:spPr>
                <a:ln w="9525" cap="flat" cmpd="sng" algn="ctr">
                  <a:solidFill>
                    <a:schemeClr val="tx1">
                      <a:lumMod val="35000"/>
                      <a:lumOff val="65000"/>
                    </a:schemeClr>
                  </a:solidFill>
                  <a:round/>
                </a:ln>
                <a:effectLst/>
              </c:spPr>
            </c:leaderLines>
          </c:dLbls>
          <c:cat>
            <c:strRef>
              <c:f>ДРУК!$B$9:$B$10</c:f>
              <c:strCache>
                <c:ptCount val="2"/>
                <c:pt idx="0">
                  <c:v>Надходження надавача ПМД від медичного обслуговування населення за програмою медичних гарантій, грн. В.т.числі ПМД</c:v>
                </c:pt>
                <c:pt idx="1">
                  <c:v>Інші надходження/доходи надавача ПМД, грн.</c:v>
                </c:pt>
              </c:strCache>
            </c:strRef>
          </c:cat>
          <c:val>
            <c:numRef>
              <c:f>ДРУК!$G$9:$G$10</c:f>
              <c:numCache>
                <c:formatCode>#,##0</c:formatCode>
                <c:ptCount val="2"/>
                <c:pt idx="0">
                  <c:v>35049697.549665079</c:v>
                </c:pt>
                <c:pt idx="1">
                  <c:v>5141571.1008879999</c:v>
                </c:pt>
              </c:numCache>
            </c:numRef>
          </c:val>
        </c:ser>
      </c:pie3DChart>
      <c:spPr>
        <a:noFill/>
        <a:ln w="25400">
          <a:noFill/>
        </a:ln>
      </c:spPr>
    </c:plotArea>
    <c:legend>
      <c:legendPos val="r"/>
      <c:layout>
        <c:manualLayout>
          <c:xMode val="edge"/>
          <c:yMode val="edge"/>
          <c:x val="6.5081391461856292E-2"/>
          <c:y val="0.861328125"/>
          <c:w val="0.86733469775127703"/>
          <c:h val="0.12109375"/>
        </c:manualLayout>
      </c:layout>
      <c:spPr>
        <a:noFill/>
        <a:ln w="25400">
          <a:noFill/>
        </a:ln>
      </c:spPr>
      <c:txPr>
        <a:bodyPr rot="0" spcFirstLastPara="1" vertOverflow="ellipsis" vert="horz" wrap="square" anchor="ctr" anchorCtr="1"/>
        <a:lstStyle/>
        <a:p>
          <a:pPr>
            <a:defRPr lang="uk-UA" sz="10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lang="uk-UA" sz="2400" b="1" i="0" u="none" strike="noStrike" kern="1200" spc="0" baseline="0">
                <a:solidFill>
                  <a:sysClr val="windowText" lastClr="000000"/>
                </a:solidFill>
                <a:latin typeface="+mn-lt"/>
                <a:ea typeface="+mn-ea"/>
                <a:cs typeface="+mn-cs"/>
              </a:defRPr>
            </a:pPr>
            <a:r>
              <a:rPr lang="ru-RU" sz="2400" b="1"/>
              <a:t>ВИДАТКИ НАДАВАЧА</a:t>
            </a:r>
          </a:p>
        </c:rich>
      </c:tx>
      <c:spPr>
        <a:noFill/>
        <a:ln w="25400">
          <a:noFill/>
        </a:ln>
      </c:spPr>
    </c:title>
    <c:view3D>
      <c:depthPercent val="100"/>
      <c:rAngAx val="1"/>
    </c:view3D>
    <c:floor>
      <c:spPr>
        <a:noFill/>
        <a:ln w="6350">
          <a:noFill/>
        </a:ln>
      </c:spPr>
    </c:floor>
    <c:sideWall>
      <c:spPr>
        <a:noFill/>
        <a:ln w="25400">
          <a:noFill/>
        </a:ln>
      </c:spPr>
    </c:sideWall>
    <c:backWall>
      <c:spPr>
        <a:noFill/>
        <a:ln w="25400">
          <a:noFill/>
        </a:ln>
      </c:spPr>
    </c:backWall>
    <c:plotArea>
      <c:layout/>
      <c:bar3DChart>
        <c:barDir val="col"/>
        <c:grouping val="clustered"/>
        <c:ser>
          <c:idx val="0"/>
          <c:order val="0"/>
          <c:tx>
            <c:strRef>
              <c:f>ДРУК!$B$14</c:f>
              <c:strCache>
                <c:ptCount val="1"/>
                <c:pt idx="0">
                  <c:v>Заробітна плата, грн.</c:v>
                </c:pt>
              </c:strCache>
            </c:strRef>
          </c:tx>
          <c:spPr>
            <a:solidFill>
              <a:srgbClr val="5B9BD5"/>
            </a:solidFill>
            <a:ln w="25400">
              <a:noFill/>
            </a:ln>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ДРУК!$C$14:$G$14</c:f>
              <c:numCache>
                <c:formatCode>#,##0</c:formatCode>
                <c:ptCount val="5"/>
                <c:pt idx="0">
                  <c:v>6207420</c:v>
                </c:pt>
                <c:pt idx="1">
                  <c:v>6207420</c:v>
                </c:pt>
                <c:pt idx="2">
                  <c:v>6207420</c:v>
                </c:pt>
                <c:pt idx="3">
                  <c:v>6207420</c:v>
                </c:pt>
                <c:pt idx="4">
                  <c:v>24829680</c:v>
                </c:pt>
              </c:numCache>
            </c:numRef>
          </c:val>
        </c:ser>
        <c:ser>
          <c:idx val="1"/>
          <c:order val="1"/>
          <c:tx>
            <c:strRef>
              <c:f>ДРУК!$B$15</c:f>
              <c:strCache>
                <c:ptCount val="1"/>
                <c:pt idx="0">
                  <c:v>Нарахування на оплату праці, грн.</c:v>
                </c:pt>
              </c:strCache>
            </c:strRef>
          </c:tx>
          <c:spPr>
            <a:solidFill>
              <a:srgbClr val="ED7D31"/>
            </a:solidFill>
            <a:ln w="25400">
              <a:noFill/>
            </a:ln>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ДРУК!$C$15:$G$15</c:f>
              <c:numCache>
                <c:formatCode>#,##0</c:formatCode>
                <c:ptCount val="5"/>
                <c:pt idx="0">
                  <c:v>1350944.4</c:v>
                </c:pt>
                <c:pt idx="1">
                  <c:v>1350944.4</c:v>
                </c:pt>
                <c:pt idx="2">
                  <c:v>1350944.4</c:v>
                </c:pt>
                <c:pt idx="3">
                  <c:v>1350944.4</c:v>
                </c:pt>
                <c:pt idx="4">
                  <c:v>5403777.5999999996</c:v>
                </c:pt>
              </c:numCache>
            </c:numRef>
          </c:val>
        </c:ser>
        <c:ser>
          <c:idx val="2"/>
          <c:order val="2"/>
          <c:tx>
            <c:strRef>
              <c:f>ДРУК!$B$16</c:f>
              <c:strCache>
                <c:ptCount val="1"/>
                <c:pt idx="0">
                  <c:v>Витрати на канцтовари, офісне приладдя та устаткування </c:v>
                </c:pt>
              </c:strCache>
            </c:strRef>
          </c:tx>
          <c:spPr>
            <a:solidFill>
              <a:srgbClr val="A5A5A5"/>
            </a:solidFill>
            <a:ln w="25400">
              <a:noFill/>
            </a:ln>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ДРУК!$C$16:$G$16</c:f>
              <c:numCache>
                <c:formatCode>#,##0</c:formatCode>
                <c:ptCount val="5"/>
                <c:pt idx="0">
                  <c:v>0</c:v>
                </c:pt>
                <c:pt idx="1">
                  <c:v>0</c:v>
                </c:pt>
                <c:pt idx="2">
                  <c:v>0</c:v>
                </c:pt>
                <c:pt idx="3">
                  <c:v>0</c:v>
                </c:pt>
                <c:pt idx="4">
                  <c:v>0</c:v>
                </c:pt>
              </c:numCache>
            </c:numRef>
          </c:val>
        </c:ser>
        <c:ser>
          <c:idx val="3"/>
          <c:order val="3"/>
          <c:tx>
            <c:strRef>
              <c:f>ДРУК!$B$17</c:f>
              <c:strCache>
                <c:ptCount val="1"/>
                <c:pt idx="0">
                  <c:v>Оплата комунальних послуг та енергоносіїв, грн.</c:v>
                </c:pt>
              </c:strCache>
            </c:strRef>
          </c:tx>
          <c:spPr>
            <a:solidFill>
              <a:srgbClr val="FFC000"/>
            </a:solidFill>
            <a:ln w="25400">
              <a:noFill/>
            </a:ln>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ДРУК!$C$17:$G$17</c:f>
              <c:numCache>
                <c:formatCode>#,##0</c:formatCode>
                <c:ptCount val="5"/>
                <c:pt idx="0">
                  <c:v>818992.59004399995</c:v>
                </c:pt>
                <c:pt idx="1">
                  <c:v>471494.08687200001</c:v>
                </c:pt>
                <c:pt idx="2">
                  <c:v>93966.501367999997</c:v>
                </c:pt>
                <c:pt idx="3">
                  <c:v>668304.41260399995</c:v>
                </c:pt>
                <c:pt idx="4">
                  <c:v>2052757.5908879999</c:v>
                </c:pt>
              </c:numCache>
            </c:numRef>
          </c:val>
        </c:ser>
        <c:ser>
          <c:idx val="4"/>
          <c:order val="4"/>
          <c:spPr>
            <a:solidFill>
              <a:srgbClr val="4472C4"/>
            </a:solidFill>
            <a:ln w="25400">
              <a:noFill/>
            </a:ln>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Lit>
              <c:formatCode>General</c:formatCode>
              <c:ptCount val="1"/>
              <c:pt idx="0">
                <c:v>0</c:v>
              </c:pt>
            </c:numLit>
          </c:val>
        </c:ser>
        <c:ser>
          <c:idx val="5"/>
          <c:order val="5"/>
          <c:tx>
            <c:strRef>
              <c:f>ДРУК!$B$18</c:f>
              <c:strCache>
                <c:ptCount val="1"/>
                <c:pt idx="0">
                  <c:v>Медикаменти та перев'язувальні матеріали, грн.</c:v>
                </c:pt>
              </c:strCache>
            </c:strRef>
          </c:tx>
          <c:spPr>
            <a:solidFill>
              <a:srgbClr val="70AD47"/>
            </a:solidFill>
            <a:ln w="25400">
              <a:noFill/>
            </a:ln>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ДРУК!$C$18:$G$18</c:f>
              <c:numCache>
                <c:formatCode>#,##0</c:formatCode>
                <c:ptCount val="5"/>
                <c:pt idx="0">
                  <c:v>60000</c:v>
                </c:pt>
                <c:pt idx="1">
                  <c:v>30000</c:v>
                </c:pt>
                <c:pt idx="2">
                  <c:v>30000</c:v>
                </c:pt>
                <c:pt idx="3">
                  <c:v>20000</c:v>
                </c:pt>
                <c:pt idx="4">
                  <c:v>140000</c:v>
                </c:pt>
              </c:numCache>
            </c:numRef>
          </c:val>
        </c:ser>
        <c:ser>
          <c:idx val="6"/>
          <c:order val="6"/>
          <c:tx>
            <c:strRef>
              <c:f>ДРУК!$B$19</c:f>
              <c:strCache>
                <c:ptCount val="1"/>
                <c:pt idx="0">
                  <c:v>Видатки на відрядження, грн.</c:v>
                </c:pt>
              </c:strCache>
            </c:strRef>
          </c:tx>
          <c:spPr>
            <a:solidFill>
              <a:schemeClr val="accent1">
                <a:lumMod val="60000"/>
              </a:schemeClr>
            </a:solidFill>
            <a:ln>
              <a:noFill/>
            </a:ln>
            <a:effectLst/>
            <a:sp3d/>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ДРУК!$C$19:$G$19</c:f>
              <c:numCache>
                <c:formatCode>#,##0</c:formatCode>
                <c:ptCount val="5"/>
                <c:pt idx="0">
                  <c:v>33300</c:v>
                </c:pt>
                <c:pt idx="1">
                  <c:v>33300</c:v>
                </c:pt>
                <c:pt idx="2">
                  <c:v>33300</c:v>
                </c:pt>
                <c:pt idx="3">
                  <c:v>33300</c:v>
                </c:pt>
                <c:pt idx="4">
                  <c:v>133200</c:v>
                </c:pt>
              </c:numCache>
            </c:numRef>
          </c:val>
        </c:ser>
        <c:ser>
          <c:idx val="7"/>
          <c:order val="7"/>
          <c:tx>
            <c:strRef>
              <c:f>ДРУК!$B$20</c:f>
              <c:strCache>
                <c:ptCount val="1"/>
                <c:pt idx="0">
                  <c:v>Капітальні інвестиції, грн.</c:v>
                </c:pt>
              </c:strCache>
            </c:strRef>
          </c:tx>
          <c:spPr>
            <a:solidFill>
              <a:schemeClr val="accent2">
                <a:lumMod val="60000"/>
              </a:schemeClr>
            </a:solidFill>
            <a:ln>
              <a:noFill/>
            </a:ln>
            <a:effectLst/>
            <a:sp3d/>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ДРУК!$C$20:$G$20</c:f>
              <c:numCache>
                <c:formatCode>#,##0</c:formatCode>
                <c:ptCount val="5"/>
                <c:pt idx="0">
                  <c:v>650000</c:v>
                </c:pt>
                <c:pt idx="1">
                  <c:v>290000</c:v>
                </c:pt>
                <c:pt idx="2">
                  <c:v>190000</c:v>
                </c:pt>
                <c:pt idx="3">
                  <c:v>390000</c:v>
                </c:pt>
                <c:pt idx="4">
                  <c:v>1520000</c:v>
                </c:pt>
              </c:numCache>
            </c:numRef>
          </c:val>
        </c:ser>
        <c:ser>
          <c:idx val="8"/>
          <c:order val="8"/>
          <c:spPr>
            <a:solidFill>
              <a:schemeClr val="accent3">
                <a:lumMod val="60000"/>
              </a:schemeClr>
            </a:solidFill>
            <a:ln>
              <a:noFill/>
            </a:ln>
            <a:effectLst/>
            <a:sp3d/>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Lit>
              <c:formatCode>General</c:formatCode>
              <c:ptCount val="1"/>
              <c:pt idx="0">
                <c:v>0</c:v>
              </c:pt>
            </c:numLit>
          </c:val>
        </c:ser>
        <c:ser>
          <c:idx val="9"/>
          <c:order val="9"/>
          <c:spPr>
            <a:solidFill>
              <a:schemeClr val="accent4">
                <a:lumMod val="60000"/>
              </a:schemeClr>
            </a:solidFill>
            <a:ln>
              <a:noFill/>
            </a:ln>
            <a:effectLst/>
            <a:sp3d/>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Lit>
              <c:formatCode>General</c:formatCode>
              <c:ptCount val="1"/>
              <c:pt idx="0">
                <c:v>0</c:v>
              </c:pt>
            </c:numLit>
          </c:val>
        </c:ser>
        <c:ser>
          <c:idx val="10"/>
          <c:order val="10"/>
          <c:tx>
            <c:strRef>
              <c:f>ДРУК!$B$21</c:f>
              <c:strCache>
                <c:ptCount val="1"/>
                <c:pt idx="0">
                  <c:v>ВСЬОГО ВИДАТКІВ надавача ПМД, грн.</c:v>
                </c:pt>
              </c:strCache>
            </c:strRef>
          </c:tx>
          <c:spPr>
            <a:solidFill>
              <a:schemeClr val="accent5">
                <a:lumMod val="60000"/>
              </a:schemeClr>
            </a:solidFill>
            <a:ln>
              <a:noFill/>
            </a:ln>
            <a:effectLst/>
            <a:sp3d/>
          </c:spPr>
          <c:dLbls>
            <c:spPr>
              <a:noFill/>
              <a:ln w="25400">
                <a:noFill/>
              </a:ln>
            </c:spPr>
            <c:txPr>
              <a:bodyPr rot="0" spcFirstLastPara="1" vertOverflow="ellipsis" vert="horz" wrap="square" lIns="38100" tIns="19050" rIns="38100" bIns="19050" anchor="ctr" anchorCtr="1">
                <a:spAutoFit/>
              </a:bodyPr>
              <a:lstStyle/>
              <a:p>
                <a:pPr>
                  <a:defRPr lang="uk-UA" sz="1100" b="1" i="0" u="none" strike="noStrike" kern="1200" baseline="0">
                    <a:solidFill>
                      <a:sysClr val="windowText" lastClr="000000"/>
                    </a:solidFill>
                    <a:latin typeface="+mn-lt"/>
                    <a:ea typeface="+mn-ea"/>
                    <a:cs typeface="+mn-cs"/>
                  </a:defRPr>
                </a:pPr>
                <a:endParaRPr lang="en-US"/>
              </a:p>
            </c:txPr>
            <c:showVal val="1"/>
          </c:dLbls>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ДРУК!$C$21:$G$21</c:f>
              <c:numCache>
                <c:formatCode>#,##0</c:formatCode>
                <c:ptCount val="5"/>
                <c:pt idx="0">
                  <c:v>9830656.9900439996</c:v>
                </c:pt>
                <c:pt idx="1">
                  <c:v>8893158.4868719988</c:v>
                </c:pt>
                <c:pt idx="2">
                  <c:v>8280630.9013679996</c:v>
                </c:pt>
                <c:pt idx="3">
                  <c:v>9249968.8126039989</c:v>
                </c:pt>
                <c:pt idx="4">
                  <c:v>36254415.190888003</c:v>
                </c:pt>
              </c:numCache>
            </c:numRef>
          </c:val>
        </c:ser>
        <c:shape val="box"/>
        <c:axId val="80143104"/>
        <c:axId val="80144640"/>
        <c:axId val="0"/>
      </c:bar3DChart>
      <c:catAx>
        <c:axId val="80143104"/>
        <c:scaling>
          <c:orientation val="minMax"/>
        </c:scaling>
        <c:axPos val="b"/>
        <c:numFmt formatCode="General" sourceLinked="1"/>
        <c:majorTickMark val="none"/>
        <c:tickLblPos val="nextTo"/>
        <c:spPr>
          <a:ln w="6350">
            <a:noFill/>
          </a:ln>
        </c:spPr>
        <c:txPr>
          <a:bodyPr rot="-60000000" spcFirstLastPara="1" vertOverflow="ellipsis" vert="horz" wrap="square" anchor="ctr" anchorCtr="1"/>
          <a:lstStyle/>
          <a:p>
            <a:pPr>
              <a:defRPr lang="uk-UA" sz="1100" b="0" i="0" u="none" strike="noStrike" kern="1200" baseline="0">
                <a:solidFill>
                  <a:sysClr val="windowText" lastClr="000000"/>
                </a:solidFill>
                <a:latin typeface="+mn-lt"/>
                <a:ea typeface="+mn-ea"/>
                <a:cs typeface="+mn-cs"/>
              </a:defRPr>
            </a:pPr>
            <a:endParaRPr lang="en-US"/>
          </a:p>
        </c:txPr>
        <c:crossAx val="80144640"/>
        <c:crosses val="autoZero"/>
        <c:auto val="1"/>
        <c:lblAlgn val="ctr"/>
        <c:lblOffset val="100"/>
      </c:catAx>
      <c:valAx>
        <c:axId val="80144640"/>
        <c:scaling>
          <c:orientation val="minMax"/>
        </c:scaling>
        <c:axPos val="l"/>
        <c:majorGridlines>
          <c:spPr>
            <a:ln w="9525" cap="flat" cmpd="sng" algn="ctr">
              <a:solidFill>
                <a:schemeClr val="tx1">
                  <a:lumMod val="15000"/>
                  <a:lumOff val="85000"/>
                </a:schemeClr>
              </a:solidFill>
              <a:round/>
            </a:ln>
            <a:effectLst/>
          </c:spPr>
        </c:majorGridlines>
        <c:numFmt formatCode="#,##0" sourceLinked="1"/>
        <c:majorTickMark val="none"/>
        <c:tickLblPos val="nextTo"/>
        <c:spPr>
          <a:ln w="6350">
            <a:noFill/>
          </a:ln>
        </c:spPr>
        <c:txPr>
          <a:bodyPr rot="-60000000" spcFirstLastPara="1" vertOverflow="ellipsis" vert="horz" wrap="square" anchor="ctr" anchorCtr="1"/>
          <a:lstStyle/>
          <a:p>
            <a:pPr>
              <a:defRPr lang="uk-UA" sz="1100" b="0" i="0" u="none" strike="noStrike" kern="1200" baseline="0">
                <a:solidFill>
                  <a:sysClr val="windowText" lastClr="000000"/>
                </a:solidFill>
                <a:latin typeface="+mn-lt"/>
                <a:ea typeface="+mn-ea"/>
                <a:cs typeface="+mn-cs"/>
              </a:defRPr>
            </a:pPr>
            <a:endParaRPr lang="en-US"/>
          </a:p>
        </c:txPr>
        <c:crossAx val="80143104"/>
        <c:crosses val="autoZero"/>
        <c:crossBetween val="between"/>
      </c:valAx>
      <c:spPr>
        <a:noFill/>
        <a:ln w="25400">
          <a:noFill/>
        </a:ln>
      </c:spPr>
    </c:plotArea>
    <c:legend>
      <c:legendPos val="r"/>
      <c:layout>
        <c:manualLayout>
          <c:xMode val="edge"/>
          <c:yMode val="edge"/>
          <c:x val="9.5855003116063459E-2"/>
          <c:y val="0.81525423728813562"/>
          <c:w val="0.85233232500499667"/>
          <c:h val="0.16949152542372881"/>
        </c:manualLayout>
      </c:layout>
      <c:spPr>
        <a:noFill/>
        <a:ln w="25400">
          <a:noFill/>
        </a:ln>
      </c:spPr>
      <c:txPr>
        <a:bodyPr rot="0" spcFirstLastPara="1" vertOverflow="ellipsis" vert="horz" wrap="square" anchor="ctr" anchorCtr="1"/>
        <a:lstStyle/>
        <a:p>
          <a:pPr>
            <a:defRPr lang="uk-UA" sz="1100" b="0" i="0" u="none" strike="noStrike" kern="1200" baseline="0">
              <a:solidFill>
                <a:sysClr val="windowText" lastClr="000000"/>
              </a:solidFill>
              <a:latin typeface="+mn-lt"/>
              <a:ea typeface="+mn-ea"/>
              <a:cs typeface="+mn-cs"/>
            </a:defRPr>
          </a:pPr>
          <a:endParaRPr lang="en-US"/>
        </a:p>
      </c:txPr>
    </c:legend>
    <c:plotVisOnly val="1"/>
    <c:dispBlanksAs val="gap"/>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6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pie3DChart>
        <c:varyColors val="1"/>
        <c:ser>
          <c:idx val="2"/>
          <c:order val="0"/>
          <c:tx>
            <c:strRef>
              <c:f>ДРУК!$C$13</c:f>
              <c:strCache>
                <c:ptCount val="1"/>
                <c:pt idx="0">
                  <c:v>Видатки у І кварталі, грн.</c:v>
                </c:pt>
              </c:strCache>
            </c:strRef>
          </c:tx>
          <c:dPt>
            <c:idx val="0"/>
            <c:spPr>
              <a:solidFill>
                <a:srgbClr val="5B9BD5"/>
              </a:solidFill>
              <a:ln w="25400">
                <a:solidFill>
                  <a:srgbClr val="FFFFFF"/>
                </a:solidFill>
                <a:prstDash val="solid"/>
              </a:ln>
            </c:spPr>
          </c:dPt>
          <c:dPt>
            <c:idx val="1"/>
            <c:spPr>
              <a:solidFill>
                <a:srgbClr val="ED7D31"/>
              </a:solidFill>
              <a:ln w="25400">
                <a:solidFill>
                  <a:srgbClr val="FFFFFF"/>
                </a:solidFill>
                <a:prstDash val="solid"/>
              </a:ln>
            </c:spPr>
          </c:dPt>
          <c:dPt>
            <c:idx val="2"/>
            <c:spPr>
              <a:solidFill>
                <a:srgbClr val="A5A5A5"/>
              </a:solidFill>
              <a:ln w="25400">
                <a:solidFill>
                  <a:srgbClr val="FFFFFF"/>
                </a:solidFill>
                <a:prstDash val="solid"/>
              </a:ln>
            </c:spPr>
          </c:dPt>
          <c:dPt>
            <c:idx val="3"/>
            <c:spPr>
              <a:solidFill>
                <a:srgbClr val="FFC000"/>
              </a:solidFill>
              <a:ln w="25400">
                <a:solidFill>
                  <a:srgbClr val="FFFFFF"/>
                </a:solidFill>
                <a:prstDash val="solid"/>
              </a:ln>
            </c:spPr>
          </c:dPt>
          <c:dPt>
            <c:idx val="4"/>
            <c:spPr>
              <a:solidFill>
                <a:srgbClr val="4472C4"/>
              </a:solidFill>
              <a:ln w="25400">
                <a:solidFill>
                  <a:srgbClr val="FFFFFF"/>
                </a:solidFill>
                <a:prstDash val="solid"/>
              </a:ln>
            </c:spPr>
          </c:dPt>
          <c:dPt>
            <c:idx val="5"/>
            <c:spPr>
              <a:solidFill>
                <a:srgbClr val="70AD47"/>
              </a:solidFill>
              <a:ln w="25400">
                <a:solidFill>
                  <a:srgbClr val="FFFFFF"/>
                </a:solidFill>
                <a:prstDash val="solid"/>
              </a:ln>
            </c:spPr>
          </c:dPt>
          <c:dPt>
            <c:idx val="6"/>
            <c:spPr>
              <a:solidFill>
                <a:schemeClr val="accent1">
                  <a:lumMod val="60000"/>
                </a:schemeClr>
              </a:solidFill>
              <a:ln w="25400">
                <a:solidFill>
                  <a:schemeClr val="lt1"/>
                </a:solidFill>
              </a:ln>
              <a:effectLst/>
              <a:sp3d contourW="25400">
                <a:contourClr>
                  <a:schemeClr val="lt1"/>
                </a:contourClr>
              </a:sp3d>
            </c:spPr>
          </c:dPt>
          <c:cat>
            <c:strRef>
              <c:f>ДРУК!$B$14:$B$20</c:f>
              <c:strCache>
                <c:ptCount val="7"/>
                <c:pt idx="0">
                  <c:v>Заробітна плата, грн.</c:v>
                </c:pt>
                <c:pt idx="1">
                  <c:v>Нарахування на оплату праці, грн.</c:v>
                </c:pt>
                <c:pt idx="2">
                  <c:v>Витрати на канцтовари, офісне приладдя та устаткування </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ДРУК!$C$14:$C$20</c:f>
              <c:numCache>
                <c:formatCode>#,##0</c:formatCode>
                <c:ptCount val="7"/>
                <c:pt idx="0">
                  <c:v>6207420</c:v>
                </c:pt>
                <c:pt idx="1">
                  <c:v>1350944.4</c:v>
                </c:pt>
                <c:pt idx="2">
                  <c:v>0</c:v>
                </c:pt>
                <c:pt idx="3">
                  <c:v>818992.59004399995</c:v>
                </c:pt>
                <c:pt idx="4">
                  <c:v>60000</c:v>
                </c:pt>
                <c:pt idx="5">
                  <c:v>33300</c:v>
                </c:pt>
                <c:pt idx="6">
                  <c:v>650000</c:v>
                </c:pt>
              </c:numCache>
            </c:numRef>
          </c:val>
        </c:ser>
      </c:pie3DChart>
      <c:spPr>
        <a:noFill/>
        <a:ln w="25400">
          <a:noFill/>
        </a:ln>
      </c:spPr>
    </c:plotArea>
    <c:legend>
      <c:legendPos val="r"/>
      <c:layout>
        <c:manualLayout>
          <c:xMode val="edge"/>
          <c:yMode val="edge"/>
          <c:x val="5.3160994130795017E-2"/>
          <c:y val="0.76213682557553852"/>
          <c:w val="0.88649549672163586"/>
          <c:h val="0.21359248614855855"/>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6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pie3DChart>
        <c:varyColors val="1"/>
        <c:ser>
          <c:idx val="0"/>
          <c:order val="0"/>
          <c:tx>
            <c:strRef>
              <c:f>ДРУК!$D$13</c:f>
              <c:strCache>
                <c:ptCount val="1"/>
                <c:pt idx="0">
                  <c:v>Видатки у ІІ кварталі, грн.</c:v>
                </c:pt>
              </c:strCache>
            </c:strRef>
          </c:tx>
          <c:dPt>
            <c:idx val="0"/>
            <c:spPr>
              <a:solidFill>
                <a:srgbClr val="5B9BD5"/>
              </a:solidFill>
              <a:ln w="25400">
                <a:solidFill>
                  <a:srgbClr val="FFFFFF"/>
                </a:solidFill>
                <a:prstDash val="solid"/>
              </a:ln>
            </c:spPr>
          </c:dPt>
          <c:dPt>
            <c:idx val="1"/>
            <c:spPr>
              <a:solidFill>
                <a:srgbClr val="ED7D31"/>
              </a:solidFill>
              <a:ln w="25400">
                <a:solidFill>
                  <a:srgbClr val="FFFFFF"/>
                </a:solidFill>
                <a:prstDash val="solid"/>
              </a:ln>
            </c:spPr>
          </c:dPt>
          <c:dPt>
            <c:idx val="2"/>
            <c:spPr>
              <a:solidFill>
                <a:srgbClr val="A5A5A5"/>
              </a:solidFill>
              <a:ln w="25400">
                <a:solidFill>
                  <a:srgbClr val="FFFFFF"/>
                </a:solidFill>
                <a:prstDash val="solid"/>
              </a:ln>
            </c:spPr>
          </c:dPt>
          <c:dPt>
            <c:idx val="3"/>
            <c:spPr>
              <a:solidFill>
                <a:srgbClr val="FFC000"/>
              </a:solidFill>
              <a:ln w="25400">
                <a:solidFill>
                  <a:srgbClr val="FFFFFF"/>
                </a:solidFill>
                <a:prstDash val="solid"/>
              </a:ln>
            </c:spPr>
          </c:dPt>
          <c:dPt>
            <c:idx val="4"/>
            <c:spPr>
              <a:solidFill>
                <a:srgbClr val="4472C4"/>
              </a:solidFill>
              <a:ln w="25400">
                <a:solidFill>
                  <a:srgbClr val="FFFFFF"/>
                </a:solidFill>
                <a:prstDash val="solid"/>
              </a:ln>
            </c:spPr>
          </c:dPt>
          <c:dPt>
            <c:idx val="5"/>
            <c:spPr>
              <a:solidFill>
                <a:srgbClr val="70AD47"/>
              </a:solidFill>
              <a:ln w="25400">
                <a:solidFill>
                  <a:srgbClr val="FFFFFF"/>
                </a:solidFill>
                <a:prstDash val="solid"/>
              </a:ln>
            </c:spPr>
          </c:dPt>
          <c:dPt>
            <c:idx val="6"/>
            <c:spPr>
              <a:solidFill>
                <a:schemeClr val="accent1">
                  <a:lumMod val="60000"/>
                </a:schemeClr>
              </a:solidFill>
              <a:ln w="25400">
                <a:solidFill>
                  <a:schemeClr val="lt1"/>
                </a:solidFill>
              </a:ln>
              <a:effectLst/>
              <a:sp3d contourW="25400">
                <a:contourClr>
                  <a:schemeClr val="lt1"/>
                </a:contourClr>
              </a:sp3d>
            </c:spPr>
          </c:dPt>
          <c:dLbls>
            <c:spPr>
              <a:noFill/>
              <a:ln w="25400">
                <a:noFill/>
              </a:ln>
            </c:spPr>
            <c:txPr>
              <a:bodyPr rot="0" spcFirstLastPara="1" vertOverflow="ellipsis" vert="horz" wrap="square" lIns="38100" tIns="19050" rIns="38100" bIns="19050" anchor="ctr" anchorCtr="1">
                <a:spAutoFit/>
              </a:bodyPr>
              <a:lstStyle/>
              <a:p>
                <a:pPr>
                  <a:defRPr lang="uk-UA" sz="900" b="0" i="0" u="none" strike="noStrike" kern="1200" baseline="0">
                    <a:solidFill>
                      <a:sysClr val="windowText" lastClr="000000"/>
                    </a:solidFill>
                    <a:latin typeface="+mn-lt"/>
                    <a:ea typeface="+mn-ea"/>
                    <a:cs typeface="+mn-cs"/>
                  </a:defRPr>
                </a:pPr>
                <a:endParaRPr lang="en-US"/>
              </a:p>
            </c:txPr>
            <c:showVal val="1"/>
            <c:showLeaderLines val="1"/>
            <c:leaderLines>
              <c:spPr>
                <a:ln w="9525" cap="flat" cmpd="sng" algn="ctr">
                  <a:solidFill>
                    <a:schemeClr val="tx1">
                      <a:lumMod val="35000"/>
                      <a:lumOff val="65000"/>
                    </a:schemeClr>
                  </a:solidFill>
                  <a:round/>
                </a:ln>
                <a:effectLst/>
              </c:spPr>
            </c:leaderLines>
          </c:dLbls>
          <c:cat>
            <c:strRef>
              <c:f>ДРУК!$B$14:$B$20</c:f>
              <c:strCache>
                <c:ptCount val="7"/>
                <c:pt idx="0">
                  <c:v>Заробітна плата, грн.</c:v>
                </c:pt>
                <c:pt idx="1">
                  <c:v>Нарахування на оплату праці, грн.</c:v>
                </c:pt>
                <c:pt idx="2">
                  <c:v>Витрати на канцтовари, офісне приладдя та устаткування </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ДРУК!$D$14:$D$20</c:f>
              <c:numCache>
                <c:formatCode>#,##0</c:formatCode>
                <c:ptCount val="7"/>
                <c:pt idx="0">
                  <c:v>6207420</c:v>
                </c:pt>
                <c:pt idx="1">
                  <c:v>1350944.4</c:v>
                </c:pt>
                <c:pt idx="2">
                  <c:v>0</c:v>
                </c:pt>
                <c:pt idx="3">
                  <c:v>471494.08687200001</c:v>
                </c:pt>
                <c:pt idx="4">
                  <c:v>30000</c:v>
                </c:pt>
                <c:pt idx="5">
                  <c:v>33300</c:v>
                </c:pt>
                <c:pt idx="6">
                  <c:v>290000</c:v>
                </c:pt>
              </c:numCache>
            </c:numRef>
          </c:val>
        </c:ser>
      </c:pie3DChart>
      <c:spPr>
        <a:noFill/>
        <a:ln w="25400">
          <a:noFill/>
        </a:ln>
      </c:spPr>
    </c:plotArea>
    <c:legend>
      <c:legendPos val="r"/>
      <c:layout>
        <c:manualLayout>
          <c:xMode val="edge"/>
          <c:yMode val="edge"/>
          <c:x val="0.24878088284566"/>
          <c:y val="0.63063201768373822"/>
          <c:w val="0.50081380337557702"/>
          <c:h val="0.3513521241380827"/>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6" Type="http://schemas.openxmlformats.org/officeDocument/2006/relationships/hyperlink" Target="#'01_&#1044;&#1086;&#1093;&#1086;&#1076;&#1080;'!H10"/><Relationship Id="rId21" Type="http://schemas.openxmlformats.org/officeDocument/2006/relationships/hyperlink" Target="#'01_&#1044;&#1086;&#1093;&#1086;&#1076;&#1080;'!H10"/><Relationship Id="rId42" Type="http://schemas.openxmlformats.org/officeDocument/2006/relationships/hyperlink" Target="#'01_&#1044;&#1086;&#1093;&#1086;&#1076;&#1080;'!H10"/><Relationship Id="rId47" Type="http://schemas.openxmlformats.org/officeDocument/2006/relationships/hyperlink" Target="#'01_&#1044;&#1086;&#1093;&#1086;&#1076;&#1080;'!H10"/><Relationship Id="rId63" Type="http://schemas.openxmlformats.org/officeDocument/2006/relationships/hyperlink" Target="#'01_&#1044;&#1086;&#1093;&#1086;&#1076;&#1080;'!H10"/><Relationship Id="rId68" Type="http://schemas.openxmlformats.org/officeDocument/2006/relationships/hyperlink" Target="#'01_&#1044;&#1086;&#1093;&#1086;&#1076;&#1080;'!H10"/><Relationship Id="rId84" Type="http://schemas.openxmlformats.org/officeDocument/2006/relationships/hyperlink" Target="#'01_&#1044;&#1086;&#1093;&#1086;&#1076;&#1080;'!H10"/><Relationship Id="rId89" Type="http://schemas.openxmlformats.org/officeDocument/2006/relationships/hyperlink" Target="#'01_&#1044;&#1086;&#1093;&#1086;&#1076;&#1080;'!H10"/><Relationship Id="rId7" Type="http://schemas.openxmlformats.org/officeDocument/2006/relationships/hyperlink" Target="#'01_&#1044;&#1086;&#1093;&#1086;&#1076;&#1080;'!H10"/><Relationship Id="rId71" Type="http://schemas.openxmlformats.org/officeDocument/2006/relationships/hyperlink" Target="#'01_&#1044;&#1086;&#1093;&#1086;&#1076;&#1080;'!H10"/><Relationship Id="rId92" Type="http://schemas.openxmlformats.org/officeDocument/2006/relationships/hyperlink" Target="#'01_&#1044;&#1086;&#1093;&#1086;&#1076;&#1080;'!H10"/><Relationship Id="rId2" Type="http://schemas.openxmlformats.org/officeDocument/2006/relationships/hyperlink" Target="#'01_&#1044;&#1086;&#1093;&#1086;&#1076;&#1080;'!B9"/><Relationship Id="rId16" Type="http://schemas.openxmlformats.org/officeDocument/2006/relationships/hyperlink" Target="#'01_&#1044;&#1086;&#1093;&#1086;&#1076;&#1080;'!H10"/><Relationship Id="rId29" Type="http://schemas.openxmlformats.org/officeDocument/2006/relationships/hyperlink" Target="#'01_&#1044;&#1086;&#1093;&#1086;&#1076;&#1080;'!H10"/><Relationship Id="rId11" Type="http://schemas.openxmlformats.org/officeDocument/2006/relationships/hyperlink" Target="#'01_&#1044;&#1086;&#1093;&#1086;&#1076;&#1080;'!H10"/><Relationship Id="rId24" Type="http://schemas.openxmlformats.org/officeDocument/2006/relationships/hyperlink" Target="#'01_&#1044;&#1086;&#1093;&#1086;&#1076;&#1080;'!H10"/><Relationship Id="rId32" Type="http://schemas.openxmlformats.org/officeDocument/2006/relationships/hyperlink" Target="#'01_&#1044;&#1086;&#1093;&#1086;&#1076;&#1080;'!H10"/><Relationship Id="rId37" Type="http://schemas.openxmlformats.org/officeDocument/2006/relationships/hyperlink" Target="#'01_&#1044;&#1086;&#1093;&#1086;&#1076;&#1080;'!H10"/><Relationship Id="rId40" Type="http://schemas.openxmlformats.org/officeDocument/2006/relationships/hyperlink" Target="#'01_&#1044;&#1086;&#1093;&#1086;&#1076;&#1080;'!H10"/><Relationship Id="rId45" Type="http://schemas.openxmlformats.org/officeDocument/2006/relationships/hyperlink" Target="#'01_&#1044;&#1086;&#1093;&#1086;&#1076;&#1080;'!H10"/><Relationship Id="rId53" Type="http://schemas.openxmlformats.org/officeDocument/2006/relationships/hyperlink" Target="#'01_&#1044;&#1086;&#1093;&#1086;&#1076;&#1080;'!H10"/><Relationship Id="rId58" Type="http://schemas.openxmlformats.org/officeDocument/2006/relationships/hyperlink" Target="#'01_&#1044;&#1086;&#1093;&#1086;&#1076;&#1080;'!H10"/><Relationship Id="rId66" Type="http://schemas.openxmlformats.org/officeDocument/2006/relationships/hyperlink" Target="#'01_&#1044;&#1086;&#1093;&#1086;&#1076;&#1080;'!H10"/><Relationship Id="rId74" Type="http://schemas.openxmlformats.org/officeDocument/2006/relationships/hyperlink" Target="#'01_&#1044;&#1086;&#1093;&#1086;&#1076;&#1080;'!H10"/><Relationship Id="rId79" Type="http://schemas.openxmlformats.org/officeDocument/2006/relationships/hyperlink" Target="#'01_&#1044;&#1086;&#1093;&#1086;&#1076;&#1080;'!H10"/><Relationship Id="rId87" Type="http://schemas.openxmlformats.org/officeDocument/2006/relationships/hyperlink" Target="#'01_&#1044;&#1086;&#1093;&#1086;&#1076;&#1080;'!H10"/><Relationship Id="rId102" Type="http://schemas.openxmlformats.org/officeDocument/2006/relationships/hyperlink" Target="#'01_&#1044;&#1086;&#1093;&#1086;&#1076;&#1080;'!H10"/><Relationship Id="rId5" Type="http://schemas.openxmlformats.org/officeDocument/2006/relationships/image" Target="../media/image3.png"/><Relationship Id="rId61" Type="http://schemas.openxmlformats.org/officeDocument/2006/relationships/hyperlink" Target="#'01_&#1044;&#1086;&#1093;&#1086;&#1076;&#1080;'!H10"/><Relationship Id="rId82" Type="http://schemas.openxmlformats.org/officeDocument/2006/relationships/hyperlink" Target="#'01_&#1044;&#1086;&#1093;&#1086;&#1076;&#1080;'!H10"/><Relationship Id="rId90" Type="http://schemas.openxmlformats.org/officeDocument/2006/relationships/hyperlink" Target="#'01_&#1044;&#1086;&#1093;&#1086;&#1076;&#1080;'!H10"/><Relationship Id="rId95" Type="http://schemas.openxmlformats.org/officeDocument/2006/relationships/hyperlink" Target="#'01_&#1044;&#1086;&#1093;&#1086;&#1076;&#1080;'!H10"/><Relationship Id="rId19" Type="http://schemas.openxmlformats.org/officeDocument/2006/relationships/hyperlink" Target="#'01_&#1044;&#1086;&#1093;&#1086;&#1076;&#1080;'!H10"/><Relationship Id="rId14" Type="http://schemas.openxmlformats.org/officeDocument/2006/relationships/hyperlink" Target="#'01_&#1044;&#1086;&#1093;&#1086;&#1076;&#1080;'!H10"/><Relationship Id="rId22" Type="http://schemas.openxmlformats.org/officeDocument/2006/relationships/hyperlink" Target="#'01_&#1044;&#1086;&#1093;&#1086;&#1076;&#1080;'!H10"/><Relationship Id="rId27" Type="http://schemas.openxmlformats.org/officeDocument/2006/relationships/hyperlink" Target="#'01_&#1044;&#1086;&#1093;&#1086;&#1076;&#1080;'!H10"/><Relationship Id="rId30" Type="http://schemas.openxmlformats.org/officeDocument/2006/relationships/hyperlink" Target="#'01_&#1044;&#1086;&#1093;&#1086;&#1076;&#1080;'!H10"/><Relationship Id="rId35" Type="http://schemas.openxmlformats.org/officeDocument/2006/relationships/hyperlink" Target="#'01_&#1044;&#1086;&#1093;&#1086;&#1076;&#1080;'!H10"/><Relationship Id="rId43" Type="http://schemas.openxmlformats.org/officeDocument/2006/relationships/hyperlink" Target="#'01_&#1044;&#1086;&#1093;&#1086;&#1076;&#1080;'!H10"/><Relationship Id="rId48" Type="http://schemas.openxmlformats.org/officeDocument/2006/relationships/hyperlink" Target="#'01_&#1044;&#1086;&#1093;&#1086;&#1076;&#1080;'!H10"/><Relationship Id="rId56" Type="http://schemas.openxmlformats.org/officeDocument/2006/relationships/hyperlink" Target="#'01_&#1044;&#1086;&#1093;&#1086;&#1076;&#1080;'!H10"/><Relationship Id="rId64" Type="http://schemas.openxmlformats.org/officeDocument/2006/relationships/hyperlink" Target="#'01_&#1044;&#1086;&#1093;&#1086;&#1076;&#1080;'!H10"/><Relationship Id="rId69" Type="http://schemas.openxmlformats.org/officeDocument/2006/relationships/hyperlink" Target="#'01_&#1044;&#1086;&#1093;&#1086;&#1076;&#1080;'!H10"/><Relationship Id="rId77" Type="http://schemas.openxmlformats.org/officeDocument/2006/relationships/hyperlink" Target="#'01_&#1044;&#1086;&#1093;&#1086;&#1076;&#1080;'!H10"/><Relationship Id="rId100" Type="http://schemas.openxmlformats.org/officeDocument/2006/relationships/hyperlink" Target="#'01_&#1044;&#1086;&#1093;&#1086;&#1076;&#1080;'!H10"/><Relationship Id="rId8" Type="http://schemas.openxmlformats.org/officeDocument/2006/relationships/hyperlink" Target="#'01_&#1044;&#1086;&#1093;&#1086;&#1076;&#1080;'!H10"/><Relationship Id="rId51" Type="http://schemas.openxmlformats.org/officeDocument/2006/relationships/hyperlink" Target="#'01_&#1044;&#1086;&#1093;&#1086;&#1076;&#1080;'!H10"/><Relationship Id="rId72" Type="http://schemas.openxmlformats.org/officeDocument/2006/relationships/hyperlink" Target="#'01_&#1044;&#1086;&#1093;&#1086;&#1076;&#1080;'!H10"/><Relationship Id="rId80" Type="http://schemas.openxmlformats.org/officeDocument/2006/relationships/hyperlink" Target="#'01_&#1044;&#1086;&#1093;&#1086;&#1076;&#1080;'!H10"/><Relationship Id="rId85" Type="http://schemas.openxmlformats.org/officeDocument/2006/relationships/hyperlink" Target="#'01_&#1044;&#1086;&#1093;&#1086;&#1076;&#1080;'!H10"/><Relationship Id="rId93" Type="http://schemas.openxmlformats.org/officeDocument/2006/relationships/hyperlink" Target="#'01_&#1044;&#1086;&#1093;&#1086;&#1076;&#1080;'!H10"/><Relationship Id="rId98" Type="http://schemas.openxmlformats.org/officeDocument/2006/relationships/hyperlink" Target="#'01_&#1044;&#1086;&#1093;&#1086;&#1076;&#1080;'!H10"/><Relationship Id="rId3" Type="http://schemas.openxmlformats.org/officeDocument/2006/relationships/image" Target="../media/image2.jpeg"/><Relationship Id="rId12" Type="http://schemas.openxmlformats.org/officeDocument/2006/relationships/hyperlink" Target="#'01_&#1044;&#1086;&#1093;&#1086;&#1076;&#1080;'!H10"/><Relationship Id="rId17" Type="http://schemas.openxmlformats.org/officeDocument/2006/relationships/hyperlink" Target="#'01_&#1044;&#1086;&#1093;&#1086;&#1076;&#1080;'!H10"/><Relationship Id="rId25" Type="http://schemas.openxmlformats.org/officeDocument/2006/relationships/hyperlink" Target="#'01_&#1044;&#1086;&#1093;&#1086;&#1076;&#1080;'!H10"/><Relationship Id="rId33" Type="http://schemas.openxmlformats.org/officeDocument/2006/relationships/hyperlink" Target="#'01_&#1044;&#1086;&#1093;&#1086;&#1076;&#1080;'!H10"/><Relationship Id="rId38" Type="http://schemas.openxmlformats.org/officeDocument/2006/relationships/hyperlink" Target="#'01_&#1044;&#1086;&#1093;&#1086;&#1076;&#1080;'!H10"/><Relationship Id="rId46" Type="http://schemas.openxmlformats.org/officeDocument/2006/relationships/hyperlink" Target="#'01_&#1044;&#1086;&#1093;&#1086;&#1076;&#1080;'!H10"/><Relationship Id="rId59" Type="http://schemas.openxmlformats.org/officeDocument/2006/relationships/hyperlink" Target="#'01_&#1044;&#1086;&#1093;&#1086;&#1076;&#1080;'!H10"/><Relationship Id="rId67" Type="http://schemas.openxmlformats.org/officeDocument/2006/relationships/hyperlink" Target="#'01_&#1044;&#1086;&#1093;&#1086;&#1076;&#1080;'!H10"/><Relationship Id="rId103" Type="http://schemas.openxmlformats.org/officeDocument/2006/relationships/hyperlink" Target="#'01_&#1044;&#1086;&#1093;&#1086;&#1076;&#1080;'!H10"/><Relationship Id="rId20" Type="http://schemas.openxmlformats.org/officeDocument/2006/relationships/hyperlink" Target="#'01_&#1044;&#1086;&#1093;&#1086;&#1076;&#1080;'!H10"/><Relationship Id="rId41" Type="http://schemas.openxmlformats.org/officeDocument/2006/relationships/hyperlink" Target="#'01_&#1044;&#1086;&#1093;&#1086;&#1076;&#1080;'!H10"/><Relationship Id="rId54" Type="http://schemas.openxmlformats.org/officeDocument/2006/relationships/hyperlink" Target="#'01_&#1044;&#1086;&#1093;&#1086;&#1076;&#1080;'!H10"/><Relationship Id="rId62" Type="http://schemas.openxmlformats.org/officeDocument/2006/relationships/hyperlink" Target="#'01_&#1044;&#1086;&#1093;&#1086;&#1076;&#1080;'!H10"/><Relationship Id="rId70" Type="http://schemas.openxmlformats.org/officeDocument/2006/relationships/hyperlink" Target="#'01_&#1044;&#1086;&#1093;&#1086;&#1076;&#1080;'!H10"/><Relationship Id="rId75" Type="http://schemas.openxmlformats.org/officeDocument/2006/relationships/hyperlink" Target="#'01_&#1044;&#1086;&#1093;&#1086;&#1076;&#1080;'!H10"/><Relationship Id="rId83" Type="http://schemas.openxmlformats.org/officeDocument/2006/relationships/hyperlink" Target="#'01_&#1044;&#1086;&#1093;&#1086;&#1076;&#1080;'!H10"/><Relationship Id="rId88" Type="http://schemas.openxmlformats.org/officeDocument/2006/relationships/hyperlink" Target="#'01_&#1044;&#1086;&#1093;&#1086;&#1076;&#1080;'!H10"/><Relationship Id="rId91" Type="http://schemas.openxmlformats.org/officeDocument/2006/relationships/hyperlink" Target="#'01_&#1044;&#1086;&#1093;&#1086;&#1076;&#1080;'!H10"/><Relationship Id="rId96" Type="http://schemas.openxmlformats.org/officeDocument/2006/relationships/hyperlink" Target="#'01_&#1044;&#1086;&#1093;&#1086;&#1076;&#1080;'!H10"/><Relationship Id="rId1" Type="http://schemas.openxmlformats.org/officeDocument/2006/relationships/hyperlink" Target="#'01_&#1044;&#1086;&#1093;&#1086;&#1076;&#1080;'!B9"/><Relationship Id="rId6" Type="http://schemas.openxmlformats.org/officeDocument/2006/relationships/hyperlink" Target="#'01_&#1044;&#1086;&#1093;&#1086;&#1076;&#1080;'!H10"/><Relationship Id="rId15" Type="http://schemas.openxmlformats.org/officeDocument/2006/relationships/hyperlink" Target="#'01_&#1044;&#1086;&#1093;&#1086;&#1076;&#1080;'!H10"/><Relationship Id="rId23" Type="http://schemas.openxmlformats.org/officeDocument/2006/relationships/hyperlink" Target="#'01_&#1044;&#1086;&#1093;&#1086;&#1076;&#1080;'!H10"/><Relationship Id="rId28" Type="http://schemas.openxmlformats.org/officeDocument/2006/relationships/hyperlink" Target="#'01_&#1044;&#1086;&#1093;&#1086;&#1076;&#1080;'!H10"/><Relationship Id="rId36" Type="http://schemas.openxmlformats.org/officeDocument/2006/relationships/hyperlink" Target="#'01_&#1044;&#1086;&#1093;&#1086;&#1076;&#1080;'!H10"/><Relationship Id="rId49" Type="http://schemas.openxmlformats.org/officeDocument/2006/relationships/hyperlink" Target="#'01_&#1044;&#1086;&#1093;&#1086;&#1076;&#1080;'!H10"/><Relationship Id="rId57" Type="http://schemas.openxmlformats.org/officeDocument/2006/relationships/hyperlink" Target="#'01_&#1044;&#1086;&#1093;&#1086;&#1076;&#1080;'!H10"/><Relationship Id="rId10" Type="http://schemas.openxmlformats.org/officeDocument/2006/relationships/hyperlink" Target="#'01_&#1044;&#1086;&#1093;&#1086;&#1076;&#1080;'!H10"/><Relationship Id="rId31" Type="http://schemas.openxmlformats.org/officeDocument/2006/relationships/hyperlink" Target="#'01_&#1044;&#1086;&#1093;&#1086;&#1076;&#1080;'!H10"/><Relationship Id="rId44" Type="http://schemas.openxmlformats.org/officeDocument/2006/relationships/hyperlink" Target="#'01_&#1044;&#1086;&#1093;&#1086;&#1076;&#1080;'!H10"/><Relationship Id="rId52" Type="http://schemas.openxmlformats.org/officeDocument/2006/relationships/hyperlink" Target="#'01_&#1044;&#1086;&#1093;&#1086;&#1076;&#1080;'!H10"/><Relationship Id="rId60" Type="http://schemas.openxmlformats.org/officeDocument/2006/relationships/hyperlink" Target="#'01_&#1044;&#1086;&#1093;&#1086;&#1076;&#1080;'!H10"/><Relationship Id="rId65" Type="http://schemas.openxmlformats.org/officeDocument/2006/relationships/hyperlink" Target="#'01_&#1044;&#1086;&#1093;&#1086;&#1076;&#1080;'!H10"/><Relationship Id="rId73" Type="http://schemas.openxmlformats.org/officeDocument/2006/relationships/hyperlink" Target="#'01_&#1044;&#1086;&#1093;&#1086;&#1076;&#1080;'!H10"/><Relationship Id="rId78" Type="http://schemas.openxmlformats.org/officeDocument/2006/relationships/hyperlink" Target="#'01_&#1044;&#1086;&#1093;&#1086;&#1076;&#1080;'!H10"/><Relationship Id="rId81" Type="http://schemas.openxmlformats.org/officeDocument/2006/relationships/hyperlink" Target="#'01_&#1044;&#1086;&#1093;&#1086;&#1076;&#1080;'!H10"/><Relationship Id="rId86" Type="http://schemas.openxmlformats.org/officeDocument/2006/relationships/hyperlink" Target="#'01_&#1044;&#1086;&#1093;&#1086;&#1076;&#1080;'!H10"/><Relationship Id="rId94" Type="http://schemas.openxmlformats.org/officeDocument/2006/relationships/hyperlink" Target="#'01_&#1044;&#1086;&#1093;&#1086;&#1076;&#1080;'!H10"/><Relationship Id="rId99" Type="http://schemas.openxmlformats.org/officeDocument/2006/relationships/hyperlink" Target="#'01_&#1044;&#1086;&#1093;&#1086;&#1076;&#1080;'!H10"/><Relationship Id="rId101" Type="http://schemas.openxmlformats.org/officeDocument/2006/relationships/hyperlink" Target="#'01_&#1044;&#1086;&#1093;&#1086;&#1076;&#1080;'!H10"/><Relationship Id="rId4" Type="http://schemas.openxmlformats.org/officeDocument/2006/relationships/hyperlink" Target="#'01_&#1044;&#1086;&#1093;&#1086;&#1076;&#1080;'!H10"/><Relationship Id="rId9" Type="http://schemas.openxmlformats.org/officeDocument/2006/relationships/hyperlink" Target="#'01_&#1044;&#1086;&#1093;&#1086;&#1076;&#1080;'!H10"/><Relationship Id="rId13" Type="http://schemas.openxmlformats.org/officeDocument/2006/relationships/hyperlink" Target="#'01_&#1044;&#1086;&#1093;&#1086;&#1076;&#1080;'!H10"/><Relationship Id="rId18" Type="http://schemas.openxmlformats.org/officeDocument/2006/relationships/hyperlink" Target="#'01_&#1044;&#1086;&#1093;&#1086;&#1076;&#1080;'!H10"/><Relationship Id="rId39" Type="http://schemas.openxmlformats.org/officeDocument/2006/relationships/hyperlink" Target="#'01_&#1044;&#1086;&#1093;&#1086;&#1076;&#1080;'!H10"/><Relationship Id="rId34" Type="http://schemas.openxmlformats.org/officeDocument/2006/relationships/hyperlink" Target="#'01_&#1044;&#1086;&#1093;&#1086;&#1076;&#1080;'!H10"/><Relationship Id="rId50" Type="http://schemas.openxmlformats.org/officeDocument/2006/relationships/hyperlink" Target="#'01_&#1044;&#1086;&#1093;&#1086;&#1076;&#1080;'!H10"/><Relationship Id="rId55" Type="http://schemas.openxmlformats.org/officeDocument/2006/relationships/hyperlink" Target="#'01_&#1044;&#1086;&#1093;&#1086;&#1076;&#1080;'!H10"/><Relationship Id="rId76" Type="http://schemas.openxmlformats.org/officeDocument/2006/relationships/hyperlink" Target="#'01_&#1044;&#1086;&#1093;&#1086;&#1076;&#1080;'!H10"/><Relationship Id="rId97" Type="http://schemas.openxmlformats.org/officeDocument/2006/relationships/hyperlink" Target="#'01_&#1044;&#1086;&#1093;&#1086;&#1076;&#1080;'!H10"/><Relationship Id="rId104" Type="http://schemas.openxmlformats.org/officeDocument/2006/relationships/hyperlink" Target="#'01_&#1044;&#1086;&#1093;&#1086;&#1076;&#1080;'!H10"/></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02_&#1042;&#1080;&#1076;&#1072;&#1090;&#1082;&#1080;'!A1"/></Relationships>
</file>

<file path=xl/drawings/_rels/drawing5.xml.rels><?xml version="1.0" encoding="UTF-8" standalone="yes"?>
<Relationships xmlns="http://schemas.openxmlformats.org/package/2006/relationships"><Relationship Id="rId1" Type="http://schemas.openxmlformats.org/officeDocument/2006/relationships/hyperlink" Target="#'03_&#1052;&#1058;&#1054;'!A1"/></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1</xdr:row>
      <xdr:rowOff>57150</xdr:rowOff>
    </xdr:from>
    <xdr:to>
      <xdr:col>4</xdr:col>
      <xdr:colOff>581025</xdr:colOff>
      <xdr:row>1</xdr:row>
      <xdr:rowOff>1562100</xdr:rowOff>
    </xdr:to>
    <xdr:pic>
      <xdr:nvPicPr>
        <xdr:cNvPr id="6145" name="Рисунок 1"/>
        <xdr:cNvPicPr>
          <a:picLocks noChangeAspect="1"/>
        </xdr:cNvPicPr>
      </xdr:nvPicPr>
      <xdr:blipFill>
        <a:blip xmlns:r="http://schemas.openxmlformats.org/officeDocument/2006/relationships" r:embed="rId1" cstate="print"/>
        <a:srcRect l="33191" t="37022" r="34943" b="36549"/>
        <a:stretch>
          <a:fillRect/>
        </a:stretch>
      </xdr:blipFill>
      <xdr:spPr bwMode="auto">
        <a:xfrm>
          <a:off x="323850" y="200025"/>
          <a:ext cx="3086100" cy="1504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390525</xdr:colOff>
      <xdr:row>1</xdr:row>
      <xdr:rowOff>85725</xdr:rowOff>
    </xdr:from>
    <xdr:to>
      <xdr:col>1</xdr:col>
      <xdr:colOff>3524250</xdr:colOff>
      <xdr:row>1</xdr:row>
      <xdr:rowOff>1543050</xdr:rowOff>
    </xdr:to>
    <xdr:pic>
      <xdr:nvPicPr>
        <xdr:cNvPr id="7169" name="Рисунок 1"/>
        <xdr:cNvPicPr>
          <a:picLocks noChangeAspect="1"/>
        </xdr:cNvPicPr>
      </xdr:nvPicPr>
      <xdr:blipFill>
        <a:blip xmlns:r="http://schemas.openxmlformats.org/officeDocument/2006/relationships" r:embed="rId1" cstate="print"/>
        <a:srcRect l="33191" t="37022" r="34943" b="36549"/>
        <a:stretch>
          <a:fillRect/>
        </a:stretch>
      </xdr:blipFill>
      <xdr:spPr bwMode="auto">
        <a:xfrm>
          <a:off x="866775" y="228600"/>
          <a:ext cx="3133725" cy="14573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498475</xdr:colOff>
      <xdr:row>1375</xdr:row>
      <xdr:rowOff>155575</xdr:rowOff>
    </xdr:from>
    <xdr:to>
      <xdr:col>8</xdr:col>
      <xdr:colOff>177800</xdr:colOff>
      <xdr:row>1383</xdr:row>
      <xdr:rowOff>41275</xdr:rowOff>
    </xdr:to>
    <xdr:sp macro="" textlink="">
      <xdr:nvSpPr>
        <xdr:cNvPr id="2" name="Прямоугольник: скругленные углы 1">
          <a:hlinkClick xmlns:r="http://schemas.openxmlformats.org/officeDocument/2006/relationships" r:id="rId1"/>
          <a:extLst>
            <a:ext uri="{FF2B5EF4-FFF2-40B4-BE49-F238E27FC236}"/>
          </a:extLst>
        </xdr:cNvPr>
        <xdr:cNvSpPr/>
      </xdr:nvSpPr>
      <xdr:spPr>
        <a:xfrm>
          <a:off x="720725" y="51479450"/>
          <a:ext cx="11807825" cy="1282700"/>
        </a:xfrm>
        <a:prstGeom prst="roundRect">
          <a:avLst/>
        </a:prstGeom>
        <a:solidFill>
          <a:schemeClr val="bg1"/>
        </a:solidFill>
        <a:ln w="381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uk-UA" sz="3200" b="1">
              <a:solidFill>
                <a:schemeClr val="dk1"/>
              </a:solidFill>
              <a:effectLst/>
              <a:latin typeface="+mn-lt"/>
              <a:ea typeface="+mn-ea"/>
              <a:cs typeface="+mn-cs"/>
            </a:rPr>
            <a:t>Натисніть</a:t>
          </a:r>
          <a:r>
            <a:rPr lang="en-US" sz="3200" b="1">
              <a:solidFill>
                <a:schemeClr val="dk1"/>
              </a:solidFill>
              <a:effectLst/>
              <a:latin typeface="+mn-lt"/>
              <a:ea typeface="+mn-ea"/>
              <a:cs typeface="+mn-cs"/>
            </a:rPr>
            <a:t> </a:t>
          </a:r>
          <a:r>
            <a:rPr lang="uk-UA" sz="3200" b="1">
              <a:solidFill>
                <a:schemeClr val="dk1"/>
              </a:solidFill>
              <a:effectLst/>
              <a:latin typeface="+mn-lt"/>
              <a:ea typeface="+mn-ea"/>
              <a:cs typeface="+mn-cs"/>
            </a:rPr>
            <a:t>СЮДИ</a:t>
          </a:r>
          <a:r>
            <a:rPr lang="uk-UA" sz="3200" b="1" baseline="0">
              <a:solidFill>
                <a:schemeClr val="dk1"/>
              </a:solidFill>
              <a:effectLst/>
              <a:latin typeface="+mn-lt"/>
              <a:ea typeface="+mn-ea"/>
              <a:cs typeface="+mn-cs"/>
            </a:rPr>
            <a:t> для автоматичного </a:t>
          </a:r>
          <a:r>
            <a:rPr lang="uk-UA" sz="3200" b="1">
              <a:solidFill>
                <a:schemeClr val="dk1"/>
              </a:solidFill>
              <a:effectLst/>
              <a:latin typeface="+mn-lt"/>
              <a:ea typeface="+mn-ea"/>
              <a:cs typeface="+mn-cs"/>
            </a:rPr>
            <a:t>переходу</a:t>
          </a:r>
          <a:r>
            <a:rPr lang="uk-UA" sz="3200" b="1" baseline="0">
              <a:solidFill>
                <a:schemeClr val="dk1"/>
              </a:solidFill>
              <a:effectLst/>
              <a:latin typeface="+mn-lt"/>
              <a:ea typeface="+mn-ea"/>
              <a:cs typeface="+mn-cs"/>
            </a:rPr>
            <a:t> </a:t>
          </a:r>
          <a:r>
            <a:rPr lang="uk-UA" sz="3200" b="1">
              <a:solidFill>
                <a:schemeClr val="dk1"/>
              </a:solidFill>
              <a:effectLst/>
              <a:latin typeface="+mn-lt"/>
              <a:ea typeface="+mn-ea"/>
              <a:cs typeface="+mn-cs"/>
            </a:rPr>
            <a:t>до розрахованих доходів надавача ПМД</a:t>
          </a:r>
          <a:endParaRPr lang="x-none" sz="6000" b="1">
            <a:effectLst/>
          </a:endParaRPr>
        </a:p>
      </xdr:txBody>
    </xdr:sp>
    <xdr:clientData/>
  </xdr:twoCellAnchor>
  <xdr:twoCellAnchor>
    <xdr:from>
      <xdr:col>1</xdr:col>
      <xdr:colOff>953669</xdr:colOff>
      <xdr:row>1344</xdr:row>
      <xdr:rowOff>964853</xdr:rowOff>
    </xdr:from>
    <xdr:to>
      <xdr:col>8</xdr:col>
      <xdr:colOff>499183</xdr:colOff>
      <xdr:row>1346</xdr:row>
      <xdr:rowOff>166601</xdr:rowOff>
    </xdr:to>
    <xdr:sp macro="" textlink="">
      <xdr:nvSpPr>
        <xdr:cNvPr id="5" name="Прямоугольник: скругленные углы 4">
          <a:hlinkClick xmlns:r="http://schemas.openxmlformats.org/officeDocument/2006/relationships" r:id="rId2"/>
          <a:extLst>
            <a:ext uri="{FF2B5EF4-FFF2-40B4-BE49-F238E27FC236}"/>
          </a:extLst>
        </xdr:cNvPr>
        <xdr:cNvSpPr/>
      </xdr:nvSpPr>
      <xdr:spPr>
        <a:xfrm>
          <a:off x="1663714" y="548531126"/>
          <a:ext cx="11945333" cy="1089430"/>
        </a:xfrm>
        <a:prstGeom prst="roundRect">
          <a:avLst/>
        </a:prstGeom>
        <a:solidFill>
          <a:schemeClr val="bg1"/>
        </a:solidFill>
        <a:ln w="381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uk-UA" sz="3200" b="1">
              <a:solidFill>
                <a:schemeClr val="dk1"/>
              </a:solidFill>
              <a:effectLst/>
              <a:latin typeface="+mn-lt"/>
              <a:ea typeface="+mn-ea"/>
              <a:cs typeface="+mn-cs"/>
            </a:rPr>
            <a:t>Натисніть</a:t>
          </a:r>
          <a:r>
            <a:rPr lang="en-US" sz="3200" b="1">
              <a:solidFill>
                <a:schemeClr val="dk1"/>
              </a:solidFill>
              <a:effectLst/>
              <a:latin typeface="+mn-lt"/>
              <a:ea typeface="+mn-ea"/>
              <a:cs typeface="+mn-cs"/>
            </a:rPr>
            <a:t> </a:t>
          </a:r>
          <a:r>
            <a:rPr lang="uk-UA" sz="3200" b="1">
              <a:solidFill>
                <a:schemeClr val="dk1"/>
              </a:solidFill>
              <a:effectLst/>
              <a:latin typeface="+mn-lt"/>
              <a:ea typeface="+mn-ea"/>
              <a:cs typeface="+mn-cs"/>
            </a:rPr>
            <a:t>СЮДИ</a:t>
          </a:r>
          <a:r>
            <a:rPr lang="uk-UA" sz="3200" b="1" baseline="0">
              <a:solidFill>
                <a:schemeClr val="dk1"/>
              </a:solidFill>
              <a:effectLst/>
              <a:latin typeface="+mn-lt"/>
              <a:ea typeface="+mn-ea"/>
              <a:cs typeface="+mn-cs"/>
            </a:rPr>
            <a:t> для автоматичного переходу на початок сторінки</a:t>
          </a:r>
          <a:endParaRPr lang="x-none" sz="6000" b="1">
            <a:effectLst/>
          </a:endParaRPr>
        </a:p>
      </xdr:txBody>
    </xdr:sp>
    <xdr:clientData/>
  </xdr:twoCellAnchor>
  <xdr:twoCellAnchor editAs="oneCell">
    <xdr:from>
      <xdr:col>7</xdr:col>
      <xdr:colOff>666750</xdr:colOff>
      <xdr:row>11</xdr:row>
      <xdr:rowOff>104775</xdr:rowOff>
    </xdr:from>
    <xdr:to>
      <xdr:col>7</xdr:col>
      <xdr:colOff>1485900</xdr:colOff>
      <xdr:row>11</xdr:row>
      <xdr:rowOff>971550</xdr:rowOff>
    </xdr:to>
    <xdr:pic>
      <xdr:nvPicPr>
        <xdr:cNvPr id="3076" name="Рисунок 6" descr="ÐÐ¾Ð²âÑÐ·Ð°Ð½Ðµ Ð·Ð¾Ð±ÑÐ°Ð¶ÐµÐ½Ð½Ñ"/>
        <xdr:cNvPicPr>
          <a:picLocks noChangeAspect="1" noChangeArrowheads="1"/>
        </xdr:cNvPicPr>
      </xdr:nvPicPr>
      <xdr:blipFill>
        <a:blip xmlns:r="http://schemas.openxmlformats.org/officeDocument/2006/relationships" r:embed="rId3" cstate="print"/>
        <a:srcRect/>
        <a:stretch>
          <a:fillRect/>
        </a:stretch>
      </xdr:blipFill>
      <xdr:spPr bwMode="auto">
        <a:xfrm>
          <a:off x="12725400" y="5553075"/>
          <a:ext cx="819150" cy="866775"/>
        </a:xfrm>
        <a:prstGeom prst="rect">
          <a:avLst/>
        </a:prstGeom>
        <a:noFill/>
        <a:ln w="9525">
          <a:noFill/>
          <a:miter lim="800000"/>
          <a:headEnd/>
          <a:tailEnd/>
        </a:ln>
      </xdr:spPr>
    </xdr:pic>
    <xdr:clientData/>
  </xdr:twoCellAnchor>
  <xdr:twoCellAnchor editAs="oneCell">
    <xdr:from>
      <xdr:col>0</xdr:col>
      <xdr:colOff>38100</xdr:colOff>
      <xdr:row>41</xdr:row>
      <xdr:rowOff>104775</xdr:rowOff>
    </xdr:from>
    <xdr:to>
      <xdr:col>1</xdr:col>
      <xdr:colOff>0</xdr:colOff>
      <xdr:row>43</xdr:row>
      <xdr:rowOff>19050</xdr:rowOff>
    </xdr:to>
    <xdr:pic>
      <xdr:nvPicPr>
        <xdr:cNvPr id="3077" name="Рисунок 2">
          <a:hlinkClick xmlns:r="http://schemas.openxmlformats.org/officeDocument/2006/relationships" r:id="rId4"/>
        </xdr:cNvPr>
        <xdr:cNvPicPr>
          <a:picLocks noChangeAspect="1"/>
        </xdr:cNvPicPr>
      </xdr:nvPicPr>
      <xdr:blipFill>
        <a:blip xmlns:r="http://schemas.openxmlformats.org/officeDocument/2006/relationships" r:embed="rId5" cstate="print"/>
        <a:srcRect/>
        <a:stretch>
          <a:fillRect/>
        </a:stretch>
      </xdr:blipFill>
      <xdr:spPr bwMode="auto">
        <a:xfrm>
          <a:off x="38100" y="27660600"/>
          <a:ext cx="657225" cy="657225"/>
        </a:xfrm>
        <a:prstGeom prst="rect">
          <a:avLst/>
        </a:prstGeom>
        <a:noFill/>
        <a:ln w="9525">
          <a:noFill/>
          <a:miter lim="800000"/>
          <a:headEnd/>
          <a:tailEnd/>
        </a:ln>
      </xdr:spPr>
    </xdr:pic>
    <xdr:clientData/>
  </xdr:twoCellAnchor>
  <xdr:twoCellAnchor editAs="oneCell">
    <xdr:from>
      <xdr:col>0</xdr:col>
      <xdr:colOff>0</xdr:colOff>
      <xdr:row>67</xdr:row>
      <xdr:rowOff>209550</xdr:rowOff>
    </xdr:from>
    <xdr:to>
      <xdr:col>0</xdr:col>
      <xdr:colOff>666750</xdr:colOff>
      <xdr:row>69</xdr:row>
      <xdr:rowOff>133350</xdr:rowOff>
    </xdr:to>
    <xdr:pic>
      <xdr:nvPicPr>
        <xdr:cNvPr id="3078" name="Рисунок 7">
          <a:hlinkClick xmlns:r="http://schemas.openxmlformats.org/officeDocument/2006/relationships" r:id="rId6"/>
        </xdr:cNvPr>
        <xdr:cNvPicPr>
          <a:picLocks noChangeAspect="1"/>
        </xdr:cNvPicPr>
      </xdr:nvPicPr>
      <xdr:blipFill>
        <a:blip xmlns:r="http://schemas.openxmlformats.org/officeDocument/2006/relationships" r:embed="rId5" cstate="print"/>
        <a:srcRect/>
        <a:stretch>
          <a:fillRect/>
        </a:stretch>
      </xdr:blipFill>
      <xdr:spPr bwMode="auto">
        <a:xfrm>
          <a:off x="0" y="38242875"/>
          <a:ext cx="666750" cy="666750"/>
        </a:xfrm>
        <a:prstGeom prst="rect">
          <a:avLst/>
        </a:prstGeom>
        <a:noFill/>
        <a:ln w="9525">
          <a:noFill/>
          <a:miter lim="800000"/>
          <a:headEnd/>
          <a:tailEnd/>
        </a:ln>
      </xdr:spPr>
    </xdr:pic>
    <xdr:clientData/>
  </xdr:twoCellAnchor>
  <xdr:twoCellAnchor editAs="oneCell">
    <xdr:from>
      <xdr:col>0</xdr:col>
      <xdr:colOff>0</xdr:colOff>
      <xdr:row>54</xdr:row>
      <xdr:rowOff>47625</xdr:rowOff>
    </xdr:from>
    <xdr:to>
      <xdr:col>0</xdr:col>
      <xdr:colOff>666750</xdr:colOff>
      <xdr:row>55</xdr:row>
      <xdr:rowOff>361950</xdr:rowOff>
    </xdr:to>
    <xdr:pic>
      <xdr:nvPicPr>
        <xdr:cNvPr id="3079" name="Рисунок 8">
          <a:hlinkClick xmlns:r="http://schemas.openxmlformats.org/officeDocument/2006/relationships" r:id="rId7"/>
        </xdr:cNvPr>
        <xdr:cNvPicPr>
          <a:picLocks noChangeAspect="1"/>
        </xdr:cNvPicPr>
      </xdr:nvPicPr>
      <xdr:blipFill>
        <a:blip xmlns:r="http://schemas.openxmlformats.org/officeDocument/2006/relationships" r:embed="rId5" cstate="print"/>
        <a:srcRect/>
        <a:stretch>
          <a:fillRect/>
        </a:stretch>
      </xdr:blipFill>
      <xdr:spPr bwMode="auto">
        <a:xfrm>
          <a:off x="0" y="32842200"/>
          <a:ext cx="666750" cy="666750"/>
        </a:xfrm>
        <a:prstGeom prst="rect">
          <a:avLst/>
        </a:prstGeom>
        <a:noFill/>
        <a:ln w="9525">
          <a:noFill/>
          <a:miter lim="800000"/>
          <a:headEnd/>
          <a:tailEnd/>
        </a:ln>
      </xdr:spPr>
    </xdr:pic>
    <xdr:clientData/>
  </xdr:twoCellAnchor>
  <xdr:twoCellAnchor editAs="oneCell">
    <xdr:from>
      <xdr:col>0</xdr:col>
      <xdr:colOff>0</xdr:colOff>
      <xdr:row>80</xdr:row>
      <xdr:rowOff>276225</xdr:rowOff>
    </xdr:from>
    <xdr:to>
      <xdr:col>0</xdr:col>
      <xdr:colOff>666750</xdr:colOff>
      <xdr:row>82</xdr:row>
      <xdr:rowOff>209550</xdr:rowOff>
    </xdr:to>
    <xdr:pic>
      <xdr:nvPicPr>
        <xdr:cNvPr id="3080" name="Рисунок 9">
          <a:hlinkClick xmlns:r="http://schemas.openxmlformats.org/officeDocument/2006/relationships" r:id="rId8"/>
        </xdr:cNvPr>
        <xdr:cNvPicPr>
          <a:picLocks noChangeAspect="1"/>
        </xdr:cNvPicPr>
      </xdr:nvPicPr>
      <xdr:blipFill>
        <a:blip xmlns:r="http://schemas.openxmlformats.org/officeDocument/2006/relationships" r:embed="rId5" cstate="print"/>
        <a:srcRect/>
        <a:stretch>
          <a:fillRect/>
        </a:stretch>
      </xdr:blipFill>
      <xdr:spPr bwMode="auto">
        <a:xfrm>
          <a:off x="0" y="43605450"/>
          <a:ext cx="666750" cy="676275"/>
        </a:xfrm>
        <a:prstGeom prst="rect">
          <a:avLst/>
        </a:prstGeom>
        <a:noFill/>
        <a:ln w="9525">
          <a:noFill/>
          <a:miter lim="800000"/>
          <a:headEnd/>
          <a:tailEnd/>
        </a:ln>
      </xdr:spPr>
    </xdr:pic>
    <xdr:clientData/>
  </xdr:twoCellAnchor>
  <xdr:twoCellAnchor editAs="oneCell">
    <xdr:from>
      <xdr:col>0</xdr:col>
      <xdr:colOff>0</xdr:colOff>
      <xdr:row>93</xdr:row>
      <xdr:rowOff>66675</xdr:rowOff>
    </xdr:from>
    <xdr:to>
      <xdr:col>0</xdr:col>
      <xdr:colOff>666750</xdr:colOff>
      <xdr:row>95</xdr:row>
      <xdr:rowOff>0</xdr:rowOff>
    </xdr:to>
    <xdr:pic>
      <xdr:nvPicPr>
        <xdr:cNvPr id="3081" name="Рисунок 10">
          <a:hlinkClick xmlns:r="http://schemas.openxmlformats.org/officeDocument/2006/relationships" r:id="rId9"/>
        </xdr:cNvPr>
        <xdr:cNvPicPr>
          <a:picLocks noChangeAspect="1"/>
        </xdr:cNvPicPr>
      </xdr:nvPicPr>
      <xdr:blipFill>
        <a:blip xmlns:r="http://schemas.openxmlformats.org/officeDocument/2006/relationships" r:embed="rId5" cstate="print"/>
        <a:srcRect/>
        <a:stretch>
          <a:fillRect/>
        </a:stretch>
      </xdr:blipFill>
      <xdr:spPr bwMode="auto">
        <a:xfrm>
          <a:off x="0" y="48644175"/>
          <a:ext cx="666750" cy="676275"/>
        </a:xfrm>
        <a:prstGeom prst="rect">
          <a:avLst/>
        </a:prstGeom>
        <a:noFill/>
        <a:ln w="9525">
          <a:noFill/>
          <a:miter lim="800000"/>
          <a:headEnd/>
          <a:tailEnd/>
        </a:ln>
      </xdr:spPr>
    </xdr:pic>
    <xdr:clientData/>
  </xdr:twoCellAnchor>
  <xdr:twoCellAnchor editAs="oneCell">
    <xdr:from>
      <xdr:col>0</xdr:col>
      <xdr:colOff>0</xdr:colOff>
      <xdr:row>106</xdr:row>
      <xdr:rowOff>171450</xdr:rowOff>
    </xdr:from>
    <xdr:to>
      <xdr:col>0</xdr:col>
      <xdr:colOff>666750</xdr:colOff>
      <xdr:row>108</xdr:row>
      <xdr:rowOff>95250</xdr:rowOff>
    </xdr:to>
    <xdr:pic>
      <xdr:nvPicPr>
        <xdr:cNvPr id="3082" name="Рисунок 11">
          <a:hlinkClick xmlns:r="http://schemas.openxmlformats.org/officeDocument/2006/relationships" r:id="rId10"/>
        </xdr:cNvPr>
        <xdr:cNvPicPr>
          <a:picLocks noChangeAspect="1"/>
        </xdr:cNvPicPr>
      </xdr:nvPicPr>
      <xdr:blipFill>
        <a:blip xmlns:r="http://schemas.openxmlformats.org/officeDocument/2006/relationships" r:embed="rId5" cstate="print"/>
        <a:srcRect/>
        <a:stretch>
          <a:fillRect/>
        </a:stretch>
      </xdr:blipFill>
      <xdr:spPr bwMode="auto">
        <a:xfrm>
          <a:off x="0" y="54016275"/>
          <a:ext cx="666750" cy="666750"/>
        </a:xfrm>
        <a:prstGeom prst="rect">
          <a:avLst/>
        </a:prstGeom>
        <a:noFill/>
        <a:ln w="9525">
          <a:noFill/>
          <a:miter lim="800000"/>
          <a:headEnd/>
          <a:tailEnd/>
        </a:ln>
      </xdr:spPr>
    </xdr:pic>
    <xdr:clientData/>
  </xdr:twoCellAnchor>
  <xdr:twoCellAnchor editAs="oneCell">
    <xdr:from>
      <xdr:col>0</xdr:col>
      <xdr:colOff>0</xdr:colOff>
      <xdr:row>119</xdr:row>
      <xdr:rowOff>114300</xdr:rowOff>
    </xdr:from>
    <xdr:to>
      <xdr:col>0</xdr:col>
      <xdr:colOff>666750</xdr:colOff>
      <xdr:row>121</xdr:row>
      <xdr:rowOff>57150</xdr:rowOff>
    </xdr:to>
    <xdr:pic>
      <xdr:nvPicPr>
        <xdr:cNvPr id="3083" name="Рисунок 12">
          <a:hlinkClick xmlns:r="http://schemas.openxmlformats.org/officeDocument/2006/relationships" r:id="rId11"/>
        </xdr:cNvPr>
        <xdr:cNvPicPr>
          <a:picLocks noChangeAspect="1"/>
        </xdr:cNvPicPr>
      </xdr:nvPicPr>
      <xdr:blipFill>
        <a:blip xmlns:r="http://schemas.openxmlformats.org/officeDocument/2006/relationships" r:embed="rId5" cstate="print"/>
        <a:srcRect/>
        <a:stretch>
          <a:fillRect/>
        </a:stretch>
      </xdr:blipFill>
      <xdr:spPr bwMode="auto">
        <a:xfrm>
          <a:off x="0" y="59197875"/>
          <a:ext cx="666750" cy="685800"/>
        </a:xfrm>
        <a:prstGeom prst="rect">
          <a:avLst/>
        </a:prstGeom>
        <a:noFill/>
        <a:ln w="9525">
          <a:noFill/>
          <a:miter lim="800000"/>
          <a:headEnd/>
          <a:tailEnd/>
        </a:ln>
      </xdr:spPr>
    </xdr:pic>
    <xdr:clientData/>
  </xdr:twoCellAnchor>
  <xdr:twoCellAnchor editAs="oneCell">
    <xdr:from>
      <xdr:col>0</xdr:col>
      <xdr:colOff>0</xdr:colOff>
      <xdr:row>132</xdr:row>
      <xdr:rowOff>133350</xdr:rowOff>
    </xdr:from>
    <xdr:to>
      <xdr:col>0</xdr:col>
      <xdr:colOff>666750</xdr:colOff>
      <xdr:row>134</xdr:row>
      <xdr:rowOff>76200</xdr:rowOff>
    </xdr:to>
    <xdr:pic>
      <xdr:nvPicPr>
        <xdr:cNvPr id="3084" name="Рисунок 13">
          <a:hlinkClick xmlns:r="http://schemas.openxmlformats.org/officeDocument/2006/relationships" r:id="rId12"/>
        </xdr:cNvPr>
        <xdr:cNvPicPr>
          <a:picLocks noChangeAspect="1"/>
        </xdr:cNvPicPr>
      </xdr:nvPicPr>
      <xdr:blipFill>
        <a:blip xmlns:r="http://schemas.openxmlformats.org/officeDocument/2006/relationships" r:embed="rId5" cstate="print"/>
        <a:srcRect/>
        <a:stretch>
          <a:fillRect/>
        </a:stretch>
      </xdr:blipFill>
      <xdr:spPr bwMode="auto">
        <a:xfrm>
          <a:off x="0" y="64484250"/>
          <a:ext cx="666750" cy="685800"/>
        </a:xfrm>
        <a:prstGeom prst="rect">
          <a:avLst/>
        </a:prstGeom>
        <a:noFill/>
        <a:ln w="9525">
          <a:noFill/>
          <a:miter lim="800000"/>
          <a:headEnd/>
          <a:tailEnd/>
        </a:ln>
      </xdr:spPr>
    </xdr:pic>
    <xdr:clientData/>
  </xdr:twoCellAnchor>
  <xdr:twoCellAnchor editAs="oneCell">
    <xdr:from>
      <xdr:col>0</xdr:col>
      <xdr:colOff>47625</xdr:colOff>
      <xdr:row>145</xdr:row>
      <xdr:rowOff>180975</xdr:rowOff>
    </xdr:from>
    <xdr:to>
      <xdr:col>1</xdr:col>
      <xdr:colOff>19050</xdr:colOff>
      <xdr:row>147</xdr:row>
      <xdr:rowOff>133350</xdr:rowOff>
    </xdr:to>
    <xdr:pic>
      <xdr:nvPicPr>
        <xdr:cNvPr id="3085" name="Рисунок 14">
          <a:hlinkClick xmlns:r="http://schemas.openxmlformats.org/officeDocument/2006/relationships" r:id="rId13"/>
        </xdr:cNvPr>
        <xdr:cNvPicPr>
          <a:picLocks noChangeAspect="1"/>
        </xdr:cNvPicPr>
      </xdr:nvPicPr>
      <xdr:blipFill>
        <a:blip xmlns:r="http://schemas.openxmlformats.org/officeDocument/2006/relationships" r:embed="rId5" cstate="print"/>
        <a:srcRect/>
        <a:stretch>
          <a:fillRect/>
        </a:stretch>
      </xdr:blipFill>
      <xdr:spPr bwMode="auto">
        <a:xfrm>
          <a:off x="47625" y="69770625"/>
          <a:ext cx="666750" cy="695325"/>
        </a:xfrm>
        <a:prstGeom prst="rect">
          <a:avLst/>
        </a:prstGeom>
        <a:noFill/>
        <a:ln w="9525">
          <a:noFill/>
          <a:miter lim="800000"/>
          <a:headEnd/>
          <a:tailEnd/>
        </a:ln>
      </xdr:spPr>
    </xdr:pic>
    <xdr:clientData/>
  </xdr:twoCellAnchor>
  <xdr:twoCellAnchor editAs="oneCell">
    <xdr:from>
      <xdr:col>0</xdr:col>
      <xdr:colOff>28575</xdr:colOff>
      <xdr:row>158</xdr:row>
      <xdr:rowOff>266700</xdr:rowOff>
    </xdr:from>
    <xdr:to>
      <xdr:col>1</xdr:col>
      <xdr:colOff>0</xdr:colOff>
      <xdr:row>160</xdr:row>
      <xdr:rowOff>209550</xdr:rowOff>
    </xdr:to>
    <xdr:pic>
      <xdr:nvPicPr>
        <xdr:cNvPr id="3086" name="Рисунок 15">
          <a:hlinkClick xmlns:r="http://schemas.openxmlformats.org/officeDocument/2006/relationships" r:id="rId14"/>
        </xdr:cNvPr>
        <xdr:cNvPicPr>
          <a:picLocks noChangeAspect="1"/>
        </xdr:cNvPicPr>
      </xdr:nvPicPr>
      <xdr:blipFill>
        <a:blip xmlns:r="http://schemas.openxmlformats.org/officeDocument/2006/relationships" r:embed="rId5" cstate="print"/>
        <a:srcRect/>
        <a:stretch>
          <a:fillRect/>
        </a:stretch>
      </xdr:blipFill>
      <xdr:spPr bwMode="auto">
        <a:xfrm>
          <a:off x="28575" y="75104625"/>
          <a:ext cx="666750" cy="685800"/>
        </a:xfrm>
        <a:prstGeom prst="rect">
          <a:avLst/>
        </a:prstGeom>
        <a:noFill/>
        <a:ln w="9525">
          <a:noFill/>
          <a:miter lim="800000"/>
          <a:headEnd/>
          <a:tailEnd/>
        </a:ln>
      </xdr:spPr>
    </xdr:pic>
    <xdr:clientData/>
  </xdr:twoCellAnchor>
  <xdr:twoCellAnchor editAs="oneCell">
    <xdr:from>
      <xdr:col>0</xdr:col>
      <xdr:colOff>0</xdr:colOff>
      <xdr:row>171</xdr:row>
      <xdr:rowOff>104775</xdr:rowOff>
    </xdr:from>
    <xdr:to>
      <xdr:col>0</xdr:col>
      <xdr:colOff>666750</xdr:colOff>
      <xdr:row>173</xdr:row>
      <xdr:rowOff>57150</xdr:rowOff>
    </xdr:to>
    <xdr:pic>
      <xdr:nvPicPr>
        <xdr:cNvPr id="3087" name="Рисунок 16">
          <a:hlinkClick xmlns:r="http://schemas.openxmlformats.org/officeDocument/2006/relationships" r:id="rId15"/>
        </xdr:cNvPr>
        <xdr:cNvPicPr>
          <a:picLocks noChangeAspect="1"/>
        </xdr:cNvPicPr>
      </xdr:nvPicPr>
      <xdr:blipFill>
        <a:blip xmlns:r="http://schemas.openxmlformats.org/officeDocument/2006/relationships" r:embed="rId5" cstate="print"/>
        <a:srcRect/>
        <a:stretch>
          <a:fillRect/>
        </a:stretch>
      </xdr:blipFill>
      <xdr:spPr bwMode="auto">
        <a:xfrm>
          <a:off x="0" y="80200500"/>
          <a:ext cx="666750" cy="695325"/>
        </a:xfrm>
        <a:prstGeom prst="rect">
          <a:avLst/>
        </a:prstGeom>
        <a:noFill/>
        <a:ln w="9525">
          <a:noFill/>
          <a:miter lim="800000"/>
          <a:headEnd/>
          <a:tailEnd/>
        </a:ln>
      </xdr:spPr>
    </xdr:pic>
    <xdr:clientData/>
  </xdr:twoCellAnchor>
  <xdr:twoCellAnchor editAs="oneCell">
    <xdr:from>
      <xdr:col>0</xdr:col>
      <xdr:colOff>19050</xdr:colOff>
      <xdr:row>184</xdr:row>
      <xdr:rowOff>142875</xdr:rowOff>
    </xdr:from>
    <xdr:to>
      <xdr:col>1</xdr:col>
      <xdr:colOff>0</xdr:colOff>
      <xdr:row>186</xdr:row>
      <xdr:rowOff>95250</xdr:rowOff>
    </xdr:to>
    <xdr:pic>
      <xdr:nvPicPr>
        <xdr:cNvPr id="3088" name="Рисунок 17">
          <a:hlinkClick xmlns:r="http://schemas.openxmlformats.org/officeDocument/2006/relationships" r:id="rId16"/>
        </xdr:cNvPr>
        <xdr:cNvPicPr>
          <a:picLocks noChangeAspect="1"/>
        </xdr:cNvPicPr>
      </xdr:nvPicPr>
      <xdr:blipFill>
        <a:blip xmlns:r="http://schemas.openxmlformats.org/officeDocument/2006/relationships" r:embed="rId5" cstate="print"/>
        <a:srcRect/>
        <a:stretch>
          <a:fillRect/>
        </a:stretch>
      </xdr:blipFill>
      <xdr:spPr bwMode="auto">
        <a:xfrm>
          <a:off x="19050" y="85544025"/>
          <a:ext cx="676275" cy="695325"/>
        </a:xfrm>
        <a:prstGeom prst="rect">
          <a:avLst/>
        </a:prstGeom>
        <a:noFill/>
        <a:ln w="9525">
          <a:noFill/>
          <a:miter lim="800000"/>
          <a:headEnd/>
          <a:tailEnd/>
        </a:ln>
      </xdr:spPr>
    </xdr:pic>
    <xdr:clientData/>
  </xdr:twoCellAnchor>
  <xdr:twoCellAnchor editAs="oneCell">
    <xdr:from>
      <xdr:col>0</xdr:col>
      <xdr:colOff>0</xdr:colOff>
      <xdr:row>197</xdr:row>
      <xdr:rowOff>142875</xdr:rowOff>
    </xdr:from>
    <xdr:to>
      <xdr:col>0</xdr:col>
      <xdr:colOff>666750</xdr:colOff>
      <xdr:row>199</xdr:row>
      <xdr:rowOff>95250</xdr:rowOff>
    </xdr:to>
    <xdr:pic>
      <xdr:nvPicPr>
        <xdr:cNvPr id="3089" name="Рисунок 18">
          <a:hlinkClick xmlns:r="http://schemas.openxmlformats.org/officeDocument/2006/relationships" r:id="rId17"/>
        </xdr:cNvPr>
        <xdr:cNvPicPr>
          <a:picLocks noChangeAspect="1"/>
        </xdr:cNvPicPr>
      </xdr:nvPicPr>
      <xdr:blipFill>
        <a:blip xmlns:r="http://schemas.openxmlformats.org/officeDocument/2006/relationships" r:embed="rId5" cstate="print"/>
        <a:srcRect/>
        <a:stretch>
          <a:fillRect/>
        </a:stretch>
      </xdr:blipFill>
      <xdr:spPr bwMode="auto">
        <a:xfrm>
          <a:off x="0" y="90811350"/>
          <a:ext cx="666750" cy="695325"/>
        </a:xfrm>
        <a:prstGeom prst="rect">
          <a:avLst/>
        </a:prstGeom>
        <a:noFill/>
        <a:ln w="9525">
          <a:noFill/>
          <a:miter lim="800000"/>
          <a:headEnd/>
          <a:tailEnd/>
        </a:ln>
      </xdr:spPr>
    </xdr:pic>
    <xdr:clientData/>
  </xdr:twoCellAnchor>
  <xdr:twoCellAnchor editAs="oneCell">
    <xdr:from>
      <xdr:col>0</xdr:col>
      <xdr:colOff>38100</xdr:colOff>
      <xdr:row>210</xdr:row>
      <xdr:rowOff>190500</xdr:rowOff>
    </xdr:from>
    <xdr:to>
      <xdr:col>1</xdr:col>
      <xdr:colOff>0</xdr:colOff>
      <xdr:row>212</xdr:row>
      <xdr:rowOff>152400</xdr:rowOff>
    </xdr:to>
    <xdr:pic>
      <xdr:nvPicPr>
        <xdr:cNvPr id="3090" name="Рисунок 19">
          <a:hlinkClick xmlns:r="http://schemas.openxmlformats.org/officeDocument/2006/relationships" r:id="rId18"/>
        </xdr:cNvPr>
        <xdr:cNvPicPr>
          <a:picLocks noChangeAspect="1"/>
        </xdr:cNvPicPr>
      </xdr:nvPicPr>
      <xdr:blipFill>
        <a:blip xmlns:r="http://schemas.openxmlformats.org/officeDocument/2006/relationships" r:embed="rId5" cstate="print"/>
        <a:srcRect/>
        <a:stretch>
          <a:fillRect/>
        </a:stretch>
      </xdr:blipFill>
      <xdr:spPr bwMode="auto">
        <a:xfrm>
          <a:off x="38100" y="96126300"/>
          <a:ext cx="657225" cy="704850"/>
        </a:xfrm>
        <a:prstGeom prst="rect">
          <a:avLst/>
        </a:prstGeom>
        <a:noFill/>
        <a:ln w="9525">
          <a:noFill/>
          <a:miter lim="800000"/>
          <a:headEnd/>
          <a:tailEnd/>
        </a:ln>
      </xdr:spPr>
    </xdr:pic>
    <xdr:clientData/>
  </xdr:twoCellAnchor>
  <xdr:twoCellAnchor editAs="oneCell">
    <xdr:from>
      <xdr:col>0</xdr:col>
      <xdr:colOff>0</xdr:colOff>
      <xdr:row>223</xdr:row>
      <xdr:rowOff>152400</xdr:rowOff>
    </xdr:from>
    <xdr:to>
      <xdr:col>0</xdr:col>
      <xdr:colOff>666750</xdr:colOff>
      <xdr:row>225</xdr:row>
      <xdr:rowOff>114300</xdr:rowOff>
    </xdr:to>
    <xdr:pic>
      <xdr:nvPicPr>
        <xdr:cNvPr id="3091" name="Рисунок 20">
          <a:hlinkClick xmlns:r="http://schemas.openxmlformats.org/officeDocument/2006/relationships" r:id="rId19"/>
        </xdr:cNvPr>
        <xdr:cNvPicPr>
          <a:picLocks noChangeAspect="1"/>
        </xdr:cNvPicPr>
      </xdr:nvPicPr>
      <xdr:blipFill>
        <a:blip xmlns:r="http://schemas.openxmlformats.org/officeDocument/2006/relationships" r:embed="rId5" cstate="print"/>
        <a:srcRect/>
        <a:stretch>
          <a:fillRect/>
        </a:stretch>
      </xdr:blipFill>
      <xdr:spPr bwMode="auto">
        <a:xfrm>
          <a:off x="0" y="101355525"/>
          <a:ext cx="666750" cy="704850"/>
        </a:xfrm>
        <a:prstGeom prst="rect">
          <a:avLst/>
        </a:prstGeom>
        <a:noFill/>
        <a:ln w="9525">
          <a:noFill/>
          <a:miter lim="800000"/>
          <a:headEnd/>
          <a:tailEnd/>
        </a:ln>
      </xdr:spPr>
    </xdr:pic>
    <xdr:clientData/>
  </xdr:twoCellAnchor>
  <xdr:twoCellAnchor editAs="oneCell">
    <xdr:from>
      <xdr:col>0</xdr:col>
      <xdr:colOff>0</xdr:colOff>
      <xdr:row>236</xdr:row>
      <xdr:rowOff>57150</xdr:rowOff>
    </xdr:from>
    <xdr:to>
      <xdr:col>0</xdr:col>
      <xdr:colOff>666750</xdr:colOff>
      <xdr:row>238</xdr:row>
      <xdr:rowOff>19050</xdr:rowOff>
    </xdr:to>
    <xdr:pic>
      <xdr:nvPicPr>
        <xdr:cNvPr id="3092" name="Рисунок 21">
          <a:hlinkClick xmlns:r="http://schemas.openxmlformats.org/officeDocument/2006/relationships" r:id="rId20"/>
        </xdr:cNvPr>
        <xdr:cNvPicPr>
          <a:picLocks noChangeAspect="1"/>
        </xdr:cNvPicPr>
      </xdr:nvPicPr>
      <xdr:blipFill>
        <a:blip xmlns:r="http://schemas.openxmlformats.org/officeDocument/2006/relationships" r:embed="rId5" cstate="print"/>
        <a:srcRect/>
        <a:stretch>
          <a:fillRect/>
        </a:stretch>
      </xdr:blipFill>
      <xdr:spPr bwMode="auto">
        <a:xfrm>
          <a:off x="0" y="106527600"/>
          <a:ext cx="666750" cy="704850"/>
        </a:xfrm>
        <a:prstGeom prst="rect">
          <a:avLst/>
        </a:prstGeom>
        <a:noFill/>
        <a:ln w="9525">
          <a:noFill/>
          <a:miter lim="800000"/>
          <a:headEnd/>
          <a:tailEnd/>
        </a:ln>
      </xdr:spPr>
    </xdr:pic>
    <xdr:clientData/>
  </xdr:twoCellAnchor>
  <xdr:twoCellAnchor editAs="oneCell">
    <xdr:from>
      <xdr:col>0</xdr:col>
      <xdr:colOff>0</xdr:colOff>
      <xdr:row>249</xdr:row>
      <xdr:rowOff>247650</xdr:rowOff>
    </xdr:from>
    <xdr:to>
      <xdr:col>0</xdr:col>
      <xdr:colOff>666750</xdr:colOff>
      <xdr:row>251</xdr:row>
      <xdr:rowOff>209550</xdr:rowOff>
    </xdr:to>
    <xdr:pic>
      <xdr:nvPicPr>
        <xdr:cNvPr id="3093" name="Рисунок 22">
          <a:hlinkClick xmlns:r="http://schemas.openxmlformats.org/officeDocument/2006/relationships" r:id="rId21"/>
        </xdr:cNvPr>
        <xdr:cNvPicPr>
          <a:picLocks noChangeAspect="1"/>
        </xdr:cNvPicPr>
      </xdr:nvPicPr>
      <xdr:blipFill>
        <a:blip xmlns:r="http://schemas.openxmlformats.org/officeDocument/2006/relationships" r:embed="rId5" cstate="print"/>
        <a:srcRect/>
        <a:stretch>
          <a:fillRect/>
        </a:stretch>
      </xdr:blipFill>
      <xdr:spPr bwMode="auto">
        <a:xfrm>
          <a:off x="0" y="111985425"/>
          <a:ext cx="666750" cy="704850"/>
        </a:xfrm>
        <a:prstGeom prst="rect">
          <a:avLst/>
        </a:prstGeom>
        <a:noFill/>
        <a:ln w="9525">
          <a:noFill/>
          <a:miter lim="800000"/>
          <a:headEnd/>
          <a:tailEnd/>
        </a:ln>
      </xdr:spPr>
    </xdr:pic>
    <xdr:clientData/>
  </xdr:twoCellAnchor>
  <xdr:twoCellAnchor editAs="oneCell">
    <xdr:from>
      <xdr:col>0</xdr:col>
      <xdr:colOff>0</xdr:colOff>
      <xdr:row>262</xdr:row>
      <xdr:rowOff>200025</xdr:rowOff>
    </xdr:from>
    <xdr:to>
      <xdr:col>0</xdr:col>
      <xdr:colOff>666750</xdr:colOff>
      <xdr:row>264</xdr:row>
      <xdr:rowOff>171450</xdr:rowOff>
    </xdr:to>
    <xdr:pic>
      <xdr:nvPicPr>
        <xdr:cNvPr id="3094" name="Рисунок 23">
          <a:hlinkClick xmlns:r="http://schemas.openxmlformats.org/officeDocument/2006/relationships" r:id="rId22"/>
        </xdr:cNvPr>
        <xdr:cNvPicPr>
          <a:picLocks noChangeAspect="1"/>
        </xdr:cNvPicPr>
      </xdr:nvPicPr>
      <xdr:blipFill>
        <a:blip xmlns:r="http://schemas.openxmlformats.org/officeDocument/2006/relationships" r:embed="rId5" cstate="print"/>
        <a:srcRect/>
        <a:stretch>
          <a:fillRect/>
        </a:stretch>
      </xdr:blipFill>
      <xdr:spPr bwMode="auto">
        <a:xfrm>
          <a:off x="0" y="117205125"/>
          <a:ext cx="666750" cy="714375"/>
        </a:xfrm>
        <a:prstGeom prst="rect">
          <a:avLst/>
        </a:prstGeom>
        <a:noFill/>
        <a:ln w="9525">
          <a:noFill/>
          <a:miter lim="800000"/>
          <a:headEnd/>
          <a:tailEnd/>
        </a:ln>
      </xdr:spPr>
    </xdr:pic>
    <xdr:clientData/>
  </xdr:twoCellAnchor>
  <xdr:twoCellAnchor editAs="oneCell">
    <xdr:from>
      <xdr:col>0</xdr:col>
      <xdr:colOff>0</xdr:colOff>
      <xdr:row>275</xdr:row>
      <xdr:rowOff>161925</xdr:rowOff>
    </xdr:from>
    <xdr:to>
      <xdr:col>0</xdr:col>
      <xdr:colOff>666750</xdr:colOff>
      <xdr:row>277</xdr:row>
      <xdr:rowOff>133350</xdr:rowOff>
    </xdr:to>
    <xdr:pic>
      <xdr:nvPicPr>
        <xdr:cNvPr id="3095" name="Рисунок 24">
          <a:hlinkClick xmlns:r="http://schemas.openxmlformats.org/officeDocument/2006/relationships" r:id="rId23"/>
        </xdr:cNvPr>
        <xdr:cNvPicPr>
          <a:picLocks noChangeAspect="1"/>
        </xdr:cNvPicPr>
      </xdr:nvPicPr>
      <xdr:blipFill>
        <a:blip xmlns:r="http://schemas.openxmlformats.org/officeDocument/2006/relationships" r:embed="rId5" cstate="print"/>
        <a:srcRect/>
        <a:stretch>
          <a:fillRect/>
        </a:stretch>
      </xdr:blipFill>
      <xdr:spPr bwMode="auto">
        <a:xfrm>
          <a:off x="0" y="122434350"/>
          <a:ext cx="666750" cy="714375"/>
        </a:xfrm>
        <a:prstGeom prst="rect">
          <a:avLst/>
        </a:prstGeom>
        <a:noFill/>
        <a:ln w="9525">
          <a:noFill/>
          <a:miter lim="800000"/>
          <a:headEnd/>
          <a:tailEnd/>
        </a:ln>
      </xdr:spPr>
    </xdr:pic>
    <xdr:clientData/>
  </xdr:twoCellAnchor>
  <xdr:twoCellAnchor editAs="oneCell">
    <xdr:from>
      <xdr:col>0</xdr:col>
      <xdr:colOff>19050</xdr:colOff>
      <xdr:row>288</xdr:row>
      <xdr:rowOff>171450</xdr:rowOff>
    </xdr:from>
    <xdr:to>
      <xdr:col>0</xdr:col>
      <xdr:colOff>685800</xdr:colOff>
      <xdr:row>290</xdr:row>
      <xdr:rowOff>133350</xdr:rowOff>
    </xdr:to>
    <xdr:pic>
      <xdr:nvPicPr>
        <xdr:cNvPr id="3096" name="Рисунок 25">
          <a:hlinkClick xmlns:r="http://schemas.openxmlformats.org/officeDocument/2006/relationships" r:id="rId24"/>
        </xdr:cNvPr>
        <xdr:cNvPicPr>
          <a:picLocks noChangeAspect="1"/>
        </xdr:cNvPicPr>
      </xdr:nvPicPr>
      <xdr:blipFill>
        <a:blip xmlns:r="http://schemas.openxmlformats.org/officeDocument/2006/relationships" r:embed="rId5" cstate="print"/>
        <a:srcRect/>
        <a:stretch>
          <a:fillRect/>
        </a:stretch>
      </xdr:blipFill>
      <xdr:spPr bwMode="auto">
        <a:xfrm>
          <a:off x="19050" y="127711200"/>
          <a:ext cx="666750" cy="704850"/>
        </a:xfrm>
        <a:prstGeom prst="rect">
          <a:avLst/>
        </a:prstGeom>
        <a:noFill/>
        <a:ln w="9525">
          <a:noFill/>
          <a:miter lim="800000"/>
          <a:headEnd/>
          <a:tailEnd/>
        </a:ln>
      </xdr:spPr>
    </xdr:pic>
    <xdr:clientData/>
  </xdr:twoCellAnchor>
  <xdr:twoCellAnchor editAs="oneCell">
    <xdr:from>
      <xdr:col>0</xdr:col>
      <xdr:colOff>19050</xdr:colOff>
      <xdr:row>301</xdr:row>
      <xdr:rowOff>66675</xdr:rowOff>
    </xdr:from>
    <xdr:to>
      <xdr:col>0</xdr:col>
      <xdr:colOff>685800</xdr:colOff>
      <xdr:row>303</xdr:row>
      <xdr:rowOff>19050</xdr:rowOff>
    </xdr:to>
    <xdr:pic>
      <xdr:nvPicPr>
        <xdr:cNvPr id="3097" name="Рисунок 26">
          <a:hlinkClick xmlns:r="http://schemas.openxmlformats.org/officeDocument/2006/relationships" r:id="rId25"/>
        </xdr:cNvPr>
        <xdr:cNvPicPr>
          <a:picLocks noChangeAspect="1"/>
        </xdr:cNvPicPr>
      </xdr:nvPicPr>
      <xdr:blipFill>
        <a:blip xmlns:r="http://schemas.openxmlformats.org/officeDocument/2006/relationships" r:embed="rId5" cstate="print"/>
        <a:srcRect/>
        <a:stretch>
          <a:fillRect/>
        </a:stretch>
      </xdr:blipFill>
      <xdr:spPr bwMode="auto">
        <a:xfrm>
          <a:off x="19050" y="132873750"/>
          <a:ext cx="666750" cy="695325"/>
        </a:xfrm>
        <a:prstGeom prst="rect">
          <a:avLst/>
        </a:prstGeom>
        <a:noFill/>
        <a:ln w="9525">
          <a:noFill/>
          <a:miter lim="800000"/>
          <a:headEnd/>
          <a:tailEnd/>
        </a:ln>
      </xdr:spPr>
    </xdr:pic>
    <xdr:clientData/>
  </xdr:twoCellAnchor>
  <xdr:twoCellAnchor editAs="oneCell">
    <xdr:from>
      <xdr:col>0</xdr:col>
      <xdr:colOff>19050</xdr:colOff>
      <xdr:row>314</xdr:row>
      <xdr:rowOff>47625</xdr:rowOff>
    </xdr:from>
    <xdr:to>
      <xdr:col>0</xdr:col>
      <xdr:colOff>685800</xdr:colOff>
      <xdr:row>1340</xdr:row>
      <xdr:rowOff>314325</xdr:rowOff>
    </xdr:to>
    <xdr:pic>
      <xdr:nvPicPr>
        <xdr:cNvPr id="3098" name="Рисунок 27">
          <a:hlinkClick xmlns:r="http://schemas.openxmlformats.org/officeDocument/2006/relationships" r:id="rId26"/>
        </xdr:cNvPr>
        <xdr:cNvPicPr>
          <a:picLocks noChangeAspect="1"/>
        </xdr:cNvPicPr>
      </xdr:nvPicPr>
      <xdr:blipFill>
        <a:blip xmlns:r="http://schemas.openxmlformats.org/officeDocument/2006/relationships" r:embed="rId5" cstate="print"/>
        <a:srcRect/>
        <a:stretch>
          <a:fillRect/>
        </a:stretch>
      </xdr:blipFill>
      <xdr:spPr bwMode="auto">
        <a:xfrm>
          <a:off x="19050" y="137731500"/>
          <a:ext cx="666750" cy="714375"/>
        </a:xfrm>
        <a:prstGeom prst="rect">
          <a:avLst/>
        </a:prstGeom>
        <a:noFill/>
        <a:ln w="9525">
          <a:noFill/>
          <a:miter lim="800000"/>
          <a:headEnd/>
          <a:tailEnd/>
        </a:ln>
      </xdr:spPr>
    </xdr:pic>
    <xdr:clientData/>
  </xdr:twoCellAnchor>
  <xdr:twoCellAnchor editAs="oneCell">
    <xdr:from>
      <xdr:col>0</xdr:col>
      <xdr:colOff>0</xdr:colOff>
      <xdr:row>327</xdr:row>
      <xdr:rowOff>123825</xdr:rowOff>
    </xdr:from>
    <xdr:to>
      <xdr:col>0</xdr:col>
      <xdr:colOff>666750</xdr:colOff>
      <xdr:row>1340</xdr:row>
      <xdr:rowOff>314325</xdr:rowOff>
    </xdr:to>
    <xdr:pic>
      <xdr:nvPicPr>
        <xdr:cNvPr id="3099" name="Рисунок 28">
          <a:hlinkClick xmlns:r="http://schemas.openxmlformats.org/officeDocument/2006/relationships" r:id="rId27"/>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14375"/>
        </a:xfrm>
        <a:prstGeom prst="rect">
          <a:avLst/>
        </a:prstGeom>
        <a:noFill/>
        <a:ln w="9525">
          <a:noFill/>
          <a:miter lim="800000"/>
          <a:headEnd/>
          <a:tailEnd/>
        </a:ln>
      </xdr:spPr>
    </xdr:pic>
    <xdr:clientData/>
  </xdr:twoCellAnchor>
  <xdr:twoCellAnchor editAs="oneCell">
    <xdr:from>
      <xdr:col>0</xdr:col>
      <xdr:colOff>19050</xdr:colOff>
      <xdr:row>340</xdr:row>
      <xdr:rowOff>161925</xdr:rowOff>
    </xdr:from>
    <xdr:to>
      <xdr:col>0</xdr:col>
      <xdr:colOff>685800</xdr:colOff>
      <xdr:row>1340</xdr:row>
      <xdr:rowOff>314325</xdr:rowOff>
    </xdr:to>
    <xdr:pic>
      <xdr:nvPicPr>
        <xdr:cNvPr id="3100" name="Рисунок 29">
          <a:hlinkClick xmlns:r="http://schemas.openxmlformats.org/officeDocument/2006/relationships" r:id="rId28"/>
        </xdr:cNvPr>
        <xdr:cNvPicPr>
          <a:picLocks noChangeAspect="1"/>
        </xdr:cNvPicPr>
      </xdr:nvPicPr>
      <xdr:blipFill>
        <a:blip xmlns:r="http://schemas.openxmlformats.org/officeDocument/2006/relationships" r:embed="rId5" cstate="print"/>
        <a:srcRect/>
        <a:stretch>
          <a:fillRect/>
        </a:stretch>
      </xdr:blipFill>
      <xdr:spPr bwMode="auto">
        <a:xfrm>
          <a:off x="19050" y="137731500"/>
          <a:ext cx="666750" cy="714375"/>
        </a:xfrm>
        <a:prstGeom prst="rect">
          <a:avLst/>
        </a:prstGeom>
        <a:noFill/>
        <a:ln w="9525">
          <a:noFill/>
          <a:miter lim="800000"/>
          <a:headEnd/>
          <a:tailEnd/>
        </a:ln>
      </xdr:spPr>
    </xdr:pic>
    <xdr:clientData/>
  </xdr:twoCellAnchor>
  <xdr:twoCellAnchor editAs="oneCell">
    <xdr:from>
      <xdr:col>0</xdr:col>
      <xdr:colOff>0</xdr:colOff>
      <xdr:row>353</xdr:row>
      <xdr:rowOff>180975</xdr:rowOff>
    </xdr:from>
    <xdr:to>
      <xdr:col>0</xdr:col>
      <xdr:colOff>666750</xdr:colOff>
      <xdr:row>1340</xdr:row>
      <xdr:rowOff>314325</xdr:rowOff>
    </xdr:to>
    <xdr:pic>
      <xdr:nvPicPr>
        <xdr:cNvPr id="3101" name="Рисунок 30">
          <a:hlinkClick xmlns:r="http://schemas.openxmlformats.org/officeDocument/2006/relationships" r:id="rId29"/>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14375"/>
        </a:xfrm>
        <a:prstGeom prst="rect">
          <a:avLst/>
        </a:prstGeom>
        <a:noFill/>
        <a:ln w="9525">
          <a:noFill/>
          <a:miter lim="800000"/>
          <a:headEnd/>
          <a:tailEnd/>
        </a:ln>
      </xdr:spPr>
    </xdr:pic>
    <xdr:clientData/>
  </xdr:twoCellAnchor>
  <xdr:twoCellAnchor editAs="oneCell">
    <xdr:from>
      <xdr:col>0</xdr:col>
      <xdr:colOff>0</xdr:colOff>
      <xdr:row>366</xdr:row>
      <xdr:rowOff>142875</xdr:rowOff>
    </xdr:from>
    <xdr:to>
      <xdr:col>0</xdr:col>
      <xdr:colOff>666750</xdr:colOff>
      <xdr:row>1340</xdr:row>
      <xdr:rowOff>323850</xdr:rowOff>
    </xdr:to>
    <xdr:pic>
      <xdr:nvPicPr>
        <xdr:cNvPr id="3102" name="Рисунок 31">
          <a:hlinkClick xmlns:r="http://schemas.openxmlformats.org/officeDocument/2006/relationships" r:id="rId30"/>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23900"/>
        </a:xfrm>
        <a:prstGeom prst="rect">
          <a:avLst/>
        </a:prstGeom>
        <a:noFill/>
        <a:ln w="9525">
          <a:noFill/>
          <a:miter lim="800000"/>
          <a:headEnd/>
          <a:tailEnd/>
        </a:ln>
      </xdr:spPr>
    </xdr:pic>
    <xdr:clientData/>
  </xdr:twoCellAnchor>
  <xdr:twoCellAnchor editAs="oneCell">
    <xdr:from>
      <xdr:col>0</xdr:col>
      <xdr:colOff>0</xdr:colOff>
      <xdr:row>379</xdr:row>
      <xdr:rowOff>152400</xdr:rowOff>
    </xdr:from>
    <xdr:to>
      <xdr:col>0</xdr:col>
      <xdr:colOff>666750</xdr:colOff>
      <xdr:row>1340</xdr:row>
      <xdr:rowOff>323850</xdr:rowOff>
    </xdr:to>
    <xdr:pic>
      <xdr:nvPicPr>
        <xdr:cNvPr id="3103" name="Рисунок 32">
          <a:hlinkClick xmlns:r="http://schemas.openxmlformats.org/officeDocument/2006/relationships" r:id="rId31"/>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23900"/>
        </a:xfrm>
        <a:prstGeom prst="rect">
          <a:avLst/>
        </a:prstGeom>
        <a:noFill/>
        <a:ln w="9525">
          <a:noFill/>
          <a:miter lim="800000"/>
          <a:headEnd/>
          <a:tailEnd/>
        </a:ln>
      </xdr:spPr>
    </xdr:pic>
    <xdr:clientData/>
  </xdr:twoCellAnchor>
  <xdr:twoCellAnchor editAs="oneCell">
    <xdr:from>
      <xdr:col>0</xdr:col>
      <xdr:colOff>0</xdr:colOff>
      <xdr:row>392</xdr:row>
      <xdr:rowOff>114300</xdr:rowOff>
    </xdr:from>
    <xdr:to>
      <xdr:col>0</xdr:col>
      <xdr:colOff>666750</xdr:colOff>
      <xdr:row>1340</xdr:row>
      <xdr:rowOff>323850</xdr:rowOff>
    </xdr:to>
    <xdr:pic>
      <xdr:nvPicPr>
        <xdr:cNvPr id="3104" name="Рисунок 33">
          <a:hlinkClick xmlns:r="http://schemas.openxmlformats.org/officeDocument/2006/relationships" r:id="rId32"/>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23900"/>
        </a:xfrm>
        <a:prstGeom prst="rect">
          <a:avLst/>
        </a:prstGeom>
        <a:noFill/>
        <a:ln w="9525">
          <a:noFill/>
          <a:miter lim="800000"/>
          <a:headEnd/>
          <a:tailEnd/>
        </a:ln>
      </xdr:spPr>
    </xdr:pic>
    <xdr:clientData/>
  </xdr:twoCellAnchor>
  <xdr:twoCellAnchor editAs="oneCell">
    <xdr:from>
      <xdr:col>0</xdr:col>
      <xdr:colOff>28575</xdr:colOff>
      <xdr:row>405</xdr:row>
      <xdr:rowOff>200025</xdr:rowOff>
    </xdr:from>
    <xdr:to>
      <xdr:col>1</xdr:col>
      <xdr:colOff>0</xdr:colOff>
      <xdr:row>1340</xdr:row>
      <xdr:rowOff>323850</xdr:rowOff>
    </xdr:to>
    <xdr:pic>
      <xdr:nvPicPr>
        <xdr:cNvPr id="3105" name="Рисунок 34">
          <a:hlinkClick xmlns:r="http://schemas.openxmlformats.org/officeDocument/2006/relationships" r:id="rId33"/>
        </xdr:cNvPr>
        <xdr:cNvPicPr>
          <a:picLocks noChangeAspect="1"/>
        </xdr:cNvPicPr>
      </xdr:nvPicPr>
      <xdr:blipFill>
        <a:blip xmlns:r="http://schemas.openxmlformats.org/officeDocument/2006/relationships" r:embed="rId5" cstate="print"/>
        <a:srcRect/>
        <a:stretch>
          <a:fillRect/>
        </a:stretch>
      </xdr:blipFill>
      <xdr:spPr bwMode="auto">
        <a:xfrm>
          <a:off x="28575" y="137731500"/>
          <a:ext cx="666750" cy="723900"/>
        </a:xfrm>
        <a:prstGeom prst="rect">
          <a:avLst/>
        </a:prstGeom>
        <a:noFill/>
        <a:ln w="9525">
          <a:noFill/>
          <a:miter lim="800000"/>
          <a:headEnd/>
          <a:tailEnd/>
        </a:ln>
      </xdr:spPr>
    </xdr:pic>
    <xdr:clientData/>
  </xdr:twoCellAnchor>
  <xdr:twoCellAnchor editAs="oneCell">
    <xdr:from>
      <xdr:col>0</xdr:col>
      <xdr:colOff>0</xdr:colOff>
      <xdr:row>418</xdr:row>
      <xdr:rowOff>66675</xdr:rowOff>
    </xdr:from>
    <xdr:to>
      <xdr:col>0</xdr:col>
      <xdr:colOff>666750</xdr:colOff>
      <xdr:row>1340</xdr:row>
      <xdr:rowOff>314325</xdr:rowOff>
    </xdr:to>
    <xdr:pic>
      <xdr:nvPicPr>
        <xdr:cNvPr id="3106" name="Рисунок 35">
          <a:hlinkClick xmlns:r="http://schemas.openxmlformats.org/officeDocument/2006/relationships" r:id="rId34"/>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14375"/>
        </a:xfrm>
        <a:prstGeom prst="rect">
          <a:avLst/>
        </a:prstGeom>
        <a:noFill/>
        <a:ln w="9525">
          <a:noFill/>
          <a:miter lim="800000"/>
          <a:headEnd/>
          <a:tailEnd/>
        </a:ln>
      </xdr:spPr>
    </xdr:pic>
    <xdr:clientData/>
  </xdr:twoCellAnchor>
  <xdr:twoCellAnchor editAs="oneCell">
    <xdr:from>
      <xdr:col>0</xdr:col>
      <xdr:colOff>0</xdr:colOff>
      <xdr:row>431</xdr:row>
      <xdr:rowOff>142875</xdr:rowOff>
    </xdr:from>
    <xdr:to>
      <xdr:col>0</xdr:col>
      <xdr:colOff>666750</xdr:colOff>
      <xdr:row>1340</xdr:row>
      <xdr:rowOff>333375</xdr:rowOff>
    </xdr:to>
    <xdr:pic>
      <xdr:nvPicPr>
        <xdr:cNvPr id="3107" name="Рисунок 36">
          <a:hlinkClick xmlns:r="http://schemas.openxmlformats.org/officeDocument/2006/relationships" r:id="rId35"/>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33425"/>
        </a:xfrm>
        <a:prstGeom prst="rect">
          <a:avLst/>
        </a:prstGeom>
        <a:noFill/>
        <a:ln w="9525">
          <a:noFill/>
          <a:miter lim="800000"/>
          <a:headEnd/>
          <a:tailEnd/>
        </a:ln>
      </xdr:spPr>
    </xdr:pic>
    <xdr:clientData/>
  </xdr:twoCellAnchor>
  <xdr:twoCellAnchor editAs="oneCell">
    <xdr:from>
      <xdr:col>0</xdr:col>
      <xdr:colOff>0</xdr:colOff>
      <xdr:row>444</xdr:row>
      <xdr:rowOff>123825</xdr:rowOff>
    </xdr:from>
    <xdr:to>
      <xdr:col>0</xdr:col>
      <xdr:colOff>666750</xdr:colOff>
      <xdr:row>1340</xdr:row>
      <xdr:rowOff>314325</xdr:rowOff>
    </xdr:to>
    <xdr:pic>
      <xdr:nvPicPr>
        <xdr:cNvPr id="3108" name="Рисунок 37">
          <a:hlinkClick xmlns:r="http://schemas.openxmlformats.org/officeDocument/2006/relationships" r:id="rId36"/>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14375"/>
        </a:xfrm>
        <a:prstGeom prst="rect">
          <a:avLst/>
        </a:prstGeom>
        <a:noFill/>
        <a:ln w="9525">
          <a:noFill/>
          <a:miter lim="800000"/>
          <a:headEnd/>
          <a:tailEnd/>
        </a:ln>
      </xdr:spPr>
    </xdr:pic>
    <xdr:clientData/>
  </xdr:twoCellAnchor>
  <xdr:twoCellAnchor editAs="oneCell">
    <xdr:from>
      <xdr:col>0</xdr:col>
      <xdr:colOff>0</xdr:colOff>
      <xdr:row>457</xdr:row>
      <xdr:rowOff>95250</xdr:rowOff>
    </xdr:from>
    <xdr:to>
      <xdr:col>0</xdr:col>
      <xdr:colOff>666750</xdr:colOff>
      <xdr:row>1340</xdr:row>
      <xdr:rowOff>304800</xdr:rowOff>
    </xdr:to>
    <xdr:pic>
      <xdr:nvPicPr>
        <xdr:cNvPr id="3109" name="Рисунок 38">
          <a:hlinkClick xmlns:r="http://schemas.openxmlformats.org/officeDocument/2006/relationships" r:id="rId37"/>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04850"/>
        </a:xfrm>
        <a:prstGeom prst="rect">
          <a:avLst/>
        </a:prstGeom>
        <a:noFill/>
        <a:ln w="9525">
          <a:noFill/>
          <a:miter lim="800000"/>
          <a:headEnd/>
          <a:tailEnd/>
        </a:ln>
      </xdr:spPr>
    </xdr:pic>
    <xdr:clientData/>
  </xdr:twoCellAnchor>
  <xdr:twoCellAnchor editAs="oneCell">
    <xdr:from>
      <xdr:col>0</xdr:col>
      <xdr:colOff>0</xdr:colOff>
      <xdr:row>470</xdr:row>
      <xdr:rowOff>76200</xdr:rowOff>
    </xdr:from>
    <xdr:to>
      <xdr:col>0</xdr:col>
      <xdr:colOff>666750</xdr:colOff>
      <xdr:row>1340</xdr:row>
      <xdr:rowOff>323850</xdr:rowOff>
    </xdr:to>
    <xdr:pic>
      <xdr:nvPicPr>
        <xdr:cNvPr id="3110" name="Рисунок 39">
          <a:hlinkClick xmlns:r="http://schemas.openxmlformats.org/officeDocument/2006/relationships" r:id="rId38"/>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23900"/>
        </a:xfrm>
        <a:prstGeom prst="rect">
          <a:avLst/>
        </a:prstGeom>
        <a:noFill/>
        <a:ln w="9525">
          <a:noFill/>
          <a:miter lim="800000"/>
          <a:headEnd/>
          <a:tailEnd/>
        </a:ln>
      </xdr:spPr>
    </xdr:pic>
    <xdr:clientData/>
  </xdr:twoCellAnchor>
  <xdr:twoCellAnchor editAs="oneCell">
    <xdr:from>
      <xdr:col>0</xdr:col>
      <xdr:colOff>0</xdr:colOff>
      <xdr:row>483</xdr:row>
      <xdr:rowOff>276225</xdr:rowOff>
    </xdr:from>
    <xdr:to>
      <xdr:col>0</xdr:col>
      <xdr:colOff>666750</xdr:colOff>
      <xdr:row>1340</xdr:row>
      <xdr:rowOff>314325</xdr:rowOff>
    </xdr:to>
    <xdr:pic>
      <xdr:nvPicPr>
        <xdr:cNvPr id="3111" name="Рисунок 40">
          <a:hlinkClick xmlns:r="http://schemas.openxmlformats.org/officeDocument/2006/relationships" r:id="rId39"/>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14375"/>
        </a:xfrm>
        <a:prstGeom prst="rect">
          <a:avLst/>
        </a:prstGeom>
        <a:noFill/>
        <a:ln w="9525">
          <a:noFill/>
          <a:miter lim="800000"/>
          <a:headEnd/>
          <a:tailEnd/>
        </a:ln>
      </xdr:spPr>
    </xdr:pic>
    <xdr:clientData/>
  </xdr:twoCellAnchor>
  <xdr:twoCellAnchor editAs="oneCell">
    <xdr:from>
      <xdr:col>0</xdr:col>
      <xdr:colOff>0</xdr:colOff>
      <xdr:row>496</xdr:row>
      <xdr:rowOff>142875</xdr:rowOff>
    </xdr:from>
    <xdr:to>
      <xdr:col>0</xdr:col>
      <xdr:colOff>666750</xdr:colOff>
      <xdr:row>1340</xdr:row>
      <xdr:rowOff>333375</xdr:rowOff>
    </xdr:to>
    <xdr:pic>
      <xdr:nvPicPr>
        <xdr:cNvPr id="3112" name="Рисунок 41">
          <a:hlinkClick xmlns:r="http://schemas.openxmlformats.org/officeDocument/2006/relationships" r:id="rId40"/>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33425"/>
        </a:xfrm>
        <a:prstGeom prst="rect">
          <a:avLst/>
        </a:prstGeom>
        <a:noFill/>
        <a:ln w="9525">
          <a:noFill/>
          <a:miter lim="800000"/>
          <a:headEnd/>
          <a:tailEnd/>
        </a:ln>
      </xdr:spPr>
    </xdr:pic>
    <xdr:clientData/>
  </xdr:twoCellAnchor>
  <xdr:twoCellAnchor editAs="oneCell">
    <xdr:from>
      <xdr:col>0</xdr:col>
      <xdr:colOff>0</xdr:colOff>
      <xdr:row>509</xdr:row>
      <xdr:rowOff>76200</xdr:rowOff>
    </xdr:from>
    <xdr:to>
      <xdr:col>0</xdr:col>
      <xdr:colOff>666750</xdr:colOff>
      <xdr:row>1340</xdr:row>
      <xdr:rowOff>333375</xdr:rowOff>
    </xdr:to>
    <xdr:pic>
      <xdr:nvPicPr>
        <xdr:cNvPr id="3113" name="Рисунок 42">
          <a:hlinkClick xmlns:r="http://schemas.openxmlformats.org/officeDocument/2006/relationships" r:id="rId41"/>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33425"/>
        </a:xfrm>
        <a:prstGeom prst="rect">
          <a:avLst/>
        </a:prstGeom>
        <a:noFill/>
        <a:ln w="9525">
          <a:noFill/>
          <a:miter lim="800000"/>
          <a:headEnd/>
          <a:tailEnd/>
        </a:ln>
      </xdr:spPr>
    </xdr:pic>
    <xdr:clientData/>
  </xdr:twoCellAnchor>
  <xdr:twoCellAnchor editAs="oneCell">
    <xdr:from>
      <xdr:col>0</xdr:col>
      <xdr:colOff>0</xdr:colOff>
      <xdr:row>522</xdr:row>
      <xdr:rowOff>190500</xdr:rowOff>
    </xdr:from>
    <xdr:to>
      <xdr:col>0</xdr:col>
      <xdr:colOff>666750</xdr:colOff>
      <xdr:row>1340</xdr:row>
      <xdr:rowOff>323850</xdr:rowOff>
    </xdr:to>
    <xdr:pic>
      <xdr:nvPicPr>
        <xdr:cNvPr id="3114" name="Рисунок 43">
          <a:hlinkClick xmlns:r="http://schemas.openxmlformats.org/officeDocument/2006/relationships" r:id="rId42"/>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23900"/>
        </a:xfrm>
        <a:prstGeom prst="rect">
          <a:avLst/>
        </a:prstGeom>
        <a:noFill/>
        <a:ln w="9525">
          <a:noFill/>
          <a:miter lim="800000"/>
          <a:headEnd/>
          <a:tailEnd/>
        </a:ln>
      </xdr:spPr>
    </xdr:pic>
    <xdr:clientData/>
  </xdr:twoCellAnchor>
  <xdr:twoCellAnchor editAs="oneCell">
    <xdr:from>
      <xdr:col>0</xdr:col>
      <xdr:colOff>0</xdr:colOff>
      <xdr:row>535</xdr:row>
      <xdr:rowOff>85725</xdr:rowOff>
    </xdr:from>
    <xdr:to>
      <xdr:col>0</xdr:col>
      <xdr:colOff>666750</xdr:colOff>
      <xdr:row>1340</xdr:row>
      <xdr:rowOff>323850</xdr:rowOff>
    </xdr:to>
    <xdr:pic>
      <xdr:nvPicPr>
        <xdr:cNvPr id="3115" name="Рисунок 44">
          <a:hlinkClick xmlns:r="http://schemas.openxmlformats.org/officeDocument/2006/relationships" r:id="rId43"/>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23900"/>
        </a:xfrm>
        <a:prstGeom prst="rect">
          <a:avLst/>
        </a:prstGeom>
        <a:noFill/>
        <a:ln w="9525">
          <a:noFill/>
          <a:miter lim="800000"/>
          <a:headEnd/>
          <a:tailEnd/>
        </a:ln>
      </xdr:spPr>
    </xdr:pic>
    <xdr:clientData/>
  </xdr:twoCellAnchor>
  <xdr:twoCellAnchor editAs="oneCell">
    <xdr:from>
      <xdr:col>0</xdr:col>
      <xdr:colOff>0</xdr:colOff>
      <xdr:row>548</xdr:row>
      <xdr:rowOff>142875</xdr:rowOff>
    </xdr:from>
    <xdr:to>
      <xdr:col>0</xdr:col>
      <xdr:colOff>666750</xdr:colOff>
      <xdr:row>1340</xdr:row>
      <xdr:rowOff>304800</xdr:rowOff>
    </xdr:to>
    <xdr:pic>
      <xdr:nvPicPr>
        <xdr:cNvPr id="3116" name="Рисунок 45">
          <a:hlinkClick xmlns:r="http://schemas.openxmlformats.org/officeDocument/2006/relationships" r:id="rId44"/>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04850"/>
        </a:xfrm>
        <a:prstGeom prst="rect">
          <a:avLst/>
        </a:prstGeom>
        <a:noFill/>
        <a:ln w="9525">
          <a:noFill/>
          <a:miter lim="800000"/>
          <a:headEnd/>
          <a:tailEnd/>
        </a:ln>
      </xdr:spPr>
    </xdr:pic>
    <xdr:clientData/>
  </xdr:twoCellAnchor>
  <xdr:twoCellAnchor editAs="oneCell">
    <xdr:from>
      <xdr:col>0</xdr:col>
      <xdr:colOff>19050</xdr:colOff>
      <xdr:row>561</xdr:row>
      <xdr:rowOff>133350</xdr:rowOff>
    </xdr:from>
    <xdr:to>
      <xdr:col>0</xdr:col>
      <xdr:colOff>685800</xdr:colOff>
      <xdr:row>1340</xdr:row>
      <xdr:rowOff>304800</xdr:rowOff>
    </xdr:to>
    <xdr:pic>
      <xdr:nvPicPr>
        <xdr:cNvPr id="3117" name="Рисунок 46">
          <a:hlinkClick xmlns:r="http://schemas.openxmlformats.org/officeDocument/2006/relationships" r:id="rId45"/>
        </xdr:cNvPr>
        <xdr:cNvPicPr>
          <a:picLocks noChangeAspect="1"/>
        </xdr:cNvPicPr>
      </xdr:nvPicPr>
      <xdr:blipFill>
        <a:blip xmlns:r="http://schemas.openxmlformats.org/officeDocument/2006/relationships" r:embed="rId5" cstate="print"/>
        <a:srcRect/>
        <a:stretch>
          <a:fillRect/>
        </a:stretch>
      </xdr:blipFill>
      <xdr:spPr bwMode="auto">
        <a:xfrm>
          <a:off x="19050" y="137731500"/>
          <a:ext cx="666750" cy="704850"/>
        </a:xfrm>
        <a:prstGeom prst="rect">
          <a:avLst/>
        </a:prstGeom>
        <a:noFill/>
        <a:ln w="9525">
          <a:noFill/>
          <a:miter lim="800000"/>
          <a:headEnd/>
          <a:tailEnd/>
        </a:ln>
      </xdr:spPr>
    </xdr:pic>
    <xdr:clientData/>
  </xdr:twoCellAnchor>
  <xdr:twoCellAnchor editAs="oneCell">
    <xdr:from>
      <xdr:col>0</xdr:col>
      <xdr:colOff>57150</xdr:colOff>
      <xdr:row>574</xdr:row>
      <xdr:rowOff>133350</xdr:rowOff>
    </xdr:from>
    <xdr:to>
      <xdr:col>1</xdr:col>
      <xdr:colOff>19050</xdr:colOff>
      <xdr:row>1340</xdr:row>
      <xdr:rowOff>314325</xdr:rowOff>
    </xdr:to>
    <xdr:pic>
      <xdr:nvPicPr>
        <xdr:cNvPr id="3118" name="Рисунок 47">
          <a:hlinkClick xmlns:r="http://schemas.openxmlformats.org/officeDocument/2006/relationships" r:id="rId46"/>
        </xdr:cNvPr>
        <xdr:cNvPicPr>
          <a:picLocks noChangeAspect="1"/>
        </xdr:cNvPicPr>
      </xdr:nvPicPr>
      <xdr:blipFill>
        <a:blip xmlns:r="http://schemas.openxmlformats.org/officeDocument/2006/relationships" r:embed="rId5" cstate="print"/>
        <a:srcRect/>
        <a:stretch>
          <a:fillRect/>
        </a:stretch>
      </xdr:blipFill>
      <xdr:spPr bwMode="auto">
        <a:xfrm>
          <a:off x="57150" y="137731500"/>
          <a:ext cx="657225" cy="714375"/>
        </a:xfrm>
        <a:prstGeom prst="rect">
          <a:avLst/>
        </a:prstGeom>
        <a:noFill/>
        <a:ln w="9525">
          <a:noFill/>
          <a:miter lim="800000"/>
          <a:headEnd/>
          <a:tailEnd/>
        </a:ln>
      </xdr:spPr>
    </xdr:pic>
    <xdr:clientData/>
  </xdr:twoCellAnchor>
  <xdr:twoCellAnchor editAs="oneCell">
    <xdr:from>
      <xdr:col>0</xdr:col>
      <xdr:colOff>0</xdr:colOff>
      <xdr:row>587</xdr:row>
      <xdr:rowOff>133350</xdr:rowOff>
    </xdr:from>
    <xdr:to>
      <xdr:col>0</xdr:col>
      <xdr:colOff>666750</xdr:colOff>
      <xdr:row>1340</xdr:row>
      <xdr:rowOff>304800</xdr:rowOff>
    </xdr:to>
    <xdr:pic>
      <xdr:nvPicPr>
        <xdr:cNvPr id="3119" name="Рисунок 48">
          <a:hlinkClick xmlns:r="http://schemas.openxmlformats.org/officeDocument/2006/relationships" r:id="rId47"/>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04850"/>
        </a:xfrm>
        <a:prstGeom prst="rect">
          <a:avLst/>
        </a:prstGeom>
        <a:noFill/>
        <a:ln w="9525">
          <a:noFill/>
          <a:miter lim="800000"/>
          <a:headEnd/>
          <a:tailEnd/>
        </a:ln>
      </xdr:spPr>
    </xdr:pic>
    <xdr:clientData/>
  </xdr:twoCellAnchor>
  <xdr:twoCellAnchor editAs="oneCell">
    <xdr:from>
      <xdr:col>0</xdr:col>
      <xdr:colOff>0</xdr:colOff>
      <xdr:row>600</xdr:row>
      <xdr:rowOff>57150</xdr:rowOff>
    </xdr:from>
    <xdr:to>
      <xdr:col>0</xdr:col>
      <xdr:colOff>666750</xdr:colOff>
      <xdr:row>1340</xdr:row>
      <xdr:rowOff>304800</xdr:rowOff>
    </xdr:to>
    <xdr:pic>
      <xdr:nvPicPr>
        <xdr:cNvPr id="3120" name="Рисунок 49">
          <a:hlinkClick xmlns:r="http://schemas.openxmlformats.org/officeDocument/2006/relationships" r:id="rId48"/>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04850"/>
        </a:xfrm>
        <a:prstGeom prst="rect">
          <a:avLst/>
        </a:prstGeom>
        <a:noFill/>
        <a:ln w="9525">
          <a:noFill/>
          <a:miter lim="800000"/>
          <a:headEnd/>
          <a:tailEnd/>
        </a:ln>
      </xdr:spPr>
    </xdr:pic>
    <xdr:clientData/>
  </xdr:twoCellAnchor>
  <xdr:twoCellAnchor editAs="oneCell">
    <xdr:from>
      <xdr:col>0</xdr:col>
      <xdr:colOff>0</xdr:colOff>
      <xdr:row>613</xdr:row>
      <xdr:rowOff>180975</xdr:rowOff>
    </xdr:from>
    <xdr:to>
      <xdr:col>0</xdr:col>
      <xdr:colOff>666750</xdr:colOff>
      <xdr:row>1340</xdr:row>
      <xdr:rowOff>304800</xdr:rowOff>
    </xdr:to>
    <xdr:pic>
      <xdr:nvPicPr>
        <xdr:cNvPr id="3121" name="Рисунок 50">
          <a:hlinkClick xmlns:r="http://schemas.openxmlformats.org/officeDocument/2006/relationships" r:id="rId49"/>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04850"/>
        </a:xfrm>
        <a:prstGeom prst="rect">
          <a:avLst/>
        </a:prstGeom>
        <a:noFill/>
        <a:ln w="9525">
          <a:noFill/>
          <a:miter lim="800000"/>
          <a:headEnd/>
          <a:tailEnd/>
        </a:ln>
      </xdr:spPr>
    </xdr:pic>
    <xdr:clientData/>
  </xdr:twoCellAnchor>
  <xdr:twoCellAnchor editAs="oneCell">
    <xdr:from>
      <xdr:col>0</xdr:col>
      <xdr:colOff>19050</xdr:colOff>
      <xdr:row>626</xdr:row>
      <xdr:rowOff>142875</xdr:rowOff>
    </xdr:from>
    <xdr:to>
      <xdr:col>0</xdr:col>
      <xdr:colOff>685800</xdr:colOff>
      <xdr:row>1340</xdr:row>
      <xdr:rowOff>295275</xdr:rowOff>
    </xdr:to>
    <xdr:pic>
      <xdr:nvPicPr>
        <xdr:cNvPr id="3122" name="Рисунок 51">
          <a:hlinkClick xmlns:r="http://schemas.openxmlformats.org/officeDocument/2006/relationships" r:id="rId50"/>
        </xdr:cNvPr>
        <xdr:cNvPicPr>
          <a:picLocks noChangeAspect="1"/>
        </xdr:cNvPicPr>
      </xdr:nvPicPr>
      <xdr:blipFill>
        <a:blip xmlns:r="http://schemas.openxmlformats.org/officeDocument/2006/relationships" r:embed="rId5" cstate="print"/>
        <a:srcRect/>
        <a:stretch>
          <a:fillRect/>
        </a:stretch>
      </xdr:blipFill>
      <xdr:spPr bwMode="auto">
        <a:xfrm>
          <a:off x="19050" y="137731500"/>
          <a:ext cx="666750" cy="695325"/>
        </a:xfrm>
        <a:prstGeom prst="rect">
          <a:avLst/>
        </a:prstGeom>
        <a:noFill/>
        <a:ln w="9525">
          <a:noFill/>
          <a:miter lim="800000"/>
          <a:headEnd/>
          <a:tailEnd/>
        </a:ln>
      </xdr:spPr>
    </xdr:pic>
    <xdr:clientData/>
  </xdr:twoCellAnchor>
  <xdr:twoCellAnchor editAs="oneCell">
    <xdr:from>
      <xdr:col>0</xdr:col>
      <xdr:colOff>0</xdr:colOff>
      <xdr:row>639</xdr:row>
      <xdr:rowOff>133350</xdr:rowOff>
    </xdr:from>
    <xdr:to>
      <xdr:col>0</xdr:col>
      <xdr:colOff>666750</xdr:colOff>
      <xdr:row>1340</xdr:row>
      <xdr:rowOff>304800</xdr:rowOff>
    </xdr:to>
    <xdr:pic>
      <xdr:nvPicPr>
        <xdr:cNvPr id="3123" name="Рисунок 52">
          <a:hlinkClick xmlns:r="http://schemas.openxmlformats.org/officeDocument/2006/relationships" r:id="rId51"/>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04850"/>
        </a:xfrm>
        <a:prstGeom prst="rect">
          <a:avLst/>
        </a:prstGeom>
        <a:noFill/>
        <a:ln w="9525">
          <a:noFill/>
          <a:miter lim="800000"/>
          <a:headEnd/>
          <a:tailEnd/>
        </a:ln>
      </xdr:spPr>
    </xdr:pic>
    <xdr:clientData/>
  </xdr:twoCellAnchor>
  <xdr:twoCellAnchor editAs="oneCell">
    <xdr:from>
      <xdr:col>0</xdr:col>
      <xdr:colOff>19050</xdr:colOff>
      <xdr:row>652</xdr:row>
      <xdr:rowOff>171450</xdr:rowOff>
    </xdr:from>
    <xdr:to>
      <xdr:col>0</xdr:col>
      <xdr:colOff>685800</xdr:colOff>
      <xdr:row>1340</xdr:row>
      <xdr:rowOff>314325</xdr:rowOff>
    </xdr:to>
    <xdr:pic>
      <xdr:nvPicPr>
        <xdr:cNvPr id="3124" name="Рисунок 53">
          <a:hlinkClick xmlns:r="http://schemas.openxmlformats.org/officeDocument/2006/relationships" r:id="rId52"/>
        </xdr:cNvPr>
        <xdr:cNvPicPr>
          <a:picLocks noChangeAspect="1"/>
        </xdr:cNvPicPr>
      </xdr:nvPicPr>
      <xdr:blipFill>
        <a:blip xmlns:r="http://schemas.openxmlformats.org/officeDocument/2006/relationships" r:embed="rId5" cstate="print"/>
        <a:srcRect/>
        <a:stretch>
          <a:fillRect/>
        </a:stretch>
      </xdr:blipFill>
      <xdr:spPr bwMode="auto">
        <a:xfrm>
          <a:off x="19050" y="137731500"/>
          <a:ext cx="666750" cy="714375"/>
        </a:xfrm>
        <a:prstGeom prst="rect">
          <a:avLst/>
        </a:prstGeom>
        <a:noFill/>
        <a:ln w="9525">
          <a:noFill/>
          <a:miter lim="800000"/>
          <a:headEnd/>
          <a:tailEnd/>
        </a:ln>
      </xdr:spPr>
    </xdr:pic>
    <xdr:clientData/>
  </xdr:twoCellAnchor>
  <xdr:twoCellAnchor editAs="oneCell">
    <xdr:from>
      <xdr:col>0</xdr:col>
      <xdr:colOff>0</xdr:colOff>
      <xdr:row>665</xdr:row>
      <xdr:rowOff>133350</xdr:rowOff>
    </xdr:from>
    <xdr:to>
      <xdr:col>0</xdr:col>
      <xdr:colOff>666750</xdr:colOff>
      <xdr:row>1340</xdr:row>
      <xdr:rowOff>304800</xdr:rowOff>
    </xdr:to>
    <xdr:pic>
      <xdr:nvPicPr>
        <xdr:cNvPr id="3125" name="Рисунок 54">
          <a:hlinkClick xmlns:r="http://schemas.openxmlformats.org/officeDocument/2006/relationships" r:id="rId53"/>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04850"/>
        </a:xfrm>
        <a:prstGeom prst="rect">
          <a:avLst/>
        </a:prstGeom>
        <a:noFill/>
        <a:ln w="9525">
          <a:noFill/>
          <a:miter lim="800000"/>
          <a:headEnd/>
          <a:tailEnd/>
        </a:ln>
      </xdr:spPr>
    </xdr:pic>
    <xdr:clientData/>
  </xdr:twoCellAnchor>
  <xdr:twoCellAnchor editAs="oneCell">
    <xdr:from>
      <xdr:col>0</xdr:col>
      <xdr:colOff>38100</xdr:colOff>
      <xdr:row>678</xdr:row>
      <xdr:rowOff>152400</xdr:rowOff>
    </xdr:from>
    <xdr:to>
      <xdr:col>1</xdr:col>
      <xdr:colOff>9525</xdr:colOff>
      <xdr:row>1340</xdr:row>
      <xdr:rowOff>304800</xdr:rowOff>
    </xdr:to>
    <xdr:pic>
      <xdr:nvPicPr>
        <xdr:cNvPr id="3126" name="Рисунок 55">
          <a:hlinkClick xmlns:r="http://schemas.openxmlformats.org/officeDocument/2006/relationships" r:id="rId54"/>
        </xdr:cNvPr>
        <xdr:cNvPicPr>
          <a:picLocks noChangeAspect="1"/>
        </xdr:cNvPicPr>
      </xdr:nvPicPr>
      <xdr:blipFill>
        <a:blip xmlns:r="http://schemas.openxmlformats.org/officeDocument/2006/relationships" r:embed="rId5" cstate="print"/>
        <a:srcRect/>
        <a:stretch>
          <a:fillRect/>
        </a:stretch>
      </xdr:blipFill>
      <xdr:spPr bwMode="auto">
        <a:xfrm>
          <a:off x="38100" y="137731500"/>
          <a:ext cx="666750" cy="704850"/>
        </a:xfrm>
        <a:prstGeom prst="rect">
          <a:avLst/>
        </a:prstGeom>
        <a:noFill/>
        <a:ln w="9525">
          <a:noFill/>
          <a:miter lim="800000"/>
          <a:headEnd/>
          <a:tailEnd/>
        </a:ln>
      </xdr:spPr>
    </xdr:pic>
    <xdr:clientData/>
  </xdr:twoCellAnchor>
  <xdr:twoCellAnchor editAs="oneCell">
    <xdr:from>
      <xdr:col>0</xdr:col>
      <xdr:colOff>0</xdr:colOff>
      <xdr:row>691</xdr:row>
      <xdr:rowOff>161925</xdr:rowOff>
    </xdr:from>
    <xdr:to>
      <xdr:col>0</xdr:col>
      <xdr:colOff>666750</xdr:colOff>
      <xdr:row>1340</xdr:row>
      <xdr:rowOff>314325</xdr:rowOff>
    </xdr:to>
    <xdr:pic>
      <xdr:nvPicPr>
        <xdr:cNvPr id="3127" name="Рисунок 56">
          <a:hlinkClick xmlns:r="http://schemas.openxmlformats.org/officeDocument/2006/relationships" r:id="rId55"/>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14375"/>
        </a:xfrm>
        <a:prstGeom prst="rect">
          <a:avLst/>
        </a:prstGeom>
        <a:noFill/>
        <a:ln w="9525">
          <a:noFill/>
          <a:miter lim="800000"/>
          <a:headEnd/>
          <a:tailEnd/>
        </a:ln>
      </xdr:spPr>
    </xdr:pic>
    <xdr:clientData/>
  </xdr:twoCellAnchor>
  <xdr:twoCellAnchor editAs="oneCell">
    <xdr:from>
      <xdr:col>0</xdr:col>
      <xdr:colOff>0</xdr:colOff>
      <xdr:row>704</xdr:row>
      <xdr:rowOff>57150</xdr:rowOff>
    </xdr:from>
    <xdr:to>
      <xdr:col>0</xdr:col>
      <xdr:colOff>666750</xdr:colOff>
      <xdr:row>1340</xdr:row>
      <xdr:rowOff>304800</xdr:rowOff>
    </xdr:to>
    <xdr:pic>
      <xdr:nvPicPr>
        <xdr:cNvPr id="3128" name="Рисунок 57">
          <a:hlinkClick xmlns:r="http://schemas.openxmlformats.org/officeDocument/2006/relationships" r:id="rId56"/>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04850"/>
        </a:xfrm>
        <a:prstGeom prst="rect">
          <a:avLst/>
        </a:prstGeom>
        <a:noFill/>
        <a:ln w="9525">
          <a:noFill/>
          <a:miter lim="800000"/>
          <a:headEnd/>
          <a:tailEnd/>
        </a:ln>
      </xdr:spPr>
    </xdr:pic>
    <xdr:clientData/>
  </xdr:twoCellAnchor>
  <xdr:twoCellAnchor editAs="oneCell">
    <xdr:from>
      <xdr:col>0</xdr:col>
      <xdr:colOff>0</xdr:colOff>
      <xdr:row>717</xdr:row>
      <xdr:rowOff>142875</xdr:rowOff>
    </xdr:from>
    <xdr:to>
      <xdr:col>0</xdr:col>
      <xdr:colOff>666750</xdr:colOff>
      <xdr:row>1340</xdr:row>
      <xdr:rowOff>314325</xdr:rowOff>
    </xdr:to>
    <xdr:pic>
      <xdr:nvPicPr>
        <xdr:cNvPr id="3129" name="Рисунок 58">
          <a:hlinkClick xmlns:r="http://schemas.openxmlformats.org/officeDocument/2006/relationships" r:id="rId57"/>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14375"/>
        </a:xfrm>
        <a:prstGeom prst="rect">
          <a:avLst/>
        </a:prstGeom>
        <a:noFill/>
        <a:ln w="9525">
          <a:noFill/>
          <a:miter lim="800000"/>
          <a:headEnd/>
          <a:tailEnd/>
        </a:ln>
      </xdr:spPr>
    </xdr:pic>
    <xdr:clientData/>
  </xdr:twoCellAnchor>
  <xdr:twoCellAnchor editAs="oneCell">
    <xdr:from>
      <xdr:col>0</xdr:col>
      <xdr:colOff>0</xdr:colOff>
      <xdr:row>730</xdr:row>
      <xdr:rowOff>180975</xdr:rowOff>
    </xdr:from>
    <xdr:to>
      <xdr:col>0</xdr:col>
      <xdr:colOff>666750</xdr:colOff>
      <xdr:row>1340</xdr:row>
      <xdr:rowOff>304800</xdr:rowOff>
    </xdr:to>
    <xdr:pic>
      <xdr:nvPicPr>
        <xdr:cNvPr id="3130" name="Рисунок 59">
          <a:hlinkClick xmlns:r="http://schemas.openxmlformats.org/officeDocument/2006/relationships" r:id="rId58"/>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04850"/>
        </a:xfrm>
        <a:prstGeom prst="rect">
          <a:avLst/>
        </a:prstGeom>
        <a:noFill/>
        <a:ln w="9525">
          <a:noFill/>
          <a:miter lim="800000"/>
          <a:headEnd/>
          <a:tailEnd/>
        </a:ln>
      </xdr:spPr>
    </xdr:pic>
    <xdr:clientData/>
  </xdr:twoCellAnchor>
  <xdr:twoCellAnchor editAs="oneCell">
    <xdr:from>
      <xdr:col>0</xdr:col>
      <xdr:colOff>0</xdr:colOff>
      <xdr:row>743</xdr:row>
      <xdr:rowOff>171450</xdr:rowOff>
    </xdr:from>
    <xdr:to>
      <xdr:col>0</xdr:col>
      <xdr:colOff>666750</xdr:colOff>
      <xdr:row>1340</xdr:row>
      <xdr:rowOff>304800</xdr:rowOff>
    </xdr:to>
    <xdr:pic>
      <xdr:nvPicPr>
        <xdr:cNvPr id="3131" name="Рисунок 60">
          <a:hlinkClick xmlns:r="http://schemas.openxmlformats.org/officeDocument/2006/relationships" r:id="rId59"/>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04850"/>
        </a:xfrm>
        <a:prstGeom prst="rect">
          <a:avLst/>
        </a:prstGeom>
        <a:noFill/>
        <a:ln w="9525">
          <a:noFill/>
          <a:miter lim="800000"/>
          <a:headEnd/>
          <a:tailEnd/>
        </a:ln>
      </xdr:spPr>
    </xdr:pic>
    <xdr:clientData/>
  </xdr:twoCellAnchor>
  <xdr:twoCellAnchor editAs="oneCell">
    <xdr:from>
      <xdr:col>0</xdr:col>
      <xdr:colOff>0</xdr:colOff>
      <xdr:row>756</xdr:row>
      <xdr:rowOff>219075</xdr:rowOff>
    </xdr:from>
    <xdr:to>
      <xdr:col>0</xdr:col>
      <xdr:colOff>666750</xdr:colOff>
      <xdr:row>1340</xdr:row>
      <xdr:rowOff>314325</xdr:rowOff>
    </xdr:to>
    <xdr:pic>
      <xdr:nvPicPr>
        <xdr:cNvPr id="3132" name="Рисунок 61">
          <a:hlinkClick xmlns:r="http://schemas.openxmlformats.org/officeDocument/2006/relationships" r:id="rId60"/>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14375"/>
        </a:xfrm>
        <a:prstGeom prst="rect">
          <a:avLst/>
        </a:prstGeom>
        <a:noFill/>
        <a:ln w="9525">
          <a:noFill/>
          <a:miter lim="800000"/>
          <a:headEnd/>
          <a:tailEnd/>
        </a:ln>
      </xdr:spPr>
    </xdr:pic>
    <xdr:clientData/>
  </xdr:twoCellAnchor>
  <xdr:twoCellAnchor editAs="oneCell">
    <xdr:from>
      <xdr:col>0</xdr:col>
      <xdr:colOff>0</xdr:colOff>
      <xdr:row>769</xdr:row>
      <xdr:rowOff>180975</xdr:rowOff>
    </xdr:from>
    <xdr:to>
      <xdr:col>0</xdr:col>
      <xdr:colOff>666750</xdr:colOff>
      <xdr:row>1340</xdr:row>
      <xdr:rowOff>333375</xdr:rowOff>
    </xdr:to>
    <xdr:pic>
      <xdr:nvPicPr>
        <xdr:cNvPr id="3133" name="Рисунок 62">
          <a:hlinkClick xmlns:r="http://schemas.openxmlformats.org/officeDocument/2006/relationships" r:id="rId61"/>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33425"/>
        </a:xfrm>
        <a:prstGeom prst="rect">
          <a:avLst/>
        </a:prstGeom>
        <a:noFill/>
        <a:ln w="9525">
          <a:noFill/>
          <a:miter lim="800000"/>
          <a:headEnd/>
          <a:tailEnd/>
        </a:ln>
      </xdr:spPr>
    </xdr:pic>
    <xdr:clientData/>
  </xdr:twoCellAnchor>
  <xdr:twoCellAnchor editAs="oneCell">
    <xdr:from>
      <xdr:col>0</xdr:col>
      <xdr:colOff>0</xdr:colOff>
      <xdr:row>782</xdr:row>
      <xdr:rowOff>133350</xdr:rowOff>
    </xdr:from>
    <xdr:to>
      <xdr:col>0</xdr:col>
      <xdr:colOff>666750</xdr:colOff>
      <xdr:row>1340</xdr:row>
      <xdr:rowOff>314325</xdr:rowOff>
    </xdr:to>
    <xdr:pic>
      <xdr:nvPicPr>
        <xdr:cNvPr id="3134" name="Рисунок 63">
          <a:hlinkClick xmlns:r="http://schemas.openxmlformats.org/officeDocument/2006/relationships" r:id="rId62"/>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14375"/>
        </a:xfrm>
        <a:prstGeom prst="rect">
          <a:avLst/>
        </a:prstGeom>
        <a:noFill/>
        <a:ln w="9525">
          <a:noFill/>
          <a:miter lim="800000"/>
          <a:headEnd/>
          <a:tailEnd/>
        </a:ln>
      </xdr:spPr>
    </xdr:pic>
    <xdr:clientData/>
  </xdr:twoCellAnchor>
  <xdr:twoCellAnchor editAs="oneCell">
    <xdr:from>
      <xdr:col>0</xdr:col>
      <xdr:colOff>38100</xdr:colOff>
      <xdr:row>795</xdr:row>
      <xdr:rowOff>66675</xdr:rowOff>
    </xdr:from>
    <xdr:to>
      <xdr:col>1</xdr:col>
      <xdr:colOff>0</xdr:colOff>
      <xdr:row>1340</xdr:row>
      <xdr:rowOff>314325</xdr:rowOff>
    </xdr:to>
    <xdr:pic>
      <xdr:nvPicPr>
        <xdr:cNvPr id="3135" name="Рисунок 64">
          <a:hlinkClick xmlns:r="http://schemas.openxmlformats.org/officeDocument/2006/relationships" r:id="rId63"/>
        </xdr:cNvPr>
        <xdr:cNvPicPr>
          <a:picLocks noChangeAspect="1"/>
        </xdr:cNvPicPr>
      </xdr:nvPicPr>
      <xdr:blipFill>
        <a:blip xmlns:r="http://schemas.openxmlformats.org/officeDocument/2006/relationships" r:embed="rId5" cstate="print"/>
        <a:srcRect/>
        <a:stretch>
          <a:fillRect/>
        </a:stretch>
      </xdr:blipFill>
      <xdr:spPr bwMode="auto">
        <a:xfrm>
          <a:off x="38100" y="137731500"/>
          <a:ext cx="657225" cy="714375"/>
        </a:xfrm>
        <a:prstGeom prst="rect">
          <a:avLst/>
        </a:prstGeom>
        <a:noFill/>
        <a:ln w="9525">
          <a:noFill/>
          <a:miter lim="800000"/>
          <a:headEnd/>
          <a:tailEnd/>
        </a:ln>
      </xdr:spPr>
    </xdr:pic>
    <xdr:clientData/>
  </xdr:twoCellAnchor>
  <xdr:twoCellAnchor editAs="oneCell">
    <xdr:from>
      <xdr:col>0</xdr:col>
      <xdr:colOff>38100</xdr:colOff>
      <xdr:row>808</xdr:row>
      <xdr:rowOff>114300</xdr:rowOff>
    </xdr:from>
    <xdr:to>
      <xdr:col>1</xdr:col>
      <xdr:colOff>0</xdr:colOff>
      <xdr:row>1340</xdr:row>
      <xdr:rowOff>323850</xdr:rowOff>
    </xdr:to>
    <xdr:pic>
      <xdr:nvPicPr>
        <xdr:cNvPr id="3136" name="Рисунок 65">
          <a:hlinkClick xmlns:r="http://schemas.openxmlformats.org/officeDocument/2006/relationships" r:id="rId64"/>
        </xdr:cNvPr>
        <xdr:cNvPicPr>
          <a:picLocks noChangeAspect="1"/>
        </xdr:cNvPicPr>
      </xdr:nvPicPr>
      <xdr:blipFill>
        <a:blip xmlns:r="http://schemas.openxmlformats.org/officeDocument/2006/relationships" r:embed="rId5" cstate="print"/>
        <a:srcRect/>
        <a:stretch>
          <a:fillRect/>
        </a:stretch>
      </xdr:blipFill>
      <xdr:spPr bwMode="auto">
        <a:xfrm>
          <a:off x="38100" y="137731500"/>
          <a:ext cx="657225" cy="723900"/>
        </a:xfrm>
        <a:prstGeom prst="rect">
          <a:avLst/>
        </a:prstGeom>
        <a:noFill/>
        <a:ln w="9525">
          <a:noFill/>
          <a:miter lim="800000"/>
          <a:headEnd/>
          <a:tailEnd/>
        </a:ln>
      </xdr:spPr>
    </xdr:pic>
    <xdr:clientData/>
  </xdr:twoCellAnchor>
  <xdr:twoCellAnchor editAs="oneCell">
    <xdr:from>
      <xdr:col>0</xdr:col>
      <xdr:colOff>0</xdr:colOff>
      <xdr:row>821</xdr:row>
      <xdr:rowOff>95250</xdr:rowOff>
    </xdr:from>
    <xdr:to>
      <xdr:col>0</xdr:col>
      <xdr:colOff>666750</xdr:colOff>
      <xdr:row>1340</xdr:row>
      <xdr:rowOff>323850</xdr:rowOff>
    </xdr:to>
    <xdr:pic>
      <xdr:nvPicPr>
        <xdr:cNvPr id="3137" name="Рисунок 66">
          <a:hlinkClick xmlns:r="http://schemas.openxmlformats.org/officeDocument/2006/relationships" r:id="rId65"/>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23900"/>
        </a:xfrm>
        <a:prstGeom prst="rect">
          <a:avLst/>
        </a:prstGeom>
        <a:noFill/>
        <a:ln w="9525">
          <a:noFill/>
          <a:miter lim="800000"/>
          <a:headEnd/>
          <a:tailEnd/>
        </a:ln>
      </xdr:spPr>
    </xdr:pic>
    <xdr:clientData/>
  </xdr:twoCellAnchor>
  <xdr:twoCellAnchor editAs="oneCell">
    <xdr:from>
      <xdr:col>0</xdr:col>
      <xdr:colOff>19050</xdr:colOff>
      <xdr:row>834</xdr:row>
      <xdr:rowOff>219075</xdr:rowOff>
    </xdr:from>
    <xdr:to>
      <xdr:col>0</xdr:col>
      <xdr:colOff>685800</xdr:colOff>
      <xdr:row>1340</xdr:row>
      <xdr:rowOff>333375</xdr:rowOff>
    </xdr:to>
    <xdr:pic>
      <xdr:nvPicPr>
        <xdr:cNvPr id="3138" name="Рисунок 67">
          <a:hlinkClick xmlns:r="http://schemas.openxmlformats.org/officeDocument/2006/relationships" r:id="rId66"/>
        </xdr:cNvPr>
        <xdr:cNvPicPr>
          <a:picLocks noChangeAspect="1"/>
        </xdr:cNvPicPr>
      </xdr:nvPicPr>
      <xdr:blipFill>
        <a:blip xmlns:r="http://schemas.openxmlformats.org/officeDocument/2006/relationships" r:embed="rId5" cstate="print"/>
        <a:srcRect/>
        <a:stretch>
          <a:fillRect/>
        </a:stretch>
      </xdr:blipFill>
      <xdr:spPr bwMode="auto">
        <a:xfrm>
          <a:off x="19050" y="137731500"/>
          <a:ext cx="666750" cy="733425"/>
        </a:xfrm>
        <a:prstGeom prst="rect">
          <a:avLst/>
        </a:prstGeom>
        <a:noFill/>
        <a:ln w="9525">
          <a:noFill/>
          <a:miter lim="800000"/>
          <a:headEnd/>
          <a:tailEnd/>
        </a:ln>
      </xdr:spPr>
    </xdr:pic>
    <xdr:clientData/>
  </xdr:twoCellAnchor>
  <xdr:twoCellAnchor editAs="oneCell">
    <xdr:from>
      <xdr:col>0</xdr:col>
      <xdr:colOff>38100</xdr:colOff>
      <xdr:row>847</xdr:row>
      <xdr:rowOff>180975</xdr:rowOff>
    </xdr:from>
    <xdr:to>
      <xdr:col>1</xdr:col>
      <xdr:colOff>0</xdr:colOff>
      <xdr:row>1340</xdr:row>
      <xdr:rowOff>333375</xdr:rowOff>
    </xdr:to>
    <xdr:pic>
      <xdr:nvPicPr>
        <xdr:cNvPr id="3139" name="Рисунок 68">
          <a:hlinkClick xmlns:r="http://schemas.openxmlformats.org/officeDocument/2006/relationships" r:id="rId67"/>
        </xdr:cNvPr>
        <xdr:cNvPicPr>
          <a:picLocks noChangeAspect="1"/>
        </xdr:cNvPicPr>
      </xdr:nvPicPr>
      <xdr:blipFill>
        <a:blip xmlns:r="http://schemas.openxmlformats.org/officeDocument/2006/relationships" r:embed="rId5" cstate="print"/>
        <a:srcRect/>
        <a:stretch>
          <a:fillRect/>
        </a:stretch>
      </xdr:blipFill>
      <xdr:spPr bwMode="auto">
        <a:xfrm>
          <a:off x="38100" y="137731500"/>
          <a:ext cx="657225" cy="733425"/>
        </a:xfrm>
        <a:prstGeom prst="rect">
          <a:avLst/>
        </a:prstGeom>
        <a:noFill/>
        <a:ln w="9525">
          <a:noFill/>
          <a:miter lim="800000"/>
          <a:headEnd/>
          <a:tailEnd/>
        </a:ln>
      </xdr:spPr>
    </xdr:pic>
    <xdr:clientData/>
  </xdr:twoCellAnchor>
  <xdr:twoCellAnchor editAs="oneCell">
    <xdr:from>
      <xdr:col>0</xdr:col>
      <xdr:colOff>0</xdr:colOff>
      <xdr:row>860</xdr:row>
      <xdr:rowOff>200025</xdr:rowOff>
    </xdr:from>
    <xdr:to>
      <xdr:col>0</xdr:col>
      <xdr:colOff>666750</xdr:colOff>
      <xdr:row>1340</xdr:row>
      <xdr:rowOff>333375</xdr:rowOff>
    </xdr:to>
    <xdr:pic>
      <xdr:nvPicPr>
        <xdr:cNvPr id="3140" name="Рисунок 69">
          <a:hlinkClick xmlns:r="http://schemas.openxmlformats.org/officeDocument/2006/relationships" r:id="rId68"/>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33425"/>
        </a:xfrm>
        <a:prstGeom prst="rect">
          <a:avLst/>
        </a:prstGeom>
        <a:noFill/>
        <a:ln w="9525">
          <a:noFill/>
          <a:miter lim="800000"/>
          <a:headEnd/>
          <a:tailEnd/>
        </a:ln>
      </xdr:spPr>
    </xdr:pic>
    <xdr:clientData/>
  </xdr:twoCellAnchor>
  <xdr:twoCellAnchor editAs="oneCell">
    <xdr:from>
      <xdr:col>0</xdr:col>
      <xdr:colOff>0</xdr:colOff>
      <xdr:row>873</xdr:row>
      <xdr:rowOff>200025</xdr:rowOff>
    </xdr:from>
    <xdr:to>
      <xdr:col>0</xdr:col>
      <xdr:colOff>666750</xdr:colOff>
      <xdr:row>1340</xdr:row>
      <xdr:rowOff>333375</xdr:rowOff>
    </xdr:to>
    <xdr:pic>
      <xdr:nvPicPr>
        <xdr:cNvPr id="3141" name="Рисунок 70">
          <a:hlinkClick xmlns:r="http://schemas.openxmlformats.org/officeDocument/2006/relationships" r:id="rId69"/>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33425"/>
        </a:xfrm>
        <a:prstGeom prst="rect">
          <a:avLst/>
        </a:prstGeom>
        <a:noFill/>
        <a:ln w="9525">
          <a:noFill/>
          <a:miter lim="800000"/>
          <a:headEnd/>
          <a:tailEnd/>
        </a:ln>
      </xdr:spPr>
    </xdr:pic>
    <xdr:clientData/>
  </xdr:twoCellAnchor>
  <xdr:twoCellAnchor editAs="oneCell">
    <xdr:from>
      <xdr:col>0</xdr:col>
      <xdr:colOff>0</xdr:colOff>
      <xdr:row>886</xdr:row>
      <xdr:rowOff>180975</xdr:rowOff>
    </xdr:from>
    <xdr:to>
      <xdr:col>0</xdr:col>
      <xdr:colOff>666750</xdr:colOff>
      <xdr:row>1340</xdr:row>
      <xdr:rowOff>333375</xdr:rowOff>
    </xdr:to>
    <xdr:pic>
      <xdr:nvPicPr>
        <xdr:cNvPr id="3142" name="Рисунок 71">
          <a:hlinkClick xmlns:r="http://schemas.openxmlformats.org/officeDocument/2006/relationships" r:id="rId70"/>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33425"/>
        </a:xfrm>
        <a:prstGeom prst="rect">
          <a:avLst/>
        </a:prstGeom>
        <a:noFill/>
        <a:ln w="9525">
          <a:noFill/>
          <a:miter lim="800000"/>
          <a:headEnd/>
          <a:tailEnd/>
        </a:ln>
      </xdr:spPr>
    </xdr:pic>
    <xdr:clientData/>
  </xdr:twoCellAnchor>
  <xdr:twoCellAnchor editAs="oneCell">
    <xdr:from>
      <xdr:col>0</xdr:col>
      <xdr:colOff>0</xdr:colOff>
      <xdr:row>899</xdr:row>
      <xdr:rowOff>47625</xdr:rowOff>
    </xdr:from>
    <xdr:to>
      <xdr:col>0</xdr:col>
      <xdr:colOff>666750</xdr:colOff>
      <xdr:row>1340</xdr:row>
      <xdr:rowOff>333375</xdr:rowOff>
    </xdr:to>
    <xdr:pic>
      <xdr:nvPicPr>
        <xdr:cNvPr id="3143" name="Рисунок 72">
          <a:hlinkClick xmlns:r="http://schemas.openxmlformats.org/officeDocument/2006/relationships" r:id="rId71"/>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33425"/>
        </a:xfrm>
        <a:prstGeom prst="rect">
          <a:avLst/>
        </a:prstGeom>
        <a:noFill/>
        <a:ln w="9525">
          <a:noFill/>
          <a:miter lim="800000"/>
          <a:headEnd/>
          <a:tailEnd/>
        </a:ln>
      </xdr:spPr>
    </xdr:pic>
    <xdr:clientData/>
  </xdr:twoCellAnchor>
  <xdr:twoCellAnchor editAs="oneCell">
    <xdr:from>
      <xdr:col>0</xdr:col>
      <xdr:colOff>0</xdr:colOff>
      <xdr:row>912</xdr:row>
      <xdr:rowOff>219075</xdr:rowOff>
    </xdr:from>
    <xdr:to>
      <xdr:col>0</xdr:col>
      <xdr:colOff>666750</xdr:colOff>
      <xdr:row>1340</xdr:row>
      <xdr:rowOff>333375</xdr:rowOff>
    </xdr:to>
    <xdr:pic>
      <xdr:nvPicPr>
        <xdr:cNvPr id="3144" name="Рисунок 73">
          <a:hlinkClick xmlns:r="http://schemas.openxmlformats.org/officeDocument/2006/relationships" r:id="rId72"/>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33425"/>
        </a:xfrm>
        <a:prstGeom prst="rect">
          <a:avLst/>
        </a:prstGeom>
        <a:noFill/>
        <a:ln w="9525">
          <a:noFill/>
          <a:miter lim="800000"/>
          <a:headEnd/>
          <a:tailEnd/>
        </a:ln>
      </xdr:spPr>
    </xdr:pic>
    <xdr:clientData/>
  </xdr:twoCellAnchor>
  <xdr:twoCellAnchor editAs="oneCell">
    <xdr:from>
      <xdr:col>0</xdr:col>
      <xdr:colOff>0</xdr:colOff>
      <xdr:row>925</xdr:row>
      <xdr:rowOff>200025</xdr:rowOff>
    </xdr:from>
    <xdr:to>
      <xdr:col>0</xdr:col>
      <xdr:colOff>666750</xdr:colOff>
      <xdr:row>1340</xdr:row>
      <xdr:rowOff>333375</xdr:rowOff>
    </xdr:to>
    <xdr:pic>
      <xdr:nvPicPr>
        <xdr:cNvPr id="3145" name="Рисунок 74">
          <a:hlinkClick xmlns:r="http://schemas.openxmlformats.org/officeDocument/2006/relationships" r:id="rId73"/>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33425"/>
        </a:xfrm>
        <a:prstGeom prst="rect">
          <a:avLst/>
        </a:prstGeom>
        <a:noFill/>
        <a:ln w="9525">
          <a:noFill/>
          <a:miter lim="800000"/>
          <a:headEnd/>
          <a:tailEnd/>
        </a:ln>
      </xdr:spPr>
    </xdr:pic>
    <xdr:clientData/>
  </xdr:twoCellAnchor>
  <xdr:twoCellAnchor editAs="oneCell">
    <xdr:from>
      <xdr:col>0</xdr:col>
      <xdr:colOff>0</xdr:colOff>
      <xdr:row>938</xdr:row>
      <xdr:rowOff>180975</xdr:rowOff>
    </xdr:from>
    <xdr:to>
      <xdr:col>0</xdr:col>
      <xdr:colOff>666750</xdr:colOff>
      <xdr:row>1340</xdr:row>
      <xdr:rowOff>333375</xdr:rowOff>
    </xdr:to>
    <xdr:pic>
      <xdr:nvPicPr>
        <xdr:cNvPr id="3146" name="Рисунок 75">
          <a:hlinkClick xmlns:r="http://schemas.openxmlformats.org/officeDocument/2006/relationships" r:id="rId74"/>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33425"/>
        </a:xfrm>
        <a:prstGeom prst="rect">
          <a:avLst/>
        </a:prstGeom>
        <a:noFill/>
        <a:ln w="9525">
          <a:noFill/>
          <a:miter lim="800000"/>
          <a:headEnd/>
          <a:tailEnd/>
        </a:ln>
      </xdr:spPr>
    </xdr:pic>
    <xdr:clientData/>
  </xdr:twoCellAnchor>
  <xdr:twoCellAnchor editAs="oneCell">
    <xdr:from>
      <xdr:col>0</xdr:col>
      <xdr:colOff>0</xdr:colOff>
      <xdr:row>951</xdr:row>
      <xdr:rowOff>76200</xdr:rowOff>
    </xdr:from>
    <xdr:to>
      <xdr:col>0</xdr:col>
      <xdr:colOff>666750</xdr:colOff>
      <xdr:row>1340</xdr:row>
      <xdr:rowOff>323850</xdr:rowOff>
    </xdr:to>
    <xdr:pic>
      <xdr:nvPicPr>
        <xdr:cNvPr id="3147" name="Рисунок 76">
          <a:hlinkClick xmlns:r="http://schemas.openxmlformats.org/officeDocument/2006/relationships" r:id="rId75"/>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23900"/>
        </a:xfrm>
        <a:prstGeom prst="rect">
          <a:avLst/>
        </a:prstGeom>
        <a:noFill/>
        <a:ln w="9525">
          <a:noFill/>
          <a:miter lim="800000"/>
          <a:headEnd/>
          <a:tailEnd/>
        </a:ln>
      </xdr:spPr>
    </xdr:pic>
    <xdr:clientData/>
  </xdr:twoCellAnchor>
  <xdr:twoCellAnchor editAs="oneCell">
    <xdr:from>
      <xdr:col>0</xdr:col>
      <xdr:colOff>0</xdr:colOff>
      <xdr:row>964</xdr:row>
      <xdr:rowOff>200025</xdr:rowOff>
    </xdr:from>
    <xdr:to>
      <xdr:col>0</xdr:col>
      <xdr:colOff>666750</xdr:colOff>
      <xdr:row>1340</xdr:row>
      <xdr:rowOff>314325</xdr:rowOff>
    </xdr:to>
    <xdr:pic>
      <xdr:nvPicPr>
        <xdr:cNvPr id="3148" name="Рисунок 77">
          <a:hlinkClick xmlns:r="http://schemas.openxmlformats.org/officeDocument/2006/relationships" r:id="rId76"/>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14375"/>
        </a:xfrm>
        <a:prstGeom prst="rect">
          <a:avLst/>
        </a:prstGeom>
        <a:noFill/>
        <a:ln w="9525">
          <a:noFill/>
          <a:miter lim="800000"/>
          <a:headEnd/>
          <a:tailEnd/>
        </a:ln>
      </xdr:spPr>
    </xdr:pic>
    <xdr:clientData/>
  </xdr:twoCellAnchor>
  <xdr:twoCellAnchor editAs="oneCell">
    <xdr:from>
      <xdr:col>0</xdr:col>
      <xdr:colOff>0</xdr:colOff>
      <xdr:row>977</xdr:row>
      <xdr:rowOff>200025</xdr:rowOff>
    </xdr:from>
    <xdr:to>
      <xdr:col>0</xdr:col>
      <xdr:colOff>666750</xdr:colOff>
      <xdr:row>1340</xdr:row>
      <xdr:rowOff>314325</xdr:rowOff>
    </xdr:to>
    <xdr:pic>
      <xdr:nvPicPr>
        <xdr:cNvPr id="3149" name="Рисунок 78">
          <a:hlinkClick xmlns:r="http://schemas.openxmlformats.org/officeDocument/2006/relationships" r:id="rId77"/>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14375"/>
        </a:xfrm>
        <a:prstGeom prst="rect">
          <a:avLst/>
        </a:prstGeom>
        <a:noFill/>
        <a:ln w="9525">
          <a:noFill/>
          <a:miter lim="800000"/>
          <a:headEnd/>
          <a:tailEnd/>
        </a:ln>
      </xdr:spPr>
    </xdr:pic>
    <xdr:clientData/>
  </xdr:twoCellAnchor>
  <xdr:twoCellAnchor editAs="oneCell">
    <xdr:from>
      <xdr:col>0</xdr:col>
      <xdr:colOff>0</xdr:colOff>
      <xdr:row>990</xdr:row>
      <xdr:rowOff>133350</xdr:rowOff>
    </xdr:from>
    <xdr:to>
      <xdr:col>0</xdr:col>
      <xdr:colOff>666750</xdr:colOff>
      <xdr:row>1340</xdr:row>
      <xdr:rowOff>304800</xdr:rowOff>
    </xdr:to>
    <xdr:pic>
      <xdr:nvPicPr>
        <xdr:cNvPr id="3150" name="Рисунок 79">
          <a:hlinkClick xmlns:r="http://schemas.openxmlformats.org/officeDocument/2006/relationships" r:id="rId78"/>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04850"/>
        </a:xfrm>
        <a:prstGeom prst="rect">
          <a:avLst/>
        </a:prstGeom>
        <a:noFill/>
        <a:ln w="9525">
          <a:noFill/>
          <a:miter lim="800000"/>
          <a:headEnd/>
          <a:tailEnd/>
        </a:ln>
      </xdr:spPr>
    </xdr:pic>
    <xdr:clientData/>
  </xdr:twoCellAnchor>
  <xdr:twoCellAnchor editAs="oneCell">
    <xdr:from>
      <xdr:col>0</xdr:col>
      <xdr:colOff>0</xdr:colOff>
      <xdr:row>1003</xdr:row>
      <xdr:rowOff>219075</xdr:rowOff>
    </xdr:from>
    <xdr:to>
      <xdr:col>0</xdr:col>
      <xdr:colOff>666750</xdr:colOff>
      <xdr:row>1340</xdr:row>
      <xdr:rowOff>295275</xdr:rowOff>
    </xdr:to>
    <xdr:pic>
      <xdr:nvPicPr>
        <xdr:cNvPr id="3151" name="Рисунок 80">
          <a:hlinkClick xmlns:r="http://schemas.openxmlformats.org/officeDocument/2006/relationships" r:id="rId79"/>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695325"/>
        </a:xfrm>
        <a:prstGeom prst="rect">
          <a:avLst/>
        </a:prstGeom>
        <a:noFill/>
        <a:ln w="9525">
          <a:noFill/>
          <a:miter lim="800000"/>
          <a:headEnd/>
          <a:tailEnd/>
        </a:ln>
      </xdr:spPr>
    </xdr:pic>
    <xdr:clientData/>
  </xdr:twoCellAnchor>
  <xdr:twoCellAnchor editAs="oneCell">
    <xdr:from>
      <xdr:col>0</xdr:col>
      <xdr:colOff>0</xdr:colOff>
      <xdr:row>1016</xdr:row>
      <xdr:rowOff>133350</xdr:rowOff>
    </xdr:from>
    <xdr:to>
      <xdr:col>0</xdr:col>
      <xdr:colOff>666750</xdr:colOff>
      <xdr:row>1340</xdr:row>
      <xdr:rowOff>314325</xdr:rowOff>
    </xdr:to>
    <xdr:pic>
      <xdr:nvPicPr>
        <xdr:cNvPr id="3152" name="Рисунок 81">
          <a:hlinkClick xmlns:r="http://schemas.openxmlformats.org/officeDocument/2006/relationships" r:id="rId80"/>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14375"/>
        </a:xfrm>
        <a:prstGeom prst="rect">
          <a:avLst/>
        </a:prstGeom>
        <a:noFill/>
        <a:ln w="9525">
          <a:noFill/>
          <a:miter lim="800000"/>
          <a:headEnd/>
          <a:tailEnd/>
        </a:ln>
      </xdr:spPr>
    </xdr:pic>
    <xdr:clientData/>
  </xdr:twoCellAnchor>
  <xdr:twoCellAnchor editAs="oneCell">
    <xdr:from>
      <xdr:col>0</xdr:col>
      <xdr:colOff>0</xdr:colOff>
      <xdr:row>1029</xdr:row>
      <xdr:rowOff>142875</xdr:rowOff>
    </xdr:from>
    <xdr:to>
      <xdr:col>0</xdr:col>
      <xdr:colOff>666750</xdr:colOff>
      <xdr:row>1340</xdr:row>
      <xdr:rowOff>314325</xdr:rowOff>
    </xdr:to>
    <xdr:pic>
      <xdr:nvPicPr>
        <xdr:cNvPr id="3153" name="Рисунок 82">
          <a:hlinkClick xmlns:r="http://schemas.openxmlformats.org/officeDocument/2006/relationships" r:id="rId81"/>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14375"/>
        </a:xfrm>
        <a:prstGeom prst="rect">
          <a:avLst/>
        </a:prstGeom>
        <a:noFill/>
        <a:ln w="9525">
          <a:noFill/>
          <a:miter lim="800000"/>
          <a:headEnd/>
          <a:tailEnd/>
        </a:ln>
      </xdr:spPr>
    </xdr:pic>
    <xdr:clientData/>
  </xdr:twoCellAnchor>
  <xdr:twoCellAnchor editAs="oneCell">
    <xdr:from>
      <xdr:col>0</xdr:col>
      <xdr:colOff>0</xdr:colOff>
      <xdr:row>1042</xdr:row>
      <xdr:rowOff>180975</xdr:rowOff>
    </xdr:from>
    <xdr:to>
      <xdr:col>0</xdr:col>
      <xdr:colOff>666750</xdr:colOff>
      <xdr:row>1340</xdr:row>
      <xdr:rowOff>304800</xdr:rowOff>
    </xdr:to>
    <xdr:pic>
      <xdr:nvPicPr>
        <xdr:cNvPr id="3154" name="Рисунок 83">
          <a:hlinkClick xmlns:r="http://schemas.openxmlformats.org/officeDocument/2006/relationships" r:id="rId82"/>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04850"/>
        </a:xfrm>
        <a:prstGeom prst="rect">
          <a:avLst/>
        </a:prstGeom>
        <a:noFill/>
        <a:ln w="9525">
          <a:noFill/>
          <a:miter lim="800000"/>
          <a:headEnd/>
          <a:tailEnd/>
        </a:ln>
      </xdr:spPr>
    </xdr:pic>
    <xdr:clientData/>
  </xdr:twoCellAnchor>
  <xdr:twoCellAnchor editAs="oneCell">
    <xdr:from>
      <xdr:col>0</xdr:col>
      <xdr:colOff>0</xdr:colOff>
      <xdr:row>1055</xdr:row>
      <xdr:rowOff>104775</xdr:rowOff>
    </xdr:from>
    <xdr:to>
      <xdr:col>0</xdr:col>
      <xdr:colOff>666750</xdr:colOff>
      <xdr:row>1340</xdr:row>
      <xdr:rowOff>314325</xdr:rowOff>
    </xdr:to>
    <xdr:pic>
      <xdr:nvPicPr>
        <xdr:cNvPr id="3155" name="Рисунок 84">
          <a:hlinkClick xmlns:r="http://schemas.openxmlformats.org/officeDocument/2006/relationships" r:id="rId83"/>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14375"/>
        </a:xfrm>
        <a:prstGeom prst="rect">
          <a:avLst/>
        </a:prstGeom>
        <a:noFill/>
        <a:ln w="9525">
          <a:noFill/>
          <a:miter lim="800000"/>
          <a:headEnd/>
          <a:tailEnd/>
        </a:ln>
      </xdr:spPr>
    </xdr:pic>
    <xdr:clientData/>
  </xdr:twoCellAnchor>
  <xdr:twoCellAnchor editAs="oneCell">
    <xdr:from>
      <xdr:col>0</xdr:col>
      <xdr:colOff>0</xdr:colOff>
      <xdr:row>1068</xdr:row>
      <xdr:rowOff>142875</xdr:rowOff>
    </xdr:from>
    <xdr:to>
      <xdr:col>0</xdr:col>
      <xdr:colOff>666750</xdr:colOff>
      <xdr:row>1340</xdr:row>
      <xdr:rowOff>295275</xdr:rowOff>
    </xdr:to>
    <xdr:pic>
      <xdr:nvPicPr>
        <xdr:cNvPr id="3156" name="Рисунок 85">
          <a:hlinkClick xmlns:r="http://schemas.openxmlformats.org/officeDocument/2006/relationships" r:id="rId84"/>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695325"/>
        </a:xfrm>
        <a:prstGeom prst="rect">
          <a:avLst/>
        </a:prstGeom>
        <a:noFill/>
        <a:ln w="9525">
          <a:noFill/>
          <a:miter lim="800000"/>
          <a:headEnd/>
          <a:tailEnd/>
        </a:ln>
      </xdr:spPr>
    </xdr:pic>
    <xdr:clientData/>
  </xdr:twoCellAnchor>
  <xdr:twoCellAnchor editAs="oneCell">
    <xdr:from>
      <xdr:col>0</xdr:col>
      <xdr:colOff>0</xdr:colOff>
      <xdr:row>1081</xdr:row>
      <xdr:rowOff>171450</xdr:rowOff>
    </xdr:from>
    <xdr:to>
      <xdr:col>0</xdr:col>
      <xdr:colOff>666750</xdr:colOff>
      <xdr:row>1340</xdr:row>
      <xdr:rowOff>304800</xdr:rowOff>
    </xdr:to>
    <xdr:pic>
      <xdr:nvPicPr>
        <xdr:cNvPr id="3157" name="Рисунок 86">
          <a:hlinkClick xmlns:r="http://schemas.openxmlformats.org/officeDocument/2006/relationships" r:id="rId85"/>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04850"/>
        </a:xfrm>
        <a:prstGeom prst="rect">
          <a:avLst/>
        </a:prstGeom>
        <a:noFill/>
        <a:ln w="9525">
          <a:noFill/>
          <a:miter lim="800000"/>
          <a:headEnd/>
          <a:tailEnd/>
        </a:ln>
      </xdr:spPr>
    </xdr:pic>
    <xdr:clientData/>
  </xdr:twoCellAnchor>
  <xdr:twoCellAnchor editAs="oneCell">
    <xdr:from>
      <xdr:col>0</xdr:col>
      <xdr:colOff>0</xdr:colOff>
      <xdr:row>1094</xdr:row>
      <xdr:rowOff>171450</xdr:rowOff>
    </xdr:from>
    <xdr:to>
      <xdr:col>0</xdr:col>
      <xdr:colOff>666750</xdr:colOff>
      <xdr:row>1340</xdr:row>
      <xdr:rowOff>314325</xdr:rowOff>
    </xdr:to>
    <xdr:pic>
      <xdr:nvPicPr>
        <xdr:cNvPr id="3158" name="Рисунок 87">
          <a:hlinkClick xmlns:r="http://schemas.openxmlformats.org/officeDocument/2006/relationships" r:id="rId86"/>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14375"/>
        </a:xfrm>
        <a:prstGeom prst="rect">
          <a:avLst/>
        </a:prstGeom>
        <a:noFill/>
        <a:ln w="9525">
          <a:noFill/>
          <a:miter lim="800000"/>
          <a:headEnd/>
          <a:tailEnd/>
        </a:ln>
      </xdr:spPr>
    </xdr:pic>
    <xdr:clientData/>
  </xdr:twoCellAnchor>
  <xdr:twoCellAnchor editAs="oneCell">
    <xdr:from>
      <xdr:col>0</xdr:col>
      <xdr:colOff>0</xdr:colOff>
      <xdr:row>1107</xdr:row>
      <xdr:rowOff>123825</xdr:rowOff>
    </xdr:from>
    <xdr:to>
      <xdr:col>0</xdr:col>
      <xdr:colOff>666750</xdr:colOff>
      <xdr:row>1340</xdr:row>
      <xdr:rowOff>304800</xdr:rowOff>
    </xdr:to>
    <xdr:pic>
      <xdr:nvPicPr>
        <xdr:cNvPr id="3159" name="Рисунок 88">
          <a:hlinkClick xmlns:r="http://schemas.openxmlformats.org/officeDocument/2006/relationships" r:id="rId87"/>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04850"/>
        </a:xfrm>
        <a:prstGeom prst="rect">
          <a:avLst/>
        </a:prstGeom>
        <a:noFill/>
        <a:ln w="9525">
          <a:noFill/>
          <a:miter lim="800000"/>
          <a:headEnd/>
          <a:tailEnd/>
        </a:ln>
      </xdr:spPr>
    </xdr:pic>
    <xdr:clientData/>
  </xdr:twoCellAnchor>
  <xdr:twoCellAnchor editAs="oneCell">
    <xdr:from>
      <xdr:col>0</xdr:col>
      <xdr:colOff>0</xdr:colOff>
      <xdr:row>1120</xdr:row>
      <xdr:rowOff>161925</xdr:rowOff>
    </xdr:from>
    <xdr:to>
      <xdr:col>0</xdr:col>
      <xdr:colOff>666750</xdr:colOff>
      <xdr:row>1340</xdr:row>
      <xdr:rowOff>304800</xdr:rowOff>
    </xdr:to>
    <xdr:pic>
      <xdr:nvPicPr>
        <xdr:cNvPr id="3160" name="Рисунок 89">
          <a:hlinkClick xmlns:r="http://schemas.openxmlformats.org/officeDocument/2006/relationships" r:id="rId88"/>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04850"/>
        </a:xfrm>
        <a:prstGeom prst="rect">
          <a:avLst/>
        </a:prstGeom>
        <a:noFill/>
        <a:ln w="9525">
          <a:noFill/>
          <a:miter lim="800000"/>
          <a:headEnd/>
          <a:tailEnd/>
        </a:ln>
      </xdr:spPr>
    </xdr:pic>
    <xdr:clientData/>
  </xdr:twoCellAnchor>
  <xdr:twoCellAnchor editAs="oneCell">
    <xdr:from>
      <xdr:col>0</xdr:col>
      <xdr:colOff>0</xdr:colOff>
      <xdr:row>1133</xdr:row>
      <xdr:rowOff>161925</xdr:rowOff>
    </xdr:from>
    <xdr:to>
      <xdr:col>0</xdr:col>
      <xdr:colOff>666750</xdr:colOff>
      <xdr:row>1340</xdr:row>
      <xdr:rowOff>295275</xdr:rowOff>
    </xdr:to>
    <xdr:pic>
      <xdr:nvPicPr>
        <xdr:cNvPr id="3161" name="Рисунок 90">
          <a:hlinkClick xmlns:r="http://schemas.openxmlformats.org/officeDocument/2006/relationships" r:id="rId89"/>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695325"/>
        </a:xfrm>
        <a:prstGeom prst="rect">
          <a:avLst/>
        </a:prstGeom>
        <a:noFill/>
        <a:ln w="9525">
          <a:noFill/>
          <a:miter lim="800000"/>
          <a:headEnd/>
          <a:tailEnd/>
        </a:ln>
      </xdr:spPr>
    </xdr:pic>
    <xdr:clientData/>
  </xdr:twoCellAnchor>
  <xdr:twoCellAnchor editAs="oneCell">
    <xdr:from>
      <xdr:col>0</xdr:col>
      <xdr:colOff>47625</xdr:colOff>
      <xdr:row>1146</xdr:row>
      <xdr:rowOff>228600</xdr:rowOff>
    </xdr:from>
    <xdr:to>
      <xdr:col>1</xdr:col>
      <xdr:colOff>19050</xdr:colOff>
      <xdr:row>1340</xdr:row>
      <xdr:rowOff>285750</xdr:rowOff>
    </xdr:to>
    <xdr:pic>
      <xdr:nvPicPr>
        <xdr:cNvPr id="3162" name="Рисунок 91">
          <a:hlinkClick xmlns:r="http://schemas.openxmlformats.org/officeDocument/2006/relationships" r:id="rId90"/>
        </xdr:cNvPr>
        <xdr:cNvPicPr>
          <a:picLocks noChangeAspect="1"/>
        </xdr:cNvPicPr>
      </xdr:nvPicPr>
      <xdr:blipFill>
        <a:blip xmlns:r="http://schemas.openxmlformats.org/officeDocument/2006/relationships" r:embed="rId5" cstate="print"/>
        <a:srcRect/>
        <a:stretch>
          <a:fillRect/>
        </a:stretch>
      </xdr:blipFill>
      <xdr:spPr bwMode="auto">
        <a:xfrm>
          <a:off x="47625" y="137731500"/>
          <a:ext cx="666750" cy="685800"/>
        </a:xfrm>
        <a:prstGeom prst="rect">
          <a:avLst/>
        </a:prstGeom>
        <a:noFill/>
        <a:ln w="9525">
          <a:noFill/>
          <a:miter lim="800000"/>
          <a:headEnd/>
          <a:tailEnd/>
        </a:ln>
      </xdr:spPr>
    </xdr:pic>
    <xdr:clientData/>
  </xdr:twoCellAnchor>
  <xdr:twoCellAnchor editAs="oneCell">
    <xdr:from>
      <xdr:col>0</xdr:col>
      <xdr:colOff>0</xdr:colOff>
      <xdr:row>1159</xdr:row>
      <xdr:rowOff>123825</xdr:rowOff>
    </xdr:from>
    <xdr:to>
      <xdr:col>0</xdr:col>
      <xdr:colOff>666750</xdr:colOff>
      <xdr:row>1340</xdr:row>
      <xdr:rowOff>295275</xdr:rowOff>
    </xdr:to>
    <xdr:pic>
      <xdr:nvPicPr>
        <xdr:cNvPr id="3163" name="Рисунок 92">
          <a:hlinkClick xmlns:r="http://schemas.openxmlformats.org/officeDocument/2006/relationships" r:id="rId91"/>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695325"/>
        </a:xfrm>
        <a:prstGeom prst="rect">
          <a:avLst/>
        </a:prstGeom>
        <a:noFill/>
        <a:ln w="9525">
          <a:noFill/>
          <a:miter lim="800000"/>
          <a:headEnd/>
          <a:tailEnd/>
        </a:ln>
      </xdr:spPr>
    </xdr:pic>
    <xdr:clientData/>
  </xdr:twoCellAnchor>
  <xdr:twoCellAnchor editAs="oneCell">
    <xdr:from>
      <xdr:col>0</xdr:col>
      <xdr:colOff>0</xdr:colOff>
      <xdr:row>1172</xdr:row>
      <xdr:rowOff>152400</xdr:rowOff>
    </xdr:from>
    <xdr:to>
      <xdr:col>0</xdr:col>
      <xdr:colOff>666750</xdr:colOff>
      <xdr:row>1340</xdr:row>
      <xdr:rowOff>295275</xdr:rowOff>
    </xdr:to>
    <xdr:pic>
      <xdr:nvPicPr>
        <xdr:cNvPr id="3164" name="Рисунок 93">
          <a:hlinkClick xmlns:r="http://schemas.openxmlformats.org/officeDocument/2006/relationships" r:id="rId92"/>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695325"/>
        </a:xfrm>
        <a:prstGeom prst="rect">
          <a:avLst/>
        </a:prstGeom>
        <a:noFill/>
        <a:ln w="9525">
          <a:noFill/>
          <a:miter lim="800000"/>
          <a:headEnd/>
          <a:tailEnd/>
        </a:ln>
      </xdr:spPr>
    </xdr:pic>
    <xdr:clientData/>
  </xdr:twoCellAnchor>
  <xdr:twoCellAnchor editAs="oneCell">
    <xdr:from>
      <xdr:col>0</xdr:col>
      <xdr:colOff>0</xdr:colOff>
      <xdr:row>1185</xdr:row>
      <xdr:rowOff>142875</xdr:rowOff>
    </xdr:from>
    <xdr:to>
      <xdr:col>0</xdr:col>
      <xdr:colOff>666750</xdr:colOff>
      <xdr:row>1340</xdr:row>
      <xdr:rowOff>295275</xdr:rowOff>
    </xdr:to>
    <xdr:pic>
      <xdr:nvPicPr>
        <xdr:cNvPr id="3165" name="Рисунок 94">
          <a:hlinkClick xmlns:r="http://schemas.openxmlformats.org/officeDocument/2006/relationships" r:id="rId93"/>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695325"/>
        </a:xfrm>
        <a:prstGeom prst="rect">
          <a:avLst/>
        </a:prstGeom>
        <a:noFill/>
        <a:ln w="9525">
          <a:noFill/>
          <a:miter lim="800000"/>
          <a:headEnd/>
          <a:tailEnd/>
        </a:ln>
      </xdr:spPr>
    </xdr:pic>
    <xdr:clientData/>
  </xdr:twoCellAnchor>
  <xdr:twoCellAnchor editAs="oneCell">
    <xdr:from>
      <xdr:col>0</xdr:col>
      <xdr:colOff>0</xdr:colOff>
      <xdr:row>1198</xdr:row>
      <xdr:rowOff>285750</xdr:rowOff>
    </xdr:from>
    <xdr:to>
      <xdr:col>0</xdr:col>
      <xdr:colOff>666750</xdr:colOff>
      <xdr:row>1340</xdr:row>
      <xdr:rowOff>314325</xdr:rowOff>
    </xdr:to>
    <xdr:pic>
      <xdr:nvPicPr>
        <xdr:cNvPr id="3166" name="Рисунок 95">
          <a:hlinkClick xmlns:r="http://schemas.openxmlformats.org/officeDocument/2006/relationships" r:id="rId94"/>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14375"/>
        </a:xfrm>
        <a:prstGeom prst="rect">
          <a:avLst/>
        </a:prstGeom>
        <a:noFill/>
        <a:ln w="9525">
          <a:noFill/>
          <a:miter lim="800000"/>
          <a:headEnd/>
          <a:tailEnd/>
        </a:ln>
      </xdr:spPr>
    </xdr:pic>
    <xdr:clientData/>
  </xdr:twoCellAnchor>
  <xdr:twoCellAnchor editAs="oneCell">
    <xdr:from>
      <xdr:col>0</xdr:col>
      <xdr:colOff>0</xdr:colOff>
      <xdr:row>1211</xdr:row>
      <xdr:rowOff>200025</xdr:rowOff>
    </xdr:from>
    <xdr:to>
      <xdr:col>0</xdr:col>
      <xdr:colOff>666750</xdr:colOff>
      <xdr:row>1340</xdr:row>
      <xdr:rowOff>295275</xdr:rowOff>
    </xdr:to>
    <xdr:pic>
      <xdr:nvPicPr>
        <xdr:cNvPr id="3167" name="Рисунок 96">
          <a:hlinkClick xmlns:r="http://schemas.openxmlformats.org/officeDocument/2006/relationships" r:id="rId95"/>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695325"/>
        </a:xfrm>
        <a:prstGeom prst="rect">
          <a:avLst/>
        </a:prstGeom>
        <a:noFill/>
        <a:ln w="9525">
          <a:noFill/>
          <a:miter lim="800000"/>
          <a:headEnd/>
          <a:tailEnd/>
        </a:ln>
      </xdr:spPr>
    </xdr:pic>
    <xdr:clientData/>
  </xdr:twoCellAnchor>
  <xdr:twoCellAnchor editAs="oneCell">
    <xdr:from>
      <xdr:col>0</xdr:col>
      <xdr:colOff>0</xdr:colOff>
      <xdr:row>1224</xdr:row>
      <xdr:rowOff>238125</xdr:rowOff>
    </xdr:from>
    <xdr:to>
      <xdr:col>0</xdr:col>
      <xdr:colOff>666750</xdr:colOff>
      <xdr:row>1340</xdr:row>
      <xdr:rowOff>295275</xdr:rowOff>
    </xdr:to>
    <xdr:pic>
      <xdr:nvPicPr>
        <xdr:cNvPr id="3168" name="Рисунок 97">
          <a:hlinkClick xmlns:r="http://schemas.openxmlformats.org/officeDocument/2006/relationships" r:id="rId96"/>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695325"/>
        </a:xfrm>
        <a:prstGeom prst="rect">
          <a:avLst/>
        </a:prstGeom>
        <a:noFill/>
        <a:ln w="9525">
          <a:noFill/>
          <a:miter lim="800000"/>
          <a:headEnd/>
          <a:tailEnd/>
        </a:ln>
      </xdr:spPr>
    </xdr:pic>
    <xdr:clientData/>
  </xdr:twoCellAnchor>
  <xdr:twoCellAnchor editAs="oneCell">
    <xdr:from>
      <xdr:col>0</xdr:col>
      <xdr:colOff>0</xdr:colOff>
      <xdr:row>1237</xdr:row>
      <xdr:rowOff>219075</xdr:rowOff>
    </xdr:from>
    <xdr:to>
      <xdr:col>0</xdr:col>
      <xdr:colOff>666750</xdr:colOff>
      <xdr:row>1340</xdr:row>
      <xdr:rowOff>295275</xdr:rowOff>
    </xdr:to>
    <xdr:pic>
      <xdr:nvPicPr>
        <xdr:cNvPr id="3169" name="Рисунок 98">
          <a:hlinkClick xmlns:r="http://schemas.openxmlformats.org/officeDocument/2006/relationships" r:id="rId97"/>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695325"/>
        </a:xfrm>
        <a:prstGeom prst="rect">
          <a:avLst/>
        </a:prstGeom>
        <a:noFill/>
        <a:ln w="9525">
          <a:noFill/>
          <a:miter lim="800000"/>
          <a:headEnd/>
          <a:tailEnd/>
        </a:ln>
      </xdr:spPr>
    </xdr:pic>
    <xdr:clientData/>
  </xdr:twoCellAnchor>
  <xdr:twoCellAnchor editAs="oneCell">
    <xdr:from>
      <xdr:col>0</xdr:col>
      <xdr:colOff>0</xdr:colOff>
      <xdr:row>1250</xdr:row>
      <xdr:rowOff>266700</xdr:rowOff>
    </xdr:from>
    <xdr:to>
      <xdr:col>0</xdr:col>
      <xdr:colOff>666750</xdr:colOff>
      <xdr:row>1340</xdr:row>
      <xdr:rowOff>285750</xdr:rowOff>
    </xdr:to>
    <xdr:pic>
      <xdr:nvPicPr>
        <xdr:cNvPr id="3170" name="Рисунок 99">
          <a:hlinkClick xmlns:r="http://schemas.openxmlformats.org/officeDocument/2006/relationships" r:id="rId98"/>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685800"/>
        </a:xfrm>
        <a:prstGeom prst="rect">
          <a:avLst/>
        </a:prstGeom>
        <a:noFill/>
        <a:ln w="9525">
          <a:noFill/>
          <a:miter lim="800000"/>
          <a:headEnd/>
          <a:tailEnd/>
        </a:ln>
      </xdr:spPr>
    </xdr:pic>
    <xdr:clientData/>
  </xdr:twoCellAnchor>
  <xdr:twoCellAnchor editAs="oneCell">
    <xdr:from>
      <xdr:col>0</xdr:col>
      <xdr:colOff>0</xdr:colOff>
      <xdr:row>1263</xdr:row>
      <xdr:rowOff>190500</xdr:rowOff>
    </xdr:from>
    <xdr:to>
      <xdr:col>0</xdr:col>
      <xdr:colOff>666750</xdr:colOff>
      <xdr:row>1340</xdr:row>
      <xdr:rowOff>295275</xdr:rowOff>
    </xdr:to>
    <xdr:pic>
      <xdr:nvPicPr>
        <xdr:cNvPr id="3171" name="Рисунок 100">
          <a:hlinkClick xmlns:r="http://schemas.openxmlformats.org/officeDocument/2006/relationships" r:id="rId99"/>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695325"/>
        </a:xfrm>
        <a:prstGeom prst="rect">
          <a:avLst/>
        </a:prstGeom>
        <a:noFill/>
        <a:ln w="9525">
          <a:noFill/>
          <a:miter lim="800000"/>
          <a:headEnd/>
          <a:tailEnd/>
        </a:ln>
      </xdr:spPr>
    </xdr:pic>
    <xdr:clientData/>
  </xdr:twoCellAnchor>
  <xdr:twoCellAnchor editAs="oneCell">
    <xdr:from>
      <xdr:col>0</xdr:col>
      <xdr:colOff>0</xdr:colOff>
      <xdr:row>1277</xdr:row>
      <xdr:rowOff>28575</xdr:rowOff>
    </xdr:from>
    <xdr:to>
      <xdr:col>0</xdr:col>
      <xdr:colOff>666750</xdr:colOff>
      <xdr:row>1340</xdr:row>
      <xdr:rowOff>314325</xdr:rowOff>
    </xdr:to>
    <xdr:pic>
      <xdr:nvPicPr>
        <xdr:cNvPr id="3172" name="Рисунок 101">
          <a:hlinkClick xmlns:r="http://schemas.openxmlformats.org/officeDocument/2006/relationships" r:id="rId100"/>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714375"/>
        </a:xfrm>
        <a:prstGeom prst="rect">
          <a:avLst/>
        </a:prstGeom>
        <a:noFill/>
        <a:ln w="9525">
          <a:noFill/>
          <a:miter lim="800000"/>
          <a:headEnd/>
          <a:tailEnd/>
        </a:ln>
      </xdr:spPr>
    </xdr:pic>
    <xdr:clientData/>
  </xdr:twoCellAnchor>
  <xdr:twoCellAnchor editAs="oneCell">
    <xdr:from>
      <xdr:col>0</xdr:col>
      <xdr:colOff>0</xdr:colOff>
      <xdr:row>1289</xdr:row>
      <xdr:rowOff>200025</xdr:rowOff>
    </xdr:from>
    <xdr:to>
      <xdr:col>0</xdr:col>
      <xdr:colOff>666750</xdr:colOff>
      <xdr:row>1340</xdr:row>
      <xdr:rowOff>295275</xdr:rowOff>
    </xdr:to>
    <xdr:pic>
      <xdr:nvPicPr>
        <xdr:cNvPr id="3173" name="Рисунок 102">
          <a:hlinkClick xmlns:r="http://schemas.openxmlformats.org/officeDocument/2006/relationships" r:id="rId101"/>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695325"/>
        </a:xfrm>
        <a:prstGeom prst="rect">
          <a:avLst/>
        </a:prstGeom>
        <a:noFill/>
        <a:ln w="9525">
          <a:noFill/>
          <a:miter lim="800000"/>
          <a:headEnd/>
          <a:tailEnd/>
        </a:ln>
      </xdr:spPr>
    </xdr:pic>
    <xdr:clientData/>
  </xdr:twoCellAnchor>
  <xdr:twoCellAnchor editAs="oneCell">
    <xdr:from>
      <xdr:col>0</xdr:col>
      <xdr:colOff>0</xdr:colOff>
      <xdr:row>1302</xdr:row>
      <xdr:rowOff>304800</xdr:rowOff>
    </xdr:from>
    <xdr:to>
      <xdr:col>0</xdr:col>
      <xdr:colOff>666750</xdr:colOff>
      <xdr:row>1340</xdr:row>
      <xdr:rowOff>285750</xdr:rowOff>
    </xdr:to>
    <xdr:pic>
      <xdr:nvPicPr>
        <xdr:cNvPr id="3174" name="Рисунок 103">
          <a:hlinkClick xmlns:r="http://schemas.openxmlformats.org/officeDocument/2006/relationships" r:id="rId102"/>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685800"/>
        </a:xfrm>
        <a:prstGeom prst="rect">
          <a:avLst/>
        </a:prstGeom>
        <a:noFill/>
        <a:ln w="9525">
          <a:noFill/>
          <a:miter lim="800000"/>
          <a:headEnd/>
          <a:tailEnd/>
        </a:ln>
      </xdr:spPr>
    </xdr:pic>
    <xdr:clientData/>
  </xdr:twoCellAnchor>
  <xdr:twoCellAnchor editAs="oneCell">
    <xdr:from>
      <xdr:col>0</xdr:col>
      <xdr:colOff>0</xdr:colOff>
      <xdr:row>1315</xdr:row>
      <xdr:rowOff>114300</xdr:rowOff>
    </xdr:from>
    <xdr:to>
      <xdr:col>0</xdr:col>
      <xdr:colOff>666750</xdr:colOff>
      <xdr:row>1340</xdr:row>
      <xdr:rowOff>285750</xdr:rowOff>
    </xdr:to>
    <xdr:pic>
      <xdr:nvPicPr>
        <xdr:cNvPr id="3175" name="Рисунок 104">
          <a:hlinkClick xmlns:r="http://schemas.openxmlformats.org/officeDocument/2006/relationships" r:id="rId103"/>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685800"/>
        </a:xfrm>
        <a:prstGeom prst="rect">
          <a:avLst/>
        </a:prstGeom>
        <a:noFill/>
        <a:ln w="9525">
          <a:noFill/>
          <a:miter lim="800000"/>
          <a:headEnd/>
          <a:tailEnd/>
        </a:ln>
      </xdr:spPr>
    </xdr:pic>
    <xdr:clientData/>
  </xdr:twoCellAnchor>
  <xdr:twoCellAnchor editAs="oneCell">
    <xdr:from>
      <xdr:col>0</xdr:col>
      <xdr:colOff>0</xdr:colOff>
      <xdr:row>1328</xdr:row>
      <xdr:rowOff>219075</xdr:rowOff>
    </xdr:from>
    <xdr:to>
      <xdr:col>0</xdr:col>
      <xdr:colOff>666750</xdr:colOff>
      <xdr:row>1340</xdr:row>
      <xdr:rowOff>285750</xdr:rowOff>
    </xdr:to>
    <xdr:pic>
      <xdr:nvPicPr>
        <xdr:cNvPr id="3176" name="Рисунок 105">
          <a:hlinkClick xmlns:r="http://schemas.openxmlformats.org/officeDocument/2006/relationships" r:id="rId104"/>
        </xdr:cNvPr>
        <xdr:cNvPicPr>
          <a:picLocks noChangeAspect="1"/>
        </xdr:cNvPicPr>
      </xdr:nvPicPr>
      <xdr:blipFill>
        <a:blip xmlns:r="http://schemas.openxmlformats.org/officeDocument/2006/relationships" r:embed="rId5" cstate="print"/>
        <a:srcRect/>
        <a:stretch>
          <a:fillRect/>
        </a:stretch>
      </xdr:blipFill>
      <xdr:spPr bwMode="auto">
        <a:xfrm>
          <a:off x="0" y="137731500"/>
          <a:ext cx="666750" cy="6858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211</xdr:row>
      <xdr:rowOff>0</xdr:rowOff>
    </xdr:from>
    <xdr:to>
      <xdr:col>10</xdr:col>
      <xdr:colOff>77470</xdr:colOff>
      <xdr:row>216</xdr:row>
      <xdr:rowOff>83820</xdr:rowOff>
    </xdr:to>
    <xdr:sp macro="" textlink="">
      <xdr:nvSpPr>
        <xdr:cNvPr id="3" name="Прямоугольник: скругленные углы 2">
          <a:hlinkClick xmlns:r="http://schemas.openxmlformats.org/officeDocument/2006/relationships" r:id="rId1"/>
          <a:extLst>
            <a:ext uri="{FF2B5EF4-FFF2-40B4-BE49-F238E27FC236}"/>
          </a:extLst>
        </xdr:cNvPr>
        <xdr:cNvSpPr/>
      </xdr:nvSpPr>
      <xdr:spPr>
        <a:xfrm>
          <a:off x="787400" y="85610700"/>
          <a:ext cx="11799570" cy="1417320"/>
        </a:xfrm>
        <a:prstGeom prst="roundRect">
          <a:avLst/>
        </a:prstGeom>
        <a:solidFill>
          <a:schemeClr val="bg1"/>
        </a:solidFill>
        <a:ln w="381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uk-UA" sz="3200" b="1">
              <a:solidFill>
                <a:schemeClr val="dk1"/>
              </a:solidFill>
              <a:effectLst/>
              <a:latin typeface="+mn-lt"/>
              <a:ea typeface="+mn-ea"/>
              <a:cs typeface="+mn-cs"/>
            </a:rPr>
            <a:t>Натисніть</a:t>
          </a:r>
          <a:r>
            <a:rPr lang="en-US" sz="3200" b="1">
              <a:solidFill>
                <a:schemeClr val="dk1"/>
              </a:solidFill>
              <a:effectLst/>
              <a:latin typeface="+mn-lt"/>
              <a:ea typeface="+mn-ea"/>
              <a:cs typeface="+mn-cs"/>
            </a:rPr>
            <a:t> </a:t>
          </a:r>
          <a:r>
            <a:rPr lang="uk-UA" sz="3200" b="1">
              <a:solidFill>
                <a:schemeClr val="dk1"/>
              </a:solidFill>
              <a:effectLst/>
              <a:latin typeface="+mn-lt"/>
              <a:ea typeface="+mn-ea"/>
              <a:cs typeface="+mn-cs"/>
            </a:rPr>
            <a:t>СЮДИ</a:t>
          </a:r>
          <a:r>
            <a:rPr lang="uk-UA" sz="3200" b="1" baseline="0">
              <a:solidFill>
                <a:schemeClr val="dk1"/>
              </a:solidFill>
              <a:effectLst/>
              <a:latin typeface="+mn-lt"/>
              <a:ea typeface="+mn-ea"/>
              <a:cs typeface="+mn-cs"/>
            </a:rPr>
            <a:t> для автоматичного </a:t>
          </a:r>
          <a:r>
            <a:rPr lang="uk-UA" sz="3200" b="1">
              <a:solidFill>
                <a:schemeClr val="dk1"/>
              </a:solidFill>
              <a:effectLst/>
              <a:latin typeface="+mn-lt"/>
              <a:ea typeface="+mn-ea"/>
              <a:cs typeface="+mn-cs"/>
            </a:rPr>
            <a:t>переходу</a:t>
          </a:r>
          <a:r>
            <a:rPr lang="uk-UA" sz="3200" b="1" baseline="0">
              <a:solidFill>
                <a:schemeClr val="dk1"/>
              </a:solidFill>
              <a:effectLst/>
              <a:latin typeface="+mn-lt"/>
              <a:ea typeface="+mn-ea"/>
              <a:cs typeface="+mn-cs"/>
            </a:rPr>
            <a:t> </a:t>
          </a:r>
        </a:p>
        <a:p>
          <a:pPr algn="ctr"/>
          <a:r>
            <a:rPr lang="uk-UA" sz="3200" b="1">
              <a:solidFill>
                <a:schemeClr val="dk1"/>
              </a:solidFill>
              <a:effectLst/>
              <a:latin typeface="+mn-lt"/>
              <a:ea typeface="+mn-ea"/>
              <a:cs typeface="+mn-cs"/>
            </a:rPr>
            <a:t>до початку</a:t>
          </a:r>
          <a:r>
            <a:rPr lang="uk-UA" sz="3200" b="1" baseline="0">
              <a:solidFill>
                <a:schemeClr val="dk1"/>
              </a:solidFill>
              <a:effectLst/>
              <a:latin typeface="+mn-lt"/>
              <a:ea typeface="+mn-ea"/>
              <a:cs typeface="+mn-cs"/>
            </a:rPr>
            <a:t> сторінки</a:t>
          </a:r>
          <a:endParaRPr lang="x-none" sz="6000" b="1">
            <a:effectLst/>
          </a:endParaRPr>
        </a:p>
      </xdr:txBody>
    </xdr:sp>
    <xdr:clientData/>
  </xdr:twoCellAnchor>
  <xdr:twoCellAnchor editAs="oneCell">
    <xdr:from>
      <xdr:col>6</xdr:col>
      <xdr:colOff>581025</xdr:colOff>
      <xdr:row>10</xdr:row>
      <xdr:rowOff>314325</xdr:rowOff>
    </xdr:from>
    <xdr:to>
      <xdr:col>6</xdr:col>
      <xdr:colOff>1295400</xdr:colOff>
      <xdr:row>11</xdr:row>
      <xdr:rowOff>352425</xdr:rowOff>
    </xdr:to>
    <xdr:pic>
      <xdr:nvPicPr>
        <xdr:cNvPr id="4103" name="Рисунок 4"/>
        <xdr:cNvPicPr>
          <a:picLocks noChangeAspect="1"/>
        </xdr:cNvPicPr>
      </xdr:nvPicPr>
      <xdr:blipFill>
        <a:blip xmlns:r="http://schemas.openxmlformats.org/officeDocument/2006/relationships" r:embed="rId2" cstate="print"/>
        <a:srcRect/>
        <a:stretch>
          <a:fillRect/>
        </a:stretch>
      </xdr:blipFill>
      <xdr:spPr bwMode="auto">
        <a:xfrm>
          <a:off x="8201025" y="3895725"/>
          <a:ext cx="714375" cy="7334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762000</xdr:colOff>
      <xdr:row>167</xdr:row>
      <xdr:rowOff>177800</xdr:rowOff>
    </xdr:from>
    <xdr:to>
      <xdr:col>5</xdr:col>
      <xdr:colOff>1344006</xdr:colOff>
      <xdr:row>174</xdr:row>
      <xdr:rowOff>155402</xdr:rowOff>
    </xdr:to>
    <xdr:sp macro="" textlink="">
      <xdr:nvSpPr>
        <xdr:cNvPr id="2" name="Прямоугольник: скругленные углы 1">
          <a:hlinkClick xmlns:r="http://schemas.openxmlformats.org/officeDocument/2006/relationships" r:id="rId1"/>
          <a:extLst>
            <a:ext uri="{FF2B5EF4-FFF2-40B4-BE49-F238E27FC236}"/>
          </a:extLst>
        </xdr:cNvPr>
        <xdr:cNvSpPr/>
      </xdr:nvSpPr>
      <xdr:spPr>
        <a:xfrm>
          <a:off x="1028700" y="47459900"/>
          <a:ext cx="11313506" cy="1400002"/>
        </a:xfrm>
        <a:prstGeom prst="roundRect">
          <a:avLst/>
        </a:prstGeom>
        <a:solidFill>
          <a:schemeClr val="bg1"/>
        </a:solidFill>
        <a:ln w="381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uk-UA" sz="3200" b="1">
              <a:solidFill>
                <a:schemeClr val="dk1"/>
              </a:solidFill>
              <a:effectLst/>
              <a:latin typeface="+mn-lt"/>
              <a:ea typeface="+mn-ea"/>
              <a:cs typeface="+mn-cs"/>
            </a:rPr>
            <a:t>Натисніть</a:t>
          </a:r>
          <a:r>
            <a:rPr lang="en-US" sz="3200" b="1">
              <a:solidFill>
                <a:schemeClr val="dk1"/>
              </a:solidFill>
              <a:effectLst/>
              <a:latin typeface="+mn-lt"/>
              <a:ea typeface="+mn-ea"/>
              <a:cs typeface="+mn-cs"/>
            </a:rPr>
            <a:t> </a:t>
          </a:r>
          <a:r>
            <a:rPr lang="uk-UA" sz="3200" b="1">
              <a:solidFill>
                <a:schemeClr val="dk1"/>
              </a:solidFill>
              <a:effectLst/>
              <a:latin typeface="+mn-lt"/>
              <a:ea typeface="+mn-ea"/>
              <a:cs typeface="+mn-cs"/>
            </a:rPr>
            <a:t>СЮДИ</a:t>
          </a:r>
          <a:r>
            <a:rPr lang="uk-UA" sz="3200" b="1" baseline="0">
              <a:solidFill>
                <a:schemeClr val="dk1"/>
              </a:solidFill>
              <a:effectLst/>
              <a:latin typeface="+mn-lt"/>
              <a:ea typeface="+mn-ea"/>
              <a:cs typeface="+mn-cs"/>
            </a:rPr>
            <a:t> для автоматичного </a:t>
          </a:r>
          <a:r>
            <a:rPr lang="uk-UA" sz="3200" b="1">
              <a:solidFill>
                <a:schemeClr val="dk1"/>
              </a:solidFill>
              <a:effectLst/>
              <a:latin typeface="+mn-lt"/>
              <a:ea typeface="+mn-ea"/>
              <a:cs typeface="+mn-cs"/>
            </a:rPr>
            <a:t>переходу</a:t>
          </a:r>
          <a:r>
            <a:rPr lang="uk-UA" sz="3200" b="1" baseline="0">
              <a:solidFill>
                <a:schemeClr val="dk1"/>
              </a:solidFill>
              <a:effectLst/>
              <a:latin typeface="+mn-lt"/>
              <a:ea typeface="+mn-ea"/>
              <a:cs typeface="+mn-cs"/>
            </a:rPr>
            <a:t> </a:t>
          </a:r>
        </a:p>
        <a:p>
          <a:pPr algn="ctr"/>
          <a:r>
            <a:rPr lang="uk-UA" sz="3200" b="1">
              <a:solidFill>
                <a:schemeClr val="dk1"/>
              </a:solidFill>
              <a:effectLst/>
              <a:latin typeface="+mn-lt"/>
              <a:ea typeface="+mn-ea"/>
              <a:cs typeface="+mn-cs"/>
            </a:rPr>
            <a:t>до початку</a:t>
          </a:r>
          <a:r>
            <a:rPr lang="uk-UA" sz="3200" b="1" baseline="0">
              <a:solidFill>
                <a:schemeClr val="dk1"/>
              </a:solidFill>
              <a:effectLst/>
              <a:latin typeface="+mn-lt"/>
              <a:ea typeface="+mn-ea"/>
              <a:cs typeface="+mn-cs"/>
            </a:rPr>
            <a:t> сторінки</a:t>
          </a:r>
          <a:endParaRPr lang="x-none" sz="6000" b="1">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19050</xdr:colOff>
      <xdr:row>6</xdr:row>
      <xdr:rowOff>161925</xdr:rowOff>
    </xdr:from>
    <xdr:to>
      <xdr:col>23</xdr:col>
      <xdr:colOff>485775</xdr:colOff>
      <xdr:row>32</xdr:row>
      <xdr:rowOff>19050</xdr:rowOff>
    </xdr:to>
    <xdr:graphicFrame macro="">
      <xdr:nvGraphicFramePr>
        <xdr:cNvPr id="9217"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400050</xdr:colOff>
      <xdr:row>33</xdr:row>
      <xdr:rowOff>95250</xdr:rowOff>
    </xdr:from>
    <xdr:to>
      <xdr:col>14</xdr:col>
      <xdr:colOff>314325</xdr:colOff>
      <xdr:row>54</xdr:row>
      <xdr:rowOff>66675</xdr:rowOff>
    </xdr:to>
    <xdr:graphicFrame macro="">
      <xdr:nvGraphicFramePr>
        <xdr:cNvPr id="9218"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33</xdr:row>
      <xdr:rowOff>66675</xdr:rowOff>
    </xdr:from>
    <xdr:to>
      <xdr:col>24</xdr:col>
      <xdr:colOff>0</xdr:colOff>
      <xdr:row>55</xdr:row>
      <xdr:rowOff>0</xdr:rowOff>
    </xdr:to>
    <xdr:graphicFrame macro="">
      <xdr:nvGraphicFramePr>
        <xdr:cNvPr id="9219"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476250</xdr:colOff>
      <xdr:row>55</xdr:row>
      <xdr:rowOff>38100</xdr:rowOff>
    </xdr:from>
    <xdr:to>
      <xdr:col>14</xdr:col>
      <xdr:colOff>381000</xdr:colOff>
      <xdr:row>75</xdr:row>
      <xdr:rowOff>133350</xdr:rowOff>
    </xdr:to>
    <xdr:graphicFrame macro="">
      <xdr:nvGraphicFramePr>
        <xdr:cNvPr id="9220"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19050</xdr:colOff>
      <xdr:row>55</xdr:row>
      <xdr:rowOff>38100</xdr:rowOff>
    </xdr:from>
    <xdr:to>
      <xdr:col>24</xdr:col>
      <xdr:colOff>38100</xdr:colOff>
      <xdr:row>75</xdr:row>
      <xdr:rowOff>171450</xdr:rowOff>
    </xdr:to>
    <xdr:graphicFrame macro="">
      <xdr:nvGraphicFramePr>
        <xdr:cNvPr id="9221"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171450</xdr:colOff>
      <xdr:row>6</xdr:row>
      <xdr:rowOff>123825</xdr:rowOff>
    </xdr:from>
    <xdr:to>
      <xdr:col>37</xdr:col>
      <xdr:colOff>104775</xdr:colOff>
      <xdr:row>32</xdr:row>
      <xdr:rowOff>47625</xdr:rowOff>
    </xdr:to>
    <xdr:graphicFrame macro="">
      <xdr:nvGraphicFramePr>
        <xdr:cNvPr id="9222"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314325</xdr:colOff>
      <xdr:row>78</xdr:row>
      <xdr:rowOff>123825</xdr:rowOff>
    </xdr:from>
    <xdr:to>
      <xdr:col>24</xdr:col>
      <xdr:colOff>123825</xdr:colOff>
      <xdr:row>108</xdr:row>
      <xdr:rowOff>28575</xdr:rowOff>
    </xdr:to>
    <xdr:graphicFrame macro="">
      <xdr:nvGraphicFramePr>
        <xdr:cNvPr id="922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371475</xdr:colOff>
      <xdr:row>109</xdr:row>
      <xdr:rowOff>123825</xdr:rowOff>
    </xdr:from>
    <xdr:to>
      <xdr:col>16</xdr:col>
      <xdr:colOff>504825</xdr:colOff>
      <xdr:row>130</xdr:row>
      <xdr:rowOff>47625</xdr:rowOff>
    </xdr:to>
    <xdr:graphicFrame macro="">
      <xdr:nvGraphicFramePr>
        <xdr:cNvPr id="9224"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276225</xdr:colOff>
      <xdr:row>109</xdr:row>
      <xdr:rowOff>47625</xdr:rowOff>
    </xdr:from>
    <xdr:to>
      <xdr:col>27</xdr:col>
      <xdr:colOff>228600</xdr:colOff>
      <xdr:row>131</xdr:row>
      <xdr:rowOff>85725</xdr:rowOff>
    </xdr:to>
    <xdr:graphicFrame macro="">
      <xdr:nvGraphicFramePr>
        <xdr:cNvPr id="922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123825</xdr:colOff>
      <xdr:row>132</xdr:row>
      <xdr:rowOff>142875</xdr:rowOff>
    </xdr:from>
    <xdr:to>
      <xdr:col>17</xdr:col>
      <xdr:colOff>19050</xdr:colOff>
      <xdr:row>154</xdr:row>
      <xdr:rowOff>142875</xdr:rowOff>
    </xdr:to>
    <xdr:graphicFrame macro="">
      <xdr:nvGraphicFramePr>
        <xdr:cNvPr id="9226"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333375</xdr:colOff>
      <xdr:row>132</xdr:row>
      <xdr:rowOff>114300</xdr:rowOff>
    </xdr:from>
    <xdr:to>
      <xdr:col>28</xdr:col>
      <xdr:colOff>38100</xdr:colOff>
      <xdr:row>154</xdr:row>
      <xdr:rowOff>38100</xdr:rowOff>
    </xdr:to>
    <xdr:graphicFrame macro="">
      <xdr:nvGraphicFramePr>
        <xdr:cNvPr id="9227"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428625</xdr:colOff>
      <xdr:row>79</xdr:row>
      <xdr:rowOff>28575</xdr:rowOff>
    </xdr:from>
    <xdr:to>
      <xdr:col>38</xdr:col>
      <xdr:colOff>171450</xdr:colOff>
      <xdr:row>107</xdr:row>
      <xdr:rowOff>47625</xdr:rowOff>
    </xdr:to>
    <xdr:graphicFrame macro="">
      <xdr:nvGraphicFramePr>
        <xdr:cNvPr id="9228"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bank.gov.ua/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72rc2j\vera\DOCUME~1\Chirich\LOCALS~1\Temp\Rar$DI00.938\Dept\Plan\Exchange\!_Plan-2006\&#1042;&#1040;&#1058;%20&#1048;&#1074;&#1072;&#1085;&#1086;%20&#1092;&#1088;&#1072;&#1085;&#1082;&#1080;&#1074;&#1089;&#1100;&#1082;&#1075;&#1072;&#1079;\Dodatok1%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72rc2j\vera\&#1052;&#1086;&#1080;%20&#1076;&#1086;&#1082;&#1091;&#1084;&#1077;&#1085;&#1090;&#1099;\Plan-2006_kons_rabota\Dept\Plan\Exchange\_________________________Plan_ZP\!_&#1055;&#1077;&#1095;&#1072;&#1090;&#1100;\&#1052;&#1058;&#1056;%20&#1074;&#1089;&#1077;%20-%2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72rc2j\vera\Dept\Plan\Exchange\!_Plan-2006\&#1042;&#1040;&#1058;%20&#1048;&#1074;&#1072;&#1085;&#1086;%20&#1092;&#1088;&#1072;&#1085;&#1082;&#1080;&#1074;&#1089;&#1100;&#1082;&#1075;&#1072;&#1079;\Dodatok1%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echiporenko\2007&#1053;&#1054;&#1042;\DOCUME~1\Chirich\LOCALS~1\Temp\Dept\Plan\Exchange\_________________________Plan_ZP\!_&#1055;&#1077;&#1095;&#1072;&#1090;&#1100;\&#1052;&#1058;&#1056;%20&#1074;&#1089;&#1077;%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1052;&#1086;&#1080;%20&#1076;&#1086;&#1082;&#1091;&#1084;&#1077;&#1085;&#1090;&#1099;\Plan-2006_kons_rabota\Dept\Plan\Exchange\_________________________Plan_ZP\!_&#1055;&#1077;&#1095;&#1072;&#1090;&#1100;\&#1052;&#1058;&#1056;%20&#1074;&#1089;&#1077;%20-%2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Dept\Plan\Exchange\!_Plan-2006\&#1042;&#1040;&#1058;%20&#1048;&#1074;&#1072;&#1085;&#1086;%20&#1092;&#1088;&#1072;&#1085;&#1082;&#1080;&#1074;&#1089;&#1100;&#1082;&#1075;&#1072;&#1079;\Dodatok1%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DOCUME~1\Chirich\LOCALS~1\Temp\Dept\Plan\Exchange\_________________________Plan_ZP\!_&#1055;&#1077;&#1095;&#1072;&#1090;&#1100;\&#1052;&#1058;&#1056;%20&#1074;&#1089;&#1077;%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Dept\Plan\Exchange\!_Plan-2006\VAT%20Sevastop\Dept\Plan\Exchange\_________________________Plan_ZP\!_&#1055;&#1077;&#1095;&#1072;&#1090;&#1100;\&#1052;&#1058;&#1056;%20&#1074;&#1089;&#1077;%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Dept\Plan\Exchange\_________________________Plan_ZP\!_&#1055;&#1077;&#1095;&#1072;&#1090;&#1100;\&#1052;&#1058;&#1056;%20&#1074;&#1089;&#1077;%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File1\aaaa\2007%20finplan\DOCUME~1\SINKEV~1\LOCALS~1\Temp\Rar$DI00.781\Dept\Plan\Exchange\_________________________Plan_ZP\!_&#1055;&#1077;&#1095;&#1072;&#1090;&#1100;\&#1052;&#1058;&#1056;%20&#1074;&#1089;&#1077;%20-%2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redo\work\Dept\Plan\Exchange\_________________________Plan_ZP\!_&#1055;&#1077;&#1095;&#1072;&#1090;&#1100;\&#1052;&#1058;&#1056;%20&#1074;&#1089;&#1077;%20-%2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72rc2j\vera\Dept\Plan\Exchange\!_Plan-2006\VAT%20Sevastop\Dept\Plan\Exchange\_________________________Plan_ZP\!_&#1055;&#1077;&#1095;&#1072;&#1090;&#1100;\&#1052;&#1058;&#1056;%20&#1074;&#1089;&#1077;%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72rc2j\vera\DOCUME~1\Chirich\LOCALS~1\Temp\DOCUME~1\VOYTOV~1\LOCALS~1\Temp\Rar$DI00.867\Planning%20System%20Project\consolidation%20hq%20formatte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72rc2j\vera\DOCUME~1\Chirich\LOCALS~1\Temp\Dept\Plan\Exchange\_________________________Plan_ZP\!_&#1055;&#1077;&#1095;&#1072;&#1090;&#1100;\&#1052;&#1058;&#1056;%20&#1074;&#1089;&#1077;%2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72rc2j\vera\Documents%20and%20Settings\SUDNIKOVA\Local%20Settings\Temporary%20Internet%20Files\Content.IE5\C5MFSXEF\Subv2006\Rich%20Roz%2020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main1\DOCUME~1\Chirich\LOCALS~1\Temp\Dept\Plan\Exchange\_________________________Plan_ZP\!_&#1055;&#1077;&#1095;&#1072;&#1090;&#1100;\&#1052;&#1058;&#1056;%20&#1074;&#1089;&#1077;%2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72rc2j\vera\Documents%20and%20Settings\andreyevskaya\&#1052;&#1086;&#1080;%20&#1076;&#1086;&#1082;&#1091;&#1084;&#1077;&#1085;&#1090;&#1099;\OLGA\&#1056;&#1045;&#1040;&#1051;&#1048;&#1047;&#1040;&#1062;&#1048;&#1071;_2006\2006_REALIZ_&#1058;&#1045;(&#1090;&#1088;&#1072;&#1074;&#1077;&#1085;&#11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bank.gov.ua/S_N_A/1July2001/GDP/realgdp/LENA/BGVN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72rc2j\vera\&#1052;&#1086;&#1080;%20&#1076;&#1086;&#1082;&#1091;&#1084;&#1077;&#1085;&#1090;&#1099;\Plan-2006_kons_rabota\Dept\FinPlan-Economy\Planning%20System%20Project\consolidation%20hq%20formatt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DOCUME~1\Chirich\LOCALS~1\Temp\Rar$DI00.938\Dept\Plan\Exchange\!_Plan-2006\&#1042;&#1040;&#1058;%20&#1048;&#1074;&#1072;&#1085;&#1086;%20&#1092;&#1088;&#1072;&#1085;&#1082;&#1080;&#1074;&#1089;&#1100;&#1082;&#1075;&#1072;&#1079;\Dodatok1%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72rc2j\vera\FinanceUTG\finek2008\&#1043;&#1088;&#1091;&#1076;&#1077;&#1085;&#1100;%20(&#1086;&#1095;&#1080;&#1082;)\DOCUME~1\SINKEV~1\LOCALS~1\Temp\Rar$DI00.781\Dept\Plan\Exchange\_________________________Plan_ZP\!_&#1055;&#1077;&#1095;&#1072;&#1090;&#1100;\&#1052;&#1058;&#1056;%20&#1074;&#1089;&#1077;%20-%2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DOCUME~1\SINKEV~1\LOCALS~1\Temp\Rar$DI00.781\Dept\FinPlan-Economy\Planning%20System%20Project\consolidation%20hq%20formatte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nkovalenko/Desktop/Kharkiv/03.%20ppt/&#1087;&#1088;&#1072;&#1082;&#1090;_InSight_E_tool_Fin_Planning_2019_f%20(&#1053;&#1045;&#1043;&#1030;&#1056;&#1057;&#1068;&#1050;&#1048;&#1049;_1_&#1083;&#1080;&#1087;&#1085;&#110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echiporenko\2007&#1053;&#1054;&#1042;\DOCUME~1\Chirich\LOCALS~1\Temp\DOCUME~1\VOYTOV~1\LOCALS~1\Temp\Rar$DI00.867\Planning%20System%20Project\consolidation%20hq%20formatte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Dept\FinPlan-Economy\Planning%20System%20Project\consolidation%20hq%20formatte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in\MAIN1\Dept\FinPlan-Economy\Planning%20System%20Project\consolidation%20hq%20formatt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72rc2j\vera\Documents%20and%20Settings\likhachov\Local%20Settings\Temporary%20Internet%20Files\Content.IE5\RY4RBH0P\2006_REALIZ_&#1058;&#1045;(&#1083;&#1102;&#1090;&#1080;&#1081;20%2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72rc2j\vera\FinanceUTG\finek2008\&#1043;&#1088;&#1091;&#1076;&#1077;&#1085;&#1100;%20(&#1086;&#1095;&#1080;&#1082;)\DOCUME~1\SINKEV~1\LOCALS~1\Temp\Rar$DI00.781\Dept\FinPlan-Economy\Planning%20System%20Project\consolidation%20hq%20formatt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1052;&#1086;&#1080;%20&#1076;&#1086;&#1082;&#1091;&#1084;&#1077;&#1085;&#1090;&#1099;\Plan-2006_kons_rabota\Dept\FinPlan-Economy\Planning%20System%20Project\consolidation%20hq%20formatt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redo\work\Dept\FinPlan-Economy\Planning%20System%20Project\consolidation%20hq%20formatt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DOCUME~1\Chirich\LOCALS~1\Temp\DOCUME~1\VOYTOV~1\LOCALS~1\Temp\Rar$DI00.867\Planning%20System%20Project\consolidation%20hq%20formatt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chiporenko\2007&#1053;&#1054;&#1042;\Dept\Plan\Exchange\!_Plan-2006\VAT%20Sevastop\Dept\Plan\Exchange\_________________________Plan_ZP\!_&#1055;&#1077;&#1095;&#1072;&#1090;&#1100;\&#1052;&#1058;&#1056;%20&#1074;&#1089;&#1077;%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bank.gov.ua/&#1052;&#1086;&#1080;%20&#1076;&#1086;&#1082;&#1091;&#1084;&#1077;&#1085;&#1090;&#1099;/Sergey/&#1055;&#1088;&#1086;&#1075;&#1085;&#1086;&#1079;/&#1056;&#1072;&#1073;&#1086;&#1095;&#1080;&#1077;%20&#1090;&#1072;&#1073;&#1083;&#1080;&#1094;&#1099;/new/zvedena1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DP"/>
      <sheetName val="Real GDP &amp; Real IP (u)"/>
      <sheetName val="Real GDP &amp; Real IP (e)"/>
      <sheetName val="GDP_gr"/>
      <sheetName val="Светлые"/>
    </sheetNames>
    <sheetDataSet>
      <sheetData sheetId="0"/>
      <sheetData sheetId="1"/>
      <sheetData sheetId="2"/>
      <sheetData sheetId="3"/>
      <sheetData sheetId="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План"/>
      <sheetName val="1  поясн"/>
      <sheetName val="Вир_пок (2)"/>
      <sheetName val="Вир_пок"/>
      <sheetName val="3  Ф2"/>
      <sheetName val="4  04_05"/>
      <sheetName val="4а доходи"/>
      <sheetName val="4б Собівартість (транспортув)"/>
      <sheetName val="4б Собівартість (постач)"/>
      <sheetName val="4б Собівартість (скрапл. газ)"/>
      <sheetName val="5  Сб_Адм_Зб"/>
      <sheetName val="6  Інші доходи"/>
      <sheetName val="7  Інші витрати"/>
      <sheetName val="8  Кошт_вд_04"/>
      <sheetName val="9  Кошт_вд_05"/>
      <sheetName val="10  Кошт_вд_06"/>
      <sheetName val="10  Кошт_вд_06 _1_"/>
      <sheetName val="10  Кошт_вд_06 _2_"/>
      <sheetName val="10  Кошт_вд_06 _3_"/>
      <sheetName val="10  Кошт_вд_06 _4_"/>
      <sheetName val="11  Ф1"/>
      <sheetName val="12_Рух_кошт_непр"/>
      <sheetName val="13  95 р"/>
      <sheetName val="14 Коефіцієнтний аналіз"/>
      <sheetName val="15 Рух коштів"/>
      <sheetName val="16 Кап_вкл"/>
      <sheetName val="17 Фін_інв"/>
      <sheetName val="18 Подат"/>
      <sheetName val="19 МТР"/>
      <sheetName val="20 Внутр 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План"/>
      <sheetName val="1  поясн"/>
      <sheetName val="Вир_пок (2)"/>
      <sheetName val="Вир_пок"/>
      <sheetName val="3  Ф2"/>
      <sheetName val="4  04_05"/>
      <sheetName val="4а доходи"/>
      <sheetName val="4б Собівартість (транспортув)"/>
      <sheetName val="4б Собівартість (постач)"/>
      <sheetName val="4б Собівартість (скрапл. газ)"/>
      <sheetName val="5  Сб_Адм_Зб"/>
      <sheetName val="6  Інші доходи"/>
      <sheetName val="7  Інші витрати"/>
      <sheetName val="8  Кошт_вд_04"/>
      <sheetName val="9  Кошт_вд_05"/>
      <sheetName val="10  Кошт_вд_06"/>
      <sheetName val="10  Кошт_вд_06 _1_"/>
      <sheetName val="10  Кошт_вд_06 _2_"/>
      <sheetName val="10  Кошт_вд_06 _3_"/>
      <sheetName val="10  Кошт_вд_06 _4_"/>
      <sheetName val="11  Ф1"/>
      <sheetName val="12_Рух_кошт_непр"/>
      <sheetName val="13  95 р"/>
      <sheetName val="14 Коефіцієнтний аналіз"/>
      <sheetName val="15 Рух коштів"/>
      <sheetName val="16 Кап_вкл"/>
      <sheetName val="17 Фін_інв"/>
      <sheetName val="18 Подат"/>
      <sheetName val="19 МТР"/>
      <sheetName val="20 Внутр 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Лист1"/>
      <sheetName val="Ini"/>
      <sheetName val="Ëčńň1"/>
      <sheetName val="Sum_pok"/>
      <sheetName val="#REF!"/>
      <sheetName val="Sum_pok.xls"/>
      <sheetName val="січ-лют."/>
      <sheetName val="430 сыч-лютий"/>
      <sheetName val="бер"/>
      <sheetName val="430 бер"/>
      <sheetName val="січ-бер"/>
      <sheetName val="430 сыч-бер"/>
    </sheetNames>
    <definedNames>
      <definedName name="ShowFi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МТР Газ України"/>
    </sheetNames>
    <sheetDataSet>
      <sheetData sheetId="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План"/>
      <sheetName val="1  поясн"/>
      <sheetName val="Вир_пок (2)"/>
      <sheetName val="Вир_пок"/>
      <sheetName val="3  Ф2"/>
      <sheetName val="4  04_05"/>
      <sheetName val="4а доходи"/>
      <sheetName val="4б Собівартість (транспортув)"/>
      <sheetName val="4б Собівартість (постач)"/>
      <sheetName val="4б Собівартість (скрапл. газ)"/>
      <sheetName val="5  Сб_Адм_Зб"/>
      <sheetName val="6  Інші доходи"/>
      <sheetName val="7  Інші витрати"/>
      <sheetName val="8  Кошт_вд_04"/>
      <sheetName val="9  Кошт_вд_05"/>
      <sheetName val="10  Кошт_вд_06"/>
      <sheetName val="10  Кошт_вд_06 _1_"/>
      <sheetName val="10  Кошт_вд_06 _2_"/>
      <sheetName val="10  Кошт_вд_06 _3_"/>
      <sheetName val="10  Кошт_вд_06 _4_"/>
      <sheetName val="11  Ф1"/>
      <sheetName val="12_Рух_кошт_непр"/>
      <sheetName val="13  95 р"/>
      <sheetName val="14 Коефіцієнтний аналіз"/>
      <sheetName val="15 Рух коштів"/>
      <sheetName val="16 Кап_вкл"/>
      <sheetName val="17 Фін_інв"/>
      <sheetName val="18 Подат"/>
      <sheetName val="19 МТР"/>
      <sheetName val="20 Внутр оборот"/>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МТР Газ України"/>
    </sheetNames>
    <sheetDataSet>
      <sheetData sheetId="0"/>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МТР Газ України"/>
    </sheetNames>
    <sheetDataSet>
      <sheetData sheetId="0"/>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 val="МТР_Апарат"/>
      <sheetName val="МТР_Газ_України"/>
      <sheetName val="МТР_Укртрансгаз"/>
      <sheetName val="МТР_Укргазвидобування"/>
      <sheetName val="МТР_Укрспецтрансгаз"/>
      <sheetName val="МТР_Чорноморнафтогаз"/>
      <sheetName val="МТР_Укртранснафта"/>
      <sheetName val="МТР_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МТР Газ України"/>
    </sheetNames>
    <sheetDataSet>
      <sheetData sheetId="0"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form"/>
    </sheetNames>
    <sheetDataSet>
      <sheetData sheetId="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МТР Газ України"/>
    </sheetNames>
    <sheetDataSet>
      <sheetData sheetId="0"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Dotac"/>
      <sheetName val="DodDot"/>
      <sheetName val="Dod ARK"/>
      <sheetName val="Dod Clavutich"/>
      <sheetName val="Svod 3511060"/>
      <sheetName val="Viluch(1-12)"/>
      <sheetName val="Diti "/>
      <sheetName val="TvPalGaz"/>
      <sheetName val="Ener "/>
      <sheetName val="IncsiPilgi (2)"/>
      <sheetName val="GirZakon"/>
      <sheetName val="Govti Vodi"/>
      <sheetName val="Chor Flot"/>
      <sheetName val="Afganci"/>
      <sheetName val="Shidka Dop"/>
      <sheetName val="Likarna"/>
      <sheetName val="Zoiot Pidkova"/>
      <sheetName val="Granti"/>
      <sheetName val="Granti1"/>
      <sheetName val="Vibori"/>
      <sheetName val="Metro"/>
      <sheetName val="Oper Teatr"/>
      <sheetName val="Makeevka"/>
      <sheetName val="Ctix Lixo IvFrank"/>
      <sheetName val="Groshi xodat za dit"/>
      <sheetName val="Ctix Lixo Zakarp"/>
      <sheetName val="Coc GKG Inv"/>
      <sheetName val="Tuzla"/>
      <sheetName val="Zmiinii"/>
      <sheetName val="Ctandarti"/>
      <sheetName val="CocEkon"/>
      <sheetName val="Ictor Zabudova"/>
      <sheetName val="Ict Zab"/>
      <sheetName val="Ukr Kultura"/>
      <sheetName val="Minoboroni"/>
      <sheetName val="Mic Arcenal"/>
      <sheetName val="Inekcini"/>
      <sheetName val="In"/>
      <sheetName val="diti ciroti -2(minmolod)"/>
      <sheetName val="Korek ocvita"/>
      <sheetName val="Tex Dic Ocvita"/>
      <sheetName val="Troleib"/>
      <sheetName val="Utoc.Zaoshadg"/>
      <sheetName val="Metro Cpec Fond"/>
      <sheetName val="Svitov Bank"/>
      <sheetName val="Shidka Dop Cp Fond"/>
      <sheetName val="Gazoprovodi"/>
      <sheetName val="Troleib Cpec Fond"/>
      <sheetName val="Zaporiggya"/>
      <sheetName val="Kremenchuk"/>
      <sheetName val="Pereviz ditey"/>
      <sheetName val="Kom dorigu"/>
      <sheetName val="Chor Fiot Cpec Fond"/>
      <sheetName val="Zaosch"/>
      <sheetName val="kryvRig"/>
      <sheetName val="OSVITA"/>
      <sheetName val="Tar"/>
      <sheetName val="Nar.instr"/>
      <sheetName val="DDot"/>
      <sheetName val="Dsub"/>
    </sheetNames>
    <sheetDataSet>
      <sheetData sheetId="0"/>
      <sheetData sheetId="1"/>
      <sheetData sheetId="2"/>
      <sheetData sheetId="3"/>
      <sheetData sheetId="4"/>
      <sheetData sheetId="5"/>
      <sheetData sheetId="6"/>
      <sheetData sheetId="7"/>
      <sheetData sheetId="8" refreshError="1">
        <row r="2">
          <cell r="A2" t="str">
            <v>Обсяг помісячного надходження субвенції з державного бюджету до місцевих бюджетів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вивезення побут</v>
          </cell>
        </row>
        <row r="5">
          <cell r="A5" t="str">
            <v>Код бюджету</v>
          </cell>
          <cell r="B5" t="str">
            <v>Назва адміністративно-територіальної одиниці</v>
          </cell>
          <cell r="C5" t="str">
            <v>січень</v>
          </cell>
          <cell r="D5" t="str">
            <v>лютий</v>
          </cell>
          <cell r="E5" t="str">
            <v>березень</v>
          </cell>
          <cell r="F5" t="str">
            <v>квітень</v>
          </cell>
          <cell r="G5" t="str">
            <v>травень</v>
          </cell>
        </row>
        <row r="6">
          <cell r="A6" t="str">
            <v>О1100000000</v>
          </cell>
          <cell r="B6" t="str">
            <v>бюджет Автономної Республіки Крим</v>
          </cell>
          <cell r="C6">
            <v>2463.5419999999999</v>
          </cell>
          <cell r="D6">
            <v>5004.6750000000002</v>
          </cell>
          <cell r="E6">
            <v>4874.01</v>
          </cell>
          <cell r="F6">
            <v>6713.2</v>
          </cell>
          <cell r="G6">
            <v>5483.6</v>
          </cell>
        </row>
        <row r="7">
          <cell r="A7" t="str">
            <v>О2100000000</v>
          </cell>
          <cell r="B7" t="str">
            <v>обласний бюджет Вiнницької області</v>
          </cell>
          <cell r="C7">
            <v>5585.9549999999999</v>
          </cell>
          <cell r="D7">
            <v>5130.4480000000003</v>
          </cell>
          <cell r="E7">
            <v>5614.5339999999997</v>
          </cell>
          <cell r="F7">
            <v>7821.4</v>
          </cell>
          <cell r="G7">
            <v>4676.6000000000004</v>
          </cell>
        </row>
        <row r="8">
          <cell r="A8" t="str">
            <v>О3100000000</v>
          </cell>
          <cell r="B8" t="str">
            <v>обласний бюджет Волинської області</v>
          </cell>
          <cell r="C8">
            <v>3419.413</v>
          </cell>
          <cell r="D8">
            <v>4547.1629999999996</v>
          </cell>
          <cell r="E8">
            <v>4267.8410000000003</v>
          </cell>
          <cell r="F8">
            <v>5180.2</v>
          </cell>
          <cell r="G8">
            <v>3258.4</v>
          </cell>
        </row>
        <row r="9">
          <cell r="A9" t="str">
            <v>О4100000000</v>
          </cell>
          <cell r="B9" t="str">
            <v>обласний бюджет Днiпропетровської області</v>
          </cell>
          <cell r="C9">
            <v>8288.7270000000008</v>
          </cell>
          <cell r="D9">
            <v>20991.351999999999</v>
          </cell>
          <cell r="E9">
            <v>16903.654999999999</v>
          </cell>
          <cell r="F9">
            <v>23535.787</v>
          </cell>
          <cell r="G9">
            <v>12935.2</v>
          </cell>
        </row>
        <row r="10">
          <cell r="A10" t="str">
            <v>О5100000000</v>
          </cell>
          <cell r="B10" t="str">
            <v>обласний бюджет Донецької області</v>
          </cell>
          <cell r="C10">
            <v>11729.522000000001</v>
          </cell>
          <cell r="D10">
            <v>19530.755000000001</v>
          </cell>
          <cell r="E10">
            <v>19355.436000000002</v>
          </cell>
          <cell r="F10">
            <v>26008.7</v>
          </cell>
          <cell r="G10">
            <v>15778.6</v>
          </cell>
        </row>
        <row r="11">
          <cell r="A11" t="str">
            <v>О6100000000</v>
          </cell>
          <cell r="B11" t="str">
            <v>обласний бюджет Житомирської області</v>
          </cell>
          <cell r="C11">
            <v>3202.2750000000001</v>
          </cell>
          <cell r="D11">
            <v>6561.0010000000002</v>
          </cell>
          <cell r="E11">
            <v>5316.2150000000001</v>
          </cell>
          <cell r="F11">
            <v>7407.8</v>
          </cell>
          <cell r="G11">
            <v>4605.7</v>
          </cell>
        </row>
        <row r="12">
          <cell r="A12" t="str">
            <v>О7100000000</v>
          </cell>
          <cell r="B12" t="str">
            <v>обласний бюджет Закарпатської області</v>
          </cell>
          <cell r="C12">
            <v>1513.9649999999999</v>
          </cell>
          <cell r="D12">
            <v>1806.577</v>
          </cell>
          <cell r="E12">
            <v>4712.2439999999997</v>
          </cell>
          <cell r="F12">
            <v>4277.8</v>
          </cell>
          <cell r="G12">
            <v>1586.9</v>
          </cell>
        </row>
        <row r="13">
          <cell r="A13" t="str">
            <v>О8100000000</v>
          </cell>
          <cell r="B13" t="str">
            <v>обласний бюджет Запорiзької області</v>
          </cell>
          <cell r="C13">
            <v>3867.2069999999999</v>
          </cell>
          <cell r="D13">
            <v>7903.7089999999998</v>
          </cell>
          <cell r="E13">
            <v>7399.4160000000002</v>
          </cell>
          <cell r="F13">
            <v>9874.5</v>
          </cell>
          <cell r="G13">
            <v>7155.4</v>
          </cell>
        </row>
        <row r="14">
          <cell r="A14" t="str">
            <v>О9100000000</v>
          </cell>
          <cell r="B14" t="str">
            <v>обласний бюджет Iвано-Франкiвської області</v>
          </cell>
          <cell r="C14">
            <v>3578.223</v>
          </cell>
          <cell r="D14">
            <v>5867.2309999999998</v>
          </cell>
          <cell r="E14">
            <v>6297.893</v>
          </cell>
          <cell r="F14">
            <v>9563.7000000000007</v>
          </cell>
          <cell r="G14">
            <v>3616.2</v>
          </cell>
        </row>
        <row r="15">
          <cell r="A15">
            <v>10100000000</v>
          </cell>
          <cell r="B15" t="str">
            <v>обласний бюджет Київської області</v>
          </cell>
          <cell r="C15">
            <v>10302.385</v>
          </cell>
          <cell r="D15">
            <v>16146.352999999999</v>
          </cell>
          <cell r="E15">
            <v>13833.255999999999</v>
          </cell>
          <cell r="F15">
            <v>18290.400000000001</v>
          </cell>
          <cell r="G15">
            <v>7404.9</v>
          </cell>
        </row>
        <row r="16">
          <cell r="A16">
            <v>11100000000</v>
          </cell>
          <cell r="B16" t="str">
            <v>обласний бюджет Кiровоградської області</v>
          </cell>
          <cell r="C16">
            <v>3580.96</v>
          </cell>
          <cell r="D16">
            <v>4993.7330000000002</v>
          </cell>
          <cell r="E16">
            <v>3976.05</v>
          </cell>
          <cell r="F16">
            <v>7419.8</v>
          </cell>
          <cell r="G16">
            <v>5284.3</v>
          </cell>
        </row>
        <row r="17">
          <cell r="A17">
            <v>12100000000</v>
          </cell>
          <cell r="B17" t="str">
            <v>обласний бюджет Луганської області</v>
          </cell>
          <cell r="C17">
            <v>2843.239</v>
          </cell>
          <cell r="D17">
            <v>8978.6</v>
          </cell>
          <cell r="E17">
            <v>6927.87</v>
          </cell>
          <cell r="F17">
            <v>9087.1</v>
          </cell>
          <cell r="G17">
            <v>6148.4</v>
          </cell>
        </row>
        <row r="18">
          <cell r="A18">
            <v>13100000000</v>
          </cell>
          <cell r="B18" t="str">
            <v>обласний бюджет Львiвської області</v>
          </cell>
          <cell r="C18">
            <v>13665.8</v>
          </cell>
          <cell r="D18">
            <v>12546.388000000001</v>
          </cell>
          <cell r="E18">
            <v>13924.588</v>
          </cell>
          <cell r="F18">
            <v>16320</v>
          </cell>
          <cell r="G18">
            <v>5542.7</v>
          </cell>
        </row>
        <row r="19">
          <cell r="A19">
            <v>14100000000</v>
          </cell>
          <cell r="B19" t="str">
            <v>обласний бюджет Миколаївської області</v>
          </cell>
          <cell r="C19">
            <v>1582.5519999999999</v>
          </cell>
          <cell r="D19">
            <v>4228.6229999999996</v>
          </cell>
          <cell r="E19">
            <v>4112.8190000000004</v>
          </cell>
          <cell r="F19">
            <v>5079.6000000000004</v>
          </cell>
          <cell r="G19">
            <v>4261.3</v>
          </cell>
        </row>
        <row r="20">
          <cell r="A20">
            <v>15100000000</v>
          </cell>
          <cell r="B20" t="str">
            <v>обласний бюджет Одеської області</v>
          </cell>
          <cell r="C20">
            <v>3570.1010000000001</v>
          </cell>
          <cell r="D20">
            <v>8569.5969999999998</v>
          </cell>
          <cell r="E20">
            <v>7127.8249999999998</v>
          </cell>
          <cell r="F20">
            <v>11636.5</v>
          </cell>
          <cell r="G20">
            <v>10163.4</v>
          </cell>
        </row>
        <row r="21">
          <cell r="A21">
            <v>16100000000</v>
          </cell>
          <cell r="B21" t="str">
            <v>обласний бюджет Полтавської області</v>
          </cell>
          <cell r="C21">
            <v>5666.1139999999996</v>
          </cell>
          <cell r="D21">
            <v>6422.4319999999998</v>
          </cell>
          <cell r="E21">
            <v>7489.7539999999999</v>
          </cell>
          <cell r="F21">
            <v>15258.1</v>
          </cell>
          <cell r="G21">
            <v>5827</v>
          </cell>
        </row>
        <row r="22">
          <cell r="A22">
            <v>17100000000</v>
          </cell>
          <cell r="B22" t="str">
            <v>обласний бюджет Рiвненської області</v>
          </cell>
          <cell r="C22">
            <v>1969.902</v>
          </cell>
          <cell r="D22">
            <v>3336.444</v>
          </cell>
          <cell r="E22">
            <v>5380.4470000000001</v>
          </cell>
          <cell r="F22">
            <v>5543.9</v>
          </cell>
          <cell r="G22">
            <v>2982.7</v>
          </cell>
        </row>
        <row r="23">
          <cell r="A23">
            <v>18100000000</v>
          </cell>
          <cell r="B23" t="str">
            <v>обласний бюджет Сумської області</v>
          </cell>
          <cell r="C23">
            <v>4169.5280000000002</v>
          </cell>
          <cell r="D23">
            <v>3622.9929999999999</v>
          </cell>
          <cell r="E23">
            <v>7895.424</v>
          </cell>
          <cell r="F23">
            <v>8377.1</v>
          </cell>
          <cell r="G23">
            <v>4032.7</v>
          </cell>
        </row>
        <row r="24">
          <cell r="A24">
            <v>19100000000</v>
          </cell>
          <cell r="B24" t="str">
            <v>обласний бюджет Тернопiльської області</v>
          </cell>
          <cell r="C24">
            <v>3701.9160000000002</v>
          </cell>
          <cell r="D24">
            <v>4896.8559999999998</v>
          </cell>
          <cell r="E24">
            <v>5147.2650000000003</v>
          </cell>
          <cell r="F24">
            <v>6839.9</v>
          </cell>
          <cell r="G24">
            <v>1830.2</v>
          </cell>
        </row>
        <row r="25">
          <cell r="A25">
            <v>20100000000</v>
          </cell>
          <cell r="B25" t="str">
            <v>обласний бюджет Харкiвської області</v>
          </cell>
          <cell r="C25">
            <v>8386.9330000000009</v>
          </cell>
          <cell r="D25">
            <v>11698.075000000001</v>
          </cell>
          <cell r="E25">
            <v>14592.047</v>
          </cell>
          <cell r="F25">
            <v>27208.2</v>
          </cell>
          <cell r="G25">
            <v>13691.3</v>
          </cell>
        </row>
        <row r="26">
          <cell r="A26">
            <v>21100000000</v>
          </cell>
          <cell r="B26" t="str">
            <v>обласний бюджет Херсонської області</v>
          </cell>
          <cell r="C26">
            <v>2200.9679999999998</v>
          </cell>
          <cell r="D26">
            <v>3252.5390000000002</v>
          </cell>
          <cell r="E26">
            <v>3255.58</v>
          </cell>
          <cell r="F26">
            <v>5299.7</v>
          </cell>
          <cell r="G26">
            <v>3272.2</v>
          </cell>
        </row>
        <row r="27">
          <cell r="A27">
            <v>22100000000</v>
          </cell>
          <cell r="B27" t="str">
            <v>обласний бюджет Хмельницької області</v>
          </cell>
          <cell r="C27">
            <v>4049.5320000000002</v>
          </cell>
          <cell r="D27">
            <v>6627.4</v>
          </cell>
          <cell r="E27">
            <v>4533.01</v>
          </cell>
          <cell r="F27">
            <v>8290.9</v>
          </cell>
          <cell r="G27">
            <v>5960.3</v>
          </cell>
        </row>
        <row r="28">
          <cell r="A28">
            <v>23100000000</v>
          </cell>
          <cell r="B28" t="str">
            <v>обласний бюджет Черкаської області</v>
          </cell>
          <cell r="C28">
            <v>5316.2910000000002</v>
          </cell>
          <cell r="D28">
            <v>6217.3370000000004</v>
          </cell>
          <cell r="E28">
            <v>6195.89</v>
          </cell>
          <cell r="F28">
            <v>10165</v>
          </cell>
          <cell r="G28">
            <v>4770.5</v>
          </cell>
        </row>
        <row r="29">
          <cell r="A29">
            <v>24100000000</v>
          </cell>
          <cell r="B29" t="str">
            <v>обласний бюджет Чернiвецької області</v>
          </cell>
          <cell r="C29">
            <v>1761.75</v>
          </cell>
          <cell r="D29">
            <v>2010.7829999999999</v>
          </cell>
          <cell r="E29">
            <v>1999.8030000000001</v>
          </cell>
          <cell r="F29">
            <v>3410.4</v>
          </cell>
          <cell r="G29">
            <v>2092.5</v>
          </cell>
        </row>
        <row r="30">
          <cell r="A30">
            <v>25100000000</v>
          </cell>
          <cell r="B30" t="str">
            <v>обласний бюджет Чернiгiвецької області</v>
          </cell>
          <cell r="C30">
            <v>4501.0339999999997</v>
          </cell>
          <cell r="D30">
            <v>5828.5460000000003</v>
          </cell>
          <cell r="E30">
            <v>5312.768</v>
          </cell>
          <cell r="F30">
            <v>8541</v>
          </cell>
          <cell r="G30">
            <v>4831.6000000000004</v>
          </cell>
        </row>
        <row r="31">
          <cell r="A31">
            <v>26000000000</v>
          </cell>
          <cell r="B31" t="str">
            <v>м.Київ</v>
          </cell>
          <cell r="C31">
            <v>4478.4290000000001</v>
          </cell>
          <cell r="D31">
            <v>7686.2479999999996</v>
          </cell>
          <cell r="E31">
            <v>8581.6080000000002</v>
          </cell>
          <cell r="F31">
            <v>12592.5</v>
          </cell>
          <cell r="G31">
            <v>10211.1</v>
          </cell>
        </row>
        <row r="32">
          <cell r="A32">
            <v>27000000000</v>
          </cell>
          <cell r="B32" t="str">
            <v>м.Севастополь</v>
          </cell>
          <cell r="C32">
            <v>656.43700000000001</v>
          </cell>
          <cell r="D32">
            <v>1870.8869999999999</v>
          </cell>
          <cell r="E32">
            <v>1073.652</v>
          </cell>
          <cell r="F32">
            <v>1527.6130000000001</v>
          </cell>
          <cell r="G32">
            <v>1254.8</v>
          </cell>
        </row>
        <row r="33">
          <cell r="B33" t="str">
            <v xml:space="preserve">Всього </v>
          </cell>
          <cell r="C33">
            <v>126052.70000000001</v>
          </cell>
          <cell r="D33">
            <v>196276.74499999997</v>
          </cell>
          <cell r="E33">
            <v>196100.90000000005</v>
          </cell>
          <cell r="F33">
            <v>281270.80000000005</v>
          </cell>
          <cell r="G33">
            <v>158658.49999999997</v>
          </cell>
        </row>
        <row r="38">
          <cell r="C38">
            <v>126052.7</v>
          </cell>
          <cell r="D38">
            <v>196276.74499999997</v>
          </cell>
          <cell r="E38">
            <v>196100.9</v>
          </cell>
          <cell r="F38">
            <v>281270.8</v>
          </cell>
          <cell r="G38">
            <v>158658.5</v>
          </cell>
        </row>
        <row r="41">
          <cell r="C41">
            <v>0</v>
          </cell>
          <cell r="D41">
            <v>0</v>
          </cell>
          <cell r="E41">
            <v>0</v>
          </cell>
          <cell r="F41">
            <v>0</v>
          </cell>
          <cell r="G41">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МТР Газ України"/>
    </sheetNames>
    <sheetDataSet>
      <sheetData sheetId="0"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БАЗА  "/>
      <sheetName val="ВАТ"/>
      <sheetName val="ВАТ_фил"/>
      <sheetName val="383,40ч"/>
      <sheetName val="383,40т"/>
      <sheetName val="686,00"/>
      <sheetName val="област"/>
      <sheetName val="Сторно"/>
      <sheetName val="Пряма_труба"/>
      <sheetName val="БАЗА   (2)"/>
      <sheetName val="БАЗА   (3)"/>
      <sheetName val="БАЗА   (5)"/>
      <sheetName val="БАЗА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1993"/>
    </sheetNames>
    <sheetDataSet>
      <sheetData sheetId="0" refreshError="1">
        <row r="1">
          <cell r="D1" t="str">
            <v>Баланс грошових доходiв i витрат населення Украјни у</v>
          </cell>
          <cell r="K1" t="str">
            <v>GOD</v>
          </cell>
        </row>
        <row r="2">
          <cell r="K2">
            <v>1993</v>
          </cell>
          <cell r="L2" t="str">
            <v>роцi</v>
          </cell>
        </row>
        <row r="3">
          <cell r="N3" t="str">
            <v>(млрд.крб)</v>
          </cell>
        </row>
        <row r="5">
          <cell r="A5" t="str">
            <v>А. ГРОШОВI ДОХОДИ</v>
          </cell>
        </row>
        <row r="6">
          <cell r="A6" t="str">
            <v>1.Заробiтна плата</v>
          </cell>
        </row>
        <row r="7">
          <cell r="A7" t="str">
            <v>2.Оплата працi робiтникiв</v>
          </cell>
        </row>
        <row r="8">
          <cell r="A8" t="str">
            <v xml:space="preserve">  кооперативiв</v>
          </cell>
        </row>
        <row r="9">
          <cell r="A9" t="str">
            <v>3.Доходи робiтникiв та служ-</v>
          </cell>
        </row>
        <row r="10">
          <cell r="A10" t="str">
            <v xml:space="preserve">  бовцiв вiд пiдприїмств та</v>
          </cell>
        </row>
        <row r="11">
          <cell r="A11" t="str">
            <v xml:space="preserve">  органiзацiй крiм зар.плати</v>
          </cell>
        </row>
        <row r="12">
          <cell r="A12" t="str">
            <v xml:space="preserve">4.Грошовi доходи вiд   </v>
          </cell>
        </row>
        <row r="13">
          <cell r="A13" t="str">
            <v xml:space="preserve">  колгоспiв            </v>
          </cell>
        </row>
        <row r="14">
          <cell r="A14" t="str">
            <v>5.Надходження вiд продажу</v>
          </cell>
        </row>
        <row r="15">
          <cell r="A15" t="str">
            <v xml:space="preserve">  продуктiв сiльсьгого госп.</v>
          </cell>
        </row>
        <row r="16">
          <cell r="A16" t="str">
            <v>Всього трудових доходiв</v>
          </cell>
        </row>
        <row r="17">
          <cell r="A17" t="str">
            <v>(рядки 1+2+3+4+5)</v>
          </cell>
        </row>
        <row r="18">
          <cell r="A18" t="str">
            <v>6.Пенсiј, допомоги,стипендiј</v>
          </cell>
        </row>
        <row r="19">
          <cell r="A19" t="str">
            <v xml:space="preserve">  та iншi надходження</v>
          </cell>
        </row>
        <row r="20">
          <cell r="A20" t="str">
            <v xml:space="preserve">     в тому числi:</v>
          </cell>
        </row>
        <row r="21">
          <cell r="A21" t="str">
            <v xml:space="preserve"> пенсiј, допомоги, стипендiј</v>
          </cell>
        </row>
        <row r="22">
          <cell r="A22" t="str">
            <v>Баланс</v>
          </cell>
        </row>
        <row r="23">
          <cell r="A23" t="str">
            <v>Б.ВИТРАТИ ТА ЗАОЩАДЖЕННЯ</v>
          </cell>
        </row>
        <row r="24">
          <cell r="A24" t="str">
            <v>1.Покупка товарiв та оплата</v>
          </cell>
        </row>
        <row r="25">
          <cell r="A25" t="str">
            <v xml:space="preserve">  послуг</v>
          </cell>
        </row>
        <row r="26">
          <cell r="A26" t="str">
            <v xml:space="preserve">    в тому числi:</v>
          </cell>
        </row>
        <row r="27">
          <cell r="A27" t="str">
            <v xml:space="preserve"> покупка товарiв       </v>
          </cell>
        </row>
        <row r="28">
          <cell r="A28" t="str">
            <v xml:space="preserve"> оплата послуг         </v>
          </cell>
        </row>
        <row r="29">
          <cell r="A29" t="str">
            <v>2.Обов'язковi платежi та</v>
          </cell>
        </row>
        <row r="30">
          <cell r="A30" t="str">
            <v xml:space="preserve">  добровiльнi внески</v>
          </cell>
        </row>
        <row r="31">
          <cell r="A31" t="str">
            <v xml:space="preserve">       iз них:</v>
          </cell>
        </row>
        <row r="32">
          <cell r="A32" t="str">
            <v xml:space="preserve"> прибутковий податок з </v>
          </cell>
        </row>
        <row r="33">
          <cell r="A33" t="str">
            <v xml:space="preserve"> населення             </v>
          </cell>
        </row>
        <row r="34">
          <cell r="A34" t="str">
            <v>3.Прирiст вкладiв,придбання</v>
          </cell>
        </row>
        <row r="35">
          <cell r="A35" t="str">
            <v xml:space="preserve">  облiгацiй Державној внутр.</v>
          </cell>
        </row>
        <row r="36">
          <cell r="A36" t="str">
            <v xml:space="preserve">  позики,iнш.цiнних паперiв  </v>
          </cell>
        </row>
        <row r="37">
          <cell r="A37" t="str">
            <v>Всього</v>
          </cell>
        </row>
        <row r="38">
          <cell r="A38" t="str">
            <v xml:space="preserve">В. Перевищення доходiв над </v>
          </cell>
        </row>
        <row r="39">
          <cell r="A39" t="str">
            <v xml:space="preserve">   витратами</v>
          </cell>
        </row>
        <row r="40">
          <cell r="A40" t="str">
            <v>Баланс</v>
          </cell>
        </row>
        <row r="41">
          <cell r="A41" t="str">
            <v>_x000C_</v>
          </cell>
        </row>
        <row r="46">
          <cell r="A46" t="str">
            <v>А. ГРОШОВI ДОХОДИ</v>
          </cell>
        </row>
        <row r="47">
          <cell r="A47" t="str">
            <v>1.Заробiтна плата</v>
          </cell>
        </row>
        <row r="48">
          <cell r="A48" t="str">
            <v>2.Оплата працi робiтникiв</v>
          </cell>
        </row>
        <row r="49">
          <cell r="A49" t="str">
            <v xml:space="preserve">  кооперативiв</v>
          </cell>
        </row>
        <row r="50">
          <cell r="A50" t="str">
            <v>3.Доходи робiтникiв та служ-</v>
          </cell>
        </row>
        <row r="51">
          <cell r="A51" t="str">
            <v xml:space="preserve">  бовцiв вiд пiдприїмств та</v>
          </cell>
        </row>
        <row r="52">
          <cell r="A52" t="str">
            <v xml:space="preserve">  органiзацiй крiм зар.плати</v>
          </cell>
        </row>
        <row r="53">
          <cell r="A53" t="str">
            <v xml:space="preserve">4.Грошовi доходи вiд   </v>
          </cell>
        </row>
        <row r="54">
          <cell r="A54" t="str">
            <v xml:space="preserve">  колгоспiв            </v>
          </cell>
        </row>
        <row r="55">
          <cell r="A55" t="str">
            <v>5.Надходження вiд продажу</v>
          </cell>
        </row>
        <row r="56">
          <cell r="A56" t="str">
            <v xml:space="preserve">  продуктiв сiльсьгого госп.</v>
          </cell>
        </row>
        <row r="57">
          <cell r="A57" t="str">
            <v>Всього трудових доходiв</v>
          </cell>
        </row>
        <row r="58">
          <cell r="A58" t="str">
            <v>(рядки 1+2+3+4+5)</v>
          </cell>
        </row>
        <row r="59">
          <cell r="A59" t="str">
            <v>6.Пенсiј, допомоги,стипендiј</v>
          </cell>
        </row>
        <row r="60">
          <cell r="A60" t="str">
            <v xml:space="preserve">  та iншi надходження</v>
          </cell>
        </row>
        <row r="61">
          <cell r="A61" t="str">
            <v xml:space="preserve">     в тому числi:</v>
          </cell>
        </row>
        <row r="62">
          <cell r="A62" t="str">
            <v xml:space="preserve"> пенсiј, допомоги, стипендiј</v>
          </cell>
        </row>
        <row r="63">
          <cell r="A63" t="str">
            <v>Баланс</v>
          </cell>
        </row>
        <row r="64">
          <cell r="A64" t="str">
            <v>Б.ВИТРАТИ ТА ЗАОЩАДЖЕННЯ</v>
          </cell>
        </row>
        <row r="65">
          <cell r="A65" t="str">
            <v>1.Покупка товарiв та оплата</v>
          </cell>
        </row>
        <row r="66">
          <cell r="A66" t="str">
            <v xml:space="preserve">  послуг</v>
          </cell>
        </row>
        <row r="67">
          <cell r="A67" t="str">
            <v xml:space="preserve">    в тому числi:</v>
          </cell>
        </row>
        <row r="68">
          <cell r="A68" t="str">
            <v xml:space="preserve"> покупка товарiв       </v>
          </cell>
        </row>
        <row r="69">
          <cell r="A69" t="str">
            <v xml:space="preserve"> оплата послуг         </v>
          </cell>
        </row>
        <row r="70">
          <cell r="A70" t="str">
            <v>2.Обов'язковi платежi та</v>
          </cell>
        </row>
        <row r="71">
          <cell r="A71" t="str">
            <v xml:space="preserve">  добровiльнi внески</v>
          </cell>
        </row>
        <row r="72">
          <cell r="A72" t="str">
            <v xml:space="preserve">       iз них:</v>
          </cell>
        </row>
        <row r="73">
          <cell r="A73" t="str">
            <v xml:space="preserve"> прибутковий податок з </v>
          </cell>
        </row>
        <row r="74">
          <cell r="A74" t="str">
            <v xml:space="preserve"> населення             </v>
          </cell>
        </row>
        <row r="75">
          <cell r="A75" t="str">
            <v>3.Прирiст вкладiв,придбання</v>
          </cell>
        </row>
        <row r="76">
          <cell r="A76" t="str">
            <v xml:space="preserve">  облiгацiй Державној внутр.</v>
          </cell>
        </row>
        <row r="77">
          <cell r="A77" t="str">
            <v xml:space="preserve">  позики,iнш.цiнних паперiв  </v>
          </cell>
        </row>
        <row r="78">
          <cell r="A78" t="str">
            <v>Всього</v>
          </cell>
        </row>
        <row r="79">
          <cell r="A79" t="str">
            <v xml:space="preserve">В. Перевищення доходiв над </v>
          </cell>
        </row>
        <row r="80">
          <cell r="A80" t="str">
            <v xml:space="preserve">   витратами</v>
          </cell>
        </row>
        <row r="81">
          <cell r="A81" t="str">
            <v>Баланс</v>
          </cell>
        </row>
        <row r="82">
          <cell r="A82" t="str">
            <v xml:space="preserve">        Довiдково: чисельнiсть населення в</v>
          </cell>
        </row>
        <row r="83">
          <cell r="A83" t="str">
            <v>_x000C_</v>
          </cell>
        </row>
        <row r="88">
          <cell r="A88" t="str">
            <v>А. ГРОШОВI ДОХОДИ</v>
          </cell>
        </row>
        <row r="89">
          <cell r="A89" t="str">
            <v>1.Заробiтна плата</v>
          </cell>
        </row>
        <row r="90">
          <cell r="A90" t="str">
            <v>2.Оплата працi робiтникiв</v>
          </cell>
        </row>
        <row r="91">
          <cell r="A91" t="str">
            <v xml:space="preserve">  кооперативiв</v>
          </cell>
        </row>
        <row r="92">
          <cell r="A92" t="str">
            <v>3.Доходи робiтникiв та служ-</v>
          </cell>
        </row>
        <row r="93">
          <cell r="A93" t="str">
            <v xml:space="preserve">  бовцiв вiд пiдприїмств та</v>
          </cell>
        </row>
        <row r="94">
          <cell r="A94" t="str">
            <v xml:space="preserve">  органiзацiй крiм зар.плати</v>
          </cell>
        </row>
        <row r="95">
          <cell r="A95" t="str">
            <v xml:space="preserve">4.Грошовi доходи вiд   </v>
          </cell>
        </row>
        <row r="96">
          <cell r="A96" t="str">
            <v xml:space="preserve">  колгоспiв            </v>
          </cell>
        </row>
        <row r="97">
          <cell r="A97" t="str">
            <v>5.Надходження вiд продажу</v>
          </cell>
        </row>
        <row r="98">
          <cell r="A98" t="str">
            <v xml:space="preserve">  продуктiв сiльсьгого госп.</v>
          </cell>
        </row>
        <row r="99">
          <cell r="A99" t="str">
            <v>Всього трудових доходiв</v>
          </cell>
        </row>
        <row r="100">
          <cell r="A100" t="str">
            <v>(рядки 1+2+3+4+5)</v>
          </cell>
        </row>
        <row r="101">
          <cell r="A101" t="str">
            <v>6.Пенсiј, допомоги,стипендiј</v>
          </cell>
        </row>
        <row r="102">
          <cell r="A102" t="str">
            <v xml:space="preserve">  та iншi надходження</v>
          </cell>
        </row>
        <row r="103">
          <cell r="A103" t="str">
            <v xml:space="preserve">     в тому числi:</v>
          </cell>
        </row>
        <row r="104">
          <cell r="A104" t="str">
            <v xml:space="preserve"> пенсiј, допомоги, стипендiј</v>
          </cell>
        </row>
        <row r="105">
          <cell r="A105" t="str">
            <v>Баланс</v>
          </cell>
        </row>
        <row r="106">
          <cell r="A106" t="str">
            <v>Б.ВИТРАТИ ТА ЗАОЩАДЖЕННЯ</v>
          </cell>
        </row>
        <row r="107">
          <cell r="A107" t="str">
            <v>1.Покупка товарiв та оплата</v>
          </cell>
        </row>
        <row r="108">
          <cell r="A108" t="str">
            <v xml:space="preserve">  послуг</v>
          </cell>
        </row>
        <row r="109">
          <cell r="A109" t="str">
            <v xml:space="preserve">    в тому числi:</v>
          </cell>
        </row>
        <row r="110">
          <cell r="A110" t="str">
            <v xml:space="preserve"> покупка товарiв       </v>
          </cell>
        </row>
        <row r="111">
          <cell r="A111" t="str">
            <v xml:space="preserve"> оплата послуг         </v>
          </cell>
        </row>
        <row r="112">
          <cell r="A112" t="str">
            <v>2.Обов'язковi платежi та</v>
          </cell>
        </row>
        <row r="113">
          <cell r="A113" t="str">
            <v xml:space="preserve">  добровiльнi внески</v>
          </cell>
        </row>
        <row r="114">
          <cell r="A114" t="str">
            <v xml:space="preserve">       iз них:</v>
          </cell>
        </row>
        <row r="115">
          <cell r="A115" t="str">
            <v xml:space="preserve"> прибутковий податок з </v>
          </cell>
        </row>
        <row r="116">
          <cell r="A116" t="str">
            <v xml:space="preserve"> населення             </v>
          </cell>
        </row>
        <row r="117">
          <cell r="A117" t="str">
            <v>3.Прирiст вкладiв,придбання</v>
          </cell>
        </row>
        <row r="118">
          <cell r="A118" t="str">
            <v xml:space="preserve">  облiгацiй Державној внутр.</v>
          </cell>
        </row>
        <row r="119">
          <cell r="A119" t="str">
            <v xml:space="preserve">  позики,iнш.цiнних паперiв  </v>
          </cell>
        </row>
        <row r="120">
          <cell r="A120" t="str">
            <v>Всього</v>
          </cell>
        </row>
        <row r="121">
          <cell r="A121" t="str">
            <v xml:space="preserve">В. Перевищення доходiв над </v>
          </cell>
        </row>
        <row r="122">
          <cell r="A122" t="str">
            <v xml:space="preserve">   витратами</v>
          </cell>
        </row>
        <row r="123">
          <cell r="A123" t="str">
            <v>Баланс</v>
          </cell>
        </row>
        <row r="124">
          <cell r="A124" t="str">
            <v>_x000C_</v>
          </cell>
        </row>
        <row r="130">
          <cell r="A130" t="str">
            <v>А. ГРОШОВI ДОХОДИ</v>
          </cell>
        </row>
        <row r="131">
          <cell r="A131" t="str">
            <v>1.Заробiтна плата</v>
          </cell>
        </row>
        <row r="132">
          <cell r="A132" t="str">
            <v>2.Оплата працi робiтникiв</v>
          </cell>
        </row>
        <row r="133">
          <cell r="A133" t="str">
            <v xml:space="preserve">  кооперативiв</v>
          </cell>
        </row>
        <row r="134">
          <cell r="A134" t="str">
            <v>3.Доходи робiтникiв та служ-</v>
          </cell>
        </row>
        <row r="135">
          <cell r="A135" t="str">
            <v xml:space="preserve">  бовцiв вiд пiдприїмств та</v>
          </cell>
        </row>
        <row r="136">
          <cell r="A136" t="str">
            <v xml:space="preserve">  органiзацiй крiм зар.плати</v>
          </cell>
        </row>
        <row r="137">
          <cell r="A137" t="str">
            <v xml:space="preserve">4.Грошовi доходи вiд   </v>
          </cell>
        </row>
        <row r="138">
          <cell r="A138" t="str">
            <v xml:space="preserve">  колгоспiв            </v>
          </cell>
        </row>
        <row r="139">
          <cell r="A139" t="str">
            <v>5.Надходження вiд продажу</v>
          </cell>
        </row>
        <row r="140">
          <cell r="A140" t="str">
            <v xml:space="preserve">  продуктiв сiльсьгого госп.</v>
          </cell>
        </row>
        <row r="141">
          <cell r="A141" t="str">
            <v>Всього трудових доходiв</v>
          </cell>
        </row>
        <row r="142">
          <cell r="A142" t="str">
            <v>(рядки 1+2+3+4+5)</v>
          </cell>
        </row>
        <row r="143">
          <cell r="A143" t="str">
            <v>6.Пенсiј, допомоги,стипендiј</v>
          </cell>
        </row>
        <row r="144">
          <cell r="A144" t="str">
            <v xml:space="preserve">  та iншi надходження</v>
          </cell>
        </row>
        <row r="145">
          <cell r="A145" t="str">
            <v xml:space="preserve">     в тому числi:</v>
          </cell>
        </row>
        <row r="146">
          <cell r="A146" t="str">
            <v xml:space="preserve"> пенсiј, допомоги, стипендiј</v>
          </cell>
        </row>
        <row r="147">
          <cell r="A147" t="str">
            <v>Баланс</v>
          </cell>
        </row>
        <row r="148">
          <cell r="A148" t="str">
            <v>Б.ВИТРАТИ ТА ЗАОЩАДЖЕННЯ</v>
          </cell>
        </row>
        <row r="149">
          <cell r="A149" t="str">
            <v>1.Покупка товарiв та оплата</v>
          </cell>
        </row>
        <row r="150">
          <cell r="A150" t="str">
            <v xml:space="preserve">  послуг</v>
          </cell>
        </row>
        <row r="151">
          <cell r="A151" t="str">
            <v xml:space="preserve">    в тому числi:</v>
          </cell>
        </row>
        <row r="152">
          <cell r="A152" t="str">
            <v xml:space="preserve"> покупка товарiв       </v>
          </cell>
        </row>
        <row r="153">
          <cell r="A153" t="str">
            <v xml:space="preserve"> оплата послуг         </v>
          </cell>
        </row>
        <row r="154">
          <cell r="A154" t="str">
            <v>2.Обов'язковi платежi та</v>
          </cell>
        </row>
        <row r="155">
          <cell r="A155" t="str">
            <v xml:space="preserve">  добровiльнi внески</v>
          </cell>
        </row>
        <row r="156">
          <cell r="A156" t="str">
            <v xml:space="preserve">       iз них:</v>
          </cell>
        </row>
        <row r="157">
          <cell r="A157" t="str">
            <v xml:space="preserve"> прибутковий податок з </v>
          </cell>
        </row>
        <row r="158">
          <cell r="A158" t="str">
            <v xml:space="preserve"> населення             </v>
          </cell>
        </row>
        <row r="159">
          <cell r="A159" t="str">
            <v>3.Прирiст вкладiв,придбання</v>
          </cell>
        </row>
        <row r="160">
          <cell r="A160" t="str">
            <v xml:space="preserve">  облiгацiй Державној внутр.</v>
          </cell>
        </row>
        <row r="161">
          <cell r="A161" t="str">
            <v xml:space="preserve">  позики,iнш.цiнних паперiв  </v>
          </cell>
        </row>
        <row r="162">
          <cell r="A162" t="str">
            <v>Всього</v>
          </cell>
        </row>
        <row r="163">
          <cell r="A163" t="str">
            <v xml:space="preserve">В. Перевищення доходiв над </v>
          </cell>
        </row>
        <row r="164">
          <cell r="A164" t="str">
            <v xml:space="preserve">   витратами</v>
          </cell>
        </row>
        <row r="165">
          <cell r="A165" t="str">
            <v>Баланс</v>
          </cell>
        </row>
        <row r="166">
          <cell r="A166" t="str">
            <v>_x000C_</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refreshError="1"/>
      <sheetData sheetId="1" refreshError="1">
        <row r="2">
          <cell r="F2" t="str">
            <v>Компания "Мама"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План"/>
      <sheetName val="1  поясн"/>
      <sheetName val="Вир_пок (2)"/>
      <sheetName val="Вир_пок"/>
      <sheetName val="3  Ф2"/>
      <sheetName val="4  04_05"/>
      <sheetName val="4а доходи"/>
      <sheetName val="4б Собівартість (транспортув)"/>
      <sheetName val="4б Собівартість (постач)"/>
      <sheetName val="4б Собівартість (скрапл. газ)"/>
      <sheetName val="5  Сб_Адм_Зб"/>
      <sheetName val="6  Інші доходи"/>
      <sheetName val="7  Інші витрати"/>
      <sheetName val="8  Кошт_вд_04"/>
      <sheetName val="9  Кошт_вд_05"/>
      <sheetName val="10  Кошт_вд_06"/>
      <sheetName val="10  Кошт_вд_06 _1_"/>
      <sheetName val="10  Кошт_вд_06 _2_"/>
      <sheetName val="10  Кошт_вд_06 _3_"/>
      <sheetName val="10  Кошт_вд_06 _4_"/>
      <sheetName val="11  Ф1"/>
      <sheetName val="12_Рух_кошт_непр"/>
      <sheetName val="13  95 р"/>
      <sheetName val="14 Коефіцієнтний аналіз"/>
      <sheetName val="15 Рух коштів"/>
      <sheetName val="16 Кап_вкл"/>
      <sheetName val="17 Фін_інв"/>
      <sheetName val="18 Подат"/>
      <sheetName val="19 МТР"/>
      <sheetName val="20 Внутр 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refreshError="1"/>
      <sheetData sheetId="1" refreshError="1">
        <row r="6">
          <cell r="E6" t="str">
            <v>31 декабря 2005 года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Титул"/>
      <sheetName val="Інструкція"/>
      <sheetName val="0_Загальне"/>
      <sheetName val="Законод"/>
      <sheetName val="01_Доходи"/>
      <sheetName val="02_Видатки"/>
      <sheetName val="03_МТО"/>
      <sheetName val="04_Фін_стійкість"/>
      <sheetName val="05_Фін_план"/>
      <sheetName val="ДРУК"/>
      <sheetName val="Графіки"/>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form"/>
    </sheetNames>
    <sheetDataSet>
      <sheetData sheetId="0"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 val="11)423+424"/>
      <sheetName val="Chart_of_accs"/>
    </sheetNames>
    <sheetDataSet>
      <sheetData sheetId="0" refreshError="1"/>
      <sheetData sheetId="1" refreshError="1">
        <row r="2">
          <cell r="G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 val="реестр заявок"/>
      <sheetName val="ЗКЛ"/>
      <sheetName val="реестр_заявок"/>
    </sheetNames>
    <sheetDataSet>
      <sheetData sheetId="0" refreshError="1"/>
      <sheetData sheetId="1" refreshError="1">
        <row r="2">
          <cell r="G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БАЗА  "/>
      <sheetName val="ВАТ"/>
      <sheetName val="ВАТ_фил"/>
      <sheetName val="210"/>
      <sheetName val="241,5"/>
      <sheetName val="област"/>
      <sheetName val="Сторно"/>
      <sheetName val="Пряма_труба"/>
      <sheetName val="БАЗА   (2)"/>
      <sheetName val="БАЗА   (3)"/>
      <sheetName val="БАЗА   (4)"/>
      <sheetName val="БАЗА   (5)"/>
      <sheetName val="БАЗА   (6)"/>
      <sheetName val="БАЗА   (7)"/>
      <sheetName val="БАЗА   (8)"/>
      <sheetName val="БАЗА   (9)"/>
      <sheetName val="БАЗА   (10)"/>
      <sheetName val="БАЗА   (12)"/>
      <sheetName val="БАЗА   (11)"/>
      <sheetName val="БАЗА   (13)"/>
      <sheetName val="БАЗА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refreshError="1"/>
      <sheetData sheetId="1" refreshError="1">
        <row r="2">
          <cell r="F2" t="str">
            <v>Компания "Мама"</v>
          </cell>
          <cell r="G2">
            <v>0</v>
          </cell>
        </row>
        <row r="5">
          <cell r="E5" t="str">
            <v>01 января 2005 года</v>
          </cell>
        </row>
        <row r="6">
          <cell r="E6" t="str">
            <v>31 декабря 2005 года</v>
          </cell>
        </row>
        <row r="38">
          <cell r="E38" t="str">
            <v>тыс. грн.</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sheetData sheetId="1" refreshError="1">
        <row r="2">
          <cell r="F2" t="str">
            <v>Компания "Мама"</v>
          </cell>
          <cell r="G2">
            <v>0</v>
          </cell>
        </row>
        <row r="5">
          <cell r="E5" t="str">
            <v>01 января 2005 года</v>
          </cell>
        </row>
        <row r="6">
          <cell r="E6" t="str">
            <v>31 декабря 2005 года</v>
          </cell>
        </row>
        <row r="38">
          <cell r="E38" t="str">
            <v>тыс. грн.</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refreshError="1"/>
      <sheetData sheetId="1" refreshError="1">
        <row r="2">
          <cell r="F2" t="str">
            <v>Компания "Мама"</v>
          </cell>
          <cell r="G2">
            <v>0</v>
          </cell>
        </row>
        <row r="5">
          <cell r="E5" t="str">
            <v>01 января 2005 года</v>
          </cell>
        </row>
        <row r="6">
          <cell r="E6" t="str">
            <v>31 декабря 2005 года</v>
          </cell>
        </row>
        <row r="38">
          <cell r="E38" t="str">
            <v>тыс. грн.</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form"/>
    </sheetNames>
    <sheetDataSet>
      <sheetData sheetId="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МТР Газ України"/>
    </sheetNames>
    <sheetDataSet>
      <sheetData sheetId="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зведена таб"/>
      <sheetName val="попер_роз"/>
      <sheetName val="попер_роз (4)"/>
      <sheetName val="звед_оптим (2)"/>
      <sheetName val="звед_баз(3)_СА"/>
      <sheetName val="звед_опт(3)_ca"/>
      <sheetName val="звед_баз(4)"/>
      <sheetName val="звед_опт(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duda@hrs.net.ua" TargetMode="External"/><Relationship Id="rId1" Type="http://schemas.openxmlformats.org/officeDocument/2006/relationships/hyperlink" Target="mailto:nkovalenko@hrs.net.u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8" Type="http://schemas.openxmlformats.org/officeDocument/2006/relationships/hyperlink" Target="http://zakon3.rada.gov.ua/laws/show/821-2017-%D1%80/print" TargetMode="External"/><Relationship Id="rId13" Type="http://schemas.openxmlformats.org/officeDocument/2006/relationships/hyperlink" Target="http://zakon5.rada.gov.ua/laws/show/2206-19" TargetMode="External"/><Relationship Id="rId18" Type="http://schemas.openxmlformats.org/officeDocument/2006/relationships/hyperlink" Target="https://moz.gov.ua/article/ministry-mandates/nakaz-moz-ukraini-vid-08052020--1103-pro-vnesennja-zmin-do-primirnogo-tabelja-materialno-tehnichnogo-osnaschennja-zakladiv-ohoroni-zdorov%e2%80%99ja-ta-fizichnih-osib-pidpriemciv-jaki-nadajut-pervinnu-medichnu-dopomogu" TargetMode="External"/><Relationship Id="rId3" Type="http://schemas.openxmlformats.org/officeDocument/2006/relationships/hyperlink" Target="https://zakon.rada.gov.ua/laws/show/65-2020-%D0%BF/print" TargetMode="External"/><Relationship Id="rId7" Type="http://schemas.openxmlformats.org/officeDocument/2006/relationships/hyperlink" Target="http://zakon3.rada.gov.ua/laws/show/2233-19/print" TargetMode="External"/><Relationship Id="rId12" Type="http://schemas.openxmlformats.org/officeDocument/2006/relationships/hyperlink" Target="http://zakon2.rada.gov.ua/laws/show/2801-12/print" TargetMode="External"/><Relationship Id="rId17" Type="http://schemas.openxmlformats.org/officeDocument/2006/relationships/hyperlink" Target="https://zakon.rada.gov.ua/laws/show/1086-2019-%D0%BF/print" TargetMode="External"/><Relationship Id="rId2" Type="http://schemas.openxmlformats.org/officeDocument/2006/relationships/hyperlink" Target="https://zakon.rada.gov.ua/laws/show/z0892-99" TargetMode="External"/><Relationship Id="rId16" Type="http://schemas.openxmlformats.org/officeDocument/2006/relationships/hyperlink" Target="https://zakon.rada.gov.ua/laws/show/1119-2019-%D0%BF/print" TargetMode="External"/><Relationship Id="rId20" Type="http://schemas.openxmlformats.org/officeDocument/2006/relationships/drawing" Target="../drawings/drawing2.xml"/><Relationship Id="rId1" Type="http://schemas.openxmlformats.org/officeDocument/2006/relationships/hyperlink" Target="https://zakon.rada.gov.ua/laws/show/391-2018-%D0%BF/print" TargetMode="External"/><Relationship Id="rId6" Type="http://schemas.openxmlformats.org/officeDocument/2006/relationships/hyperlink" Target="http://zakon2.rada.gov.ua/laws/show/1101-2017-%D0%BF/print" TargetMode="External"/><Relationship Id="rId11" Type="http://schemas.openxmlformats.org/officeDocument/2006/relationships/hyperlink" Target="http://zakon3.rada.gov.ua/laws/show/2168-19/print" TargetMode="External"/><Relationship Id="rId5" Type="http://schemas.openxmlformats.org/officeDocument/2006/relationships/hyperlink" Target="http://zakon0.rada.gov.ua/laws/show/z0347-18" TargetMode="External"/><Relationship Id="rId15" Type="http://schemas.openxmlformats.org/officeDocument/2006/relationships/hyperlink" Target="https://zakon.rada.gov.ua/laws/show/410-2018-%D0%BF/print" TargetMode="External"/><Relationship Id="rId10" Type="http://schemas.openxmlformats.org/officeDocument/2006/relationships/hyperlink" Target="http://zakon3.rada.gov.ua/laws/show/1013-2016-%D1%80/print" TargetMode="External"/><Relationship Id="rId19" Type="http://schemas.openxmlformats.org/officeDocument/2006/relationships/printerSettings" Target="../printerSettings/printerSettings2.bin"/><Relationship Id="rId4" Type="http://schemas.openxmlformats.org/officeDocument/2006/relationships/hyperlink" Target="http://zakon0.rada.gov.ua/laws/show/z0348-18" TargetMode="External"/><Relationship Id="rId9" Type="http://schemas.openxmlformats.org/officeDocument/2006/relationships/hyperlink" Target="http://zakon0.rada.gov.ua/laws/show/56/95-%D0%B2%D1%80/print" TargetMode="External"/><Relationship Id="rId14" Type="http://schemas.openxmlformats.org/officeDocument/2006/relationships/hyperlink" Target="https://zakon.rada.gov.ua/laws/show/2002-19/prin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zakon.rada.gov.ua/laws/show/65-2020-%D0%BF/print"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O24"/>
  <sheetViews>
    <sheetView showGridLines="0" showRuler="0" zoomScale="81" zoomScaleNormal="81" zoomScalePageLayoutView="55" workbookViewId="0"/>
  </sheetViews>
  <sheetFormatPr defaultRowHeight="15"/>
  <cols>
    <col min="1" max="1" width="11.28515625" customWidth="1"/>
    <col min="2" max="2" width="12.85546875" customWidth="1"/>
    <col min="5" max="5" width="12.7109375" customWidth="1"/>
    <col min="6" max="6" width="12" customWidth="1"/>
  </cols>
  <sheetData>
    <row r="1" spans="1:15" s="60" customFormat="1" ht="11.45" customHeight="1"/>
    <row r="2" spans="1:15" s="63" customFormat="1" ht="125.45" customHeight="1">
      <c r="A2" s="840"/>
      <c r="B2" s="840"/>
      <c r="C2" s="840"/>
      <c r="D2" s="840"/>
      <c r="E2" s="840"/>
      <c r="F2" s="840"/>
      <c r="G2" s="841" t="s">
        <v>50</v>
      </c>
      <c r="H2" s="841"/>
      <c r="I2" s="841"/>
      <c r="J2" s="841"/>
      <c r="K2" s="841"/>
      <c r="L2" s="841"/>
      <c r="M2" s="841"/>
      <c r="N2" s="841"/>
      <c r="O2" s="841"/>
    </row>
    <row r="3" spans="1:15" s="63" customFormat="1" ht="33.75" customHeight="1">
      <c r="A3" s="843" t="s">
        <v>154</v>
      </c>
      <c r="B3" s="843"/>
      <c r="C3" s="843"/>
      <c r="D3" s="843"/>
      <c r="E3" s="843"/>
      <c r="F3" s="843"/>
      <c r="G3" s="843"/>
      <c r="H3" s="843"/>
      <c r="I3" s="843"/>
      <c r="J3" s="843"/>
      <c r="K3" s="843"/>
      <c r="L3" s="843"/>
      <c r="M3" s="843"/>
      <c r="N3" s="843"/>
      <c r="O3" s="843"/>
    </row>
    <row r="4" spans="1:15">
      <c r="A4" s="843"/>
      <c r="B4" s="843"/>
      <c r="C4" s="843"/>
      <c r="D4" s="843"/>
      <c r="E4" s="843"/>
      <c r="F4" s="843"/>
      <c r="G4" s="843"/>
      <c r="H4" s="843"/>
      <c r="I4" s="843"/>
      <c r="J4" s="843"/>
      <c r="K4" s="843"/>
      <c r="L4" s="843"/>
      <c r="M4" s="843"/>
      <c r="N4" s="843"/>
      <c r="O4" s="843"/>
    </row>
    <row r="5" spans="1:15">
      <c r="A5" s="843"/>
      <c r="B5" s="843"/>
      <c r="C5" s="843"/>
      <c r="D5" s="843"/>
      <c r="E5" s="843"/>
      <c r="F5" s="843"/>
      <c r="G5" s="843"/>
      <c r="H5" s="843"/>
      <c r="I5" s="843"/>
      <c r="J5" s="843"/>
      <c r="K5" s="843"/>
      <c r="L5" s="843"/>
      <c r="M5" s="843"/>
      <c r="N5" s="843"/>
      <c r="O5" s="843"/>
    </row>
    <row r="6" spans="1:15">
      <c r="A6" s="843"/>
      <c r="B6" s="843"/>
      <c r="C6" s="843"/>
      <c r="D6" s="843"/>
      <c r="E6" s="843"/>
      <c r="F6" s="843"/>
      <c r="G6" s="843"/>
      <c r="H6" s="843"/>
      <c r="I6" s="843"/>
      <c r="J6" s="843"/>
      <c r="K6" s="843"/>
      <c r="L6" s="843"/>
      <c r="M6" s="843"/>
      <c r="N6" s="843"/>
      <c r="O6" s="843"/>
    </row>
    <row r="7" spans="1:15">
      <c r="A7" s="843"/>
      <c r="B7" s="843"/>
      <c r="C7" s="843"/>
      <c r="D7" s="843"/>
      <c r="E7" s="843"/>
      <c r="F7" s="843"/>
      <c r="G7" s="843"/>
      <c r="H7" s="843"/>
      <c r="I7" s="843"/>
      <c r="J7" s="843"/>
      <c r="K7" s="843"/>
      <c r="L7" s="843"/>
      <c r="M7" s="843"/>
      <c r="N7" s="843"/>
      <c r="O7" s="843"/>
    </row>
    <row r="8" spans="1:15">
      <c r="A8" s="843"/>
      <c r="B8" s="843"/>
      <c r="C8" s="843"/>
      <c r="D8" s="843"/>
      <c r="E8" s="843"/>
      <c r="F8" s="843"/>
      <c r="G8" s="843"/>
      <c r="H8" s="843"/>
      <c r="I8" s="843"/>
      <c r="J8" s="843"/>
      <c r="K8" s="843"/>
      <c r="L8" s="843"/>
      <c r="M8" s="843"/>
      <c r="N8" s="843"/>
      <c r="O8" s="843"/>
    </row>
    <row r="9" spans="1:15">
      <c r="A9" s="843"/>
      <c r="B9" s="843"/>
      <c r="C9" s="843"/>
      <c r="D9" s="843"/>
      <c r="E9" s="843"/>
      <c r="F9" s="843"/>
      <c r="G9" s="843"/>
      <c r="H9" s="843"/>
      <c r="I9" s="843"/>
      <c r="J9" s="843"/>
      <c r="K9" s="843"/>
      <c r="L9" s="843"/>
      <c r="M9" s="843"/>
      <c r="N9" s="843"/>
      <c r="O9" s="843"/>
    </row>
    <row r="10" spans="1:15">
      <c r="A10" s="843"/>
      <c r="B10" s="843"/>
      <c r="C10" s="843"/>
      <c r="D10" s="843"/>
      <c r="E10" s="843"/>
      <c r="F10" s="843"/>
      <c r="G10" s="843"/>
      <c r="H10" s="843"/>
      <c r="I10" s="843"/>
      <c r="J10" s="843"/>
      <c r="K10" s="843"/>
      <c r="L10" s="843"/>
      <c r="M10" s="843"/>
      <c r="N10" s="843"/>
      <c r="O10" s="843"/>
    </row>
    <row r="11" spans="1:15">
      <c r="A11" s="843"/>
      <c r="B11" s="843"/>
      <c r="C11" s="843"/>
      <c r="D11" s="843"/>
      <c r="E11" s="843"/>
      <c r="F11" s="843"/>
      <c r="G11" s="843"/>
      <c r="H11" s="843"/>
      <c r="I11" s="843"/>
      <c r="J11" s="843"/>
      <c r="K11" s="843"/>
      <c r="L11" s="843"/>
      <c r="M11" s="843"/>
      <c r="N11" s="843"/>
      <c r="O11" s="843"/>
    </row>
    <row r="12" spans="1:15">
      <c r="A12" s="843"/>
      <c r="B12" s="843"/>
      <c r="C12" s="843"/>
      <c r="D12" s="843"/>
      <c r="E12" s="843"/>
      <c r="F12" s="843"/>
      <c r="G12" s="843"/>
      <c r="H12" s="843"/>
      <c r="I12" s="843"/>
      <c r="J12" s="843"/>
      <c r="K12" s="843"/>
      <c r="L12" s="843"/>
      <c r="M12" s="843"/>
      <c r="N12" s="843"/>
      <c r="O12" s="843"/>
    </row>
    <row r="13" spans="1:15">
      <c r="A13" s="843"/>
      <c r="B13" s="843"/>
      <c r="C13" s="843"/>
      <c r="D13" s="843"/>
      <c r="E13" s="843"/>
      <c r="F13" s="843"/>
      <c r="G13" s="843"/>
      <c r="H13" s="843"/>
      <c r="I13" s="843"/>
      <c r="J13" s="843"/>
      <c r="K13" s="843"/>
      <c r="L13" s="843"/>
      <c r="M13" s="843"/>
      <c r="N13" s="843"/>
      <c r="O13" s="843"/>
    </row>
    <row r="14" spans="1:15">
      <c r="A14" s="843"/>
      <c r="B14" s="843"/>
      <c r="C14" s="843"/>
      <c r="D14" s="843"/>
      <c r="E14" s="843"/>
      <c r="F14" s="843"/>
      <c r="G14" s="843"/>
      <c r="H14" s="843"/>
      <c r="I14" s="843"/>
      <c r="J14" s="843"/>
      <c r="K14" s="843"/>
      <c r="L14" s="843"/>
      <c r="M14" s="843"/>
      <c r="N14" s="843"/>
      <c r="O14" s="843"/>
    </row>
    <row r="15" spans="1:15">
      <c r="A15" s="843"/>
      <c r="B15" s="843"/>
      <c r="C15" s="843"/>
      <c r="D15" s="843"/>
      <c r="E15" s="843"/>
      <c r="F15" s="843"/>
      <c r="G15" s="843"/>
      <c r="H15" s="843"/>
      <c r="I15" s="843"/>
      <c r="J15" s="843"/>
      <c r="K15" s="843"/>
      <c r="L15" s="843"/>
      <c r="M15" s="843"/>
      <c r="N15" s="843"/>
      <c r="O15" s="843"/>
    </row>
    <row r="16" spans="1:15" ht="22.15" customHeight="1">
      <c r="A16" s="843"/>
      <c r="B16" s="843"/>
      <c r="C16" s="843"/>
      <c r="D16" s="843"/>
      <c r="E16" s="843"/>
      <c r="F16" s="843"/>
      <c r="G16" s="843"/>
      <c r="H16" s="843"/>
      <c r="I16" s="843"/>
      <c r="J16" s="843"/>
      <c r="K16" s="843"/>
      <c r="L16" s="843"/>
      <c r="M16" s="843"/>
      <c r="N16" s="843"/>
      <c r="O16" s="843"/>
    </row>
    <row r="17" spans="1:15" ht="8.4499999999999993" customHeight="1" thickBot="1">
      <c r="A17" s="590"/>
      <c r="B17" s="590"/>
      <c r="C17" s="590"/>
      <c r="D17" s="590"/>
      <c r="E17" s="590"/>
      <c r="F17" s="590"/>
      <c r="G17" s="590"/>
      <c r="H17" s="590"/>
      <c r="I17" s="590"/>
      <c r="J17" s="590"/>
      <c r="K17" s="590"/>
      <c r="L17" s="590"/>
      <c r="M17" s="590"/>
      <c r="N17" s="590"/>
      <c r="O17" s="590"/>
    </row>
    <row r="18" spans="1:15" ht="18.600000000000001" customHeight="1">
      <c r="B18" s="591" t="s">
        <v>27</v>
      </c>
      <c r="C18" s="592"/>
      <c r="D18" s="592"/>
      <c r="E18" s="592"/>
      <c r="F18" s="593"/>
      <c r="G18" s="593"/>
      <c r="H18" s="593"/>
      <c r="I18" s="594"/>
    </row>
    <row r="19" spans="1:15">
      <c r="B19" s="595"/>
      <c r="C19" s="596"/>
      <c r="D19" s="596"/>
      <c r="E19" s="596"/>
      <c r="F19" s="596"/>
      <c r="G19" s="596"/>
      <c r="H19" s="596"/>
      <c r="I19" s="597"/>
    </row>
    <row r="20" spans="1:15" s="598" customFormat="1" ht="17.45" customHeight="1">
      <c r="B20" s="844" t="s">
        <v>28</v>
      </c>
      <c r="C20" s="845"/>
      <c r="D20" s="599"/>
      <c r="E20" s="599"/>
      <c r="F20" s="845" t="s">
        <v>29</v>
      </c>
      <c r="G20" s="845"/>
      <c r="H20" s="599"/>
      <c r="I20" s="600"/>
    </row>
    <row r="21" spans="1:15" s="601" customFormat="1" ht="23.45" customHeight="1" thickBot="1">
      <c r="B21" s="602" t="s">
        <v>30</v>
      </c>
      <c r="C21" s="603" t="s">
        <v>31</v>
      </c>
      <c r="D21" s="603"/>
      <c r="E21" s="603"/>
      <c r="F21" s="604" t="s">
        <v>30</v>
      </c>
      <c r="G21" s="603" t="s">
        <v>32</v>
      </c>
      <c r="H21" s="603"/>
      <c r="I21" s="605"/>
    </row>
    <row r="23" spans="1:15" ht="15.6" customHeight="1">
      <c r="A23" s="842" t="s">
        <v>684</v>
      </c>
      <c r="B23" s="842"/>
      <c r="C23" s="842"/>
      <c r="D23" s="842"/>
      <c r="E23" s="842"/>
      <c r="F23" s="842"/>
      <c r="G23" s="842"/>
      <c r="H23" s="842"/>
      <c r="I23" s="842"/>
      <c r="J23" s="842"/>
      <c r="K23" s="842"/>
      <c r="L23" s="842"/>
      <c r="M23" s="842"/>
      <c r="N23" s="842"/>
      <c r="O23" s="842"/>
    </row>
    <row r="24" spans="1:15" s="63" customFormat="1" ht="56.45" customHeight="1">
      <c r="A24" s="842"/>
      <c r="B24" s="842"/>
      <c r="C24" s="842"/>
      <c r="D24" s="842"/>
      <c r="E24" s="842"/>
      <c r="F24" s="842"/>
      <c r="G24" s="842"/>
      <c r="H24" s="842"/>
      <c r="I24" s="842"/>
      <c r="J24" s="842"/>
      <c r="K24" s="842"/>
      <c r="L24" s="842"/>
      <c r="M24" s="842"/>
      <c r="N24" s="842"/>
      <c r="O24" s="842"/>
    </row>
  </sheetData>
  <mergeCells count="6">
    <mergeCell ref="A2:F2"/>
    <mergeCell ref="G2:O2"/>
    <mergeCell ref="A23:O24"/>
    <mergeCell ref="A3:O16"/>
    <mergeCell ref="B20:C20"/>
    <mergeCell ref="F20:G20"/>
  </mergeCells>
  <phoneticPr fontId="0" type="noConversion"/>
  <hyperlinks>
    <hyperlink ref="C21" r:id="rId1" display="mailto:nkovalenko@hrs.net.ua"/>
    <hyperlink ref="G21" r:id="rId2"/>
  </hyperlinks>
  <pageMargins left="0.7" right="0.7" top="0.75" bottom="0.75" header="0.3" footer="0.3"/>
  <pageSetup paperSize="9" scale="59" orientation="portrait" r:id="rId3"/>
  <drawing r:id="rId4"/>
</worksheet>
</file>

<file path=xl/worksheets/sheet10.xml><?xml version="1.0" encoding="utf-8"?>
<worksheet xmlns="http://schemas.openxmlformats.org/spreadsheetml/2006/main" xmlns:r="http://schemas.openxmlformats.org/officeDocument/2006/relationships">
  <sheetPr>
    <tabColor theme="4" tint="-0.249977111117893"/>
  </sheetPr>
  <dimension ref="A1:AS21"/>
  <sheetViews>
    <sheetView showGridLines="0" view="pageBreakPreview" topLeftCell="A13" zoomScale="70" zoomScaleSheetLayoutView="70" workbookViewId="0">
      <selection activeCell="G18" sqref="G18"/>
    </sheetView>
  </sheetViews>
  <sheetFormatPr defaultColWidth="8.85546875" defaultRowHeight="15"/>
  <cols>
    <col min="1" max="1" width="8.85546875" style="137"/>
    <col min="2" max="2" width="40.140625" style="137" customWidth="1"/>
    <col min="3" max="3" width="25.140625" style="137" customWidth="1"/>
    <col min="4" max="4" width="25.7109375" style="137" customWidth="1"/>
    <col min="5" max="5" width="28.7109375" style="137" customWidth="1"/>
    <col min="6" max="6" width="27.140625" style="137" customWidth="1"/>
    <col min="7" max="7" width="25.28515625" style="137" customWidth="1"/>
    <col min="8" max="8" width="21" style="137" customWidth="1"/>
    <col min="9" max="16384" width="8.85546875" style="137"/>
  </cols>
  <sheetData>
    <row r="1" spans="1:45" s="60" customFormat="1" ht="16.5">
      <c r="H1" s="60" t="s">
        <v>238</v>
      </c>
      <c r="O1" s="61"/>
      <c r="T1" s="61"/>
      <c r="Y1" s="61"/>
      <c r="AD1" s="61"/>
      <c r="AI1" s="61"/>
      <c r="AN1" s="61"/>
      <c r="AS1" s="61"/>
    </row>
    <row r="2" spans="1:45" s="63" customFormat="1" ht="22.5">
      <c r="A2" s="887"/>
      <c r="B2" s="887"/>
      <c r="C2" s="887"/>
      <c r="D2" s="887"/>
      <c r="E2" s="887"/>
      <c r="F2" s="887"/>
      <c r="G2" s="887"/>
      <c r="H2" s="887"/>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62"/>
      <c r="AL2" s="62"/>
      <c r="AM2" s="62"/>
      <c r="AN2" s="62"/>
      <c r="AO2" s="62"/>
      <c r="AP2" s="62"/>
      <c r="AQ2" s="62"/>
      <c r="AR2" s="62"/>
      <c r="AS2" s="62"/>
    </row>
    <row r="3" spans="1:45" s="63" customFormat="1" ht="23.25" thickBot="1">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row>
    <row r="4" spans="1:45" s="63" customFormat="1" ht="82.5" customHeight="1">
      <c r="A4" s="62"/>
      <c r="B4" s="356" t="str">
        <f ca="1">'0_Загальне'!B11</f>
        <v>Офіційна повна назва надавача ПМД:</v>
      </c>
      <c r="C4" s="1232" t="str">
        <f ca="1">'0_Загальне'!C11</f>
        <v>Комунальне некомерційне підприємство "Рожищнський центр первинної медико-санітарної допомоги" Рожищенської міської ради</v>
      </c>
      <c r="D4" s="1233"/>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row>
    <row r="5" spans="1:45" s="63" customFormat="1" ht="22.5">
      <c r="A5" s="62"/>
      <c r="B5" s="357" t="str">
        <f ca="1">'0_Загальне'!B32</f>
        <v>Плановий період (рік):</v>
      </c>
      <c r="C5" s="1234">
        <f ca="1">'0_Загальне'!C32</f>
        <v>2024</v>
      </c>
      <c r="D5" s="1235"/>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row>
    <row r="6" spans="1:45" s="63" customFormat="1" ht="23.25" thickBot="1">
      <c r="A6" s="62"/>
      <c r="B6" s="510" t="s">
        <v>748</v>
      </c>
      <c r="C6" s="1238" t="str">
        <f ca="1">'0_Загальне'!C34</f>
        <v>11.12.2023</v>
      </c>
      <c r="D6" s="1279"/>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row>
    <row r="7" spans="1:45" s="63" customFormat="1" ht="26.45" customHeight="1" thickBot="1">
      <c r="C7" s="292"/>
      <c r="D7" s="292"/>
      <c r="E7" s="292"/>
      <c r="F7" s="292"/>
      <c r="G7" s="292"/>
      <c r="H7" s="292"/>
      <c r="I7" s="292"/>
      <c r="J7" s="139"/>
      <c r="K7" s="139"/>
      <c r="L7" s="139"/>
      <c r="M7" s="139"/>
      <c r="N7" s="139"/>
      <c r="O7" s="353"/>
      <c r="T7" s="353"/>
      <c r="Y7" s="353"/>
      <c r="AD7" s="353"/>
      <c r="AI7" s="353"/>
      <c r="AN7" s="353"/>
      <c r="AS7" s="353"/>
    </row>
    <row r="8" spans="1:45" ht="75">
      <c r="B8" s="646" t="str">
        <f ca="1">'01_Доходи'!B16:D16</f>
        <v>Показник</v>
      </c>
      <c r="C8" s="647" t="str">
        <f ca="1">'01_Доходи'!E16</f>
        <v>Доходи у І кварталі, грн.</v>
      </c>
      <c r="D8" s="647" t="str">
        <f ca="1">'01_Доходи'!F16</f>
        <v>Доходи у ІІ кварталі, грн.</v>
      </c>
      <c r="E8" s="647" t="str">
        <f ca="1">'01_Доходи'!G16</f>
        <v>Доходи у ІІІ кварталі, грн.</v>
      </c>
      <c r="F8" s="648" t="str">
        <f ca="1">'01_Доходи'!H16</f>
        <v>Доходи у IV кварталі, грн.</v>
      </c>
      <c r="G8" s="649" t="str">
        <f ca="1">'01_Доходи'!I16</f>
        <v>Всього річні ДОХОДИ надавача ПМД, грн.</v>
      </c>
    </row>
    <row r="9" spans="1:45" ht="93" customHeight="1">
      <c r="B9" s="650" t="str">
        <f ca="1">'01_Доходи'!B24:D24</f>
        <v>Надходження надавача ПМД від медичного обслуговування населення за програмою медичних гарантій, грн. В.т.числі ПМД</v>
      </c>
      <c r="C9" s="651">
        <f ca="1">'01_Доходи'!E24</f>
        <v>8762424.3874162696</v>
      </c>
      <c r="D9" s="651">
        <f ca="1">'01_Доходи'!F24</f>
        <v>8762424.3874162696</v>
      </c>
      <c r="E9" s="651">
        <f ca="1">'01_Доходи'!G24</f>
        <v>8762424.3874162696</v>
      </c>
      <c r="F9" s="652">
        <f ca="1">'01_Доходи'!H24</f>
        <v>8762424.3874162696</v>
      </c>
      <c r="G9" s="653">
        <f ca="1">'01_Доходи'!I24</f>
        <v>35049697.549665079</v>
      </c>
    </row>
    <row r="10" spans="1:45" ht="67.150000000000006" customHeight="1" thickBot="1">
      <c r="B10" s="654" t="str">
        <f ca="1">'01_Доходи'!B26:D26</f>
        <v>Інші надходження/доходи надавача ПМД, грн.</v>
      </c>
      <c r="C10" s="655">
        <f ca="1">'01_Доходи'!E26</f>
        <v>1614088.3300439999</v>
      </c>
      <c r="D10" s="655">
        <f ca="1">'01_Доходи'!F26</f>
        <v>1228769.9168719999</v>
      </c>
      <c r="E10" s="655">
        <f ca="1">'01_Доходи'!G26</f>
        <v>841895.96136800002</v>
      </c>
      <c r="F10" s="656">
        <f ca="1">'01_Доходи'!H26</f>
        <v>1456816.8926039999</v>
      </c>
      <c r="G10" s="657">
        <f ca="1">'01_Доходи'!I26</f>
        <v>5141571.1008879999</v>
      </c>
    </row>
    <row r="11" spans="1:45" ht="57.6" customHeight="1" thickBot="1">
      <c r="B11" s="658" t="str">
        <f ca="1">'01_Доходи'!B27:D27</f>
        <v>ВСЬОГО ДОХОДІВ надавача ПМД, грн.</v>
      </c>
      <c r="C11" s="659">
        <f ca="1">'05_Фін_план'!E85</f>
        <v>10376512.717460269</v>
      </c>
      <c r="D11" s="659">
        <f ca="1">'05_Фін_план'!F85</f>
        <v>9991194.30428827</v>
      </c>
      <c r="E11" s="659">
        <f ca="1">'05_Фін_план'!G85</f>
        <v>9604320.3487842698</v>
      </c>
      <c r="F11" s="659">
        <f ca="1">'05_Фін_план'!H85</f>
        <v>10219241.28002027</v>
      </c>
      <c r="G11" s="660">
        <f ca="1">SUM(C11:F11)</f>
        <v>40191268.650553077</v>
      </c>
    </row>
    <row r="12" spans="1:45" ht="55.15" customHeight="1" thickBot="1"/>
    <row r="13" spans="1:45" s="121" customFormat="1" ht="67.5" customHeight="1">
      <c r="B13" s="646" t="s">
        <v>273</v>
      </c>
      <c r="C13" s="647" t="s">
        <v>576</v>
      </c>
      <c r="D13" s="647" t="s">
        <v>577</v>
      </c>
      <c r="E13" s="647" t="s">
        <v>578</v>
      </c>
      <c r="F13" s="648" t="s">
        <v>579</v>
      </c>
      <c r="G13" s="649" t="s">
        <v>580</v>
      </c>
    </row>
    <row r="14" spans="1:45" s="121" customFormat="1" ht="34.9" customHeight="1">
      <c r="B14" s="357" t="s">
        <v>582</v>
      </c>
      <c r="C14" s="661">
        <f ca="1">'05_Фін_план'!E57+'05_Фін_план'!E60</f>
        <v>6207420</v>
      </c>
      <c r="D14" s="661">
        <f ca="1">'05_Фін_план'!F57+'05_Фін_план'!F60</f>
        <v>6207420</v>
      </c>
      <c r="E14" s="661">
        <f ca="1">'05_Фін_план'!G57+'05_Фін_план'!G60</f>
        <v>6207420</v>
      </c>
      <c r="F14" s="661">
        <f ca="1">'05_Фін_план'!H57+'05_Фін_план'!H60</f>
        <v>6207420</v>
      </c>
      <c r="G14" s="662">
        <f>SUM(C14:F14)</f>
        <v>24829680</v>
      </c>
    </row>
    <row r="15" spans="1:45" s="121" customFormat="1" ht="34.9" customHeight="1">
      <c r="B15" s="357" t="s">
        <v>583</v>
      </c>
      <c r="C15" s="661">
        <f ca="1">'05_Фін_план'!E58+'05_Фін_план'!E61</f>
        <v>1350944.4</v>
      </c>
      <c r="D15" s="661">
        <f ca="1">'05_Фін_план'!F58+'05_Фін_план'!F61</f>
        <v>1350944.4</v>
      </c>
      <c r="E15" s="661">
        <f ca="1">'05_Фін_план'!G58+'05_Фін_план'!G61</f>
        <v>1350944.4</v>
      </c>
      <c r="F15" s="661">
        <f ca="1">'05_Фін_план'!H58+'05_Фін_план'!H61</f>
        <v>1350944.4</v>
      </c>
      <c r="G15" s="662">
        <f t="shared" ref="G15:G21" si="0">SUM(C15:F15)</f>
        <v>5403777.5999999996</v>
      </c>
    </row>
    <row r="16" spans="1:45" s="121" customFormat="1" ht="56.25">
      <c r="B16" s="357" t="s">
        <v>236</v>
      </c>
      <c r="C16" s="661">
        <v>0</v>
      </c>
      <c r="D16" s="661">
        <f ca="1">'05_Фін_план'!F62</f>
        <v>0</v>
      </c>
      <c r="E16" s="661">
        <f ca="1">'05_Фін_план'!G62</f>
        <v>0</v>
      </c>
      <c r="F16" s="661">
        <f ca="1">'05_Фін_план'!H62</f>
        <v>0</v>
      </c>
      <c r="G16" s="662">
        <f t="shared" si="0"/>
        <v>0</v>
      </c>
    </row>
    <row r="17" spans="2:7" s="121" customFormat="1" ht="48.75" customHeight="1">
      <c r="B17" s="357" t="s">
        <v>693</v>
      </c>
      <c r="C17" s="661">
        <f ca="1">'05_Фін_план'!E67</f>
        <v>818992.59004399995</v>
      </c>
      <c r="D17" s="661">
        <f ca="1">'05_Фін_план'!F67</f>
        <v>471494.08687200001</v>
      </c>
      <c r="E17" s="661">
        <f ca="1">'05_Фін_план'!G67</f>
        <v>93966.501367999997</v>
      </c>
      <c r="F17" s="661">
        <f ca="1">'05_Фін_план'!H67</f>
        <v>668304.41260399995</v>
      </c>
      <c r="G17" s="662">
        <f t="shared" si="0"/>
        <v>2052757.5908879999</v>
      </c>
    </row>
    <row r="18" spans="2:7" s="121" customFormat="1" ht="46.5" customHeight="1">
      <c r="B18" s="357" t="s">
        <v>584</v>
      </c>
      <c r="C18" s="661">
        <f ca="1">'05_Фін_план'!E63</f>
        <v>60000</v>
      </c>
      <c r="D18" s="661">
        <f ca="1">'05_Фін_план'!F63</f>
        <v>30000</v>
      </c>
      <c r="E18" s="661">
        <f ca="1">'05_Фін_план'!G63</f>
        <v>30000</v>
      </c>
      <c r="F18" s="663">
        <f ca="1">'05_Фін_план'!H63</f>
        <v>20000</v>
      </c>
      <c r="G18" s="662">
        <f t="shared" si="0"/>
        <v>140000</v>
      </c>
    </row>
    <row r="19" spans="2:7" s="121" customFormat="1" ht="34.9" customHeight="1">
      <c r="B19" s="357" t="s">
        <v>585</v>
      </c>
      <c r="C19" s="661">
        <f ca="1">'05_Фін_план'!E66</f>
        <v>33300</v>
      </c>
      <c r="D19" s="661">
        <f ca="1">'05_Фін_план'!F66</f>
        <v>33300</v>
      </c>
      <c r="E19" s="661">
        <f ca="1">'05_Фін_план'!G66</f>
        <v>33300</v>
      </c>
      <c r="F19" s="663">
        <f ca="1">'05_Фін_план'!H66</f>
        <v>33300</v>
      </c>
      <c r="G19" s="662">
        <f t="shared" si="0"/>
        <v>133200</v>
      </c>
    </row>
    <row r="20" spans="2:7" s="121" customFormat="1" ht="34.9" customHeight="1" thickBot="1">
      <c r="B20" s="357" t="s">
        <v>581</v>
      </c>
      <c r="C20" s="661">
        <f ca="1">'05_Фін_план'!E77</f>
        <v>650000</v>
      </c>
      <c r="D20" s="661">
        <f ca="1">'05_Фін_план'!F77</f>
        <v>290000</v>
      </c>
      <c r="E20" s="661">
        <f ca="1">'05_Фін_план'!G77</f>
        <v>190000</v>
      </c>
      <c r="F20" s="661">
        <f ca="1">'05_Фін_план'!H77</f>
        <v>390000</v>
      </c>
      <c r="G20" s="662">
        <f t="shared" si="0"/>
        <v>1520000</v>
      </c>
    </row>
    <row r="21" spans="2:7" s="191" customFormat="1" ht="45" customHeight="1" thickBot="1">
      <c r="B21" s="658" t="s">
        <v>575</v>
      </c>
      <c r="C21" s="664">
        <f ca="1">'05_Фін_план'!E86</f>
        <v>9830656.9900439996</v>
      </c>
      <c r="D21" s="664">
        <f ca="1">'05_Фін_план'!F86</f>
        <v>8893158.4868719988</v>
      </c>
      <c r="E21" s="664">
        <f ca="1">'05_Фін_план'!G86</f>
        <v>8280630.9013679996</v>
      </c>
      <c r="F21" s="664">
        <f ca="1">'05_Фін_план'!H86</f>
        <v>9249968.8126039989</v>
      </c>
      <c r="G21" s="665">
        <f t="shared" si="0"/>
        <v>36254415.190888003</v>
      </c>
    </row>
  </sheetData>
  <mergeCells count="4">
    <mergeCell ref="A2:AJ2"/>
    <mergeCell ref="C6:D6"/>
    <mergeCell ref="C4:D4"/>
    <mergeCell ref="C5:D5"/>
  </mergeCells>
  <phoneticPr fontId="0" type="noConversion"/>
  <pageMargins left="0.7" right="0.7" top="0.75" bottom="0.75" header="0.3" footer="0.3"/>
  <pageSetup paperSize="9" scale="41" orientation="portrait" r:id="rId1"/>
</worksheet>
</file>

<file path=xl/worksheets/sheet11.xml><?xml version="1.0" encoding="utf-8"?>
<worksheet xmlns="http://schemas.openxmlformats.org/spreadsheetml/2006/main" xmlns:r="http://schemas.openxmlformats.org/officeDocument/2006/relationships">
  <dimension ref="A1:AU6"/>
  <sheetViews>
    <sheetView showGridLines="0" topLeftCell="A82" zoomScale="55" zoomScaleNormal="55" workbookViewId="0">
      <selection activeCell="AK47" sqref="AK47"/>
    </sheetView>
  </sheetViews>
  <sheetFormatPr defaultColWidth="8.85546875" defaultRowHeight="15"/>
  <cols>
    <col min="1" max="1" width="8.85546875" style="137"/>
    <col min="2" max="4" width="10.7109375" style="137" customWidth="1"/>
    <col min="5" max="16384" width="8.85546875" style="137"/>
  </cols>
  <sheetData>
    <row r="1" spans="1:47" s="60" customFormat="1" ht="16.5">
      <c r="Q1" s="61"/>
      <c r="V1" s="61"/>
      <c r="AA1" s="61"/>
      <c r="AF1" s="61"/>
      <c r="AK1" s="61"/>
      <c r="AP1" s="61"/>
      <c r="AU1" s="61"/>
    </row>
    <row r="2" spans="1:47" s="63" customFormat="1" ht="22.5">
      <c r="A2" s="887" t="s">
        <v>57</v>
      </c>
      <c r="B2" s="887"/>
      <c r="C2" s="887"/>
      <c r="D2" s="887"/>
      <c r="E2" s="887"/>
      <c r="F2" s="887"/>
      <c r="G2" s="887"/>
      <c r="H2" s="887"/>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62"/>
      <c r="AN2" s="62"/>
      <c r="AO2" s="62"/>
      <c r="AP2" s="62"/>
      <c r="AQ2" s="62"/>
      <c r="AR2" s="62"/>
      <c r="AS2" s="62"/>
      <c r="AT2" s="62"/>
      <c r="AU2" s="62"/>
    </row>
    <row r="3" spans="1:47" ht="22.15" customHeight="1" thickBot="1"/>
    <row r="4" spans="1:47" ht="87" customHeight="1">
      <c r="B4" s="1156" t="str">
        <f ca="1">'0_Загальне'!B11</f>
        <v>Офіційна повна назва надавача ПМД:</v>
      </c>
      <c r="C4" s="1157"/>
      <c r="D4" s="1157"/>
      <c r="E4" s="1232" t="str">
        <f ca="1">'0_Загальне'!C11</f>
        <v>Комунальне некомерційне підприємство "Рожищнський центр первинної медико-санітарної допомоги" Рожищенської міської ради</v>
      </c>
      <c r="F4" s="1232"/>
      <c r="G4" s="1232"/>
      <c r="H4" s="1232"/>
      <c r="I4" s="1232"/>
      <c r="J4" s="1233"/>
      <c r="M4" s="1216" t="s">
        <v>77</v>
      </c>
      <c r="N4" s="1216"/>
      <c r="O4" s="1216"/>
      <c r="P4" s="1216"/>
      <c r="Q4" s="1216"/>
      <c r="R4" s="1216"/>
      <c r="S4" s="1216"/>
      <c r="T4" s="1216"/>
      <c r="U4" s="1216"/>
      <c r="V4" s="1216"/>
      <c r="W4" s="1216"/>
      <c r="X4" s="1216"/>
      <c r="Y4" s="1216"/>
      <c r="Z4" s="1216"/>
      <c r="AA4" s="1216"/>
    </row>
    <row r="5" spans="1:47" ht="31.15" customHeight="1">
      <c r="B5" s="1158" t="str">
        <f ca="1">'0_Загальне'!B32</f>
        <v>Плановий період (рік):</v>
      </c>
      <c r="C5" s="1159"/>
      <c r="D5" s="1159"/>
      <c r="E5" s="1234">
        <f ca="1">'0_Загальне'!C32</f>
        <v>2024</v>
      </c>
      <c r="F5" s="1234"/>
      <c r="G5" s="1234"/>
      <c r="H5" s="1234"/>
      <c r="I5" s="1234"/>
      <c r="J5" s="1235"/>
      <c r="M5" s="1216"/>
      <c r="N5" s="1216"/>
      <c r="O5" s="1216"/>
      <c r="P5" s="1216"/>
      <c r="Q5" s="1216"/>
      <c r="R5" s="1216"/>
      <c r="S5" s="1216"/>
      <c r="T5" s="1216"/>
      <c r="U5" s="1216"/>
      <c r="V5" s="1216"/>
      <c r="W5" s="1216"/>
      <c r="X5" s="1216"/>
      <c r="Y5" s="1216"/>
      <c r="Z5" s="1216"/>
      <c r="AA5" s="1216"/>
    </row>
    <row r="6" spans="1:47" ht="40.15" customHeight="1" thickBot="1">
      <c r="B6" s="1145" t="s">
        <v>748</v>
      </c>
      <c r="C6" s="1146"/>
      <c r="D6" s="1146"/>
      <c r="E6" s="1280" t="str">
        <f ca="1">'0_Загальне'!C34</f>
        <v>11.12.2023</v>
      </c>
      <c r="F6" s="1280"/>
      <c r="G6" s="1280"/>
      <c r="H6" s="1280"/>
      <c r="I6" s="1280"/>
      <c r="J6" s="1279"/>
    </row>
  </sheetData>
  <mergeCells count="8">
    <mergeCell ref="A2:AL2"/>
    <mergeCell ref="B6:D6"/>
    <mergeCell ref="E6:J6"/>
    <mergeCell ref="E5:J5"/>
    <mergeCell ref="B4:D4"/>
    <mergeCell ref="B5:D5"/>
    <mergeCell ref="E4:J4"/>
    <mergeCell ref="M4:AA5"/>
  </mergeCells>
  <phoneticPr fontId="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L220"/>
  <sheetViews>
    <sheetView showGridLines="0" topLeftCell="A37" zoomScale="85" zoomScaleNormal="85" workbookViewId="0">
      <selection activeCell="B11" sqref="B11:B15"/>
    </sheetView>
  </sheetViews>
  <sheetFormatPr defaultRowHeight="16.5"/>
  <cols>
    <col min="1" max="1" width="7.140625" style="63" customWidth="1"/>
    <col min="2" max="2" width="66.7109375" style="63" customWidth="1"/>
    <col min="3" max="3" width="39" style="63" customWidth="1"/>
    <col min="4" max="4" width="52.7109375" style="63" customWidth="1"/>
    <col min="5" max="5" width="20.28515625" style="63" customWidth="1"/>
    <col min="6" max="10" width="9.140625" style="63"/>
    <col min="11" max="13" width="14.140625" style="63" customWidth="1"/>
    <col min="14" max="16384" width="9.140625" style="63"/>
  </cols>
  <sheetData>
    <row r="1" spans="1:12" s="60" customFormat="1" ht="11.45" customHeight="1"/>
    <row r="2" spans="1:12" ht="125.45" customHeight="1">
      <c r="C2" s="39"/>
      <c r="D2" s="39"/>
      <c r="E2" s="39"/>
      <c r="F2" s="39"/>
      <c r="G2" s="39"/>
      <c r="H2" s="39"/>
      <c r="I2" s="39"/>
      <c r="J2" s="39"/>
      <c r="K2" s="39"/>
      <c r="L2" s="39"/>
    </row>
    <row r="3" spans="1:12" ht="70.900000000000006" customHeight="1" thickBot="1">
      <c r="A3" s="872" t="s">
        <v>51</v>
      </c>
      <c r="B3" s="873"/>
      <c r="C3" s="873"/>
      <c r="D3" s="873"/>
      <c r="E3" s="873"/>
      <c r="F3" s="873"/>
      <c r="G3" s="873"/>
      <c r="H3" s="873"/>
      <c r="I3" s="873"/>
      <c r="J3" s="873"/>
      <c r="K3" s="873"/>
      <c r="L3" s="873"/>
    </row>
    <row r="4" spans="1:12" ht="49.15" customHeight="1" thickBot="1">
      <c r="A4" s="606"/>
      <c r="B4" s="874" t="s">
        <v>58</v>
      </c>
      <c r="C4" s="875"/>
      <c r="D4" s="876"/>
      <c r="E4" s="607"/>
      <c r="F4" s="607"/>
      <c r="G4" s="607"/>
      <c r="H4" s="607"/>
      <c r="I4" s="607"/>
      <c r="J4" s="607"/>
      <c r="K4" s="607"/>
      <c r="L4" s="607"/>
    </row>
    <row r="5" spans="1:12" ht="24" customHeight="1">
      <c r="A5" s="112"/>
      <c r="B5" s="112"/>
      <c r="C5" s="112"/>
      <c r="D5" s="112"/>
      <c r="E5" s="112"/>
      <c r="F5" s="112"/>
      <c r="G5" s="112"/>
      <c r="H5" s="112"/>
      <c r="I5" s="112"/>
      <c r="J5" s="112"/>
      <c r="K5" s="112"/>
      <c r="L5" s="112"/>
    </row>
    <row r="6" spans="1:12" s="116" customFormat="1" ht="33.75" customHeight="1">
      <c r="A6" s="113"/>
      <c r="B6" s="114" t="s">
        <v>732</v>
      </c>
      <c r="C6" s="115" t="s">
        <v>773</v>
      </c>
      <c r="D6" s="115" t="s">
        <v>703</v>
      </c>
      <c r="E6" s="113"/>
      <c r="F6" s="113"/>
      <c r="G6" s="113"/>
      <c r="H6" s="113"/>
      <c r="I6" s="113"/>
      <c r="J6" s="113"/>
      <c r="K6" s="113"/>
      <c r="L6" s="113"/>
    </row>
    <row r="7" spans="1:12" ht="33.75" customHeight="1">
      <c r="A7" s="112"/>
      <c r="B7" s="848" t="s">
        <v>704</v>
      </c>
      <c r="C7" s="98" t="s">
        <v>705</v>
      </c>
      <c r="D7" s="883" t="s">
        <v>425</v>
      </c>
      <c r="E7" s="112"/>
      <c r="F7" s="112"/>
      <c r="G7" s="112"/>
      <c r="H7" s="112"/>
      <c r="I7" s="112"/>
      <c r="J7" s="112"/>
      <c r="K7" s="112"/>
      <c r="L7" s="112"/>
    </row>
    <row r="8" spans="1:12" ht="33.75" customHeight="1">
      <c r="A8" s="112"/>
      <c r="B8" s="849"/>
      <c r="C8" s="110" t="s">
        <v>731</v>
      </c>
      <c r="D8" s="884"/>
      <c r="E8" s="112"/>
      <c r="F8" s="112"/>
      <c r="G8" s="112"/>
      <c r="H8" s="112"/>
      <c r="I8" s="112"/>
      <c r="J8" s="112"/>
      <c r="K8" s="112"/>
      <c r="L8" s="112"/>
    </row>
    <row r="9" spans="1:12" ht="33.75" customHeight="1">
      <c r="A9" s="112"/>
      <c r="B9" s="848" t="s">
        <v>706</v>
      </c>
      <c r="C9" s="98" t="s">
        <v>707</v>
      </c>
      <c r="D9" s="883" t="s">
        <v>425</v>
      </c>
      <c r="E9" s="112"/>
      <c r="F9" s="112"/>
      <c r="G9" s="112"/>
      <c r="H9" s="112"/>
      <c r="I9" s="112"/>
      <c r="J9" s="112"/>
      <c r="K9" s="112"/>
      <c r="L9" s="112"/>
    </row>
    <row r="10" spans="1:12" ht="33.75" customHeight="1">
      <c r="A10" s="112"/>
      <c r="B10" s="849"/>
      <c r="C10" s="99" t="s">
        <v>794</v>
      </c>
      <c r="D10" s="884"/>
      <c r="E10" s="112"/>
      <c r="F10" s="112"/>
      <c r="G10" s="112"/>
      <c r="H10" s="112"/>
      <c r="I10" s="112"/>
      <c r="J10" s="112"/>
      <c r="K10" s="112"/>
      <c r="L10" s="112"/>
    </row>
    <row r="11" spans="1:12" ht="115.5">
      <c r="A11" s="112"/>
      <c r="B11" s="877" t="s">
        <v>708</v>
      </c>
      <c r="C11" s="98" t="s">
        <v>796</v>
      </c>
      <c r="D11" s="866" t="s">
        <v>84</v>
      </c>
      <c r="E11" s="112"/>
      <c r="F11" s="112"/>
      <c r="G11" s="112"/>
      <c r="H11" s="112"/>
      <c r="I11" s="112"/>
      <c r="J11" s="112"/>
      <c r="K11" s="112"/>
      <c r="L11" s="112"/>
    </row>
    <row r="12" spans="1:12" ht="21.6" customHeight="1">
      <c r="A12" s="112"/>
      <c r="B12" s="878"/>
      <c r="C12" s="100" t="s">
        <v>709</v>
      </c>
      <c r="D12" s="867"/>
      <c r="E12" s="112"/>
      <c r="F12" s="112"/>
      <c r="G12" s="112"/>
      <c r="H12" s="112"/>
      <c r="I12" s="112"/>
      <c r="J12" s="112"/>
      <c r="K12" s="112"/>
      <c r="L12" s="112"/>
    </row>
    <row r="13" spans="1:12" ht="92.45" customHeight="1">
      <c r="A13" s="112"/>
      <c r="B13" s="878"/>
      <c r="C13" s="101" t="s">
        <v>19</v>
      </c>
      <c r="D13" s="867"/>
      <c r="E13" s="112"/>
      <c r="F13" s="112"/>
      <c r="G13" s="112"/>
      <c r="H13" s="112"/>
      <c r="I13" s="112"/>
      <c r="J13" s="112"/>
      <c r="K13" s="112"/>
      <c r="L13" s="112"/>
    </row>
    <row r="14" spans="1:12" ht="34.15" customHeight="1">
      <c r="A14" s="112"/>
      <c r="B14" s="878"/>
      <c r="C14" s="101" t="s">
        <v>710</v>
      </c>
      <c r="D14" s="867"/>
      <c r="E14" s="112"/>
      <c r="F14" s="112"/>
      <c r="G14" s="112"/>
      <c r="H14" s="112"/>
      <c r="I14" s="112"/>
      <c r="J14" s="112"/>
      <c r="K14" s="112"/>
      <c r="L14" s="112"/>
    </row>
    <row r="15" spans="1:12" ht="67.900000000000006" customHeight="1">
      <c r="A15" s="112"/>
      <c r="B15" s="879"/>
      <c r="C15" s="102" t="s">
        <v>711</v>
      </c>
      <c r="D15" s="868"/>
      <c r="E15" s="112"/>
      <c r="F15" s="112"/>
      <c r="G15" s="112"/>
      <c r="H15" s="112"/>
      <c r="I15" s="112"/>
      <c r="J15" s="112"/>
      <c r="K15" s="112"/>
      <c r="L15" s="112"/>
    </row>
    <row r="16" spans="1:12" ht="67.150000000000006" customHeight="1">
      <c r="A16" s="112"/>
      <c r="B16" s="877" t="s">
        <v>712</v>
      </c>
      <c r="C16" s="98" t="s">
        <v>797</v>
      </c>
      <c r="D16" s="880" t="s">
        <v>15</v>
      </c>
      <c r="E16" s="112"/>
      <c r="F16" s="112"/>
      <c r="G16" s="112"/>
      <c r="H16" s="112"/>
      <c r="I16" s="112"/>
      <c r="J16" s="112"/>
      <c r="K16" s="112"/>
      <c r="L16" s="112"/>
    </row>
    <row r="17" spans="1:12" ht="37.15" customHeight="1">
      <c r="A17" s="112"/>
      <c r="B17" s="878"/>
      <c r="C17" s="101" t="s">
        <v>731</v>
      </c>
      <c r="D17" s="881"/>
      <c r="E17" s="112"/>
      <c r="F17" s="112"/>
      <c r="G17" s="112"/>
      <c r="H17" s="112"/>
      <c r="I17" s="112"/>
      <c r="J17" s="112"/>
      <c r="K17" s="112"/>
      <c r="L17" s="112"/>
    </row>
    <row r="18" spans="1:12" ht="33.75" customHeight="1">
      <c r="A18" s="112"/>
      <c r="B18" s="878"/>
      <c r="C18" s="117"/>
      <c r="D18" s="881"/>
      <c r="E18" s="112"/>
      <c r="F18" s="112"/>
      <c r="G18" s="112"/>
      <c r="H18" s="112"/>
      <c r="I18" s="112"/>
      <c r="J18" s="112"/>
      <c r="K18" s="112"/>
      <c r="L18" s="112"/>
    </row>
    <row r="19" spans="1:12" ht="33.75" customHeight="1">
      <c r="A19" s="112"/>
      <c r="B19" s="878"/>
      <c r="C19" s="117"/>
      <c r="D19" s="881"/>
      <c r="E19" s="112"/>
      <c r="F19" s="112"/>
      <c r="G19" s="112"/>
      <c r="H19" s="112"/>
      <c r="I19" s="112"/>
      <c r="J19" s="112"/>
      <c r="K19" s="112"/>
      <c r="L19" s="112"/>
    </row>
    <row r="20" spans="1:12" ht="33.75" customHeight="1">
      <c r="A20" s="112"/>
      <c r="B20" s="878"/>
      <c r="C20" s="117"/>
      <c r="D20" s="881"/>
      <c r="E20" s="112"/>
      <c r="F20" s="112"/>
      <c r="G20" s="112"/>
      <c r="H20" s="112"/>
      <c r="I20" s="112"/>
      <c r="J20" s="112"/>
      <c r="K20" s="112"/>
      <c r="L20" s="112"/>
    </row>
    <row r="21" spans="1:12" ht="33.75" customHeight="1">
      <c r="A21" s="112"/>
      <c r="B21" s="878"/>
      <c r="C21" s="117"/>
      <c r="D21" s="881"/>
      <c r="E21" s="112"/>
      <c r="F21" s="112"/>
      <c r="G21" s="112"/>
      <c r="H21" s="112"/>
      <c r="I21" s="112"/>
      <c r="J21" s="112"/>
      <c r="K21" s="112"/>
      <c r="L21" s="112"/>
    </row>
    <row r="22" spans="1:12" ht="33.75" customHeight="1">
      <c r="A22" s="112"/>
      <c r="B22" s="879"/>
      <c r="C22" s="118"/>
      <c r="D22" s="882"/>
      <c r="E22" s="112"/>
      <c r="F22" s="112"/>
      <c r="G22" s="112"/>
      <c r="H22" s="112"/>
      <c r="I22" s="112"/>
      <c r="J22" s="112"/>
      <c r="K22" s="112"/>
      <c r="L22" s="112"/>
    </row>
    <row r="23" spans="1:12" ht="99">
      <c r="A23" s="112"/>
      <c r="B23" s="848" t="s">
        <v>713</v>
      </c>
      <c r="C23" s="104" t="s">
        <v>714</v>
      </c>
      <c r="D23" s="869" t="s">
        <v>728</v>
      </c>
      <c r="E23" s="112"/>
      <c r="F23" s="112"/>
      <c r="G23" s="112"/>
      <c r="H23" s="112"/>
      <c r="I23" s="112"/>
      <c r="J23" s="112"/>
      <c r="K23" s="112"/>
      <c r="L23" s="112"/>
    </row>
    <row r="24" spans="1:12" ht="33.75" customHeight="1">
      <c r="A24" s="112"/>
      <c r="B24" s="865"/>
      <c r="C24" s="105" t="s">
        <v>730</v>
      </c>
      <c r="D24" s="870"/>
      <c r="E24" s="112"/>
      <c r="F24" s="112"/>
      <c r="G24" s="112"/>
      <c r="H24" s="112"/>
      <c r="I24" s="112"/>
      <c r="J24" s="112"/>
      <c r="K24" s="112"/>
      <c r="L24" s="112"/>
    </row>
    <row r="25" spans="1:12" ht="120.75">
      <c r="A25" s="112"/>
      <c r="B25" s="865"/>
      <c r="C25" s="105" t="s">
        <v>114</v>
      </c>
      <c r="D25" s="870"/>
      <c r="E25" s="112"/>
      <c r="F25" s="112"/>
      <c r="G25" s="112"/>
      <c r="H25" s="112"/>
      <c r="I25" s="112"/>
      <c r="J25" s="112"/>
      <c r="K25" s="112"/>
      <c r="L25" s="112"/>
    </row>
    <row r="26" spans="1:12" ht="52.9" customHeight="1">
      <c r="A26" s="112"/>
      <c r="B26" s="865"/>
      <c r="C26" s="106" t="s">
        <v>729</v>
      </c>
      <c r="D26" s="870"/>
      <c r="E26" s="112"/>
      <c r="F26" s="112"/>
      <c r="G26" s="112"/>
      <c r="H26" s="112"/>
      <c r="I26" s="112"/>
      <c r="J26" s="112"/>
      <c r="K26" s="112"/>
      <c r="L26" s="112"/>
    </row>
    <row r="27" spans="1:12" ht="69">
      <c r="A27" s="112"/>
      <c r="B27" s="865"/>
      <c r="C27" s="107" t="s">
        <v>16</v>
      </c>
      <c r="D27" s="870"/>
      <c r="E27" s="112"/>
      <c r="F27" s="112"/>
      <c r="G27" s="112"/>
      <c r="H27" s="112"/>
      <c r="I27" s="112"/>
      <c r="J27" s="112"/>
      <c r="K27" s="112"/>
      <c r="L27" s="112"/>
    </row>
    <row r="28" spans="1:12" ht="52.9" customHeight="1">
      <c r="A28" s="112"/>
      <c r="B28" s="849"/>
      <c r="C28" s="108" t="s">
        <v>17</v>
      </c>
      <c r="D28" s="871"/>
      <c r="E28" s="112"/>
      <c r="F28" s="112"/>
      <c r="G28" s="112"/>
      <c r="H28" s="112"/>
      <c r="I28" s="112"/>
      <c r="J28" s="112"/>
      <c r="K28" s="112"/>
      <c r="L28" s="112"/>
    </row>
    <row r="29" spans="1:12" ht="66">
      <c r="A29" s="112"/>
      <c r="B29" s="848" t="s">
        <v>715</v>
      </c>
      <c r="C29" s="98" t="s">
        <v>716</v>
      </c>
      <c r="D29" s="98" t="s">
        <v>717</v>
      </c>
      <c r="E29" s="112"/>
      <c r="F29" s="112"/>
      <c r="G29" s="112"/>
      <c r="H29" s="112"/>
      <c r="I29" s="112"/>
      <c r="J29" s="112"/>
      <c r="K29" s="112"/>
      <c r="L29" s="112"/>
    </row>
    <row r="30" spans="1:12" ht="49.5">
      <c r="A30" s="112"/>
      <c r="B30" s="849"/>
      <c r="C30" s="99" t="s">
        <v>794</v>
      </c>
      <c r="D30" s="109" t="s">
        <v>718</v>
      </c>
      <c r="E30" s="112"/>
      <c r="F30" s="112"/>
      <c r="G30" s="112"/>
      <c r="H30" s="112"/>
      <c r="I30" s="112"/>
      <c r="J30" s="112"/>
      <c r="K30" s="112"/>
      <c r="L30" s="112"/>
    </row>
    <row r="31" spans="1:12" ht="33.75" customHeight="1">
      <c r="A31" s="112"/>
      <c r="B31" s="848" t="s">
        <v>719</v>
      </c>
      <c r="C31" s="98" t="s">
        <v>720</v>
      </c>
      <c r="D31" s="850" t="s">
        <v>425</v>
      </c>
      <c r="E31" s="112"/>
      <c r="F31" s="112"/>
      <c r="G31" s="112"/>
      <c r="H31" s="112"/>
      <c r="I31" s="112"/>
      <c r="J31" s="112"/>
      <c r="K31" s="112"/>
      <c r="L31" s="112"/>
    </row>
    <row r="32" spans="1:12" ht="33.75" customHeight="1">
      <c r="A32" s="112"/>
      <c r="B32" s="849"/>
      <c r="C32" s="99" t="s">
        <v>794</v>
      </c>
      <c r="D32" s="851"/>
      <c r="E32" s="112"/>
      <c r="F32" s="112"/>
      <c r="G32" s="112"/>
      <c r="H32" s="112"/>
      <c r="I32" s="112"/>
      <c r="J32" s="112"/>
      <c r="K32" s="112"/>
      <c r="L32" s="112"/>
    </row>
    <row r="33" spans="1:12" ht="52.9" customHeight="1">
      <c r="A33" s="112"/>
      <c r="B33" s="848" t="s">
        <v>721</v>
      </c>
      <c r="C33" s="98" t="s">
        <v>722</v>
      </c>
      <c r="D33" s="104" t="s">
        <v>724</v>
      </c>
      <c r="E33" s="112"/>
      <c r="F33" s="112"/>
      <c r="G33" s="112"/>
      <c r="H33" s="112"/>
      <c r="I33" s="112"/>
      <c r="J33" s="112"/>
      <c r="K33" s="112"/>
      <c r="L33" s="112"/>
    </row>
    <row r="34" spans="1:12" ht="33.75" customHeight="1">
      <c r="A34" s="112"/>
      <c r="B34" s="849"/>
      <c r="C34" s="110" t="s">
        <v>723</v>
      </c>
      <c r="D34" s="111" t="s">
        <v>725</v>
      </c>
      <c r="E34" s="112"/>
      <c r="F34" s="112"/>
      <c r="G34" s="112"/>
      <c r="H34" s="112"/>
      <c r="I34" s="112"/>
      <c r="J34" s="112"/>
      <c r="K34" s="112"/>
      <c r="L34" s="112"/>
    </row>
    <row r="35" spans="1:12" ht="33.75" customHeight="1">
      <c r="A35" s="112"/>
      <c r="B35" s="848" t="s">
        <v>726</v>
      </c>
      <c r="C35" s="104" t="s">
        <v>727</v>
      </c>
      <c r="D35" s="850" t="s">
        <v>425</v>
      </c>
      <c r="E35" s="112"/>
      <c r="F35" s="112"/>
      <c r="G35" s="112"/>
      <c r="H35" s="112"/>
      <c r="I35" s="112"/>
      <c r="J35" s="112"/>
      <c r="K35" s="112"/>
      <c r="L35" s="112"/>
    </row>
    <row r="36" spans="1:12" ht="33.75" customHeight="1">
      <c r="A36" s="112"/>
      <c r="B36" s="849"/>
      <c r="C36" s="99" t="s">
        <v>795</v>
      </c>
      <c r="D36" s="851"/>
      <c r="E36" s="112"/>
      <c r="F36" s="112"/>
      <c r="G36" s="112"/>
      <c r="H36" s="112"/>
      <c r="I36" s="112"/>
      <c r="J36" s="112"/>
      <c r="K36" s="112"/>
      <c r="L36" s="112"/>
    </row>
    <row r="37" spans="1:12" ht="34.15" customHeight="1">
      <c r="B37" s="852" t="s">
        <v>733</v>
      </c>
      <c r="C37" s="853"/>
      <c r="D37" s="854"/>
    </row>
    <row r="38" spans="1:12" ht="33.75" customHeight="1">
      <c r="A38" s="119"/>
      <c r="B38" s="120"/>
    </row>
    <row r="39" spans="1:12" s="116" customFormat="1" ht="23.25" customHeight="1">
      <c r="B39" s="856" t="s">
        <v>242</v>
      </c>
      <c r="C39" s="857"/>
      <c r="D39" s="858"/>
      <c r="E39" s="122"/>
      <c r="F39" s="122"/>
      <c r="G39" s="122"/>
      <c r="H39" s="122"/>
    </row>
    <row r="40" spans="1:12" s="116" customFormat="1" ht="26.45" customHeight="1">
      <c r="A40" s="123"/>
      <c r="B40" s="124" t="s">
        <v>243</v>
      </c>
      <c r="C40" s="859" t="s">
        <v>244</v>
      </c>
      <c r="D40" s="860"/>
    </row>
    <row r="41" spans="1:12" ht="37.5" customHeight="1">
      <c r="A41" s="103"/>
      <c r="B41" s="125" t="s">
        <v>245</v>
      </c>
      <c r="C41" s="861" t="s">
        <v>246</v>
      </c>
      <c r="D41" s="862"/>
    </row>
    <row r="42" spans="1:12" ht="36" customHeight="1">
      <c r="A42" s="103"/>
      <c r="B42" s="126" t="s">
        <v>247</v>
      </c>
      <c r="C42" s="846" t="s">
        <v>248</v>
      </c>
      <c r="D42" s="847"/>
    </row>
    <row r="43" spans="1:12" ht="56.25" customHeight="1">
      <c r="A43" s="103"/>
      <c r="B43" s="126" t="s">
        <v>250</v>
      </c>
      <c r="C43" s="846" t="s">
        <v>251</v>
      </c>
      <c r="D43" s="847"/>
    </row>
    <row r="44" spans="1:12" ht="56.25" customHeight="1">
      <c r="A44" s="103"/>
      <c r="B44" s="126" t="s">
        <v>61</v>
      </c>
      <c r="C44" s="846" t="s">
        <v>62</v>
      </c>
      <c r="D44" s="847"/>
    </row>
    <row r="45" spans="1:12" ht="47.45" customHeight="1">
      <c r="A45" s="103"/>
      <c r="B45" s="127" t="s">
        <v>252</v>
      </c>
      <c r="C45" s="846" t="s">
        <v>253</v>
      </c>
      <c r="D45" s="847"/>
    </row>
    <row r="46" spans="1:12" ht="52.5" customHeight="1">
      <c r="A46" s="103"/>
      <c r="B46" s="126" t="s">
        <v>694</v>
      </c>
      <c r="C46" s="846" t="s">
        <v>254</v>
      </c>
      <c r="D46" s="847"/>
    </row>
    <row r="47" spans="1:12" ht="66" customHeight="1">
      <c r="A47" s="103"/>
      <c r="B47" s="126" t="s">
        <v>255</v>
      </c>
      <c r="C47" s="846" t="s">
        <v>256</v>
      </c>
      <c r="D47" s="847"/>
    </row>
    <row r="48" spans="1:12" ht="39.75" customHeight="1">
      <c r="A48" s="103"/>
      <c r="B48" s="126" t="s">
        <v>257</v>
      </c>
      <c r="C48" s="846" t="s">
        <v>258</v>
      </c>
      <c r="D48" s="847"/>
    </row>
    <row r="49" spans="1:12" ht="33">
      <c r="A49" s="103"/>
      <c r="B49" s="126" t="s">
        <v>259</v>
      </c>
      <c r="C49" s="846" t="s">
        <v>260</v>
      </c>
      <c r="D49" s="847"/>
    </row>
    <row r="50" spans="1:12" ht="85.9" customHeight="1">
      <c r="A50" s="103"/>
      <c r="B50" s="126" t="s">
        <v>115</v>
      </c>
      <c r="C50" s="846" t="s">
        <v>117</v>
      </c>
      <c r="D50" s="847"/>
    </row>
    <row r="51" spans="1:12" ht="85.9" customHeight="1">
      <c r="A51" s="103"/>
      <c r="B51" s="126" t="s">
        <v>63</v>
      </c>
      <c r="C51" s="846" t="s">
        <v>64</v>
      </c>
      <c r="D51" s="847"/>
    </row>
    <row r="52" spans="1:12" ht="97.9" customHeight="1">
      <c r="A52" s="103"/>
      <c r="B52" s="126" t="s">
        <v>696</v>
      </c>
      <c r="C52" s="846" t="s">
        <v>695</v>
      </c>
      <c r="D52" s="847"/>
    </row>
    <row r="53" spans="1:12" ht="75" customHeight="1">
      <c r="A53" s="103"/>
      <c r="B53" s="126" t="s">
        <v>699</v>
      </c>
      <c r="C53" s="846" t="s">
        <v>261</v>
      </c>
      <c r="D53" s="847"/>
    </row>
    <row r="54" spans="1:12" ht="59.25" customHeight="1">
      <c r="A54" s="103"/>
      <c r="B54" s="126" t="s">
        <v>698</v>
      </c>
      <c r="C54" s="846" t="s">
        <v>262</v>
      </c>
      <c r="D54" s="847"/>
    </row>
    <row r="55" spans="1:12" ht="66">
      <c r="A55" s="103"/>
      <c r="B55" s="674" t="s">
        <v>65</v>
      </c>
      <c r="C55" s="846" t="s">
        <v>66</v>
      </c>
      <c r="D55" s="847"/>
    </row>
    <row r="56" spans="1:12" ht="79.900000000000006" customHeight="1">
      <c r="A56" s="103"/>
      <c r="B56" s="674" t="s">
        <v>67</v>
      </c>
      <c r="C56" s="846" t="s">
        <v>68</v>
      </c>
      <c r="D56" s="847"/>
    </row>
    <row r="57" spans="1:12" ht="66">
      <c r="A57" s="103"/>
      <c r="B57" s="128" t="s">
        <v>59</v>
      </c>
      <c r="C57" s="846" t="s">
        <v>60</v>
      </c>
      <c r="D57" s="847"/>
    </row>
    <row r="58" spans="1:12" ht="52.9" customHeight="1">
      <c r="A58" s="103"/>
      <c r="B58" s="129" t="s">
        <v>697</v>
      </c>
      <c r="C58" s="863" t="s">
        <v>481</v>
      </c>
      <c r="D58" s="864"/>
    </row>
    <row r="59" spans="1:12">
      <c r="A59" s="103"/>
      <c r="B59" s="45"/>
      <c r="C59" s="44"/>
      <c r="D59" s="45"/>
    </row>
    <row r="60" spans="1:12">
      <c r="A60" s="103"/>
      <c r="B60" s="45"/>
      <c r="C60" s="44"/>
      <c r="D60" s="45"/>
    </row>
    <row r="61" spans="1:12">
      <c r="A61" s="103"/>
      <c r="B61" s="103"/>
      <c r="C61" s="103"/>
    </row>
    <row r="62" spans="1:12" ht="67.900000000000006" customHeight="1">
      <c r="A62" s="855" t="s">
        <v>684</v>
      </c>
      <c r="B62" s="855"/>
      <c r="C62" s="855"/>
      <c r="D62" s="855"/>
      <c r="E62" s="855"/>
      <c r="F62" s="855"/>
      <c r="G62" s="855"/>
      <c r="H62" s="855"/>
      <c r="I62" s="855"/>
      <c r="J62" s="855"/>
      <c r="K62" s="855"/>
      <c r="L62" s="855"/>
    </row>
    <row r="63" spans="1:12">
      <c r="A63" s="103"/>
      <c r="B63" s="103"/>
      <c r="C63" s="103"/>
    </row>
    <row r="64" spans="1:12">
      <c r="A64" s="103"/>
      <c r="B64" s="103"/>
      <c r="C64" s="103"/>
    </row>
    <row r="65" spans="1:3">
      <c r="A65" s="103"/>
      <c r="B65" s="103"/>
      <c r="C65" s="103"/>
    </row>
    <row r="66" spans="1:3">
      <c r="A66" s="103"/>
      <c r="B66" s="103"/>
      <c r="C66" s="103"/>
    </row>
    <row r="67" spans="1:3">
      <c r="A67" s="103"/>
      <c r="B67" s="103"/>
      <c r="C67" s="103"/>
    </row>
    <row r="68" spans="1:3">
      <c r="A68" s="103"/>
      <c r="B68" s="103"/>
      <c r="C68" s="103"/>
    </row>
    <row r="69" spans="1:3">
      <c r="A69" s="103"/>
      <c r="B69" s="103"/>
      <c r="C69" s="103"/>
    </row>
    <row r="70" spans="1:3">
      <c r="A70" s="103"/>
      <c r="B70" s="103"/>
      <c r="C70" s="103"/>
    </row>
    <row r="71" spans="1:3">
      <c r="A71" s="103"/>
      <c r="B71" s="103"/>
      <c r="C71" s="103"/>
    </row>
    <row r="72" spans="1:3">
      <c r="A72" s="103"/>
      <c r="B72" s="103"/>
      <c r="C72" s="103"/>
    </row>
    <row r="73" spans="1:3">
      <c r="A73" s="103"/>
      <c r="B73" s="103"/>
      <c r="C73" s="103"/>
    </row>
    <row r="74" spans="1:3">
      <c r="A74" s="103"/>
      <c r="B74" s="103"/>
      <c r="C74" s="103"/>
    </row>
    <row r="75" spans="1:3">
      <c r="A75" s="103"/>
      <c r="B75" s="103"/>
      <c r="C75" s="103"/>
    </row>
    <row r="76" spans="1:3">
      <c r="A76" s="103"/>
      <c r="B76" s="103"/>
      <c r="C76" s="103"/>
    </row>
    <row r="77" spans="1:3">
      <c r="A77" s="103"/>
      <c r="B77" s="103"/>
      <c r="C77" s="103"/>
    </row>
    <row r="78" spans="1:3">
      <c r="A78" s="103"/>
      <c r="B78" s="103"/>
      <c r="C78" s="103"/>
    </row>
    <row r="79" spans="1:3">
      <c r="A79" s="103"/>
      <c r="B79" s="103"/>
      <c r="C79" s="103"/>
    </row>
    <row r="80" spans="1:3">
      <c r="A80" s="103"/>
      <c r="B80" s="103"/>
      <c r="C80" s="103"/>
    </row>
    <row r="81" spans="1:3">
      <c r="A81" s="103"/>
      <c r="B81" s="103"/>
      <c r="C81" s="103"/>
    </row>
    <row r="82" spans="1:3">
      <c r="A82" s="103"/>
      <c r="B82" s="103"/>
      <c r="C82" s="103"/>
    </row>
    <row r="83" spans="1:3">
      <c r="A83" s="103"/>
      <c r="B83" s="103"/>
      <c r="C83" s="103"/>
    </row>
    <row r="84" spans="1:3">
      <c r="A84" s="103"/>
      <c r="B84" s="103"/>
      <c r="C84" s="103"/>
    </row>
    <row r="85" spans="1:3">
      <c r="A85" s="103"/>
      <c r="B85" s="103"/>
      <c r="C85" s="103"/>
    </row>
    <row r="86" spans="1:3">
      <c r="A86" s="103"/>
      <c r="B86" s="103"/>
      <c r="C86" s="103"/>
    </row>
    <row r="87" spans="1:3">
      <c r="A87" s="103"/>
      <c r="B87" s="103"/>
      <c r="C87" s="103"/>
    </row>
    <row r="88" spans="1:3">
      <c r="A88" s="103"/>
      <c r="B88" s="103"/>
      <c r="C88" s="103"/>
    </row>
    <row r="89" spans="1:3">
      <c r="A89" s="103"/>
      <c r="B89" s="103"/>
      <c r="C89" s="103"/>
    </row>
    <row r="90" spans="1:3">
      <c r="A90" s="103"/>
      <c r="B90" s="103"/>
      <c r="C90" s="103"/>
    </row>
    <row r="91" spans="1:3">
      <c r="A91" s="103"/>
      <c r="B91" s="103"/>
      <c r="C91" s="103"/>
    </row>
    <row r="92" spans="1:3">
      <c r="A92" s="103"/>
      <c r="B92" s="103"/>
      <c r="C92" s="103"/>
    </row>
    <row r="93" spans="1:3">
      <c r="A93" s="103"/>
      <c r="B93" s="103"/>
      <c r="C93" s="103"/>
    </row>
    <row r="94" spans="1:3">
      <c r="A94" s="103"/>
      <c r="B94" s="103"/>
      <c r="C94" s="103"/>
    </row>
    <row r="95" spans="1:3">
      <c r="A95" s="103"/>
      <c r="B95" s="103"/>
      <c r="C95" s="103"/>
    </row>
    <row r="96" spans="1:3">
      <c r="A96" s="103"/>
      <c r="B96" s="103"/>
      <c r="C96" s="103"/>
    </row>
    <row r="97" spans="1:3">
      <c r="A97" s="103"/>
      <c r="B97" s="103"/>
      <c r="C97" s="103"/>
    </row>
    <row r="98" spans="1:3">
      <c r="A98" s="103"/>
      <c r="B98" s="103"/>
      <c r="C98" s="103"/>
    </row>
    <row r="99" spans="1:3">
      <c r="A99" s="103"/>
      <c r="B99" s="103"/>
      <c r="C99" s="103"/>
    </row>
    <row r="100" spans="1:3">
      <c r="A100" s="103"/>
      <c r="B100" s="103"/>
      <c r="C100" s="103"/>
    </row>
    <row r="101" spans="1:3">
      <c r="A101" s="103"/>
      <c r="B101" s="103"/>
      <c r="C101" s="103"/>
    </row>
    <row r="102" spans="1:3">
      <c r="A102" s="103"/>
      <c r="B102" s="103"/>
      <c r="C102" s="103"/>
    </row>
    <row r="103" spans="1:3">
      <c r="A103" s="103"/>
      <c r="B103" s="103"/>
      <c r="C103" s="103"/>
    </row>
    <row r="104" spans="1:3">
      <c r="A104" s="103"/>
      <c r="B104" s="103"/>
      <c r="C104" s="103"/>
    </row>
    <row r="105" spans="1:3">
      <c r="A105" s="103"/>
      <c r="B105" s="103"/>
      <c r="C105" s="103"/>
    </row>
    <row r="106" spans="1:3">
      <c r="A106" s="103"/>
      <c r="B106" s="103"/>
      <c r="C106" s="103"/>
    </row>
    <row r="107" spans="1:3">
      <c r="A107" s="103"/>
      <c r="B107" s="103"/>
      <c r="C107" s="103"/>
    </row>
    <row r="108" spans="1:3">
      <c r="A108" s="103"/>
      <c r="B108" s="103"/>
      <c r="C108" s="103"/>
    </row>
    <row r="109" spans="1:3">
      <c r="A109" s="103"/>
      <c r="B109" s="103"/>
      <c r="C109" s="103"/>
    </row>
    <row r="110" spans="1:3">
      <c r="A110" s="103"/>
      <c r="B110" s="103"/>
      <c r="C110" s="103"/>
    </row>
    <row r="111" spans="1:3">
      <c r="A111" s="103"/>
      <c r="B111" s="103"/>
      <c r="C111" s="103"/>
    </row>
    <row r="112" spans="1:3">
      <c r="A112" s="103"/>
      <c r="B112" s="103"/>
      <c r="C112" s="103"/>
    </row>
    <row r="113" spans="1:3">
      <c r="A113" s="103"/>
      <c r="B113" s="103"/>
      <c r="C113" s="103"/>
    </row>
    <row r="114" spans="1:3">
      <c r="A114" s="103"/>
      <c r="B114" s="103"/>
      <c r="C114" s="103"/>
    </row>
    <row r="115" spans="1:3">
      <c r="A115" s="103"/>
      <c r="B115" s="103"/>
      <c r="C115" s="103"/>
    </row>
    <row r="116" spans="1:3">
      <c r="A116" s="103"/>
      <c r="B116" s="103"/>
      <c r="C116" s="103"/>
    </row>
    <row r="117" spans="1:3">
      <c r="A117" s="103"/>
      <c r="B117" s="103"/>
      <c r="C117" s="103"/>
    </row>
    <row r="118" spans="1:3">
      <c r="A118" s="103"/>
      <c r="B118" s="103"/>
      <c r="C118" s="103"/>
    </row>
    <row r="119" spans="1:3">
      <c r="A119" s="103"/>
      <c r="B119" s="103"/>
      <c r="C119" s="103"/>
    </row>
    <row r="120" spans="1:3">
      <c r="A120" s="103"/>
      <c r="B120" s="103"/>
      <c r="C120" s="103"/>
    </row>
    <row r="121" spans="1:3">
      <c r="A121" s="103"/>
      <c r="B121" s="103"/>
      <c r="C121" s="103"/>
    </row>
    <row r="122" spans="1:3">
      <c r="A122" s="103"/>
      <c r="B122" s="103"/>
      <c r="C122" s="103"/>
    </row>
    <row r="123" spans="1:3">
      <c r="A123" s="103"/>
      <c r="B123" s="103"/>
      <c r="C123" s="103"/>
    </row>
    <row r="124" spans="1:3">
      <c r="A124" s="103"/>
      <c r="B124" s="103"/>
      <c r="C124" s="103"/>
    </row>
    <row r="125" spans="1:3">
      <c r="A125" s="103"/>
      <c r="B125" s="103"/>
      <c r="C125" s="103"/>
    </row>
    <row r="126" spans="1:3">
      <c r="A126" s="103"/>
      <c r="B126" s="103"/>
      <c r="C126" s="103"/>
    </row>
    <row r="127" spans="1:3">
      <c r="A127" s="103"/>
      <c r="B127" s="103"/>
      <c r="C127" s="103"/>
    </row>
    <row r="128" spans="1:3">
      <c r="A128" s="103"/>
      <c r="B128" s="103"/>
      <c r="C128" s="103"/>
    </row>
    <row r="129" spans="1:3">
      <c r="A129" s="103"/>
      <c r="B129" s="103"/>
      <c r="C129" s="103"/>
    </row>
    <row r="130" spans="1:3">
      <c r="A130" s="103"/>
      <c r="B130" s="103"/>
      <c r="C130" s="103"/>
    </row>
    <row r="131" spans="1:3">
      <c r="A131" s="103"/>
      <c r="B131" s="103"/>
      <c r="C131" s="103"/>
    </row>
    <row r="132" spans="1:3">
      <c r="A132" s="103"/>
      <c r="B132" s="103"/>
      <c r="C132" s="103"/>
    </row>
    <row r="133" spans="1:3">
      <c r="A133" s="103"/>
      <c r="B133" s="103"/>
      <c r="C133" s="103"/>
    </row>
    <row r="134" spans="1:3">
      <c r="A134" s="103"/>
      <c r="B134" s="103"/>
      <c r="C134" s="103"/>
    </row>
    <row r="135" spans="1:3">
      <c r="A135" s="103"/>
      <c r="B135" s="103"/>
      <c r="C135" s="103"/>
    </row>
    <row r="136" spans="1:3">
      <c r="A136" s="103"/>
      <c r="B136" s="103"/>
      <c r="C136" s="103"/>
    </row>
    <row r="137" spans="1:3">
      <c r="A137" s="103"/>
      <c r="B137" s="103"/>
      <c r="C137" s="103"/>
    </row>
    <row r="138" spans="1:3">
      <c r="A138" s="103"/>
      <c r="B138" s="103"/>
      <c r="C138" s="103"/>
    </row>
    <row r="139" spans="1:3">
      <c r="A139" s="103"/>
      <c r="B139" s="103"/>
      <c r="C139" s="103"/>
    </row>
    <row r="140" spans="1:3">
      <c r="A140" s="103"/>
      <c r="B140" s="103"/>
      <c r="C140" s="103"/>
    </row>
    <row r="141" spans="1:3">
      <c r="A141" s="103"/>
      <c r="B141" s="103"/>
      <c r="C141" s="103"/>
    </row>
    <row r="142" spans="1:3">
      <c r="A142" s="103"/>
      <c r="B142" s="103"/>
      <c r="C142" s="103"/>
    </row>
    <row r="143" spans="1:3">
      <c r="A143" s="103"/>
      <c r="B143" s="103"/>
      <c r="C143" s="103"/>
    </row>
    <row r="144" spans="1:3">
      <c r="A144" s="103"/>
      <c r="B144" s="103"/>
      <c r="C144" s="103"/>
    </row>
    <row r="145" spans="1:3">
      <c r="A145" s="103"/>
      <c r="B145" s="103"/>
      <c r="C145" s="103"/>
    </row>
    <row r="146" spans="1:3">
      <c r="A146" s="103"/>
      <c r="B146" s="103"/>
      <c r="C146" s="103"/>
    </row>
    <row r="147" spans="1:3">
      <c r="A147" s="103"/>
      <c r="B147" s="103"/>
      <c r="C147" s="103"/>
    </row>
    <row r="148" spans="1:3">
      <c r="A148" s="103"/>
      <c r="B148" s="103"/>
      <c r="C148" s="103"/>
    </row>
    <row r="149" spans="1:3">
      <c r="A149" s="103"/>
      <c r="B149" s="103"/>
      <c r="C149" s="103"/>
    </row>
    <row r="150" spans="1:3">
      <c r="A150" s="103"/>
      <c r="B150" s="103"/>
      <c r="C150" s="103"/>
    </row>
    <row r="151" spans="1:3">
      <c r="A151" s="103"/>
      <c r="B151" s="103"/>
      <c r="C151" s="103"/>
    </row>
    <row r="152" spans="1:3">
      <c r="A152" s="103"/>
      <c r="B152" s="103"/>
      <c r="C152" s="103"/>
    </row>
    <row r="153" spans="1:3">
      <c r="A153" s="103"/>
      <c r="B153" s="103"/>
      <c r="C153" s="103"/>
    </row>
    <row r="154" spans="1:3">
      <c r="A154" s="103"/>
      <c r="B154" s="103"/>
      <c r="C154" s="103"/>
    </row>
    <row r="155" spans="1:3">
      <c r="A155" s="103"/>
      <c r="B155" s="103"/>
      <c r="C155" s="103"/>
    </row>
    <row r="156" spans="1:3">
      <c r="A156" s="103"/>
      <c r="B156" s="103"/>
      <c r="C156" s="103"/>
    </row>
    <row r="157" spans="1:3">
      <c r="A157" s="103"/>
      <c r="B157" s="103"/>
      <c r="C157" s="103"/>
    </row>
    <row r="158" spans="1:3">
      <c r="A158" s="103"/>
      <c r="B158" s="103"/>
      <c r="C158" s="103"/>
    </row>
    <row r="159" spans="1:3">
      <c r="A159" s="103"/>
      <c r="B159" s="103"/>
      <c r="C159" s="103"/>
    </row>
    <row r="160" spans="1:3">
      <c r="A160" s="103"/>
      <c r="B160" s="103"/>
      <c r="C160" s="103"/>
    </row>
    <row r="161" spans="1:3">
      <c r="A161" s="103"/>
      <c r="B161" s="103"/>
      <c r="C161" s="103"/>
    </row>
    <row r="162" spans="1:3">
      <c r="A162" s="103"/>
      <c r="B162" s="103"/>
      <c r="C162" s="103"/>
    </row>
    <row r="163" spans="1:3">
      <c r="A163" s="103"/>
      <c r="B163" s="103"/>
      <c r="C163" s="103"/>
    </row>
    <row r="164" spans="1:3">
      <c r="A164" s="103"/>
      <c r="B164" s="103"/>
      <c r="C164" s="103"/>
    </row>
    <row r="165" spans="1:3">
      <c r="A165" s="103"/>
      <c r="B165" s="103"/>
      <c r="C165" s="103"/>
    </row>
    <row r="166" spans="1:3">
      <c r="A166" s="103"/>
      <c r="B166" s="103"/>
      <c r="C166" s="103"/>
    </row>
    <row r="167" spans="1:3">
      <c r="A167" s="103"/>
      <c r="B167" s="103"/>
      <c r="C167" s="103"/>
    </row>
    <row r="168" spans="1:3">
      <c r="A168" s="103"/>
      <c r="B168" s="103"/>
      <c r="C168" s="103"/>
    </row>
    <row r="169" spans="1:3">
      <c r="A169" s="103"/>
      <c r="B169" s="103"/>
      <c r="C169" s="103"/>
    </row>
    <row r="170" spans="1:3">
      <c r="A170" s="103"/>
      <c r="B170" s="103"/>
      <c r="C170" s="103"/>
    </row>
    <row r="171" spans="1:3">
      <c r="A171" s="103"/>
      <c r="B171" s="103"/>
      <c r="C171" s="103"/>
    </row>
    <row r="172" spans="1:3">
      <c r="A172" s="103"/>
      <c r="B172" s="103"/>
      <c r="C172" s="103"/>
    </row>
    <row r="173" spans="1:3">
      <c r="A173" s="103"/>
      <c r="B173" s="103"/>
      <c r="C173" s="103"/>
    </row>
    <row r="174" spans="1:3">
      <c r="A174" s="103"/>
      <c r="B174" s="103"/>
      <c r="C174" s="103"/>
    </row>
    <row r="175" spans="1:3">
      <c r="A175" s="103"/>
      <c r="B175" s="103"/>
      <c r="C175" s="103"/>
    </row>
    <row r="176" spans="1:3">
      <c r="A176" s="103"/>
      <c r="B176" s="103"/>
      <c r="C176" s="103"/>
    </row>
    <row r="177" spans="1:3">
      <c r="A177" s="103"/>
      <c r="B177" s="103"/>
      <c r="C177" s="103"/>
    </row>
    <row r="178" spans="1:3">
      <c r="A178" s="103"/>
      <c r="B178" s="103"/>
      <c r="C178" s="103"/>
    </row>
    <row r="179" spans="1:3">
      <c r="A179" s="103"/>
      <c r="B179" s="103"/>
      <c r="C179" s="103"/>
    </row>
    <row r="180" spans="1:3">
      <c r="A180" s="103"/>
      <c r="B180" s="103"/>
      <c r="C180" s="103"/>
    </row>
    <row r="181" spans="1:3">
      <c r="A181" s="103"/>
      <c r="B181" s="103"/>
      <c r="C181" s="103"/>
    </row>
    <row r="182" spans="1:3">
      <c r="A182" s="103"/>
      <c r="B182" s="103"/>
      <c r="C182" s="103"/>
    </row>
    <row r="183" spans="1:3">
      <c r="A183" s="103"/>
      <c r="B183" s="103"/>
      <c r="C183" s="103"/>
    </row>
    <row r="184" spans="1:3">
      <c r="A184" s="103"/>
      <c r="B184" s="103"/>
      <c r="C184" s="103"/>
    </row>
    <row r="185" spans="1:3">
      <c r="A185" s="103"/>
      <c r="B185" s="103"/>
      <c r="C185" s="103"/>
    </row>
    <row r="186" spans="1:3">
      <c r="A186" s="103"/>
      <c r="B186" s="103"/>
      <c r="C186" s="103"/>
    </row>
    <row r="187" spans="1:3">
      <c r="A187" s="103"/>
      <c r="B187" s="103"/>
      <c r="C187" s="103"/>
    </row>
    <row r="188" spans="1:3">
      <c r="A188" s="103"/>
      <c r="B188" s="103"/>
      <c r="C188" s="103"/>
    </row>
    <row r="189" spans="1:3">
      <c r="A189" s="103"/>
      <c r="B189" s="103"/>
      <c r="C189" s="103"/>
    </row>
    <row r="190" spans="1:3">
      <c r="A190" s="103"/>
      <c r="B190" s="103"/>
      <c r="C190" s="103"/>
    </row>
    <row r="191" spans="1:3">
      <c r="A191" s="103"/>
      <c r="B191" s="103"/>
      <c r="C191" s="103"/>
    </row>
    <row r="192" spans="1:3">
      <c r="A192" s="103"/>
      <c r="B192" s="103"/>
      <c r="C192" s="103"/>
    </row>
    <row r="193" spans="1:3">
      <c r="A193" s="103"/>
      <c r="B193" s="103"/>
      <c r="C193" s="103"/>
    </row>
    <row r="194" spans="1:3">
      <c r="A194" s="103"/>
      <c r="B194" s="103"/>
      <c r="C194" s="103"/>
    </row>
    <row r="195" spans="1:3">
      <c r="A195" s="103"/>
      <c r="B195" s="103"/>
      <c r="C195" s="103"/>
    </row>
    <row r="196" spans="1:3">
      <c r="A196" s="103"/>
      <c r="B196" s="103"/>
      <c r="C196" s="103"/>
    </row>
    <row r="197" spans="1:3">
      <c r="A197" s="103"/>
      <c r="B197" s="103"/>
      <c r="C197" s="103"/>
    </row>
    <row r="198" spans="1:3">
      <c r="A198" s="103"/>
      <c r="B198" s="103"/>
      <c r="C198" s="103"/>
    </row>
    <row r="199" spans="1:3">
      <c r="A199" s="103"/>
      <c r="B199" s="103"/>
      <c r="C199" s="103"/>
    </row>
    <row r="200" spans="1:3">
      <c r="A200" s="103"/>
      <c r="B200" s="103"/>
      <c r="C200" s="103"/>
    </row>
    <row r="201" spans="1:3">
      <c r="A201" s="103"/>
      <c r="B201" s="103"/>
      <c r="C201" s="103"/>
    </row>
    <row r="202" spans="1:3">
      <c r="A202" s="103"/>
      <c r="B202" s="103"/>
      <c r="C202" s="103"/>
    </row>
    <row r="203" spans="1:3">
      <c r="A203" s="103"/>
      <c r="B203" s="103"/>
      <c r="C203" s="103"/>
    </row>
    <row r="204" spans="1:3">
      <c r="A204" s="103"/>
      <c r="B204" s="103"/>
      <c r="C204" s="103"/>
    </row>
    <row r="205" spans="1:3">
      <c r="A205" s="103"/>
      <c r="B205" s="103"/>
      <c r="C205" s="103"/>
    </row>
    <row r="206" spans="1:3">
      <c r="A206" s="103"/>
      <c r="B206" s="103"/>
      <c r="C206" s="103"/>
    </row>
    <row r="207" spans="1:3">
      <c r="A207" s="103"/>
      <c r="B207" s="103"/>
      <c r="C207" s="103"/>
    </row>
    <row r="208" spans="1:3">
      <c r="A208" s="103"/>
      <c r="B208" s="103"/>
      <c r="C208" s="103"/>
    </row>
    <row r="209" spans="1:3">
      <c r="A209" s="103"/>
      <c r="B209" s="103"/>
      <c r="C209" s="103"/>
    </row>
    <row r="210" spans="1:3">
      <c r="A210" s="103"/>
      <c r="B210" s="103"/>
      <c r="C210" s="103"/>
    </row>
    <row r="211" spans="1:3">
      <c r="A211" s="103"/>
      <c r="B211" s="103"/>
      <c r="C211" s="103"/>
    </row>
    <row r="212" spans="1:3">
      <c r="A212" s="103"/>
      <c r="B212" s="103"/>
      <c r="C212" s="103"/>
    </row>
    <row r="213" spans="1:3">
      <c r="A213" s="103"/>
      <c r="B213" s="103"/>
      <c r="C213" s="103"/>
    </row>
    <row r="214" spans="1:3">
      <c r="A214" s="103"/>
      <c r="B214" s="103"/>
      <c r="C214" s="103"/>
    </row>
    <row r="215" spans="1:3">
      <c r="A215" s="103"/>
      <c r="B215" s="103"/>
      <c r="C215" s="103"/>
    </row>
    <row r="216" spans="1:3">
      <c r="A216" s="103"/>
      <c r="B216" s="103"/>
      <c r="C216" s="103"/>
    </row>
    <row r="217" spans="1:3">
      <c r="A217" s="103"/>
      <c r="B217" s="103"/>
      <c r="C217" s="103"/>
    </row>
    <row r="218" spans="1:3">
      <c r="A218" s="103"/>
      <c r="B218" s="103"/>
      <c r="C218" s="103"/>
    </row>
    <row r="219" spans="1:3">
      <c r="A219" s="103"/>
      <c r="B219" s="103"/>
      <c r="C219" s="103"/>
    </row>
    <row r="220" spans="1:3">
      <c r="A220" s="103"/>
      <c r="B220" s="103"/>
      <c r="C220" s="103"/>
    </row>
  </sheetData>
  <mergeCells count="40">
    <mergeCell ref="B9:B10"/>
    <mergeCell ref="D9:D10"/>
    <mergeCell ref="D11:D15"/>
    <mergeCell ref="D23:D28"/>
    <mergeCell ref="A3:L3"/>
    <mergeCell ref="B31:B32"/>
    <mergeCell ref="B4:D4"/>
    <mergeCell ref="B11:B15"/>
    <mergeCell ref="D16:D22"/>
    <mergeCell ref="B16:B22"/>
    <mergeCell ref="B7:B8"/>
    <mergeCell ref="D7:D8"/>
    <mergeCell ref="C41:D41"/>
    <mergeCell ref="C42:D42"/>
    <mergeCell ref="C56:D56"/>
    <mergeCell ref="C44:D44"/>
    <mergeCell ref="C58:D58"/>
    <mergeCell ref="B23:B28"/>
    <mergeCell ref="B29:B30"/>
    <mergeCell ref="D31:D32"/>
    <mergeCell ref="C50:D50"/>
    <mergeCell ref="B33:B34"/>
    <mergeCell ref="B35:B36"/>
    <mergeCell ref="D35:D36"/>
    <mergeCell ref="B37:D37"/>
    <mergeCell ref="A62:L62"/>
    <mergeCell ref="C43:D43"/>
    <mergeCell ref="C45:D45"/>
    <mergeCell ref="B39:D39"/>
    <mergeCell ref="C40:D40"/>
    <mergeCell ref="C53:D53"/>
    <mergeCell ref="C46:D46"/>
    <mergeCell ref="C57:D57"/>
    <mergeCell ref="C48:D48"/>
    <mergeCell ref="C54:D54"/>
    <mergeCell ref="C47:D47"/>
    <mergeCell ref="C52:D52"/>
    <mergeCell ref="C51:D51"/>
    <mergeCell ref="C55:D55"/>
    <mergeCell ref="C49:D49"/>
  </mergeCells>
  <phoneticPr fontId="0" type="noConversion"/>
  <hyperlinks>
    <hyperlink ref="C52" r:id="rId1"/>
    <hyperlink ref="C58" r:id="rId2"/>
    <hyperlink ref="C57" r:id="rId3"/>
    <hyperlink ref="C54" r:id="rId4"/>
    <hyperlink ref="C53" r:id="rId5"/>
    <hyperlink ref="C49" r:id="rId6"/>
    <hyperlink ref="C48" r:id="rId7"/>
    <hyperlink ref="C47" r:id="rId8"/>
    <hyperlink ref="C42" r:id="rId9"/>
    <hyperlink ref="C43" r:id="rId10"/>
    <hyperlink ref="C45" r:id="rId11"/>
    <hyperlink ref="C41" r:id="rId12"/>
    <hyperlink ref="C46" r:id="rId13"/>
    <hyperlink ref="B7:B8" location="'0_Загальне'!A1" display="0_Загальне"/>
    <hyperlink ref="B9:B10" location="Законод!A1" display="Законод"/>
    <hyperlink ref="B11:B15" location="'01_Доходи'!A1" display="01_Доходи"/>
    <hyperlink ref="B16:B22" location="'02_Видатки'!A1" display="02_Видатки"/>
    <hyperlink ref="B23:B28" location="'03_МТО'!A1" display="03_МТО"/>
    <hyperlink ref="B29:B30" location="'04_Фін_стійкість'!A1" display="04_Фін_стійкість"/>
    <hyperlink ref="B31:B32" location="ДРУК!A1" display="ДРУК"/>
    <hyperlink ref="B33:B34" location="'05_Фін_план'!A1" display="05_Фін_план"/>
    <hyperlink ref="B35:B36" location="Графіки!A1" display="Графіки"/>
    <hyperlink ref="C44" r:id="rId14"/>
    <hyperlink ref="C51" r:id="rId15"/>
    <hyperlink ref="C55" r:id="rId16"/>
    <hyperlink ref="C56" r:id="rId17"/>
    <hyperlink ref="C50" r:id="rId18" display="https://moz.gov.ua/article/ministry-mandates/nakaz-moz-ukraini-vid-08052020--1103-pro-vnesennja-zmin-do-primirnogo-tabelja-materialno-tehnichnogo-osnaschennja-zakladiv-ohoroni-zdorov%e2%80%99ja-ta-fizichnih-osib-pidpriemciv-jaki-nadajut-pervinnu-medichnu-dopomogu"/>
  </hyperlinks>
  <pageMargins left="0.7" right="0.7" top="0.75" bottom="0.75" header="0.3" footer="0.3"/>
  <pageSetup orientation="portrait" r:id="rId19"/>
  <drawing r:id="rId20"/>
</worksheet>
</file>

<file path=xl/worksheets/sheet3.xml><?xml version="1.0" encoding="utf-8"?>
<worksheet xmlns="http://schemas.openxmlformats.org/spreadsheetml/2006/main" xmlns:r="http://schemas.openxmlformats.org/officeDocument/2006/relationships">
  <dimension ref="A1:L40"/>
  <sheetViews>
    <sheetView showGridLines="0" topLeftCell="A25" workbookViewId="0">
      <selection activeCell="C35" sqref="C35"/>
    </sheetView>
  </sheetViews>
  <sheetFormatPr defaultRowHeight="16.5"/>
  <cols>
    <col min="1" max="1" width="6.140625" style="63" customWidth="1"/>
    <col min="2" max="2" width="52.140625" style="63" customWidth="1"/>
    <col min="3" max="3" width="51.7109375" style="63" customWidth="1"/>
    <col min="4" max="16384" width="9.140625" style="63"/>
  </cols>
  <sheetData>
    <row r="1" spans="1:12" s="60" customFormat="1" ht="11.45" customHeight="1"/>
    <row r="2" spans="1:12" ht="22.5">
      <c r="A2" s="887" t="s">
        <v>52</v>
      </c>
      <c r="B2" s="887"/>
      <c r="C2" s="887"/>
      <c r="D2" s="887"/>
      <c r="E2" s="887"/>
      <c r="F2" s="887"/>
      <c r="G2" s="887"/>
      <c r="H2" s="887"/>
      <c r="I2" s="887"/>
      <c r="J2" s="887"/>
      <c r="K2" s="887"/>
      <c r="L2" s="887"/>
    </row>
    <row r="4" spans="1:12" ht="29.25" customHeight="1">
      <c r="B4" s="888" t="s">
        <v>263</v>
      </c>
      <c r="C4" s="888"/>
    </row>
    <row r="5" spans="1:12" ht="16.5" customHeight="1">
      <c r="B5" s="251"/>
      <c r="C5" s="251"/>
    </row>
    <row r="6" spans="1:12" ht="25.5" customHeight="1">
      <c r="B6" s="889" t="s">
        <v>264</v>
      </c>
      <c r="C6" s="890"/>
    </row>
    <row r="7" spans="1:12" ht="39" customHeight="1">
      <c r="B7" s="891" t="s">
        <v>742</v>
      </c>
      <c r="C7" s="892"/>
    </row>
    <row r="8" spans="1:12" ht="36.75" customHeight="1">
      <c r="B8" s="893" t="s">
        <v>743</v>
      </c>
      <c r="C8" s="894"/>
    </row>
    <row r="9" spans="1:12" ht="40.5" customHeight="1">
      <c r="B9" s="885" t="s">
        <v>744</v>
      </c>
      <c r="C9" s="886"/>
      <c r="I9" s="330"/>
      <c r="J9" s="331"/>
    </row>
    <row r="10" spans="1:12" ht="16.5" customHeight="1">
      <c r="B10" s="332"/>
      <c r="C10" s="251"/>
      <c r="I10" s="330"/>
      <c r="J10" s="331"/>
    </row>
    <row r="11" spans="1:12" ht="46.5" customHeight="1">
      <c r="B11" s="333" t="s">
        <v>265</v>
      </c>
      <c r="C11" s="334" t="s">
        <v>204</v>
      </c>
      <c r="I11" s="330"/>
      <c r="J11" s="331"/>
    </row>
    <row r="12" spans="1:12" ht="10.15" customHeight="1">
      <c r="B12" s="45"/>
      <c r="C12" s="335"/>
      <c r="I12" s="330"/>
      <c r="J12" s="331"/>
    </row>
    <row r="13" spans="1:12" ht="24" customHeight="1">
      <c r="B13" s="333" t="s">
        <v>266</v>
      </c>
      <c r="C13" s="334">
        <v>38541660</v>
      </c>
    </row>
    <row r="14" spans="1:12" ht="11.45" customHeight="1">
      <c r="B14" s="45"/>
      <c r="C14" s="335"/>
    </row>
    <row r="15" spans="1:12" ht="33.6" customHeight="1">
      <c r="B15" s="333" t="s">
        <v>267</v>
      </c>
      <c r="C15" s="334" t="s">
        <v>177</v>
      </c>
    </row>
    <row r="16" spans="1:12" ht="10.9" customHeight="1">
      <c r="B16" s="332"/>
      <c r="C16" s="335"/>
    </row>
    <row r="17" spans="2:7" ht="39.75" customHeight="1">
      <c r="B17" s="333" t="s">
        <v>268</v>
      </c>
      <c r="C17" s="334" t="s">
        <v>203</v>
      </c>
    </row>
    <row r="18" spans="2:7" ht="12" customHeight="1">
      <c r="B18" s="332"/>
      <c r="C18" s="335"/>
    </row>
    <row r="19" spans="2:7" ht="44.45" customHeight="1">
      <c r="B19" s="333" t="s">
        <v>745</v>
      </c>
      <c r="C19" s="336">
        <v>0</v>
      </c>
    </row>
    <row r="20" spans="2:7">
      <c r="B20" s="332"/>
      <c r="C20" s="335"/>
    </row>
    <row r="21" spans="2:7" ht="30.6" customHeight="1">
      <c r="B21" s="337" t="s">
        <v>466</v>
      </c>
      <c r="C21" s="340"/>
      <c r="G21" s="339"/>
    </row>
    <row r="22" spans="2:7" ht="21.6" customHeight="1">
      <c r="B22" s="341" t="s">
        <v>468</v>
      </c>
      <c r="C22" s="687">
        <v>105.5</v>
      </c>
      <c r="G22" s="339"/>
    </row>
    <row r="23" spans="2:7" ht="22.9" customHeight="1">
      <c r="B23" s="341" t="s">
        <v>746</v>
      </c>
      <c r="C23" s="338">
        <v>0</v>
      </c>
      <c r="G23" s="339"/>
    </row>
    <row r="24" spans="2:7" ht="27" customHeight="1">
      <c r="B24" s="342"/>
      <c r="C24" s="343"/>
      <c r="G24" s="339"/>
    </row>
    <row r="25" spans="2:7" ht="27" customHeight="1">
      <c r="B25" s="337" t="s">
        <v>747</v>
      </c>
      <c r="C25" s="340"/>
      <c r="G25" s="339"/>
    </row>
    <row r="26" spans="2:7" ht="32.25" customHeight="1">
      <c r="B26" s="344" t="s">
        <v>467</v>
      </c>
      <c r="C26" s="345">
        <v>7</v>
      </c>
      <c r="G26" s="339"/>
    </row>
    <row r="27" spans="2:7" ht="32.25" customHeight="1">
      <c r="B27" s="344" t="s">
        <v>287</v>
      </c>
      <c r="C27" s="345">
        <v>0</v>
      </c>
      <c r="G27" s="339"/>
    </row>
    <row r="28" spans="2:7" ht="32.25" customHeight="1">
      <c r="B28" s="344" t="s">
        <v>288</v>
      </c>
      <c r="C28" s="345">
        <v>6</v>
      </c>
      <c r="G28" s="339"/>
    </row>
    <row r="29" spans="2:7" ht="32.25" customHeight="1">
      <c r="B29" s="344" t="s">
        <v>289</v>
      </c>
      <c r="C29" s="345">
        <v>0</v>
      </c>
      <c r="G29" s="339"/>
    </row>
    <row r="30" spans="2:7" ht="32.25" customHeight="1">
      <c r="B30" s="344" t="s">
        <v>290</v>
      </c>
      <c r="C30" s="345">
        <v>0</v>
      </c>
      <c r="G30" s="339"/>
    </row>
    <row r="31" spans="2:7">
      <c r="B31" s="332"/>
      <c r="C31" s="335"/>
    </row>
    <row r="32" spans="2:7" ht="25.5" customHeight="1">
      <c r="B32" s="333" t="s">
        <v>269</v>
      </c>
      <c r="C32" s="334">
        <v>2024</v>
      </c>
    </row>
    <row r="33" spans="2:3">
      <c r="B33" s="45"/>
      <c r="C33" s="335"/>
    </row>
    <row r="34" spans="2:3" ht="39" customHeight="1">
      <c r="B34" s="333" t="s">
        <v>270</v>
      </c>
      <c r="C34" s="346" t="s">
        <v>4</v>
      </c>
    </row>
    <row r="35" spans="2:3">
      <c r="B35" s="45"/>
      <c r="C35" s="335"/>
    </row>
    <row r="36" spans="2:3" ht="39.75" customHeight="1">
      <c r="B36" s="333" t="s">
        <v>271</v>
      </c>
      <c r="C36" s="334" t="s">
        <v>178</v>
      </c>
    </row>
    <row r="37" spans="2:3">
      <c r="B37" s="347"/>
    </row>
    <row r="38" spans="2:3">
      <c r="B38" s="347"/>
    </row>
    <row r="39" spans="2:3">
      <c r="B39" s="347"/>
    </row>
    <row r="40" spans="2:3">
      <c r="B40" s="347"/>
    </row>
  </sheetData>
  <mergeCells count="6">
    <mergeCell ref="B9:C9"/>
    <mergeCell ref="A2:L2"/>
    <mergeCell ref="B4:C4"/>
    <mergeCell ref="B6:C6"/>
    <mergeCell ref="B7:C7"/>
    <mergeCell ref="B8:C8"/>
  </mergeCells>
  <phoneticPr fontId="0" type="noConversion"/>
  <conditionalFormatting sqref="C11 C13 C15 C19 C22:C23 C26:C30 C32 C34 C36 C17">
    <cfRule type="notContainsBlanks" dxfId="8682" priority="1">
      <formula>LEN(TRIM(C11))&gt;0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pageSetUpPr fitToPage="1"/>
  </sheetPr>
  <dimension ref="A1:M31"/>
  <sheetViews>
    <sheetView showGridLines="0" topLeftCell="A10" zoomScale="70" zoomScaleNormal="70" workbookViewId="0">
      <selection activeCell="J12" sqref="J12"/>
    </sheetView>
  </sheetViews>
  <sheetFormatPr defaultColWidth="8.85546875" defaultRowHeight="15"/>
  <cols>
    <col min="1" max="1" width="6" style="137" customWidth="1"/>
    <col min="2" max="4" width="32.7109375" style="137" customWidth="1"/>
    <col min="5" max="5" width="26.5703125" style="137" customWidth="1"/>
    <col min="6" max="6" width="24.85546875" style="137" customWidth="1"/>
    <col min="7" max="7" width="25.42578125" style="137" customWidth="1"/>
    <col min="8" max="8" width="24.85546875" style="137" customWidth="1"/>
    <col min="9" max="9" width="25.85546875" style="137" customWidth="1"/>
    <col min="10" max="10" width="35.42578125" style="137" customWidth="1"/>
    <col min="11" max="11" width="23.28515625" style="137" customWidth="1"/>
    <col min="12" max="12" width="25.5703125" style="137" customWidth="1"/>
    <col min="13" max="14" width="21.140625" style="137" customWidth="1"/>
    <col min="15" max="15" width="8.85546875" style="137"/>
    <col min="16" max="17" width="11.5703125" style="137" bestFit="1" customWidth="1"/>
    <col min="18" max="16384" width="8.85546875" style="137"/>
  </cols>
  <sheetData>
    <row r="1" spans="1:13" s="60" customFormat="1" ht="12" customHeight="1"/>
    <row r="2" spans="1:13" s="63" customFormat="1" ht="34.15" customHeight="1">
      <c r="A2" s="908" t="s">
        <v>53</v>
      </c>
      <c r="B2" s="908"/>
      <c r="C2" s="908"/>
      <c r="D2" s="908"/>
      <c r="E2" s="908"/>
      <c r="F2" s="908"/>
      <c r="G2" s="908"/>
      <c r="H2" s="908"/>
      <c r="I2" s="908"/>
      <c r="J2" s="908"/>
    </row>
    <row r="3" spans="1:13" s="63" customFormat="1" ht="25.9" customHeight="1">
      <c r="F3" s="292"/>
      <c r="G3" s="292"/>
      <c r="H3" s="292"/>
      <c r="I3" s="292"/>
      <c r="J3" s="292"/>
      <c r="K3" s="292"/>
      <c r="L3" s="292"/>
      <c r="M3" s="292"/>
    </row>
    <row r="4" spans="1:13" ht="61.15" customHeight="1">
      <c r="B4" s="925" t="s">
        <v>69</v>
      </c>
      <c r="C4" s="925"/>
      <c r="D4" s="925"/>
      <c r="E4" s="925"/>
      <c r="F4" s="925"/>
      <c r="G4" s="925"/>
    </row>
    <row r="5" spans="1:13">
      <c r="F5" s="138"/>
      <c r="G5" s="138"/>
      <c r="H5" s="138"/>
      <c r="I5" s="138"/>
      <c r="J5" s="138"/>
      <c r="K5" s="138"/>
    </row>
    <row r="6" spans="1:13" ht="31.5" customHeight="1">
      <c r="B6" s="918" t="s">
        <v>42</v>
      </c>
      <c r="C6" s="918"/>
      <c r="D6" s="918"/>
      <c r="E6" s="918"/>
      <c r="F6" s="918"/>
      <c r="G6" s="918"/>
      <c r="H6" s="918"/>
      <c r="I6" s="918"/>
      <c r="J6" s="918"/>
      <c r="K6" s="138"/>
    </row>
    <row r="7" spans="1:13" ht="31.5" customHeight="1" thickBot="1">
      <c r="B7" s="293"/>
      <c r="C7" s="293"/>
      <c r="D7" s="293"/>
      <c r="F7" s="138"/>
      <c r="G7" s="138"/>
      <c r="H7" s="138"/>
      <c r="I7" s="138"/>
      <c r="J7" s="138"/>
      <c r="K7" s="138"/>
    </row>
    <row r="8" spans="1:13" ht="25.5" customHeight="1">
      <c r="B8" s="294" t="s">
        <v>310</v>
      </c>
      <c r="C8" s="295" t="s">
        <v>306</v>
      </c>
      <c r="D8" s="295" t="s">
        <v>307</v>
      </c>
      <c r="E8" s="296" t="s">
        <v>308</v>
      </c>
      <c r="F8" s="296" t="s">
        <v>309</v>
      </c>
      <c r="G8" s="297" t="s">
        <v>298</v>
      </c>
      <c r="I8" s="138"/>
      <c r="J8" s="138"/>
      <c r="K8" s="138"/>
    </row>
    <row r="9" spans="1:13" ht="149.25" customHeight="1">
      <c r="B9" s="298" t="s">
        <v>78</v>
      </c>
      <c r="C9" s="915" t="s">
        <v>241</v>
      </c>
      <c r="D9" s="916"/>
      <c r="E9" s="916"/>
      <c r="F9" s="916"/>
      <c r="G9" s="917"/>
      <c r="I9" s="138"/>
      <c r="J9" s="138"/>
      <c r="K9" s="138"/>
    </row>
    <row r="10" spans="1:13" ht="39.75" customHeight="1">
      <c r="B10" s="298" t="s">
        <v>299</v>
      </c>
      <c r="C10" s="689">
        <v>2.4649999999999999</v>
      </c>
      <c r="D10" s="689">
        <v>1.3560000000000001</v>
      </c>
      <c r="E10" s="299">
        <v>0.61599999999999999</v>
      </c>
      <c r="F10" s="299">
        <v>0.73899999999999999</v>
      </c>
      <c r="G10" s="300">
        <v>1.232</v>
      </c>
      <c r="I10" s="138"/>
      <c r="J10" s="138"/>
      <c r="K10" s="138"/>
    </row>
    <row r="11" spans="1:13" ht="48" customHeight="1">
      <c r="B11" s="301" t="s">
        <v>739</v>
      </c>
      <c r="C11" s="302">
        <f>C9*C10/4</f>
        <v>484.77306249999998</v>
      </c>
      <c r="D11" s="302">
        <f>C9*D10/4</f>
        <v>266.67435</v>
      </c>
      <c r="E11" s="302">
        <f>C9*E10/4</f>
        <v>121.14409999999999</v>
      </c>
      <c r="F11" s="302">
        <f>$C$9*F10/4</f>
        <v>145.33358749999999</v>
      </c>
      <c r="G11" s="303">
        <f>$C$9*G10/4</f>
        <v>242.28819999999999</v>
      </c>
      <c r="H11" s="690"/>
      <c r="I11" s="138"/>
      <c r="J11" s="138"/>
      <c r="K11" s="138"/>
    </row>
    <row r="12" spans="1:13" ht="39.75" customHeight="1">
      <c r="B12" s="298" t="s">
        <v>300</v>
      </c>
      <c r="C12" s="912">
        <v>1.25</v>
      </c>
      <c r="D12" s="913"/>
      <c r="E12" s="913"/>
      <c r="F12" s="913"/>
      <c r="G12" s="914"/>
      <c r="I12" s="138"/>
      <c r="J12" s="138"/>
      <c r="K12" s="138"/>
    </row>
    <row r="13" spans="1:13" ht="68.25" customHeight="1" thickBot="1">
      <c r="B13" s="304" t="s">
        <v>740</v>
      </c>
      <c r="C13" s="305">
        <f>$C$9*C10/4*$C$12</f>
        <v>605.96632812500002</v>
      </c>
      <c r="D13" s="305">
        <f>$C$9*D10/4*$C$12</f>
        <v>333.34293750000001</v>
      </c>
      <c r="E13" s="305">
        <f>$C$9*E10/4*$C$12</f>
        <v>151.430125</v>
      </c>
      <c r="F13" s="305">
        <f>$C$9*F10/4*$C$12</f>
        <v>181.666984375</v>
      </c>
      <c r="G13" s="306">
        <f>$C$9*G10/4*$C$12</f>
        <v>302.86025000000001</v>
      </c>
      <c r="I13" s="138"/>
      <c r="J13" s="138"/>
      <c r="K13" s="138"/>
    </row>
    <row r="14" spans="1:13" ht="32.25" customHeight="1" thickBot="1">
      <c r="B14" s="136"/>
      <c r="C14" s="136"/>
      <c r="D14" s="136"/>
      <c r="E14" s="307"/>
      <c r="F14" s="307"/>
      <c r="G14" s="307"/>
      <c r="H14" s="307"/>
      <c r="I14" s="138"/>
      <c r="J14" s="138"/>
      <c r="K14" s="138"/>
    </row>
    <row r="15" spans="1:13" s="142" customFormat="1" ht="50.45" customHeight="1">
      <c r="B15" s="919" t="s">
        <v>297</v>
      </c>
      <c r="C15" s="921" t="s">
        <v>437</v>
      </c>
      <c r="D15" s="923" t="s">
        <v>296</v>
      </c>
      <c r="E15" s="308" t="s">
        <v>70</v>
      </c>
      <c r="F15" s="308" t="s">
        <v>303</v>
      </c>
      <c r="G15" s="308" t="s">
        <v>302</v>
      </c>
      <c r="H15" s="308" t="s">
        <v>304</v>
      </c>
      <c r="I15" s="308" t="s">
        <v>305</v>
      </c>
      <c r="J15" s="309" t="s">
        <v>293</v>
      </c>
      <c r="K15" s="310"/>
    </row>
    <row r="16" spans="1:13" s="142" customFormat="1" ht="17.25" customHeight="1" thickBot="1">
      <c r="B16" s="920"/>
      <c r="C16" s="922"/>
      <c r="D16" s="924"/>
      <c r="E16" s="675">
        <v>0.61599999999999999</v>
      </c>
      <c r="F16" s="676">
        <v>0.49299999999999999</v>
      </c>
      <c r="G16" s="676">
        <v>0.37</v>
      </c>
      <c r="H16" s="676">
        <v>0.246</v>
      </c>
      <c r="I16" s="676">
        <v>0.123</v>
      </c>
      <c r="J16" s="677">
        <v>0</v>
      </c>
      <c r="K16" s="310"/>
    </row>
    <row r="17" spans="2:11" s="142" customFormat="1" ht="17.25" customHeight="1">
      <c r="B17" s="896" t="s">
        <v>311</v>
      </c>
      <c r="C17" s="311" t="s">
        <v>442</v>
      </c>
      <c r="D17" s="312"/>
      <c r="E17" s="313" t="s">
        <v>438</v>
      </c>
      <c r="F17" s="569" t="s">
        <v>418</v>
      </c>
      <c r="G17" s="569" t="s">
        <v>419</v>
      </c>
      <c r="H17" s="569" t="s">
        <v>420</v>
      </c>
      <c r="I17" s="569" t="s">
        <v>421</v>
      </c>
      <c r="J17" s="570" t="s">
        <v>422</v>
      </c>
      <c r="K17" s="310"/>
    </row>
    <row r="18" spans="2:11" ht="20.25" customHeight="1">
      <c r="B18" s="897"/>
      <c r="C18" s="902">
        <v>900</v>
      </c>
      <c r="D18" s="316" t="s">
        <v>440</v>
      </c>
      <c r="E18" s="317">
        <v>901</v>
      </c>
      <c r="F18" s="316">
        <v>991</v>
      </c>
      <c r="G18" s="316">
        <v>1081</v>
      </c>
      <c r="H18" s="318">
        <v>1171</v>
      </c>
      <c r="I18" s="318">
        <v>1261</v>
      </c>
      <c r="J18" s="319">
        <v>1351</v>
      </c>
    </row>
    <row r="19" spans="2:11" ht="20.25" customHeight="1">
      <c r="B19" s="897"/>
      <c r="C19" s="902"/>
      <c r="D19" s="316" t="s">
        <v>441</v>
      </c>
      <c r="E19" s="317">
        <f>900*1.1</f>
        <v>990.00000000000011</v>
      </c>
      <c r="F19" s="316">
        <f>900*1.2</f>
        <v>1080</v>
      </c>
      <c r="G19" s="316">
        <f>900*1.3</f>
        <v>1170</v>
      </c>
      <c r="H19" s="316">
        <f>900*1.4</f>
        <v>1260</v>
      </c>
      <c r="I19" s="316">
        <f>900*1.5</f>
        <v>1350</v>
      </c>
      <c r="J19" s="319" t="s">
        <v>423</v>
      </c>
    </row>
    <row r="20" spans="2:11" ht="20.25" customHeight="1" thickBot="1">
      <c r="B20" s="898"/>
      <c r="C20" s="903"/>
      <c r="D20" s="320" t="s">
        <v>294</v>
      </c>
      <c r="E20" s="321">
        <f>E19-C18</f>
        <v>90.000000000000114</v>
      </c>
      <c r="F20" s="320">
        <f>F19-$E$19</f>
        <v>89.999999999999886</v>
      </c>
      <c r="G20" s="320">
        <f>G19-F19</f>
        <v>90</v>
      </c>
      <c r="H20" s="320">
        <f>H19-G19</f>
        <v>90</v>
      </c>
      <c r="I20" s="320">
        <f>I19-H19</f>
        <v>90</v>
      </c>
      <c r="J20" s="322">
        <v>0</v>
      </c>
    </row>
    <row r="21" spans="2:11" ht="20.25" customHeight="1">
      <c r="B21" s="896" t="s">
        <v>312</v>
      </c>
      <c r="C21" s="311" t="s">
        <v>443</v>
      </c>
      <c r="D21" s="323"/>
      <c r="E21" s="324" t="s">
        <v>445</v>
      </c>
      <c r="F21" s="314" t="s">
        <v>427</v>
      </c>
      <c r="G21" s="314" t="s">
        <v>428</v>
      </c>
      <c r="H21" s="314" t="s">
        <v>429</v>
      </c>
      <c r="I21" s="314" t="s">
        <v>430</v>
      </c>
      <c r="J21" s="315" t="s">
        <v>431</v>
      </c>
    </row>
    <row r="22" spans="2:11" ht="27.75" customHeight="1">
      <c r="B22" s="897"/>
      <c r="C22" s="904">
        <v>1800</v>
      </c>
      <c r="D22" s="316" t="s">
        <v>440</v>
      </c>
      <c r="E22" s="317">
        <v>1801</v>
      </c>
      <c r="F22" s="316">
        <v>1981</v>
      </c>
      <c r="G22" s="316">
        <v>2161</v>
      </c>
      <c r="H22" s="316">
        <v>2341</v>
      </c>
      <c r="I22" s="318">
        <v>2521</v>
      </c>
      <c r="J22" s="319">
        <v>2701</v>
      </c>
    </row>
    <row r="23" spans="2:11" ht="27.75" customHeight="1">
      <c r="B23" s="897"/>
      <c r="C23" s="904"/>
      <c r="D23" s="316" t="s">
        <v>441</v>
      </c>
      <c r="E23" s="317">
        <f>1800*1.1</f>
        <v>1980.0000000000002</v>
      </c>
      <c r="F23" s="316">
        <f>1800*1.2</f>
        <v>2160</v>
      </c>
      <c r="G23" s="316">
        <f>1800*1.3</f>
        <v>2340</v>
      </c>
      <c r="H23" s="316">
        <f>1800*1.4</f>
        <v>2520</v>
      </c>
      <c r="I23" s="316">
        <f>1800*1.5</f>
        <v>2700</v>
      </c>
      <c r="J23" s="319" t="s">
        <v>423</v>
      </c>
    </row>
    <row r="24" spans="2:11" ht="21.75" customHeight="1" thickBot="1">
      <c r="B24" s="898"/>
      <c r="C24" s="905"/>
      <c r="D24" s="320" t="s">
        <v>294</v>
      </c>
      <c r="E24" s="321">
        <f>E23-C22</f>
        <v>180.00000000000023</v>
      </c>
      <c r="F24" s="320">
        <f>F23-E23</f>
        <v>179.99999999999977</v>
      </c>
      <c r="G24" s="320">
        <f>G23-F23</f>
        <v>180</v>
      </c>
      <c r="H24" s="320">
        <f>H23-G23</f>
        <v>180</v>
      </c>
      <c r="I24" s="320">
        <f>I23-H23</f>
        <v>180</v>
      </c>
      <c r="J24" s="322">
        <v>0</v>
      </c>
    </row>
    <row r="25" spans="2:11" ht="21.75" customHeight="1">
      <c r="B25" s="899" t="s">
        <v>313</v>
      </c>
      <c r="C25" s="311" t="s">
        <v>444</v>
      </c>
      <c r="D25" s="323"/>
      <c r="E25" s="324" t="s">
        <v>439</v>
      </c>
      <c r="F25" s="314" t="s">
        <v>432</v>
      </c>
      <c r="G25" s="314" t="s">
        <v>433</v>
      </c>
      <c r="H25" s="314" t="s">
        <v>434</v>
      </c>
      <c r="I25" s="314" t="s">
        <v>435</v>
      </c>
      <c r="J25" s="315" t="s">
        <v>436</v>
      </c>
    </row>
    <row r="26" spans="2:11" ht="25.5" customHeight="1">
      <c r="B26" s="900"/>
      <c r="C26" s="906">
        <v>2000</v>
      </c>
      <c r="D26" s="316" t="s">
        <v>440</v>
      </c>
      <c r="E26" s="317">
        <v>2001</v>
      </c>
      <c r="F26" s="316">
        <v>2201</v>
      </c>
      <c r="G26" s="316">
        <v>2401</v>
      </c>
      <c r="H26" s="316">
        <v>2601</v>
      </c>
      <c r="I26" s="316">
        <v>2801</v>
      </c>
      <c r="J26" s="319">
        <v>3001</v>
      </c>
    </row>
    <row r="27" spans="2:11" ht="25.5" customHeight="1">
      <c r="B27" s="900"/>
      <c r="C27" s="906"/>
      <c r="D27" s="316" t="s">
        <v>441</v>
      </c>
      <c r="E27" s="317">
        <f>2000*1.1</f>
        <v>2200</v>
      </c>
      <c r="F27" s="316">
        <f>2000*1.2</f>
        <v>2400</v>
      </c>
      <c r="G27" s="316">
        <f>2000*1.3</f>
        <v>2600</v>
      </c>
      <c r="H27" s="316">
        <f>2000*1.4</f>
        <v>2800</v>
      </c>
      <c r="I27" s="316">
        <f>2000*1.5</f>
        <v>3000</v>
      </c>
      <c r="J27" s="319" t="s">
        <v>423</v>
      </c>
    </row>
    <row r="28" spans="2:11" ht="23.25" customHeight="1" thickBot="1">
      <c r="B28" s="901"/>
      <c r="C28" s="907"/>
      <c r="D28" s="320" t="s">
        <v>294</v>
      </c>
      <c r="E28" s="325">
        <f>E27-C26</f>
        <v>200</v>
      </c>
      <c r="F28" s="320">
        <f>F27-E27</f>
        <v>200</v>
      </c>
      <c r="G28" s="320">
        <f>G27-F27</f>
        <v>200</v>
      </c>
      <c r="H28" s="320">
        <f>H27-G27</f>
        <v>200</v>
      </c>
      <c r="I28" s="320">
        <f>I27-H27</f>
        <v>200</v>
      </c>
      <c r="J28" s="322">
        <v>0</v>
      </c>
    </row>
    <row r="29" spans="2:11" ht="42" customHeight="1" thickBot="1">
      <c r="B29" s="909" t="s">
        <v>741</v>
      </c>
      <c r="C29" s="910"/>
      <c r="D29" s="911"/>
      <c r="E29" s="326">
        <f>$C$9/4*E16</f>
        <v>121.14409999999999</v>
      </c>
      <c r="F29" s="326">
        <f>$C$9/4*F16</f>
        <v>96.954612499999996</v>
      </c>
      <c r="G29" s="326">
        <f>$C$9/4*G16</f>
        <v>72.765124999999998</v>
      </c>
      <c r="H29" s="326">
        <f>$C$9/4*H16</f>
        <v>48.378974999999997</v>
      </c>
      <c r="I29" s="326">
        <f>$C$9/4*I16</f>
        <v>24.189487499999998</v>
      </c>
      <c r="J29" s="327">
        <v>0</v>
      </c>
    </row>
    <row r="30" spans="2:11" ht="42" customHeight="1">
      <c r="E30" s="307"/>
      <c r="F30" s="307"/>
      <c r="G30" s="307"/>
      <c r="H30" s="307"/>
      <c r="I30" s="307"/>
    </row>
    <row r="31" spans="2:11">
      <c r="B31" s="328" t="s">
        <v>301</v>
      </c>
      <c r="C31" s="895" t="s">
        <v>71</v>
      </c>
      <c r="D31" s="895"/>
      <c r="G31" s="329"/>
      <c r="H31" s="329"/>
    </row>
  </sheetData>
  <mergeCells count="16">
    <mergeCell ref="A2:J2"/>
    <mergeCell ref="B29:D29"/>
    <mergeCell ref="C12:G12"/>
    <mergeCell ref="C9:G9"/>
    <mergeCell ref="B6:J6"/>
    <mergeCell ref="B15:B16"/>
    <mergeCell ref="C15:C16"/>
    <mergeCell ref="D15:D16"/>
    <mergeCell ref="B4:G4"/>
    <mergeCell ref="C31:D31"/>
    <mergeCell ref="B17:B20"/>
    <mergeCell ref="B21:B24"/>
    <mergeCell ref="B25:B28"/>
    <mergeCell ref="C18:C20"/>
    <mergeCell ref="C22:C24"/>
    <mergeCell ref="C26:C28"/>
  </mergeCells>
  <phoneticPr fontId="0" type="noConversion"/>
  <hyperlinks>
    <hyperlink ref="C31:D31" r:id="rId1" display="постанова Кабінету Міністрів України від 05.02.2020 №65"/>
  </hyperlinks>
  <printOptions headings="1"/>
  <pageMargins left="0.70866141732283472" right="0.70866141732283472" top="0.74803149606299213" bottom="0.74803149606299213" header="0.31496062992125984" footer="0.31496062992125984"/>
  <pageSetup paperSize="9" scale="49" orientation="landscape" r:id="rId2"/>
</worksheet>
</file>

<file path=xl/worksheets/sheet5.xml><?xml version="1.0" encoding="utf-8"?>
<worksheet xmlns="http://schemas.openxmlformats.org/spreadsheetml/2006/main" xmlns:r="http://schemas.openxmlformats.org/officeDocument/2006/relationships">
  <dimension ref="A1:AR1372"/>
  <sheetViews>
    <sheetView showGridLines="0" topLeftCell="A25" zoomScale="55" zoomScaleNormal="55" workbookViewId="0">
      <selection activeCell="K27" sqref="K27"/>
    </sheetView>
  </sheetViews>
  <sheetFormatPr defaultColWidth="8.85546875" defaultRowHeight="15" outlineLevelCol="1"/>
  <cols>
    <col min="1" max="1" width="10.42578125" style="136" customWidth="1"/>
    <col min="2" max="2" width="17.5703125" style="137" customWidth="1"/>
    <col min="3" max="3" width="30.7109375" style="137" customWidth="1"/>
    <col min="4" max="4" width="28.42578125" style="137" customWidth="1"/>
    <col min="5" max="5" width="39.28515625" style="137" customWidth="1"/>
    <col min="6" max="6" width="26.7109375" style="137" customWidth="1"/>
    <col min="7" max="7" width="27.7109375" style="137" customWidth="1" outlineLevel="1"/>
    <col min="8" max="8" width="33.42578125" style="137" customWidth="1" outlineLevel="1"/>
    <col min="9" max="9" width="35.42578125" style="137" customWidth="1" outlineLevel="1"/>
    <col min="10" max="10" width="19.28515625" style="137" customWidth="1" outlineLevel="1"/>
    <col min="11" max="11" width="20.140625" style="137" customWidth="1" outlineLevel="1"/>
    <col min="12" max="12" width="16" style="140" customWidth="1"/>
    <col min="13" max="13" width="16" style="137" customWidth="1"/>
    <col min="14" max="14" width="18" style="137" customWidth="1" outlineLevel="1"/>
    <col min="15" max="15" width="16.85546875" style="137" customWidth="1" outlineLevel="1"/>
    <col min="16" max="16" width="23.140625" style="137" customWidth="1" outlineLevel="1"/>
    <col min="17" max="17" width="24.28515625" style="137" customWidth="1" outlineLevel="1"/>
    <col min="18" max="18" width="15.28515625" style="137" customWidth="1" outlineLevel="1"/>
    <col min="19" max="19" width="19.140625" style="140" customWidth="1"/>
    <col min="20" max="20" width="18.7109375" style="137" customWidth="1"/>
    <col min="21" max="21" width="17.5703125" style="137" customWidth="1" outlineLevel="1"/>
    <col min="22" max="22" width="20.28515625" style="137" customWidth="1" outlineLevel="1"/>
    <col min="23" max="23" width="19.85546875" style="137" customWidth="1" outlineLevel="1"/>
    <col min="24" max="24" width="15" style="137" customWidth="1" outlineLevel="1"/>
    <col min="25" max="25" width="18.5703125" style="137" customWidth="1" outlineLevel="1"/>
    <col min="26" max="26" width="18.7109375" style="140" customWidth="1"/>
    <col min="27" max="27" width="18.7109375" style="137" customWidth="1"/>
    <col min="28" max="28" width="17" style="137" customWidth="1" outlineLevel="1"/>
    <col min="29" max="29" width="21.42578125" style="137" customWidth="1" outlineLevel="1"/>
    <col min="30" max="32" width="17" style="137" customWidth="1" outlineLevel="1"/>
    <col min="33" max="33" width="22.28515625" style="140" customWidth="1"/>
    <col min="34" max="34" width="19.7109375" style="137" customWidth="1"/>
    <col min="35" max="35" width="53.7109375" style="137" customWidth="1"/>
    <col min="36" max="36" width="31.85546875" style="137" customWidth="1"/>
    <col min="37" max="37" width="37.42578125" style="137" customWidth="1"/>
    <col min="38" max="38" width="24.28515625" style="137" customWidth="1"/>
    <col min="39" max="39" width="34.7109375" style="141" customWidth="1"/>
    <col min="40" max="43" width="20.28515625" style="137" customWidth="1"/>
    <col min="44" max="44" width="20.28515625" style="142" customWidth="1"/>
    <col min="45" max="45" width="15.5703125" style="137" customWidth="1"/>
    <col min="46" max="50" width="16" style="137" customWidth="1"/>
    <col min="51" max="51" width="18.42578125" style="137" customWidth="1"/>
    <col min="52" max="56" width="13.7109375" style="137" customWidth="1"/>
    <col min="57" max="57" width="18.28515625" style="137" customWidth="1"/>
    <col min="58" max="63" width="15.5703125" style="137" customWidth="1"/>
    <col min="64" max="16384" width="8.85546875" style="137"/>
  </cols>
  <sheetData>
    <row r="1" spans="1:44" s="131" customFormat="1">
      <c r="A1" s="130"/>
      <c r="L1" s="132"/>
      <c r="S1" s="132"/>
      <c r="Z1" s="132"/>
      <c r="AG1" s="132"/>
      <c r="AM1" s="133"/>
      <c r="AR1" s="134"/>
    </row>
    <row r="2" spans="1:44" s="63" customFormat="1" ht="30">
      <c r="A2" s="1120" t="s">
        <v>54</v>
      </c>
      <c r="B2" s="1120"/>
      <c r="C2" s="1120"/>
      <c r="D2" s="1120"/>
      <c r="E2" s="1120"/>
      <c r="F2" s="1120"/>
      <c r="G2" s="1120"/>
      <c r="H2" s="1120"/>
      <c r="I2" s="1120"/>
      <c r="J2" s="1120"/>
      <c r="K2" s="1120"/>
      <c r="L2" s="1120"/>
      <c r="S2" s="135"/>
      <c r="Z2" s="135"/>
      <c r="AG2" s="135"/>
    </row>
    <row r="3" spans="1:44" s="141" customFormat="1" ht="26.25" thickBot="1">
      <c r="A3" s="151"/>
      <c r="E3" s="666"/>
      <c r="F3" s="666"/>
      <c r="G3" s="666"/>
      <c r="H3" s="666"/>
      <c r="I3" s="667"/>
      <c r="J3" s="667"/>
      <c r="K3" s="667"/>
      <c r="L3" s="667"/>
      <c r="M3" s="666"/>
      <c r="AR3" s="153"/>
    </row>
    <row r="4" spans="1:44" s="141" customFormat="1" ht="46.5" thickTop="1" thickBot="1">
      <c r="A4" s="151"/>
      <c r="B4" s="1082" t="s">
        <v>480</v>
      </c>
      <c r="C4" s="1083"/>
      <c r="D4" s="1083"/>
      <c r="E4" s="1083"/>
      <c r="F4" s="1083"/>
      <c r="G4" s="1083"/>
      <c r="H4" s="1084"/>
      <c r="I4" s="666"/>
      <c r="K4" s="668"/>
      <c r="L4" s="668"/>
      <c r="M4" s="668"/>
      <c r="N4" s="668"/>
      <c r="O4" s="668"/>
      <c r="P4" s="668"/>
      <c r="Q4" s="668"/>
      <c r="R4" s="668"/>
      <c r="AR4" s="153"/>
    </row>
    <row r="5" spans="1:44" s="141" customFormat="1" ht="36" thickTop="1" thickBot="1">
      <c r="A5" s="151"/>
      <c r="B5" s="669"/>
      <c r="C5" s="669"/>
      <c r="D5" s="669"/>
      <c r="E5" s="669"/>
      <c r="F5" s="669"/>
      <c r="G5" s="669"/>
      <c r="H5" s="669"/>
      <c r="I5" s="666"/>
      <c r="K5" s="668"/>
      <c r="L5" s="668"/>
      <c r="M5" s="668"/>
      <c r="N5" s="668"/>
      <c r="O5" s="668"/>
      <c r="P5" s="668"/>
      <c r="Q5" s="668"/>
      <c r="R5" s="668"/>
      <c r="AR5" s="153"/>
    </row>
    <row r="6" spans="1:44" s="141" customFormat="1" ht="51.75" customHeight="1">
      <c r="A6" s="151"/>
      <c r="B6" s="1102" t="str">
        <f ca="1">'0_Загальне'!B11</f>
        <v>Офіційна повна назва надавача ПМД:</v>
      </c>
      <c r="C6" s="1103"/>
      <c r="D6" s="1103"/>
      <c r="E6" s="1098" t="str">
        <f ca="1">'0_Загальне'!C11</f>
        <v>Комунальне некомерційне підприємство "Рожищнський центр первинної медико-санітарної допомоги" Рожищенської міської ради</v>
      </c>
      <c r="F6" s="1098"/>
      <c r="G6" s="1098"/>
      <c r="H6" s="1099"/>
      <c r="I6" s="666"/>
      <c r="K6" s="668"/>
      <c r="L6" s="668"/>
      <c r="M6" s="668"/>
      <c r="N6" s="668"/>
      <c r="O6" s="668"/>
      <c r="P6" s="668"/>
      <c r="Q6" s="668"/>
      <c r="R6" s="668"/>
      <c r="AR6" s="153"/>
    </row>
    <row r="7" spans="1:44" s="141" customFormat="1" ht="25.9" customHeight="1">
      <c r="A7" s="151"/>
      <c r="B7" s="1096" t="str">
        <f ca="1">'0_Загальне'!B32</f>
        <v>Плановий період (рік):</v>
      </c>
      <c r="C7" s="1097"/>
      <c r="D7" s="1097"/>
      <c r="E7" s="1100">
        <f ca="1">'0_Загальне'!C32</f>
        <v>2024</v>
      </c>
      <c r="F7" s="1100"/>
      <c r="G7" s="1100"/>
      <c r="H7" s="1101"/>
      <c r="I7" s="666"/>
      <c r="K7" s="668"/>
      <c r="L7" s="668"/>
      <c r="M7" s="668"/>
      <c r="N7" s="668"/>
      <c r="O7" s="668"/>
      <c r="P7" s="668"/>
      <c r="Q7" s="668"/>
      <c r="R7" s="668"/>
      <c r="AR7" s="153"/>
    </row>
    <row r="8" spans="1:44" s="141" customFormat="1" ht="31.9" customHeight="1" thickBot="1">
      <c r="A8" s="151"/>
      <c r="B8" s="1091" t="s">
        <v>748</v>
      </c>
      <c r="C8" s="1092"/>
      <c r="D8" s="1092"/>
      <c r="E8" s="1039" t="str">
        <f ca="1">'0_Загальне'!C34</f>
        <v>11.12.2023</v>
      </c>
      <c r="F8" s="1040"/>
      <c r="G8" s="1040"/>
      <c r="H8" s="1041"/>
      <c r="I8" s="666"/>
      <c r="K8" s="668"/>
      <c r="L8" s="668"/>
      <c r="M8" s="668"/>
      <c r="N8" s="668"/>
      <c r="O8" s="668"/>
      <c r="P8" s="668"/>
      <c r="Q8" s="668"/>
      <c r="R8" s="668"/>
      <c r="AR8" s="153"/>
    </row>
    <row r="9" spans="1:44" s="141" customFormat="1" ht="27.75" thickBot="1">
      <c r="A9" s="151"/>
      <c r="B9" s="670"/>
      <c r="C9" s="670"/>
      <c r="D9" s="671"/>
      <c r="E9" s="671"/>
      <c r="F9" s="671"/>
      <c r="G9" s="671"/>
      <c r="H9" s="671"/>
      <c r="I9" s="666"/>
      <c r="K9" s="668"/>
      <c r="L9" s="668"/>
      <c r="M9" s="668"/>
      <c r="N9" s="668"/>
      <c r="O9" s="668"/>
      <c r="P9" s="668"/>
      <c r="Q9" s="668"/>
      <c r="R9" s="668"/>
      <c r="AR9" s="153"/>
    </row>
    <row r="10" spans="1:44" s="141" customFormat="1" ht="31.15" customHeight="1" thickBot="1">
      <c r="A10" s="151"/>
      <c r="B10" s="1054" t="s">
        <v>534</v>
      </c>
      <c r="C10" s="1055"/>
      <c r="D10" s="1055"/>
      <c r="E10" s="1055"/>
      <c r="F10" s="1056"/>
      <c r="G10" s="669"/>
      <c r="K10" s="668"/>
      <c r="L10" s="668"/>
      <c r="M10" s="668"/>
      <c r="N10" s="668"/>
      <c r="O10" s="668"/>
      <c r="P10" s="668"/>
      <c r="Q10" s="668"/>
      <c r="R10" s="668"/>
      <c r="AR10" s="153"/>
    </row>
    <row r="11" spans="1:44" s="141" customFormat="1" ht="108.6" customHeight="1">
      <c r="A11" s="151"/>
      <c r="B11" s="1020" t="s">
        <v>74</v>
      </c>
      <c r="C11" s="1021"/>
      <c r="D11" s="1021"/>
      <c r="E11" s="1021"/>
      <c r="F11" s="1022"/>
      <c r="G11" s="669"/>
      <c r="H11" s="1093" t="s">
        <v>667</v>
      </c>
      <c r="I11" s="1063" t="s">
        <v>86</v>
      </c>
      <c r="L11" s="668"/>
      <c r="M11" s="668"/>
      <c r="N11" s="668"/>
      <c r="O11" s="668"/>
      <c r="P11" s="668"/>
      <c r="Q11" s="668"/>
      <c r="R11" s="668"/>
      <c r="AR11" s="153"/>
    </row>
    <row r="12" spans="1:44" s="141" customFormat="1" ht="88.15" customHeight="1">
      <c r="A12" s="151"/>
      <c r="B12" s="1048" t="s">
        <v>75</v>
      </c>
      <c r="C12" s="1049"/>
      <c r="D12" s="1049"/>
      <c r="E12" s="1049"/>
      <c r="F12" s="1050"/>
      <c r="G12" s="669"/>
      <c r="H12" s="1094"/>
      <c r="I12" s="1064"/>
      <c r="K12" s="668"/>
      <c r="L12" s="668"/>
      <c r="M12" s="668"/>
      <c r="N12" s="668"/>
      <c r="O12" s="668"/>
      <c r="P12" s="668"/>
      <c r="Q12" s="668"/>
      <c r="R12" s="668"/>
      <c r="AR12" s="153"/>
    </row>
    <row r="13" spans="1:44" s="141" customFormat="1" ht="60.6" customHeight="1" thickBot="1">
      <c r="A13" s="151"/>
      <c r="B13" s="1042" t="s">
        <v>72</v>
      </c>
      <c r="C13" s="1043"/>
      <c r="D13" s="1043"/>
      <c r="E13" s="1043"/>
      <c r="F13" s="1044"/>
      <c r="G13" s="669"/>
      <c r="H13" s="1095"/>
      <c r="I13" s="678" t="s">
        <v>563</v>
      </c>
      <c r="K13" s="668"/>
      <c r="L13" s="668"/>
      <c r="M13" s="668"/>
      <c r="N13" s="668"/>
      <c r="O13" s="668"/>
      <c r="P13" s="668"/>
      <c r="Q13" s="668"/>
      <c r="R13" s="668"/>
      <c r="AR13" s="153"/>
    </row>
    <row r="14" spans="1:44" s="141" customFormat="1" ht="38.450000000000003" customHeight="1" thickBot="1">
      <c r="A14" s="151"/>
      <c r="B14" s="1045" t="s">
        <v>73</v>
      </c>
      <c r="C14" s="1046"/>
      <c r="D14" s="1046"/>
      <c r="E14" s="1046"/>
      <c r="F14" s="1047"/>
      <c r="G14" s="669"/>
      <c r="H14" s="669"/>
      <c r="I14" s="666"/>
      <c r="K14" s="668"/>
      <c r="L14" s="668"/>
      <c r="M14" s="668"/>
      <c r="N14" s="668"/>
      <c r="O14" s="668"/>
      <c r="P14" s="668"/>
      <c r="Q14" s="668"/>
      <c r="R14" s="668"/>
      <c r="AR14" s="153"/>
    </row>
    <row r="15" spans="1:44" s="141" customFormat="1" ht="22.15" customHeight="1" thickBot="1">
      <c r="A15" s="151"/>
      <c r="B15" s="152"/>
      <c r="AM15" s="145"/>
      <c r="AR15" s="153"/>
    </row>
    <row r="16" spans="1:44" s="141" customFormat="1" ht="74.45" customHeight="1">
      <c r="A16" s="151"/>
      <c r="B16" s="1085" t="s">
        <v>273</v>
      </c>
      <c r="C16" s="1086"/>
      <c r="D16" s="1086"/>
      <c r="E16" s="672" t="s">
        <v>43</v>
      </c>
      <c r="F16" s="672" t="s">
        <v>44</v>
      </c>
      <c r="G16" s="672" t="s">
        <v>45</v>
      </c>
      <c r="H16" s="672" t="s">
        <v>46</v>
      </c>
      <c r="I16" s="673" t="s">
        <v>47</v>
      </c>
      <c r="AR16" s="153"/>
    </row>
    <row r="17" spans="1:44" s="141" customFormat="1" ht="91.9" customHeight="1">
      <c r="A17" s="151"/>
      <c r="B17" s="1012" t="s">
        <v>232</v>
      </c>
      <c r="C17" s="1013"/>
      <c r="D17" s="1014"/>
      <c r="E17" s="1018">
        <v>1000</v>
      </c>
      <c r="F17" s="1018">
        <v>1000</v>
      </c>
      <c r="G17" s="1018">
        <v>1000</v>
      </c>
      <c r="H17" s="1018">
        <v>1000</v>
      </c>
      <c r="I17" s="1034">
        <f>E17+F17+G17+H17</f>
        <v>4000</v>
      </c>
      <c r="J17" s="747"/>
      <c r="P17" s="148" t="s">
        <v>314</v>
      </c>
      <c r="Q17" s="148"/>
      <c r="AR17" s="153"/>
    </row>
    <row r="18" spans="1:44" s="141" customFormat="1" ht="57.6" customHeight="1">
      <c r="A18" s="151"/>
      <c r="B18" s="1015"/>
      <c r="C18" s="1016"/>
      <c r="D18" s="1017"/>
      <c r="E18" s="1019"/>
      <c r="F18" s="1019"/>
      <c r="G18" s="1019"/>
      <c r="H18" s="1019"/>
      <c r="I18" s="1035"/>
      <c r="P18" s="148" t="s">
        <v>312</v>
      </c>
      <c r="Q18" s="148"/>
      <c r="AR18" s="153"/>
    </row>
    <row r="19" spans="1:44" s="141" customFormat="1" ht="91.9" customHeight="1">
      <c r="A19" s="151"/>
      <c r="B19" s="1051" t="s">
        <v>3</v>
      </c>
      <c r="C19" s="1052"/>
      <c r="D19" s="1053"/>
      <c r="E19" s="809">
        <v>0</v>
      </c>
      <c r="F19" s="809">
        <v>0</v>
      </c>
      <c r="G19" s="809">
        <v>0</v>
      </c>
      <c r="H19" s="809">
        <v>0</v>
      </c>
      <c r="I19" s="810">
        <f>SUM(E19:H19)</f>
        <v>0</v>
      </c>
      <c r="P19" s="148" t="s">
        <v>314</v>
      </c>
      <c r="Q19" s="148"/>
      <c r="AR19" s="153"/>
    </row>
    <row r="20" spans="1:44" s="141" customFormat="1" ht="91.9" customHeight="1">
      <c r="A20" s="151"/>
      <c r="B20" s="1012" t="s">
        <v>2</v>
      </c>
      <c r="C20" s="1013"/>
      <c r="D20" s="1014"/>
      <c r="E20" s="1018">
        <v>18000</v>
      </c>
      <c r="F20" s="1018">
        <v>18000</v>
      </c>
      <c r="G20" s="1018">
        <v>18000</v>
      </c>
      <c r="H20" s="1018">
        <v>18000</v>
      </c>
      <c r="I20" s="1034">
        <f>E20+F20+G20+H20</f>
        <v>72000</v>
      </c>
      <c r="P20" s="148" t="s">
        <v>314</v>
      </c>
      <c r="Q20" s="148"/>
      <c r="AR20" s="153"/>
    </row>
    <row r="21" spans="1:44" s="141" customFormat="1" ht="57.6" customHeight="1">
      <c r="A21" s="151"/>
      <c r="B21" s="1015"/>
      <c r="C21" s="1016"/>
      <c r="D21" s="1017"/>
      <c r="E21" s="1019"/>
      <c r="F21" s="1019"/>
      <c r="G21" s="1019"/>
      <c r="H21" s="1019"/>
      <c r="I21" s="1035"/>
      <c r="P21" s="148" t="s">
        <v>312</v>
      </c>
      <c r="Q21" s="148"/>
      <c r="AR21" s="153"/>
    </row>
    <row r="22" spans="1:44" s="141" customFormat="1" ht="91.9" customHeight="1">
      <c r="A22" s="151"/>
      <c r="B22" s="1012" t="s">
        <v>231</v>
      </c>
      <c r="C22" s="1013"/>
      <c r="D22" s="1014"/>
      <c r="E22" s="1018">
        <f>1184262*3</f>
        <v>3552786</v>
      </c>
      <c r="F22" s="1018">
        <f>1184262*3</f>
        <v>3552786</v>
      </c>
      <c r="G22" s="1018">
        <f>1184262*3</f>
        <v>3552786</v>
      </c>
      <c r="H22" s="1018">
        <f>1184262*3</f>
        <v>3552786</v>
      </c>
      <c r="I22" s="1034">
        <f>E22+F22+G22+H22</f>
        <v>14211144</v>
      </c>
      <c r="P22" s="148" t="s">
        <v>314</v>
      </c>
      <c r="Q22" s="148"/>
      <c r="AR22" s="153"/>
    </row>
    <row r="23" spans="1:44" s="141" customFormat="1" ht="57.6" customHeight="1">
      <c r="A23" s="151"/>
      <c r="B23" s="1015"/>
      <c r="C23" s="1016"/>
      <c r="D23" s="1017"/>
      <c r="E23" s="1019"/>
      <c r="F23" s="1019"/>
      <c r="G23" s="1019"/>
      <c r="H23" s="1019"/>
      <c r="I23" s="1035"/>
      <c r="P23" s="148" t="s">
        <v>312</v>
      </c>
      <c r="Q23" s="148"/>
      <c r="AR23" s="153"/>
    </row>
    <row r="24" spans="1:44" s="141" customFormat="1" ht="91.9" customHeight="1">
      <c r="A24" s="151"/>
      <c r="B24" s="1065" t="s">
        <v>237</v>
      </c>
      <c r="C24" s="1066"/>
      <c r="D24" s="1067"/>
      <c r="E24" s="1026">
        <f>AN1340+E17+E20+E22+E19</f>
        <v>8762424.3874162696</v>
      </c>
      <c r="F24" s="1026">
        <f>AO1340+F17+F20+F22+F19</f>
        <v>8762424.3874162696</v>
      </c>
      <c r="G24" s="1026">
        <f>AP1340+G17+G20+G22+G19</f>
        <v>8762424.3874162696</v>
      </c>
      <c r="H24" s="1026">
        <f>AQ1340+H17+H20+H22+H19</f>
        <v>8762424.3874162696</v>
      </c>
      <c r="I24" s="1034">
        <f>E24+F24+G24+H24</f>
        <v>35049697.549665079</v>
      </c>
      <c r="J24" s="747"/>
      <c r="P24" s="148" t="s">
        <v>314</v>
      </c>
      <c r="Q24" s="148"/>
      <c r="AR24" s="153"/>
    </row>
    <row r="25" spans="1:44" s="141" customFormat="1" ht="57.6" customHeight="1">
      <c r="A25" s="151"/>
      <c r="B25" s="1068"/>
      <c r="C25" s="1069"/>
      <c r="D25" s="1070"/>
      <c r="E25" s="1027"/>
      <c r="F25" s="1027"/>
      <c r="G25" s="1027"/>
      <c r="H25" s="1027"/>
      <c r="I25" s="1035"/>
      <c r="P25" s="148" t="s">
        <v>312</v>
      </c>
      <c r="Q25" s="148"/>
      <c r="AR25" s="153"/>
    </row>
    <row r="26" spans="1:44" s="141" customFormat="1" ht="73.900000000000006" customHeight="1">
      <c r="A26" s="151"/>
      <c r="B26" s="1087" t="s">
        <v>48</v>
      </c>
      <c r="C26" s="1088"/>
      <c r="D26" s="1088"/>
      <c r="E26" s="146">
        <f>D1372</f>
        <v>1614088.3300439999</v>
      </c>
      <c r="F26" s="146">
        <f>E1372</f>
        <v>1228769.9168719999</v>
      </c>
      <c r="G26" s="146">
        <f>F1372</f>
        <v>841895.96136800002</v>
      </c>
      <c r="H26" s="146">
        <f>G1372</f>
        <v>1456816.8926039999</v>
      </c>
      <c r="I26" s="147">
        <f>E26+F26+G26+H26</f>
        <v>5141571.1008879999</v>
      </c>
      <c r="P26" s="148" t="s">
        <v>313</v>
      </c>
      <c r="Q26" s="148"/>
      <c r="AR26" s="153"/>
    </row>
    <row r="27" spans="1:44" s="141" customFormat="1" ht="81.599999999999994" customHeight="1" thickBot="1">
      <c r="A27" s="151"/>
      <c r="B27" s="1089" t="s">
        <v>49</v>
      </c>
      <c r="C27" s="1090"/>
      <c r="D27" s="1090"/>
      <c r="E27" s="149">
        <f>E24+E26</f>
        <v>10376512.717460269</v>
      </c>
      <c r="F27" s="149">
        <f>F24+F26</f>
        <v>9991194.30428827</v>
      </c>
      <c r="G27" s="149">
        <f>G24+G26</f>
        <v>9604320.3487842698</v>
      </c>
      <c r="H27" s="149">
        <f>H24+H26</f>
        <v>10219241.28002027</v>
      </c>
      <c r="I27" s="150">
        <f>E27+F27+G27+H27</f>
        <v>40191268.650553077</v>
      </c>
      <c r="AR27" s="153"/>
    </row>
    <row r="28" spans="1:44" s="141" customFormat="1" ht="34.9" customHeight="1">
      <c r="A28" s="151"/>
      <c r="B28" s="152"/>
      <c r="AR28" s="153"/>
    </row>
    <row r="29" spans="1:44" s="141" customFormat="1" ht="34.9" customHeight="1" thickBot="1">
      <c r="A29" s="151"/>
      <c r="B29" s="152"/>
      <c r="L29" s="140"/>
      <c r="S29" s="140"/>
      <c r="Z29" s="140"/>
      <c r="AG29" s="140"/>
      <c r="AR29" s="153"/>
    </row>
    <row r="30" spans="1:44" s="155" customFormat="1" ht="34.9" customHeight="1">
      <c r="A30" s="154"/>
      <c r="B30" s="1057" t="s">
        <v>41</v>
      </c>
      <c r="C30" s="1058"/>
      <c r="D30" s="1058"/>
      <c r="E30" s="1059"/>
      <c r="F30" s="1036" t="s">
        <v>461</v>
      </c>
      <c r="G30" s="1037"/>
      <c r="H30" s="1037"/>
      <c r="I30" s="1037"/>
      <c r="J30" s="1038"/>
      <c r="K30" s="1032" t="s">
        <v>669</v>
      </c>
      <c r="L30" s="1036" t="s">
        <v>462</v>
      </c>
      <c r="M30" s="1037"/>
      <c r="N30" s="1037"/>
      <c r="O30" s="1037"/>
      <c r="P30" s="1038"/>
      <c r="Q30" s="1032" t="s">
        <v>670</v>
      </c>
      <c r="R30" s="1036" t="s">
        <v>463</v>
      </c>
      <c r="S30" s="1037"/>
      <c r="T30" s="1037"/>
      <c r="U30" s="1037"/>
      <c r="V30" s="1038"/>
      <c r="W30" s="1032" t="s">
        <v>671</v>
      </c>
      <c r="X30" s="1036" t="s">
        <v>464</v>
      </c>
      <c r="Y30" s="1037"/>
      <c r="Z30" s="1037"/>
      <c r="AA30" s="1037"/>
      <c r="AB30" s="1037"/>
      <c r="AC30" s="1032" t="s">
        <v>672</v>
      </c>
      <c r="AG30" s="156"/>
      <c r="AR30" s="157"/>
    </row>
    <row r="31" spans="1:44" s="164" customFormat="1" ht="45.6" customHeight="1" thickBot="1">
      <c r="A31" s="158"/>
      <c r="B31" s="1060"/>
      <c r="C31" s="1061"/>
      <c r="D31" s="1061"/>
      <c r="E31" s="1062"/>
      <c r="F31" s="159" t="s">
        <v>404</v>
      </c>
      <c r="G31" s="160" t="s">
        <v>405</v>
      </c>
      <c r="H31" s="160" t="s">
        <v>406</v>
      </c>
      <c r="I31" s="160" t="s">
        <v>407</v>
      </c>
      <c r="J31" s="161" t="s">
        <v>408</v>
      </c>
      <c r="K31" s="1033"/>
      <c r="L31" s="580" t="s">
        <v>404</v>
      </c>
      <c r="M31" s="160" t="s">
        <v>405</v>
      </c>
      <c r="N31" s="160" t="s">
        <v>406</v>
      </c>
      <c r="O31" s="160" t="s">
        <v>407</v>
      </c>
      <c r="P31" s="161" t="s">
        <v>408</v>
      </c>
      <c r="Q31" s="1033"/>
      <c r="R31" s="159" t="s">
        <v>404</v>
      </c>
      <c r="S31" s="162" t="s">
        <v>405</v>
      </c>
      <c r="T31" s="160" t="s">
        <v>406</v>
      </c>
      <c r="U31" s="160" t="s">
        <v>407</v>
      </c>
      <c r="V31" s="161" t="s">
        <v>408</v>
      </c>
      <c r="W31" s="1033"/>
      <c r="X31" s="159" t="s">
        <v>404</v>
      </c>
      <c r="Y31" s="160" t="s">
        <v>405</v>
      </c>
      <c r="Z31" s="581" t="s">
        <v>406</v>
      </c>
      <c r="AA31" s="160" t="s">
        <v>407</v>
      </c>
      <c r="AB31" s="163" t="s">
        <v>408</v>
      </c>
      <c r="AC31" s="1033"/>
      <c r="AG31" s="165"/>
      <c r="AR31" s="166"/>
    </row>
    <row r="32" spans="1:44" s="141" customFormat="1" ht="48.6" customHeight="1">
      <c r="A32" s="151"/>
      <c r="B32" s="1107" t="s">
        <v>734</v>
      </c>
      <c r="C32" s="1108"/>
      <c r="D32" s="1108"/>
      <c r="E32" s="1109"/>
      <c r="F32" s="167"/>
      <c r="G32" s="168" t="e">
        <f>H1340+H1341</f>
        <v>#VALUE!</v>
      </c>
      <c r="H32" s="168" t="e">
        <f>I1340+I1341</f>
        <v>#VALUE!</v>
      </c>
      <c r="I32" s="168" t="e">
        <f>J1340+J1341</f>
        <v>#VALUE!</v>
      </c>
      <c r="J32" s="169" t="e">
        <f>K1340+K1341</f>
        <v>#VALUE!</v>
      </c>
      <c r="K32" s="170" t="e">
        <f>SUM(F32:J32)</f>
        <v>#VALUE!</v>
      </c>
      <c r="L32" s="167" t="e">
        <f>N1340+N1341</f>
        <v>#VALUE!</v>
      </c>
      <c r="M32" s="168" t="e">
        <f>O1340+O1341</f>
        <v>#VALUE!</v>
      </c>
      <c r="N32" s="168" t="e">
        <f>P1340+P1341</f>
        <v>#VALUE!</v>
      </c>
      <c r="O32" s="168" t="e">
        <f>Q1340+Q1341</f>
        <v>#VALUE!</v>
      </c>
      <c r="P32" s="169" t="e">
        <f>R1340+R1341</f>
        <v>#VALUE!</v>
      </c>
      <c r="Q32" s="170" t="e">
        <f>SUM(L32:P32)</f>
        <v>#VALUE!</v>
      </c>
      <c r="R32" s="167" t="e">
        <f>U1340+U1341</f>
        <v>#VALUE!</v>
      </c>
      <c r="S32" s="168" t="e">
        <f>V1340+V1341</f>
        <v>#VALUE!</v>
      </c>
      <c r="T32" s="168" t="e">
        <f>W1340+W1341</f>
        <v>#VALUE!</v>
      </c>
      <c r="U32" s="168" t="e">
        <f>X1340+X1341</f>
        <v>#VALUE!</v>
      </c>
      <c r="V32" s="169" t="e">
        <f>Y1340+Y1341</f>
        <v>#VALUE!</v>
      </c>
      <c r="W32" s="170" t="e">
        <f>SUM(R32:V32)</f>
        <v>#VALUE!</v>
      </c>
      <c r="X32" s="167" t="e">
        <f>AB1340+AB1341</f>
        <v>#VALUE!</v>
      </c>
      <c r="Y32" s="168" t="e">
        <f>AC1340+AC1341</f>
        <v>#VALUE!</v>
      </c>
      <c r="Z32" s="168" t="e">
        <f>AD1340+AD1341</f>
        <v>#VALUE!</v>
      </c>
      <c r="AA32" s="168" t="e">
        <f>AE1340+AE1341</f>
        <v>#VALUE!</v>
      </c>
      <c r="AB32" s="171" t="e">
        <f>AF1340+AF1341</f>
        <v>#VALUE!</v>
      </c>
      <c r="AC32" s="170" t="e">
        <f>SUM(X32:AB32)</f>
        <v>#VALUE!</v>
      </c>
      <c r="AG32" s="140"/>
      <c r="AR32" s="153"/>
    </row>
    <row r="33" spans="1:44" s="141" customFormat="1" ht="57.6" customHeight="1">
      <c r="A33" s="151"/>
      <c r="B33" s="1110" t="s">
        <v>735</v>
      </c>
      <c r="C33" s="1111"/>
      <c r="D33" s="1111"/>
      <c r="E33" s="1112"/>
      <c r="F33" s="172" t="e">
        <f>G1342+G1343</f>
        <v>#VALUE!</v>
      </c>
      <c r="G33" s="173" t="e">
        <f>H1342+H1343</f>
        <v>#VALUE!</v>
      </c>
      <c r="H33" s="173" t="e">
        <f>I1342+I1343</f>
        <v>#VALUE!</v>
      </c>
      <c r="I33" s="173" t="e">
        <f>J1342+J1343</f>
        <v>#VALUE!</v>
      </c>
      <c r="J33" s="174" t="e">
        <f>K1342+K1343</f>
        <v>#VALUE!</v>
      </c>
      <c r="K33" s="175" t="e">
        <f>SUM(F33:J33)</f>
        <v>#VALUE!</v>
      </c>
      <c r="L33" s="172" t="e">
        <f>N1342+N1343</f>
        <v>#VALUE!</v>
      </c>
      <c r="M33" s="173" t="e">
        <f>O1342+O1343</f>
        <v>#VALUE!</v>
      </c>
      <c r="N33" s="173" t="e">
        <f>P1342+P1343</f>
        <v>#VALUE!</v>
      </c>
      <c r="O33" s="173" t="e">
        <f>Q1342+Q1343</f>
        <v>#VALUE!</v>
      </c>
      <c r="P33" s="174" t="e">
        <f>R1342+R1343</f>
        <v>#VALUE!</v>
      </c>
      <c r="Q33" s="175" t="e">
        <f>SUM(L33:P33)</f>
        <v>#VALUE!</v>
      </c>
      <c r="R33" s="172" t="e">
        <f>U1342+U1343</f>
        <v>#VALUE!</v>
      </c>
      <c r="S33" s="173" t="e">
        <f>V1342+V1343</f>
        <v>#VALUE!</v>
      </c>
      <c r="T33" s="173" t="e">
        <f>W1342+W1343</f>
        <v>#VALUE!</v>
      </c>
      <c r="U33" s="173" t="e">
        <f>X1342+X1343</f>
        <v>#VALUE!</v>
      </c>
      <c r="V33" s="174" t="e">
        <f>Y1342+Y1343</f>
        <v>#VALUE!</v>
      </c>
      <c r="W33" s="175" t="e">
        <f>SUM(R33:V33)</f>
        <v>#VALUE!</v>
      </c>
      <c r="X33" s="172" t="e">
        <f>AB1342+AB1343</f>
        <v>#VALUE!</v>
      </c>
      <c r="Y33" s="173" t="e">
        <f>AC1342+AC1343</f>
        <v>#VALUE!</v>
      </c>
      <c r="Z33" s="173" t="e">
        <f>AD1342+AD1343</f>
        <v>#VALUE!</v>
      </c>
      <c r="AA33" s="173" t="e">
        <f>AE1342+AE1343</f>
        <v>#VALUE!</v>
      </c>
      <c r="AB33" s="176" t="e">
        <f>AF1342+AF1343</f>
        <v>#VALUE!</v>
      </c>
      <c r="AC33" s="175" t="e">
        <f>SUM(X33:AB33)</f>
        <v>#VALUE!</v>
      </c>
      <c r="AG33" s="140"/>
      <c r="AR33" s="153"/>
    </row>
    <row r="34" spans="1:44" s="141" customFormat="1" ht="57.6" customHeight="1">
      <c r="A34" s="151"/>
      <c r="B34" s="1110" t="s">
        <v>736</v>
      </c>
      <c r="C34" s="1111"/>
      <c r="D34" s="1111"/>
      <c r="E34" s="1112"/>
      <c r="F34" s="177" t="e">
        <f ca="1">F33*Законод!$C$11</f>
        <v>#VALUE!</v>
      </c>
      <c r="G34" s="178" t="e">
        <f ca="1">G33*Законод!$D$11</f>
        <v>#VALUE!</v>
      </c>
      <c r="H34" s="178" t="e">
        <f ca="1">H33*Законод!$E$11</f>
        <v>#VALUE!</v>
      </c>
      <c r="I34" s="178" t="e">
        <f ca="1">I33*Законод!$F$11</f>
        <v>#VALUE!</v>
      </c>
      <c r="J34" s="179" t="e">
        <f ca="1">J33*Законод!$G$11</f>
        <v>#VALUE!</v>
      </c>
      <c r="K34" s="180" t="e">
        <f ca="1">SUM(F34:J34)</f>
        <v>#VALUE!</v>
      </c>
      <c r="L34" s="177" t="e">
        <f ca="1">L33*Законод!$C$11</f>
        <v>#VALUE!</v>
      </c>
      <c r="M34" s="178" t="e">
        <f ca="1">M33*Законод!$D$11</f>
        <v>#VALUE!</v>
      </c>
      <c r="N34" s="178" t="e">
        <f ca="1">N33*Законод!$E$11</f>
        <v>#VALUE!</v>
      </c>
      <c r="O34" s="178" t="e">
        <f ca="1">O33*Законод!$F$11</f>
        <v>#VALUE!</v>
      </c>
      <c r="P34" s="179" t="e">
        <f ca="1">P33*Законод!$G$11</f>
        <v>#VALUE!</v>
      </c>
      <c r="Q34" s="180" t="e">
        <f ca="1">SUM(L34:P34)</f>
        <v>#VALUE!</v>
      </c>
      <c r="R34" s="177" t="e">
        <f ca="1">R33*Законод!$C$11</f>
        <v>#VALUE!</v>
      </c>
      <c r="S34" s="178" t="e">
        <f ca="1">S33*Законод!$D$11</f>
        <v>#VALUE!</v>
      </c>
      <c r="T34" s="178" t="e">
        <f ca="1">T33*Законод!$E$11</f>
        <v>#VALUE!</v>
      </c>
      <c r="U34" s="178" t="e">
        <f ca="1">U33*Законод!$F$11</f>
        <v>#VALUE!</v>
      </c>
      <c r="V34" s="179" t="e">
        <f ca="1">V33*Законод!$G$11</f>
        <v>#VALUE!</v>
      </c>
      <c r="W34" s="180" t="e">
        <f ca="1">SUM(R34:V34)</f>
        <v>#VALUE!</v>
      </c>
      <c r="X34" s="177" t="e">
        <f ca="1">X33*Законод!$C$11</f>
        <v>#VALUE!</v>
      </c>
      <c r="Y34" s="178" t="e">
        <f ca="1">Y33*Законод!$D$11</f>
        <v>#VALUE!</v>
      </c>
      <c r="Z34" s="178" t="e">
        <f ca="1">Z33*Законод!$E$11</f>
        <v>#VALUE!</v>
      </c>
      <c r="AA34" s="178" t="e">
        <f ca="1">AA33*Законод!$F$11</f>
        <v>#VALUE!</v>
      </c>
      <c r="AB34" s="181" t="e">
        <f ca="1">AB33*Законод!$G$11</f>
        <v>#VALUE!</v>
      </c>
      <c r="AC34" s="180" t="e">
        <f>SUM(X34:AB34)</f>
        <v>#VALUE!</v>
      </c>
      <c r="AG34" s="140"/>
      <c r="AR34" s="153"/>
    </row>
    <row r="35" spans="1:44" s="183" customFormat="1" ht="57.6" customHeight="1">
      <c r="A35" s="182"/>
      <c r="B35" s="1110" t="s">
        <v>737</v>
      </c>
      <c r="C35" s="1111"/>
      <c r="D35" s="1111"/>
      <c r="E35" s="1112"/>
      <c r="F35" s="1023" t="s">
        <v>425</v>
      </c>
      <c r="G35" s="1024"/>
      <c r="H35" s="1024"/>
      <c r="I35" s="1024"/>
      <c r="J35" s="1025"/>
      <c r="K35" s="175">
        <f>SUM(L47:L52)+SUM(L60:L65)+SUM(L73:L78)+SUM(L86:L91)+SUM(L99:L104)+SUM(L112:L117)+SUM(L125:L130)+SUM(L138:L143)+SUM(L151:L156)+SUM(L164:L169)+SUM(L177:L182)+SUM(L190:L195)+SUM(L203:L208)+SUM(L216:L221)+SUM(L229:L234)+SUM(L242:L247)+SUM(L255:L260)+SUM(L268:L273)+SUM(L281:L286)+SUM(L294:L299)+SUM(L307:L312)+SUM(L320:L325)+SUM(L333:L338)+SUM(L346:L351)+SUM(L359:L364)+SUM(L372:L377)+SUM(L385:L390)+SUM(L398:L403)+SUM(L411:L416)+SUM(L424:L429)+SUM(L437:L442)+SUM(L450:L455)+SUM(L463:L468)+SUM(L476:L481)+SUM(L489:L494)+SUM(L502:L507)+SUM(L515:L520)+SUM(L528:L533)+SUM(L541:L546)+SUM(L554:L559)+SUM(L567:L572)+SUM(L580:L585)+SUM(L593:L598)+SUM(L606:L611)+SUM(L619:L624)+SUM(L632:L637)+SUM(L645:L650)+SUM(L658:L663)+SUM(L671:L676)+SUM(L684:L689)+SUM(L697:L702)+SUM(L710:L715)+SUM(L723:L728)+SUM(L736:L741)+SUM(L749:L754)+SUM(L762:L767)+SUM(L775:L780)+SUM(L788:L793)+SUM(L801:L806)+SUM(L814:L819)+SUM(L827:L832)+SUM(L840:L845)+SUM(L853:L858)+SUM(L866:L871)+SUM(L879:L884)+SUM(L892:L897)+SUM(L905:L910)+SUM(L918:L923)+SUM(L931:L936)+SUM(L944:L949)+SUM(L957:L962)+SUM(L970:L975)+SUM(L983:L988)+SUM(L996:L1001)+SUM(L1009:L1015)+SUM(L1022:L1027)+SUM(L1035:L1040)+SUM(L1048:L1053)+SUM(L1061:L1066)+SUM(L1074:L1079)+SUM(L1087:L1092)+SUM(L1100:L1105)+SUM(L1113:L1118)+SUM(L1126:L1131)+SUM(L1139:L1144)+SUM(L1152:L1157)+SUM(L1165:L1170)+SUM(L1178:L1183)+SUM(L1191:L1196)+SUM(L1204:L1209)+SUM(L1217:L1222)+SUM(L1230:L1235)+SUM(L1243:L1248)+SUM(L1256:L1261)+SUM(L1269:L1274)+SUM(L1282:L1287)+SUM(L1295:L1300)+SUM(L1308:L1313)+SUM(L1321:L1326)+SUM(L1334:L1339)</f>
        <v>1398.6666666666665</v>
      </c>
      <c r="L35" s="1023" t="s">
        <v>425</v>
      </c>
      <c r="M35" s="1024"/>
      <c r="N35" s="1024"/>
      <c r="O35" s="1024"/>
      <c r="P35" s="1025"/>
      <c r="Q35" s="175">
        <f>SUM(S47:S52)+SUM(S60:S65)+SUM(S73:S78)+SUM(S86:S91)+SUM(S99:S104)+SUM(S112:S117)+SUM(S125:S130)+SUM(S138:S143)+SUM(S151:S156)+SUM(S164:S169)+SUM(S177:S182)+SUM(S190:S195)+SUM(S203:S208)+SUM(S216:S221)+SUM(S229:S234)+SUM(S242:S247)+SUM(S255:S260)+SUM(S268:S273)+SUM(S281:S286)+SUM(S294:S299)+SUM(S307:S312)+SUM(S320:S325)+SUM(S333:S338)+SUM(S346:S351)+SUM(S359:S364)+SUM(S372:S377)+SUM(S385:S390)+SUM(S398:S403)+SUM(S411:S416)+SUM(S424:S429)+SUM(S437:S442)+SUM(S450:S455)+SUM(S463:S468)+SUM(S476:S481)+SUM(S489:S494)+SUM(S502:S507)+SUM(S515:S520)+SUM(S528:S533)+SUM(S541:S546)+SUM(S554:S559)+SUM(S567:S572)+SUM(S580:S585)+SUM(S593:S598)+SUM(S606:S611)+SUM(S619:S624)+SUM(S632:S637)+SUM(S645:S650)+SUM(S658:S663)+SUM(S671:S676)+SUM(S684:S689)+SUM(S697:S702)+SUM(S710:S715)+SUM(S723:S728)+SUM(S736:S741)+SUM(S749:S754)+SUM(S762:S767)+SUM(S775:S780)+SUM(S788:S793)+SUM(S801:S806)+SUM(S814:S819)+SUM(S827:S832)+SUM(S840:S845)+SUM(S853:S858)+SUM(S866:S871)+SUM(S879:S884)+SUM(S892:S897)+SUM(S905:S910)+SUM(S918:S923)+SUM(S931:S936)+SUM(S944:S949)+SUM(S957:S962)+SUM(S970:S975)+SUM(S983:S988)+SUM(S996:S1001)+SUM(S1009:S1015)+SUM(S1022:S1027)+SUM(S1035:S1040)+SUM(S1048:S1053)+SUM(S1061:S1066)+SUM(S1074:S1079)+SUM(S1087:S1092)+SUM(S1100:S1105)+SUM(S1113:S1118)+SUM(S1126:S1131)+SUM(S1139:S1144)+SUM(S1152:S1157)+SUM(S1165:S1170)+SUM(S1178:S1183)+SUM(S1191:S1196)+SUM(S1204:S1209)+SUM(S1217:S1222)+SUM(S1230:S1235)+SUM(S1243:S1248)+SUM(S1256:S1261)+SUM(S1269:S1274)+SUM(S1282:S1287)+SUM(S1295:S1300)+SUM(S1308:S1313)+SUM(S1321:S1326)+SUM(S1334:S1339)</f>
        <v>1398.6666666666665</v>
      </c>
      <c r="R35" s="1023" t="s">
        <v>425</v>
      </c>
      <c r="S35" s="1024"/>
      <c r="T35" s="1024"/>
      <c r="U35" s="1024"/>
      <c r="V35" s="1025"/>
      <c r="W35" s="175">
        <f>SUM(Z47:Z52)+SUM(Z60:Z65)+SUM(Z73:Z78)+SUM(Z86:Z91)+SUM(Z99:Z104)+SUM(Z112:Z117)+SUM(Z125:Z130)+SUM(Z138:Z143)+SUM(Z151:Z156)+SUM(Z164:Z169)+SUM(Z177:Z182)+SUM(Z190:Z195)+SUM(Z203:Z208)+SUM(Z216:Z221)+SUM(Z229:Z234)+SUM(Z242:Z247)+SUM(Z255:Z260)+SUM(Z268:Z273)+SUM(Z281:Z286)+SUM(Z294:Z299)+SUM(Z307:Z312)+SUM(Z320:Z325)+SUM(Z333:Z338)+SUM(Z346:Z351)+SUM(Z359:Z364)+SUM(Z372:Z377)+SUM(Z385:Z390)+SUM(Z398:Z403)+SUM(Z411:Z416)+SUM(Z424:Z429)+SUM(Z437:Z442)+SUM(Z450:Z455)+SUM(Z463:Z468)+SUM(Z476:Z481)+SUM(Z489:Z494)+SUM(Z502:Z507)+SUM(Z515:Z520)+SUM(Z528:Z533)+SUM(Z541:Z546)+SUM(Z554:Z559)+SUM(Z567:Z572)+SUM(Z580:Z585)+SUM(Z593:Z598)+SUM(Z606:Z611)+SUM(Z619:Z624)+SUM(Z632:Z637)+SUM(Z645:Z650)+SUM(Z658:Z663)+SUM(Z671:Z676)+SUM(Z684:Z689)+SUM(Z697:Z702)+SUM(Z710:Z715)+SUM(Z723:Z728)+SUM(Z736:Z741)+SUM(Z749:Z754)+SUM(Z762:Z767)+SUM(Z775:Z780)+SUM(Z788:Z793)+SUM(Z801:Z806)+SUM(Z814:Z819)+SUM(Z827:Z832)+SUM(Z840:Z845)+SUM(Z853:Z858)+SUM(Z866:Z871)+SUM(Z879:Z884)+SUM(Z892:Z897)+SUM(Z905:Z910)+SUM(Z918:Z923)+SUM(Z931:Z936)+SUM(Z944:Z949)+SUM(Z957:Z962)+SUM(Z970:Z975)+SUM(Z983:Z988)+SUM(Z996:Z1001)+SUM(Z1009:Z1015)+SUM(Z1022:Z1027)+SUM(Z1035:Z1040)+SUM(Z1048:Z1053)+SUM(Z1061:Z1066)+SUM(Z1074:Z1079)+SUM(Z1087:Z1092)+SUM(Z1100:Z1105)+SUM(Z1113:Z1118)+SUM(Z1126:Z1131)+SUM(Z1139:Z1144)+SUM(Z1152:Z1157)+SUM(Z1165:Z1170)+SUM(Z1178:Z1183)+SUM(Z1191:Z1196)+SUM(Z1204:Z1209)+SUM(Z1217:Z1222)+SUM(Z1230:Z1235)+SUM(Z1243:Z1248)+SUM(Z1256:Z1261)+SUM(Z1269:Z1274)+SUM(Z1282:Z1287)+SUM(Z1295:Z1300)+SUM(Z1308:Z1313)+SUM(Z1321:Z1326)+SUM(Z1334:Z1339)</f>
        <v>1398.6666666666665</v>
      </c>
      <c r="X35" s="1023" t="s">
        <v>425</v>
      </c>
      <c r="Y35" s="1024"/>
      <c r="Z35" s="1024"/>
      <c r="AA35" s="1024"/>
      <c r="AB35" s="1024"/>
      <c r="AC35" s="175">
        <f>SUM(AG47:AG52)+SUM(AG60:AG65)+SUM(AG73:AG78)+SUM(AG86:AG91)+SUM(AG99:AG104)+SUM(AG112:AG117)+SUM(AG125:AG130)+SUM(AG138:AG143)+SUM(AG151:AG156)+SUM(AG164:AG169)+SUM(AG177:AG182)+SUM(AG190:AG195)+SUM(AG203:AG208)+SUM(AG216:AG221)+SUM(AG229:AG234)+SUM(AG242:AG247)+SUM(AG255:AG260)+SUM(AG268:AG273)+SUM(AG281:AG286)+SUM(AG294:AG299)+SUM(AG307:AG312)+SUM(AG320:AG325)+SUM(AG333:AG338)+SUM(AG346:AG351)+SUM(AG359:AG364)+SUM(AG372:AG377)+SUM(AG385:AG390)+SUM(AG398:AG403)+SUM(AG411:AG416)+SUM(AG424:AG429)+SUM(AG437:AG442)+SUM(AG450:AG455)+SUM(AG463:AG468)+SUM(AG476:AG481)+SUM(AG489:AG494)+SUM(AG502:AG507)+SUM(AG515:AG520)+SUM(AG528:AG533)+SUM(AG541:AG546)+SUM(AG554:AG559)+SUM(AG567:AG572)+SUM(AG580:AG585)+SUM(AG593:AG598)+SUM(AG606:AG611)+SUM(AG619:AG624)+SUM(AG632:AG637)+SUM(AG645:AG650)+SUM(AG658:AG663)+SUM(AG671:AG676)+SUM(AG684:AG689)+SUM(AG697:AG702)+SUM(AG710:AG715)+SUM(AG723:AG728)+SUM(AG736:AG741)+SUM(AG749:AG754)+SUM(AG762:AG767)+SUM(AG775:AG780)+SUM(AG788:AG793)+SUM(AG801:AG806)+SUM(AG814:AG819)+SUM(AG827:AG832)+SUM(AG840:AG845)+SUM(AG853:AG858)+SUM(AG866:AG871)+SUM(AG879:AG884)+SUM(AG892:AG897)+SUM(AG905:AG910)+SUM(AG918:AG923)+SUM(AG931:AG936)+SUM(AG944:AG949)+SUM(AG957:AG962)+SUM(AG970:AG975)+SUM(AG983:AG988)+SUM(AG996:AG1001)+SUM(AG1009:AG1015)+SUM(AG1022:AG1027)+SUM(AG1035:AG1040)+SUM(AG1048:AG1053)+SUM(AG1061:AG1066)+SUM(AG1074:AG1079)+SUM(AG1087:AG1092)+SUM(AG1100:AG1105)+SUM(AG1113:AG1118)+SUM(AG1126:AG1131)+SUM(AG1139:AG1144)+SUM(AG1152:AG1157)+SUM(AG1165:AG1170)+SUM(AG1178:AG1183)+SUM(AG1191:AG1196)+SUM(AG1204:AG1209)+SUM(AG1217:AG1222)+SUM(AG1230:AG1235)+SUM(AG1243:AG1248)+SUM(AG1256:AG1261)+SUM(AG1269:AG1274)+SUM(AG1282:AG1287)+SUM(AG1295:AG1300)+SUM(AG1308:AG1313)+SUM(AG1321:AG1326)+SUM(AG1334:AG1339)</f>
        <v>1398.6666666666665</v>
      </c>
      <c r="AG35" s="165"/>
    </row>
    <row r="36" spans="1:44" s="186" customFormat="1" ht="52.9" customHeight="1" thickBot="1">
      <c r="A36" s="184"/>
      <c r="B36" s="1104" t="s">
        <v>738</v>
      </c>
      <c r="C36" s="1105"/>
      <c r="D36" s="1105"/>
      <c r="E36" s="1106"/>
      <c r="F36" s="1071" t="s">
        <v>425</v>
      </c>
      <c r="G36" s="1072"/>
      <c r="H36" s="1072"/>
      <c r="I36" s="1072"/>
      <c r="J36" s="1073"/>
      <c r="K36" s="185">
        <f>SUM(AN47:AN52)+SUM(AN60:AN65)+SUM(AN73:AN78)+SUM(AN86:AN91)+SUM(AN99:AN104)+SUM(AN112:AN117)+SUM(AN125:AN130)+SUM(AN138:AN143)+SUM(AN151:AN156)+SUM(AN164:AN169)+SUM(AN177:AN182)+SUM(AN190:AN195)+SUM(AN203:AN208)+SUM(AN216:AN221)+SUM(AN229:AN234)+SUM(AN242:AN247)+SUM(AN255:AN260)+SUM(AN268:AN273)+SUM(AN281:AN286)+SUM(AN294:AN299)+SUM(AN307:AN312)+SUM(AN320:AN325)+SUM(AN333:AN338)+SUM(AN346:AN351)+SUM(AN359:AN364)+SUM(AN372:AN377)+SUM(AN385:AN390)+SUM(AN398:AN403)+SUM(AN411:AN416)+SUM(AN424:AN429)+SUM(AN437:AN442)+SUM(AN450:AN455)+SUM(AN463:AN468)+SUM(AN476:AN481)+SUM(AN489:AN494)+SUM(AN502:AN507)+SUM(AN515:AN520)+SUM(AN528:AN533)+SUM(AN541:AN546)+SUM(AN554:AN559)+SUM(AN567:AN572)+SUM(AN580:AN585)+SUM(AN593:AN598)+SUM(AN606:AN611)+SUM(AN619:AN624)+SUM(AN632:AN637)+SUM(AN645:AN650)+SUM(AN658:AN663)+SUM(AN671:AN676)+SUM(AN684:AN689)+SUM(AN697:AN702)+SUM(AN710:AN715)+SUM(AN723:AN728)+SUM(AN736:AN741)+SUM(AN749:AN754)+SUM(AN762:AN767)+SUM(AN775:AN780)+SUM(AN788:AN793)+SUM(AN801:AN806)+SUM(AN814:AN819)+SUM(AN827:AN832)+SUM(AN840:AN845)+SUM(AN853:AN858)+SUM(AN866:AN871)+SUM(AN879:AN884)+SUM(AN892:AN897)+SUM(AN905:AN910)+SUM(AN918:AN923)+SUM(AN931:AN936)+SUM(AN944:AN949)+SUM(AN957:AN962)+SUM(AN970:AN975)+SUM(AN983:AN988)+SUM(AN996:AN1001)+SUM(AN1009:AN1014)+SUM(AN1022:AN1027)+SUM(AN1035:AN1040)+SUM(AN1048:AN1053)+SUM(AN1061:AN1066)+SUM(AN1074:AN1079)+SUM(AN1087:AN1092)+SUM(AN1100:AN1105)+SUM(AN1113:AN1118)+SUM(AN1126:AN1131)+SUM(AN1139:AN1144)+SUM(AN1152:AN1157)+SUM(AN1165:AN1170)+SUM(AN1178:AN1183)+SUM(AN1191:AN1196)+SUM(AN1204:AN1209)+SUM(AN1217:AN1222)+SUM(AN1230:AN1235)+SUM(AN1243:AN1248)+SUM(AN1256:AN1261)+SUM(AN1269:AN1274)+SUM(AN1282:AN1287)+SUM(AN1295:AN1300)+SUM(AN1308:AN1313)+SUM(AN1321:AN1326)+SUM(AN1334:AN1339)</f>
        <v>144032.40284583333</v>
      </c>
      <c r="L36" s="1071" t="s">
        <v>425</v>
      </c>
      <c r="M36" s="1072"/>
      <c r="N36" s="1072"/>
      <c r="O36" s="1072"/>
      <c r="P36" s="1073"/>
      <c r="Q36" s="185">
        <f>SUM(AO47:AO52)+SUM(AO60:AO65)+SUM(AO73:AO78)+SUM(AO86:AO91)+SUM(AO99:AO104)+SUM(AO112:AO117)+SUM(AO125:AO130)+SUM(AO138:AO143)+SUM(AO151:AO156)+SUM(AO164:AO169)+SUM(AO177:AO182)+SUM(AO190:AO195)+SUM(AO203:AO208)+SUM(AO216:AO221)+SUM(AO229:AO234)+SUM(AO242:AO247)+SUM(AO255:AO260)+SUM(AO268:AO273)+SUM(AO281:AO286)+SUM(AO294:AO299)+SUM(AO307:AO312)+SUM(AO320:AO325)+SUM(AO333:AO338)+SUM(AO346:AO351)+SUM(AO359:AO364)+SUM(AO372:AO377)+SUM(AO385:AO390)+SUM(AO398:AO403)+SUM(AO411:AO416)+SUM(AO424:AO429)+SUM(AO437:AO442)+SUM(AO450:AO455)+SUM(AO463:AO468)+SUM(AO476:AO481)+SUM(AO489:AO494)+SUM(AO502:AO507)+SUM(AO515:AO520)+SUM(AO528:AO533)+SUM(AO541:AO546)+SUM(AO554:AO559)+SUM(AO567:AO572)+SUM(AO580:AO585)+SUM(AO593:AO598)+SUM(AO606:AO611)+SUM(AO619:AO624)+SUM(AO632:AO637)+SUM(AO645:AO650)+SUM(AO658:AO663)+SUM(AO671:AO676)+SUM(AO684:AO689)+SUM(AO697:AO702)+SUM(AO710:AO715)+SUM(AO723:AO728)+SUM(AO736:AO741)+SUM(AO749:AO754)+SUM(AO762:AO767)+SUM(AO775:AO780)+SUM(AO788:AO793)+SUM(AO801:AO806)+SUM(AO814:AO819)+SUM(AO827:AO832)+SUM(AO840:AO845)+SUM(AO853:AO858)+SUM(AO866:AO871)+SUM(AO879:AO884)+SUM(AO892:AO897)+SUM(AO905:AO910)+SUM(AO918:AO923)+SUM(AO931:AO936)+SUM(AO944:AO949)+SUM(AO957:AO962)+SUM(AO970:AO975)+SUM(AO983:AO988)+SUM(AO996:AO1001)+SUM(AO1009:AO1014)+SUM(AO1022:AO1027)+SUM(AO1035:AO1040)+SUM(AO1048:AO1053)+SUM(AO1061:AO1066)+SUM(AO1074:AO1079)+SUM(AO1087:AO1092)+SUM(AO1100:AO1105)+SUM(AO1113:AO1118)+SUM(AO1126:AO1131)+SUM(AO1139:AO1144)+SUM(AO1152:AO1157)+SUM(AO1165:AO1170)+SUM(AO1178:AO1183)+SUM(AO1191:AO1196)+SUM(AO1204:AO1209)+SUM(AO1217:AO1222)+SUM(AO1230:AO1235)+SUM(AO1243:AO1248)+SUM(AO1256:AO1261)+SUM(AO1269:AO1274)+SUM(AO1282:AO1287)+SUM(AO1295:AO1300)+SUM(AO1308:AO1313)+SUM(AO1321:AO1326)+SUM(AO1334:AO1339)</f>
        <v>144032.40284583333</v>
      </c>
      <c r="R36" s="1071" t="s">
        <v>425</v>
      </c>
      <c r="S36" s="1072"/>
      <c r="T36" s="1072"/>
      <c r="U36" s="1072"/>
      <c r="V36" s="1073"/>
      <c r="W36" s="185">
        <f>SUM(AP47:AP52)+SUM(AP60:AP65)+SUM(AP73:AP78)+SUM(AP86:AP91)+SUM(AP99:AP104)+SUM(AP112:AP117)+SUM(AP125:AP130)+SUM(AP138:AP143)+SUM(AP151:AP156)+SUM(AP164:AP169)+SUM(AP177:AP182)+SUM(AP190:AP195)+SUM(AP203:AP208)+SUM(AP216:AP221)+SUM(AP229:AP234)+SUM(AP242:AP247)+SUM(AP255:AP260)+SUM(AP268:AP273)+SUM(AP281:AP286)+SUM(AP294:AP299)+SUM(AP307:AP312)+SUM(AP320:AP325)+SUM(AP333:AP338)+SUM(AP346:AP351)+SUM(AP359:AP364)+SUM(AP372:AP377)+SUM(AP385:AP390)+SUM(AP398:AP403)+SUM(AP411:AP416)+SUM(AP424:AP429)+SUM(AP437:AP442)+SUM(AP450:AP455)+SUM(AP463:AP468)+SUM(AP476:AP481)+SUM(AP489:AP494)+SUM(AP502:AP507)+SUM(AP515:AP520)+SUM(AP528:AP533)+SUM(AP541:AP546)+SUM(AP554:AP559)+SUM(AP567:AP572)+SUM(AP580:AP585)+SUM(AP593:AP598)+SUM(AP606:AP611)+SUM(AP619:AP624)+SUM(AP632:AP637)+SUM(AP645:AP650)+SUM(AP658:AP663)+SUM(AP671:AP676)+SUM(AP684:AP689)+SUM(AP697:AP702)+SUM(AP710:AP715)+SUM(AP723:AP728)+SUM(AP736:AP741)+SUM(AP749:AP754)+SUM(AP762:AP767)+SUM(AP775:AP780)+SUM(AP788:AP793)+SUM(AP801:AP806)+SUM(AP814:AP819)+SUM(AP827:AP832)+SUM(AP840:AP845)+SUM(AP853:AP858)+SUM(AP866:AP871)+SUM(AP879:AP884)+SUM(AP892:AP897)+SUM(AP905:AP910)+SUM(AP918:AP923)+SUM(AP931:AP936)+SUM(AP944:AP949)+SUM(AP957:AP962)+SUM(AP970:AP975)+SUM(AP983:AP988)+SUM(AP996:AP1001)+SUM(AP1009:AP1014)+SUM(AP1022:AP1027)+SUM(AP1035:AP1040)+SUM(AP1048:AP1053)+SUM(AP1061:AP1066)+SUM(AP1074:AP1079)+SUM(AP1087:AP1092)+SUM(AP1100:AP1105)+SUM(AP1113:AP1118)+SUM(AP1126:AP1131)+SUM(AP1139:AP1144)+SUM(AP1152:AP1157)+SUM(AP1165:AP1170)+SUM(AP1178:AP1183)+SUM(AP1191:AP1196)+SUM(AP1204:AP1209)+SUM(AP1217:AP1222)+SUM(AP1230:AP1235)+SUM(AP1243:AP1248)+SUM(AP1256:AP1261)+SUM(AP1269:AP1274)+SUM(AP1282:AP1287)+SUM(AP1295:AP1300)+SUM(AP1308:AP1313)+SUM(AP1321:AP1326)+SUM(AP1334:AP1339)</f>
        <v>144032.40284583333</v>
      </c>
      <c r="X36" s="1071" t="s">
        <v>425</v>
      </c>
      <c r="Y36" s="1072"/>
      <c r="Z36" s="1072"/>
      <c r="AA36" s="1072"/>
      <c r="AB36" s="1072"/>
      <c r="AC36" s="185">
        <f>SUM(AQ47:AQ52)+SUM(AQ60:AQ65)+SUM(AQ73:AQ78)+SUM(AQ86:AQ91)+SUM(AQ99:AQ104)+SUM(AQ112:AQ117)+SUM(AQ125:AQ130)+SUM(AQ138:AQ143)+SUM(AQ151:AQ156)+SUM(AQ164:AQ169)+SUM(AQ177:AQ182)+SUM(AQ190:AQ195)+SUM(AQ203:AQ208)+SUM(AQ216:AQ221)+SUM(AQ229:AQ234)+SUM(AQ242:AQ247)+SUM(AQ255:AQ260)+SUM(AQ268:AQ273)+SUM(AQ281:AQ286)+SUM(AQ294:AQ299)+SUM(AQ307:AQ312)+SUM(AQ320:AQ325)+SUM(AQ333:AQ338)+SUM(AQ346:AQ351)+SUM(AQ359:AQ364)+SUM(AQ372:AQ377)+SUM(AQ385:AQ390)+SUM(AQ398:AQ403)+SUM(AQ411:AQ416)+SUM(AQ424:AQ429)+SUM(AQ437:AQ442)+SUM(AQ450:AQ455)+SUM(AQ463:AQ468)+SUM(AQ476:AQ481)+SUM(AQ489:AQ494)+SUM(AQ502:AQ507)+SUM(AQ515:AQ520)+SUM(AQ528:AQ533)+SUM(AQ541:AQ546)+SUM(AQ554:AQ559)+SUM(AQ567:AQ572)+SUM(AQ580:AQ585)+SUM(AQ593:AQ598)+SUM(AQ606:AQ611)+SUM(AQ619:AQ624)+SUM(AQ632:AQ637)+SUM(AQ645:AQ650)+SUM(AQ658:AQ663)+SUM(AQ671:AQ676)+SUM(AQ684:AQ689)+SUM(AQ697:AQ702)+SUM(AQ710:AQ715)+SUM(AQ723:AQ728)+SUM(AQ736:AQ741)+SUM(AQ749:AQ754)+SUM(AQ762:AQ767)+SUM(AQ775:AQ780)+SUM(AQ788:AQ793)+SUM(AQ801:AQ806)+SUM(AQ814:AQ819)+SUM(AQ827:AQ832)+SUM(AQ840:AQ845)+SUM(AQ853:AQ858)+SUM(AQ866:AQ871)+SUM(AQ879:AQ884)+SUM(AQ892:AQ897)+SUM(AQ905:AQ910)+SUM(AQ918:AQ923)+SUM(AQ931:AQ936)+SUM(AQ944:AQ949)+SUM(AQ957:AQ962)+SUM(AQ970:AQ975)+SUM(AQ983:AQ988)+SUM(AQ996:AQ1001)+SUM(AQ1009:AQ1014)+SUM(AQ1022:AQ1027)+SUM(AQ1035:AQ1040)+SUM(AQ1048:AQ1053)+SUM(AQ1061:AQ1066)+SUM(AQ1074:AQ1079)+SUM(AQ1087:AQ1092)+SUM(AQ1100:AQ1105)+SUM(AQ1113:AQ1118)+SUM(AQ1126:AQ1131)+SUM(AQ1139:AQ1144)+SUM(AQ1152:AQ1157)+SUM(AQ1165:AQ1170)+SUM(AQ1178:AQ1183)+SUM(AQ1191:AQ1196)+SUM(AQ1204:AQ1209)+SUM(AQ1217:AQ1222)+SUM(AQ1230:AQ1235)+SUM(AQ1243:AQ1248)+SUM(AQ1256:AQ1261)+SUM(AQ1269:AQ1274)+SUM(AQ1282:AQ1287)+SUM(AQ1295:AQ1300)+SUM(AQ1308:AQ1313)+SUM(AQ1321:AQ1326)+SUM(AQ1334:AQ1339)</f>
        <v>144032.40284583333</v>
      </c>
      <c r="AG36" s="187"/>
    </row>
    <row r="37" spans="1:44" ht="46.9" customHeight="1" thickBot="1">
      <c r="B37" s="143"/>
      <c r="E37" s="144"/>
      <c r="F37" s="144"/>
      <c r="AN37" s="188"/>
    </row>
    <row r="38" spans="1:44" ht="31.15" customHeight="1" thickBot="1">
      <c r="A38" s="286"/>
      <c r="B38" s="1028" t="s">
        <v>85</v>
      </c>
      <c r="C38" s="1029"/>
      <c r="D38" s="1029"/>
      <c r="E38" s="1029"/>
      <c r="F38" s="1030"/>
      <c r="G38" s="1113" t="s">
        <v>446</v>
      </c>
      <c r="H38" s="1114"/>
      <c r="I38" s="1114"/>
      <c r="J38" s="1114"/>
      <c r="K38" s="1114"/>
      <c r="L38" s="1114"/>
      <c r="M38" s="1115"/>
      <c r="N38" s="1113" t="s">
        <v>447</v>
      </c>
      <c r="O38" s="1114"/>
      <c r="P38" s="1114"/>
      <c r="Q38" s="1114"/>
      <c r="R38" s="1114"/>
      <c r="S38" s="1114"/>
      <c r="T38" s="1115"/>
      <c r="U38" s="1113" t="s">
        <v>448</v>
      </c>
      <c r="V38" s="1114"/>
      <c r="W38" s="1114"/>
      <c r="X38" s="1114"/>
      <c r="Y38" s="1114"/>
      <c r="Z38" s="1114"/>
      <c r="AA38" s="1115"/>
      <c r="AB38" s="1113" t="s">
        <v>449</v>
      </c>
      <c r="AC38" s="1114"/>
      <c r="AD38" s="1114"/>
      <c r="AE38" s="1114"/>
      <c r="AF38" s="1114"/>
      <c r="AG38" s="1114"/>
      <c r="AH38" s="1115"/>
      <c r="AI38" s="136"/>
      <c r="AJ38" s="1116" t="s">
        <v>80</v>
      </c>
      <c r="AK38" s="1117"/>
      <c r="AL38" s="1117"/>
      <c r="AM38" s="1117"/>
      <c r="AN38" s="1117"/>
      <c r="AO38" s="1117"/>
      <c r="AP38" s="1117"/>
      <c r="AQ38" s="1117"/>
      <c r="AR38" s="1118"/>
    </row>
    <row r="39" spans="1:44" s="191" customFormat="1" ht="33.6" customHeight="1">
      <c r="A39" s="189"/>
      <c r="B39" s="1031" t="s">
        <v>297</v>
      </c>
      <c r="C39" s="1031" t="s">
        <v>291</v>
      </c>
      <c r="D39" s="1031" t="s">
        <v>403</v>
      </c>
      <c r="E39" s="1031" t="s">
        <v>292</v>
      </c>
      <c r="F39" s="1077" t="s">
        <v>424</v>
      </c>
      <c r="G39" s="985" t="s">
        <v>663</v>
      </c>
      <c r="H39" s="986"/>
      <c r="I39" s="986"/>
      <c r="J39" s="986"/>
      <c r="K39" s="987"/>
      <c r="L39" s="981" t="s">
        <v>414</v>
      </c>
      <c r="M39" s="983" t="s">
        <v>488</v>
      </c>
      <c r="N39" s="985" t="s">
        <v>664</v>
      </c>
      <c r="O39" s="986"/>
      <c r="P39" s="986"/>
      <c r="Q39" s="986"/>
      <c r="R39" s="987"/>
      <c r="S39" s="981" t="s">
        <v>415</v>
      </c>
      <c r="T39" s="983" t="s">
        <v>488</v>
      </c>
      <c r="U39" s="985" t="s">
        <v>665</v>
      </c>
      <c r="V39" s="986"/>
      <c r="W39" s="986"/>
      <c r="X39" s="986"/>
      <c r="Y39" s="987"/>
      <c r="Z39" s="981" t="s">
        <v>416</v>
      </c>
      <c r="AA39" s="983" t="s">
        <v>488</v>
      </c>
      <c r="AB39" s="985" t="s">
        <v>666</v>
      </c>
      <c r="AC39" s="986"/>
      <c r="AD39" s="986"/>
      <c r="AE39" s="986"/>
      <c r="AF39" s="987"/>
      <c r="AG39" s="981" t="s">
        <v>417</v>
      </c>
      <c r="AH39" s="983" t="s">
        <v>488</v>
      </c>
      <c r="AI39" s="190"/>
      <c r="AJ39" s="977" t="str">
        <f>B39</f>
        <v>Лікар з надання ПМД</v>
      </c>
      <c r="AK39" s="979" t="str">
        <f>C39</f>
        <v>ПІБ лікаря</v>
      </c>
      <c r="AL39" s="989" t="str">
        <f>D39</f>
        <v>Ідентифікатор лікаря</v>
      </c>
      <c r="AM39" s="1008" t="s">
        <v>450</v>
      </c>
      <c r="AN39" s="1010" t="s">
        <v>409</v>
      </c>
      <c r="AO39" s="1010" t="s">
        <v>410</v>
      </c>
      <c r="AP39" s="1010" t="s">
        <v>411</v>
      </c>
      <c r="AQ39" s="1010" t="s">
        <v>412</v>
      </c>
      <c r="AR39" s="1006" t="s">
        <v>413</v>
      </c>
    </row>
    <row r="40" spans="1:44" s="191" customFormat="1" ht="58.5" customHeight="1" thickBot="1">
      <c r="A40" s="189"/>
      <c r="B40" s="1031"/>
      <c r="C40" s="1031"/>
      <c r="D40" s="1031"/>
      <c r="E40" s="1031"/>
      <c r="F40" s="1078"/>
      <c r="G40" s="192" t="s">
        <v>404</v>
      </c>
      <c r="H40" s="192" t="s">
        <v>405</v>
      </c>
      <c r="I40" s="192" t="s">
        <v>406</v>
      </c>
      <c r="J40" s="192" t="s">
        <v>407</v>
      </c>
      <c r="K40" s="192" t="s">
        <v>408</v>
      </c>
      <c r="L40" s="982"/>
      <c r="M40" s="984"/>
      <c r="N40" s="192" t="s">
        <v>404</v>
      </c>
      <c r="O40" s="192" t="s">
        <v>405</v>
      </c>
      <c r="P40" s="192" t="s">
        <v>406</v>
      </c>
      <c r="Q40" s="192" t="s">
        <v>407</v>
      </c>
      <c r="R40" s="192" t="s">
        <v>408</v>
      </c>
      <c r="S40" s="982"/>
      <c r="T40" s="984"/>
      <c r="U40" s="192" t="s">
        <v>404</v>
      </c>
      <c r="V40" s="192" t="s">
        <v>405</v>
      </c>
      <c r="W40" s="192" t="s">
        <v>406</v>
      </c>
      <c r="X40" s="192" t="s">
        <v>407</v>
      </c>
      <c r="Y40" s="192" t="s">
        <v>408</v>
      </c>
      <c r="Z40" s="982"/>
      <c r="AA40" s="984"/>
      <c r="AB40" s="192" t="s">
        <v>404</v>
      </c>
      <c r="AC40" s="192" t="s">
        <v>405</v>
      </c>
      <c r="AD40" s="192" t="s">
        <v>406</v>
      </c>
      <c r="AE40" s="192" t="s">
        <v>407</v>
      </c>
      <c r="AF40" s="192" t="s">
        <v>408</v>
      </c>
      <c r="AG40" s="982"/>
      <c r="AH40" s="984"/>
      <c r="AI40" s="193"/>
      <c r="AJ40" s="978"/>
      <c r="AK40" s="980"/>
      <c r="AL40" s="990"/>
      <c r="AM40" s="1009"/>
      <c r="AN40" s="1011"/>
      <c r="AO40" s="1011"/>
      <c r="AP40" s="1011"/>
      <c r="AQ40" s="1011"/>
      <c r="AR40" s="1007"/>
    </row>
    <row r="41" spans="1:44" s="191" customFormat="1" ht="30" customHeight="1">
      <c r="A41" s="194">
        <v>1</v>
      </c>
      <c r="B41" s="969" t="s">
        <v>314</v>
      </c>
      <c r="C41" s="974" t="s">
        <v>159</v>
      </c>
      <c r="D41" s="971"/>
      <c r="E41" s="971" t="s">
        <v>90</v>
      </c>
      <c r="F41" s="195" t="s">
        <v>659</v>
      </c>
      <c r="G41" s="196">
        <f>135+37</f>
        <v>172</v>
      </c>
      <c r="H41" s="196">
        <f>758+50</f>
        <v>808</v>
      </c>
      <c r="I41" s="196" t="str">
        <f>IF($B$41="Лікар-педіатр","x",IF($B$41="Лікар-терапевт",I43/L43*L41,IF($B$41="Лікар загальної практики - сімейний лікар",I43/L43*L41,0)))</f>
        <v>x</v>
      </c>
      <c r="J41" s="196" t="str">
        <f>IF($B$41="Лікар-педіатр","x",IF($B$41="Лікар-терапевт",J43/L43*L41,IF($B$41="Лікар загальної практики - сімейний лікар",J43/L43*L41,0)))</f>
        <v>x</v>
      </c>
      <c r="K41" s="196" t="str">
        <f>IF($B$41="Лікар-педіатр","x",IF($B$41="Лікар-терапевт",K44*L41,IF($B$41="Лікар загальної практики - сімейний лікар",K44*L41,0)))</f>
        <v>x</v>
      </c>
      <c r="L41" s="558">
        <f>H41+G41</f>
        <v>980</v>
      </c>
      <c r="M41" s="941">
        <v>1</v>
      </c>
      <c r="N41" s="196">
        <f>135+37</f>
        <v>172</v>
      </c>
      <c r="O41" s="196">
        <f>758+50</f>
        <v>808</v>
      </c>
      <c r="P41" s="196" t="str">
        <f>IF($B$41="Лікар-педіатр","x",IF($B$41="Лікар-терапевт",P44*S41,IF($B$41="Лікар загальної практики - сімейний лікар",P44*S41,0)))</f>
        <v>x</v>
      </c>
      <c r="Q41" s="196" t="str">
        <f>IF($B$41="Лікар-педіатр","x",IF($B$41="Лікар-терапевт",Q44*S41,IF($B$41="Лікар загальної практики - сімейний лікар",Q44*S41,0)))</f>
        <v>x</v>
      </c>
      <c r="R41" s="196" t="str">
        <f>IF($B$41="Лікар-педіатр","x",IF($B$41="Лікар-терапевт",R44*S41,IF($B$41="Лікар загальної практики - сімейний лікар",R44*S41,0)))</f>
        <v>x</v>
      </c>
      <c r="S41" s="558">
        <f>SUM(N41+O41)</f>
        <v>980</v>
      </c>
      <c r="T41" s="1074">
        <v>1</v>
      </c>
      <c r="U41" s="196">
        <f>135+37</f>
        <v>172</v>
      </c>
      <c r="V41" s="196">
        <f>758+50</f>
        <v>808</v>
      </c>
      <c r="W41" s="196" t="str">
        <f>IF($B$41="Лікар-педіатр","x",IF($B$41="Лікар-терапевт",W44*Z41,IF($B$41="Лікар загальної практики - сімейний лікар",W44*Z41,0)))</f>
        <v>x</v>
      </c>
      <c r="X41" s="196" t="str">
        <f>IF($B$41="Лікар-педіатр","x",IF($B$41="Лікар-терапевт",X44*Z41,IF($B$41="Лікар загальної практики - сімейний лікар",X44*Z41,0)))</f>
        <v>x</v>
      </c>
      <c r="Y41" s="196" t="str">
        <f>IF($B$41="Лікар-педіатр","x",IF($B$41="Лікар-терапевт",Y44*Z41,IF($B$41="Лікар загальної практики - сімейний лікар",Y44*Z41,0)))</f>
        <v>x</v>
      </c>
      <c r="Z41" s="558">
        <f>SUM(U41+V41)</f>
        <v>980</v>
      </c>
      <c r="AA41" s="1074">
        <v>1</v>
      </c>
      <c r="AB41" s="196">
        <f>135+37</f>
        <v>172</v>
      </c>
      <c r="AC41" s="196">
        <f>758+50</f>
        <v>808</v>
      </c>
      <c r="AD41" s="196" t="str">
        <f>IF($B$41="Лікар-педіатр","x",IF($B$41="Лікар-терапевт",AD44*AG41,IF($B$41="Лікар загальної практики - сімейний лікар",AD44*AG41,0)))</f>
        <v>x</v>
      </c>
      <c r="AE41" s="196" t="str">
        <f>IF($B$41="Лікар-педіатр","x",IF($B$41="Лікар-терапевт",AE44*AG41,IF($B$41="Лікар загальної практики - сімейний лікар",AE44*AG41,0)))</f>
        <v>x</v>
      </c>
      <c r="AF41" s="196" t="str">
        <f>IF($B$41="Лікар-педіатр","x",IF($B$41="Лікар-терапевт",AF44*AG41,IF($B$41="Лікар загальної практики - сімейний лікар",AF44*AG41,0)))</f>
        <v>x</v>
      </c>
      <c r="AG41" s="558">
        <f>SUM(AB41+AC41)</f>
        <v>980</v>
      </c>
      <c r="AH41" s="1079">
        <v>1</v>
      </c>
      <c r="AI41" s="540">
        <f>A41</f>
        <v>1</v>
      </c>
      <c r="AJ41" s="944" t="str">
        <f>B41</f>
        <v>Лікар-педіатр</v>
      </c>
      <c r="AK41" s="959" t="str">
        <f>C41</f>
        <v>Білевич Любов Андріївна</v>
      </c>
      <c r="AL41" s="959">
        <f>D41</f>
        <v>0</v>
      </c>
      <c r="AM41" s="929" t="s">
        <v>79</v>
      </c>
      <c r="AN41" s="947">
        <f>SUM(AN46:AN52)</f>
        <v>284149.13758673467</v>
      </c>
      <c r="AO41" s="947">
        <f>SUM(AO46:AO52)</f>
        <v>284149.13758673467</v>
      </c>
      <c r="AP41" s="947">
        <f>SUM(AP46:AP52)</f>
        <v>284149.13758673467</v>
      </c>
      <c r="AQ41" s="947">
        <f>SUM(AQ46:AQ52)</f>
        <v>284149.13758673467</v>
      </c>
      <c r="AR41" s="962">
        <f>SUM(AN41:AQ45)</f>
        <v>1136596.5503469387</v>
      </c>
    </row>
    <row r="42" spans="1:44" s="50" customFormat="1" ht="28.15" customHeight="1">
      <c r="A42" s="197"/>
      <c r="B42" s="969"/>
      <c r="C42" s="974"/>
      <c r="D42" s="971"/>
      <c r="E42" s="971"/>
      <c r="F42" s="195" t="s">
        <v>660</v>
      </c>
      <c r="G42" s="196">
        <f>135+37</f>
        <v>172</v>
      </c>
      <c r="H42" s="196">
        <f>758+50</f>
        <v>808</v>
      </c>
      <c r="I42" s="196" t="str">
        <f>IF($B$41="Лікар-педіатр","x",IF($B$41="Лікар-терапевт",I44*L42,IF($B$41="Лікар загальної практики - сімейний лікар",I44*L42,0)))</f>
        <v>x</v>
      </c>
      <c r="J42" s="196" t="str">
        <f>IF($B$41="Лікар-педіатр","x",IF($B$41="Лікар-терапевт",J44*L42,IF($B$41="Лікар загальної практики - сімейний лікар",J44*L42,0)))</f>
        <v>x</v>
      </c>
      <c r="K42" s="196" t="str">
        <f>IF($B$41="Лікар-педіатр","x",IF($B$41="Лікар-терапевт",K44*L42,IF($B$41="Лікар загальної практики - сімейний лікар",K44*L42,0)))</f>
        <v>x</v>
      </c>
      <c r="L42" s="558">
        <f>H42+G42</f>
        <v>980</v>
      </c>
      <c r="M42" s="942"/>
      <c r="N42" s="196">
        <f>135+37</f>
        <v>172</v>
      </c>
      <c r="O42" s="196">
        <f>758+50</f>
        <v>808</v>
      </c>
      <c r="P42" s="196" t="str">
        <f>IF($B$41="Лікар-педіатр","x",IF($B$41="Лікар-терапевт",P44*S42,IF($B$41="Лікар загальної практики - сімейний лікар",P44*S42,0)))</f>
        <v>x</v>
      </c>
      <c r="Q42" s="196" t="str">
        <f>IF($B$41="Лікар-педіатр","x",IF($B$41="Лікар-терапевт",Q44*S42,IF($B$41="Лікар загальної практики - сімейний лікар",Q44*S42,0)))</f>
        <v>x</v>
      </c>
      <c r="R42" s="196" t="str">
        <f>IF($B$41="Лікар-педіатр","x",IF($B$41="Лікар-терапевт",R44*S42,IF($B$41="Лікар загальної практики - сімейний лікар",R44*S42,0)))</f>
        <v>x</v>
      </c>
      <c r="S42" s="558">
        <f>SUM(N42+O42)</f>
        <v>980</v>
      </c>
      <c r="T42" s="1075"/>
      <c r="U42" s="196">
        <f>135+37</f>
        <v>172</v>
      </c>
      <c r="V42" s="196">
        <f>758+50</f>
        <v>808</v>
      </c>
      <c r="W42" s="196" t="str">
        <f>IF($B$41="Лікар-педіатр","x",IF($B$41="Лікар-терапевт",W44*Z42,IF($B$41="Лікар загальної практики - сімейний лікар",W44*Z42,0)))</f>
        <v>x</v>
      </c>
      <c r="X42" s="196" t="str">
        <f>IF($B$41="Лікар-педіатр","x",IF($B$41="Лікар-терапевт",X44*Z42,IF($B$41="Лікар загальної практики - сімейний лікар",X44*Z42,0)))</f>
        <v>x</v>
      </c>
      <c r="Y42" s="196" t="str">
        <f>IF($B$41="Лікар-педіатр","x",IF($B$41="Лікар-терапевт",Y44*Z42,IF($B$41="Лікар загальної практики - сімейний лікар",Y44*Z42,0)))</f>
        <v>x</v>
      </c>
      <c r="Z42" s="558">
        <f>SUM(U42+V42)</f>
        <v>980</v>
      </c>
      <c r="AA42" s="1075"/>
      <c r="AB42" s="196">
        <f>135+37</f>
        <v>172</v>
      </c>
      <c r="AC42" s="196">
        <f>758+50</f>
        <v>808</v>
      </c>
      <c r="AD42" s="196" t="str">
        <f>IF($B$41="Лікар-педіатр","x",IF($B$41="Лікар-терапевт",AD44*AG42,IF($B$41="Лікар загальної практики - сімейний лікар",AD44*AG42,0)))</f>
        <v>x</v>
      </c>
      <c r="AE42" s="196" t="str">
        <f>IF($B$41="Лікар-педіатр","x",IF($B$41="Лікар-терапевт",AE44*AG42,IF($B$41="Лікар загальної практики - сімейний лікар",AE44*AG42,0)))</f>
        <v>x</v>
      </c>
      <c r="AF42" s="196" t="str">
        <f>IF($B$41="Лікар-педіатр","x",IF($B$41="Лікар-терапевт",AF44*AG42,IF($B$41="Лікар загальної практики - сімейний лікар",AF44*AG42,0)))</f>
        <v>x</v>
      </c>
      <c r="AG42" s="558">
        <f>SUM(AB42+AC42)</f>
        <v>980</v>
      </c>
      <c r="AH42" s="1080"/>
      <c r="AI42" s="198"/>
      <c r="AJ42" s="945"/>
      <c r="AK42" s="960"/>
      <c r="AL42" s="960"/>
      <c r="AM42" s="930"/>
      <c r="AN42" s="948"/>
      <c r="AO42" s="948"/>
      <c r="AP42" s="948"/>
      <c r="AQ42" s="948"/>
      <c r="AR42" s="963"/>
    </row>
    <row r="43" spans="1:44" s="50" customFormat="1" ht="31.15" customHeight="1">
      <c r="A43" s="197"/>
      <c r="B43" s="969"/>
      <c r="C43" s="974"/>
      <c r="D43" s="971"/>
      <c r="E43" s="971"/>
      <c r="F43" s="195" t="s">
        <v>661</v>
      </c>
      <c r="G43" s="196">
        <f>135+37</f>
        <v>172</v>
      </c>
      <c r="H43" s="196">
        <f>758+50</f>
        <v>808</v>
      </c>
      <c r="I43" s="199" t="str">
        <f>IF(B41="Лікар загальної практики - сімейний лікар"," ",IF(B41="Лікар-педіатр","х",IF(B41="Лікар-терапевт"," ",0)))</f>
        <v>х</v>
      </c>
      <c r="J43" s="199" t="str">
        <f>IF(B41="Лікар загальної практики - сімейний лікар"," ",IF(B41="Лікар-педіатр","х",IF(B41="Лікар-терапевт"," ",0)))</f>
        <v>х</v>
      </c>
      <c r="K43" s="199" t="str">
        <f>IF(B41="Лікар загальної практики - сімейний лікар"," ",IF(B41="Лікар-педіатр","х",IF(B41="Лікар-терапевт"," ",0)))</f>
        <v>х</v>
      </c>
      <c r="L43" s="200">
        <f>SUM(G43:K43)</f>
        <v>980</v>
      </c>
      <c r="M43" s="942"/>
      <c r="N43" s="196">
        <f>135+37</f>
        <v>172</v>
      </c>
      <c r="O43" s="196">
        <f>758+50</f>
        <v>808</v>
      </c>
      <c r="P43" s="199" t="str">
        <f>IF(B41="Лікар загальної практики - сімейний лікар"," ",IF(B41="Лікар-педіатр","х",IF(B41="Лікар-терапевт"," ",0)))</f>
        <v>х</v>
      </c>
      <c r="Q43" s="199" t="str">
        <f>IF(B41="Лікар загальної практики - сімейний лікар"," ",IF(B41="Лікар-педіатр","х",IF(B41="Лікар-терапевт"," ",0)))</f>
        <v>х</v>
      </c>
      <c r="R43" s="199" t="str">
        <f>IF(B41="Лікар загальної практики - сімейний лікар"," ",IF(B41="Лікар-педіатр","х",IF(B41="Лікар-терапевт"," ",0)))</f>
        <v>х</v>
      </c>
      <c r="S43" s="200">
        <f>SUM(N43:R43)</f>
        <v>980</v>
      </c>
      <c r="T43" s="1075"/>
      <c r="U43" s="196">
        <f>135+37</f>
        <v>172</v>
      </c>
      <c r="V43" s="196">
        <f>758+50</f>
        <v>808</v>
      </c>
      <c r="W43" s="199" t="str">
        <f>IF(B41="Лікар загальної практики - сімейний лікар"," ",IF(B41="Лікар-педіатр","х",IF(B41="Лікар-терапевт"," ",0)))</f>
        <v>х</v>
      </c>
      <c r="X43" s="199" t="str">
        <f>IF(B41="Лікар загальної практики - сімейний лікар"," ",IF(B41="Лікар-педіатр","х",IF(B41="Лікар-терапевт"," ",0)))</f>
        <v>х</v>
      </c>
      <c r="Y43" s="199" t="str">
        <f>IF(B41="Лікар загальної практики - сімейний лікар"," ",IF(B41="Лікар-педіатр","х",IF(B41="Лікар-терапевт"," ",0)))</f>
        <v>х</v>
      </c>
      <c r="Z43" s="200">
        <f>SUM(U43:Y43)</f>
        <v>980</v>
      </c>
      <c r="AA43" s="1075"/>
      <c r="AB43" s="196">
        <f>135+37</f>
        <v>172</v>
      </c>
      <c r="AC43" s="196">
        <f>758+50</f>
        <v>808</v>
      </c>
      <c r="AD43" s="199" t="str">
        <f>IF(B41="Лікар загальної практики - сімейний лікар"," ",IF(B41="Лікар-педіатр","х",IF(B41="Лікар-терапевт"," ",0)))</f>
        <v>х</v>
      </c>
      <c r="AE43" s="199" t="str">
        <f>IF(B41="Лікар загальної практики - сімейний лікар"," ",IF(B41="Лікар-педіатр","х",IF(B41="Лікар-терапевт"," ",0)))</f>
        <v>х</v>
      </c>
      <c r="AF43" s="199" t="str">
        <f>IF(B41="Лікар загальної практики - сімейний лікар"," ",IF(B41="Лікар-педіатр","х",IF(B41="Лікар-терапевт"," ",0)))</f>
        <v>х</v>
      </c>
      <c r="AG43" s="200">
        <f>SUM(AB43:AF43)</f>
        <v>980</v>
      </c>
      <c r="AH43" s="1080"/>
      <c r="AI43" s="201"/>
      <c r="AJ43" s="945"/>
      <c r="AK43" s="960"/>
      <c r="AL43" s="960"/>
      <c r="AM43" s="930"/>
      <c r="AN43" s="948"/>
      <c r="AO43" s="948"/>
      <c r="AP43" s="948"/>
      <c r="AQ43" s="948"/>
      <c r="AR43" s="963"/>
    </row>
    <row r="44" spans="1:44" s="50" customFormat="1" ht="31.9" customHeight="1" thickBot="1">
      <c r="A44" s="197"/>
      <c r="B44" s="969"/>
      <c r="C44" s="974"/>
      <c r="D44" s="971"/>
      <c r="E44" s="971"/>
      <c r="F44" s="202" t="s">
        <v>426</v>
      </c>
      <c r="G44" s="203">
        <f>IF($B$41="Лікар-педіатр",G43/L43,IF($B$41="Лікар-терапевт","х",IF($B$41="Лікар загальної практики - сімейний лікар",G43/L43,0)))</f>
        <v>0.17551020408163265</v>
      </c>
      <c r="H44" s="203">
        <f>IF($B$41="Лікар-педіатр",H43/L43,IF($B$41="Лікар-терапевт","х",IF($B$41="Лікар загальної практики - сімейний лікар",H43/L43,0)))</f>
        <v>0.82448979591836735</v>
      </c>
      <c r="I44" s="203" t="str">
        <f>IF($B$41="Лікар-педіатр","x",IF($B$41="Лікар-терапевт",I43/L43,IF($B$41="Лікар загальної практики - сімейний лікар",I43/L43,0)))</f>
        <v>x</v>
      </c>
      <c r="J44" s="203" t="str">
        <f>IF($B$41="Лікар-педіатр","x",IF($B$41="Лікар-терапевт",J43/L43,IF($B$41="Лікар загальної практики - сімейний лікар",J43/L43,0)))</f>
        <v>x</v>
      </c>
      <c r="K44" s="203" t="str">
        <f>IF($B$41="Лікар-педіатр","x",IF($B$41="Лікар-терапевт",K43/L43,IF($B$41="Лікар загальної практики - сімейний лікар",K43/L43,0)))</f>
        <v>x</v>
      </c>
      <c r="L44" s="203">
        <f>SUM(G44:K44)</f>
        <v>1</v>
      </c>
      <c r="M44" s="942"/>
      <c r="N44" s="203">
        <f>IF($B$41="Лікар-педіатр",N43/S43,IF($B$41="Лікар-терапевт","х",IF($B$41="Лікар загальної практики - сімейний лікар",N43/S43,0)))</f>
        <v>0.17551020408163265</v>
      </c>
      <c r="O44" s="203">
        <f>IF($B$41="Лікар-педіатр",O43/S43,IF($B$41="Лікар-терапевт","х",IF($B$41="Лікар загальної практики - сімейний лікар",O43/S43,0)))</f>
        <v>0.82448979591836735</v>
      </c>
      <c r="P44" s="203" t="str">
        <f>IF($B$41="Лікар-педіатр","x",IF($B$41="Лікар-терапевт",P43/S43,IF($B$41="Лікар загальної практики - сімейний лікар",P43/S43,0)))</f>
        <v>x</v>
      </c>
      <c r="Q44" s="203" t="str">
        <f>IF($B$41="Лікар-педіатр","x",IF($B$41="Лікар-терапевт",Q43/S43,IF($B$41="Лікар загальної практики - сімейний лікар",Q43/S43,0)))</f>
        <v>x</v>
      </c>
      <c r="R44" s="203" t="str">
        <f>IF($B$41="Лікар-педіатр","x",IF($B$41="Лікар-терапевт",R43/S43,IF($B$41="Лікар загальної практики - сімейний лікар",R43/S43,0)))</f>
        <v>x</v>
      </c>
      <c r="S44" s="203">
        <f>SUM(N44:R44)</f>
        <v>1</v>
      </c>
      <c r="T44" s="1075"/>
      <c r="U44" s="203">
        <f>IF($B$41="Лікар-педіатр",U43/Z43,IF($B$41="Лікар-терапевт","х",IF($B$41="Лікар загальної практики - сімейний лікар",U43/Z43,0)))</f>
        <v>0.17551020408163265</v>
      </c>
      <c r="V44" s="203">
        <f>IF($B$41="Лікар-педіатр",V43/Z43,IF($B$41="Лікар-терапевт","х",IF($B$41="Лікар загальної практики - сімейний лікар",V43/Z43,0)))</f>
        <v>0.82448979591836735</v>
      </c>
      <c r="W44" s="203" t="str">
        <f>IF($B$41="Лікар-педіатр","x",IF($B$41="Лікар-терапевт",W43/Z43,IF($B$41="Лікар загальної практики - сімейний лікар",W43/Z43,0)))</f>
        <v>x</v>
      </c>
      <c r="X44" s="203" t="str">
        <f>IF($B$41="Лікар-педіатр","x",IF($B$41="Лікар-терапевт",X43/Z43,IF($B$41="Лікар загальної практики - сімейний лікар",X43/Z43,0)))</f>
        <v>x</v>
      </c>
      <c r="Y44" s="203" t="str">
        <f>IF($B$41="Лікар-педіатр","x",IF($B$41="Лікар-терапевт",Y43/Z43,IF($B$41="Лікар загальної практики - сімейний лікар",Y43/Z43,0)))</f>
        <v>x</v>
      </c>
      <c r="Z44" s="203">
        <f>SUM(U44:Y44)</f>
        <v>1</v>
      </c>
      <c r="AA44" s="1075"/>
      <c r="AB44" s="203">
        <f>IF($B$41="Лікар-педіатр",AB43/AG43,IF($B$41="Лікар-терапевт","х",IF($B$41="Лікар загальної практики - сімейний лікар",AB43/AG43,0)))</f>
        <v>0.17551020408163265</v>
      </c>
      <c r="AC44" s="203">
        <f>IF($B$41="Лікар-педіатр",AC43/AG43,IF($B$41="Лікар-терапевт","х",IF($B$41="Лікар загальної практики - сімейний лікар",AC43/AG43,0)))</f>
        <v>0.82448979591836735</v>
      </c>
      <c r="AD44" s="203" t="str">
        <f>IF($B$41="Лікар-педіатр","x",IF($B$41="Лікар-терапевт",AD43/AG43,IF($B$41="Лікар загальної практики - сімейний лікар",AD43/AG43,0)))</f>
        <v>x</v>
      </c>
      <c r="AE44" s="203" t="str">
        <f>IF($B$41="Лікар-педіатр","x",IF($B$41="Лікар-терапевт",AE43/AG43,IF($B$41="Лікар загальної практики - сімейний лікар",AE43/AG43,0)))</f>
        <v>x</v>
      </c>
      <c r="AF44" s="203" t="str">
        <f>IF($B$41="Лікар-педіатр","x",IF($B$41="Лікар-терапевт",AF43/AG43,IF($B$41="Лікар загальної практики - сімейний лікар",AF43/AG43,0)))</f>
        <v>x</v>
      </c>
      <c r="AG44" s="203">
        <f>SUM(AB44:AF44)</f>
        <v>1</v>
      </c>
      <c r="AH44" s="1080"/>
      <c r="AI44" s="201"/>
      <c r="AJ44" s="945"/>
      <c r="AK44" s="960"/>
      <c r="AL44" s="960"/>
      <c r="AM44" s="930"/>
      <c r="AN44" s="948"/>
      <c r="AO44" s="948"/>
      <c r="AP44" s="948"/>
      <c r="AQ44" s="948"/>
      <c r="AR44" s="963"/>
    </row>
    <row r="45" spans="1:44" s="50" customFormat="1" ht="45" customHeight="1" thickBot="1">
      <c r="A45" s="197"/>
      <c r="B45" s="969"/>
      <c r="C45" s="974"/>
      <c r="D45" s="971"/>
      <c r="E45" s="972"/>
      <c r="F45" s="204" t="s">
        <v>662</v>
      </c>
      <c r="G45" s="205">
        <f>IF($B$41="Лікар загальної практики - сімейний лікар",AVERAGE(G41:G43),IF($B$41="Лікар-педіатр",AVERAGE(G41:G43),IF($B$41="Лікар-терапевт","х",0)))</f>
        <v>172</v>
      </c>
      <c r="H45" s="205">
        <f>IF($B$41="Лікар загальної практики - сімейний лікар",AVERAGE(H41:H43),IF($B$41="Лікар-педіатр",AVERAGE(H41:H43),IF($B$41="Лікар-терапевт","х",0)))</f>
        <v>808</v>
      </c>
      <c r="I45" s="205" t="str">
        <f>IF($B$41="Лікар загальної практики - сімейний лікар",AVERAGE(I41:I43),IF($B$41="Лікар-педіатр","x",IF($B$41="Лікар-терапевт",AVERAGE(I41:I43),0)))</f>
        <v>x</v>
      </c>
      <c r="J45" s="205" t="str">
        <f>IF($B$41="Лікар загальної практики - сімейний лікар",AVERAGE(J41:J43),IF($B$41="Лікар-педіатр","x",IF($B$41="Лікар-терапевт",AVERAGE(J41:J43),0)))</f>
        <v>x</v>
      </c>
      <c r="K45" s="205" t="str">
        <f>IF($B$41="Лікар загальної практики - сімейний лікар",AVERAGE(K41:K43),IF($B$41="Лікар-педіатр","x",IF($B$41="Лікар-терапевт",AVERAGE(K41:K43),0)))</f>
        <v>x</v>
      </c>
      <c r="L45" s="206">
        <f>SUM(G45:K45)</f>
        <v>980</v>
      </c>
      <c r="M45" s="942"/>
      <c r="N45" s="205">
        <f>IF($B$41="Лікар загальної практики - сімейний лікар",AVERAGE(N41:N43),IF($B$41="Лікар-педіатр",AVERAGE(N41:N43),IF($B$41="Лікар-терапевт","х",0)))</f>
        <v>172</v>
      </c>
      <c r="O45" s="205">
        <f>IF($B$41="Лікар загальної практики - сімейний лікар",AVERAGE(O41:O43),IF($B$41="Лікар-педіатр",AVERAGE(O41:O43),IF($B$41="Лікар-терапевт","х",0)))</f>
        <v>808</v>
      </c>
      <c r="P45" s="205" t="str">
        <f>IF($B$41="Лікар загальної практики - сімейний лікар",AVERAGE(P41:P43),IF($B$41="Лікар-педіатр","x",IF($B$41="Лікар-терапевт",AVERAGE(P41:P43),0)))</f>
        <v>x</v>
      </c>
      <c r="Q45" s="205" t="str">
        <f>IF($B$41="Лікар загальної практики - сімейний лікар",AVERAGE(Q41:Q43),IF($B$41="Лікар-педіатр","x",IF($B$41="Лікар-терапевт",AVERAGE(Q41:Q43),0)))</f>
        <v>x</v>
      </c>
      <c r="R45" s="205" t="str">
        <f>IF($B$41="Лікар загальної практики - сімейний лікар",AVERAGE(R41:R43),IF($B$41="Лікар-педіатр","x",IF($B$41="Лікар-терапевт",AVERAGE(R41:R43),0)))</f>
        <v>x</v>
      </c>
      <c r="S45" s="206">
        <f>SUM(N45:R45)</f>
        <v>980</v>
      </c>
      <c r="T45" s="1075"/>
      <c r="U45" s="205">
        <f>IF($B$41="Лікар загальної практики - сімейний лікар",AVERAGE(U41:U43),IF($B$41="Лікар-педіатр",AVERAGE(U41:U43),IF($B$41="Лікар-терапевт","х",0)))</f>
        <v>172</v>
      </c>
      <c r="V45" s="205">
        <f>IF($B$41="Лікар загальної практики - сімейний лікар",AVERAGE(V41:V43),IF($B$41="Лікар-педіатр",AVERAGE(V41:V43),IF($B$41="Лікар-терапевт","х",0)))</f>
        <v>808</v>
      </c>
      <c r="W45" s="205" t="str">
        <f>IF($B$41="Лікар загальної практики - сімейний лікар",AVERAGE(W41:W43),IF($B$41="Лікар-педіатр","x",IF($B$41="Лікар-терапевт",AVERAGE(W41:W43),0)))</f>
        <v>x</v>
      </c>
      <c r="X45" s="205" t="str">
        <f>IF($B$41="Лікар загальної практики - сімейний лікар",AVERAGE(X41:X43),IF($B$41="Лікар-педіатр","x",IF($B$41="Лікар-терапевт",AVERAGE(X41:X43),0)))</f>
        <v>x</v>
      </c>
      <c r="Y45" s="205" t="str">
        <f>IF($B$41="Лікар загальної практики - сімейний лікар",AVERAGE(Y41:Y43),IF($B$41="Лікар-педіатр","x",IF($B$41="Лікар-терапевт",AVERAGE(Y41:Y43),0)))</f>
        <v>x</v>
      </c>
      <c r="Z45" s="206">
        <f>SUM(U45:Y45)</f>
        <v>980</v>
      </c>
      <c r="AA45" s="1075"/>
      <c r="AB45" s="205">
        <f>IF($B$41="Лікар загальної практики - сімейний лікар",AVERAGE(AB41:AB43),IF($B$41="Лікар-педіатр",AVERAGE(AB41:AB43),IF($B$41="Лікар-терапевт","х",0)))</f>
        <v>172</v>
      </c>
      <c r="AC45" s="205">
        <f>IF($B$41="Лікар загальної практики - сімейний лікар",AVERAGE(AC41:AC43),IF($B$41="Лікар-педіатр",AVERAGE(AC41:AC43),IF($B$41="Лікар-терапевт","х",0)))</f>
        <v>808</v>
      </c>
      <c r="AD45" s="205" t="str">
        <f>IF($B$41="Лікар загальної практики - сімейний лікар",AVERAGE(AD41:AD43),IF($B$41="Лікар-педіатр","x",IF($B$41="Лікар-терапевт",AVERAGE(AD41:AD43),0)))</f>
        <v>x</v>
      </c>
      <c r="AE45" s="205" t="str">
        <f>IF($B$41="Лікар загальної практики - сімейний лікар",AVERAGE(AE41:AE43),IF($B$41="Лікар-педіатр","x",IF($B$41="Лікар-терапевт",AVERAGE(AE41:AE43),0)))</f>
        <v>x</v>
      </c>
      <c r="AF45" s="205" t="str">
        <f>IF($B$41="Лікар загальної практики - сімейний лікар",AVERAGE(AF41:AF43),IF($B$41="Лікар-педіатр","x",IF($B$41="Лікар-терапевт",AVERAGE(AF41:AF43),0)))</f>
        <v>x</v>
      </c>
      <c r="AG45" s="206">
        <f>SUM(AB45:AF45)</f>
        <v>980</v>
      </c>
      <c r="AH45" s="1080"/>
      <c r="AI45" s="201"/>
      <c r="AJ45" s="945"/>
      <c r="AK45" s="960"/>
      <c r="AL45" s="960"/>
      <c r="AM45" s="931"/>
      <c r="AN45" s="949"/>
      <c r="AO45" s="949"/>
      <c r="AP45" s="949"/>
      <c r="AQ45" s="949"/>
      <c r="AR45" s="964"/>
    </row>
    <row r="46" spans="1:44" s="50" customFormat="1" ht="40.5">
      <c r="A46" s="197"/>
      <c r="B46" s="969"/>
      <c r="C46" s="974"/>
      <c r="D46" s="971"/>
      <c r="E46" s="971"/>
      <c r="F46" s="207" t="str">
        <f ca="1">IF(B41="Лікар-педіатр",Законод!$C$17,IF(B41="Лікар загальної практики - сімейний лікар",Законод!$C$21,IF(B41="Лікар-терапевт",Законод!$C$25,"х")))</f>
        <v>ліміт (до 900)</v>
      </c>
      <c r="G46" s="208">
        <f ca="1">IF($B$41="Лікар загальної практики - сімейний лікар",IF(L45&lt;=Законод!$C$22,G45,Законод!$C$22*'01_Доходи'!G44),IF($B$41="Лікар-педіатр",IF(L45&lt;=Законод!$C$18,G45,Законод!$C$18*'01_Доходи'!G44),IF($B$41="Лікар-терапевт","x",0)))</f>
        <v>157.9591836734694</v>
      </c>
      <c r="H46" s="208">
        <f ca="1">IF($B$41="Лікар загальної практики - сімейний лікар",IF(L45&lt;=Законод!$C$22,H45,Законод!$C$22*'01_Доходи'!H44),IF($B$41="Лікар-педіатр",IF(L45&lt;=Законод!$C$18,H45,Законод!$C$18*'01_Доходи'!H44),IF($B$41="Лікар-терапевт","x",0)))</f>
        <v>742.0408163265306</v>
      </c>
      <c r="I46" s="208" t="str">
        <f ca="1">IF($B$41="Лікар загальної практики - сімейний лікар",IF(L45&lt;=Законод!$C$22,I45,Законод!$C$22*'01_Доходи'!I44),IF($B$41="Лікар-педіатр","x",IF($B$41="Лікар-терапевт",IF(L45&lt;=Законод!$C$26,I45,Законод!$C$26*'01_Доходи'!I44),0)))</f>
        <v>x</v>
      </c>
      <c r="J46" s="208" t="str">
        <f ca="1">IF($B$41="Лікар загальної практики - сімейний лікар",IF(L45&lt;=Законод!$C$22,J45,Законод!$C$22*'01_Доходи'!J44),IF($B$41="Лікар-педіатр","x",IF($B$41="Лікар-терапевт",IF(L45&lt;=Законод!$C$26,J45,Законод!$C$26*'01_Доходи'!J44),0)))</f>
        <v>x</v>
      </c>
      <c r="K46" s="208" t="str">
        <f ca="1">IF($B$41="Лікар загальної практики - сімейний лікар",IF(L45&lt;=Законод!$C$22,K45,Законод!$C$22*'01_Доходи'!K44),IF($B$41="Лікар-педіатр","x",IF($B$41="Лікар-терапевт",IF(L45&lt;=Законод!$C$26,K45,Законод!$C$26*'01_Доходи'!K44),0)))</f>
        <v>x</v>
      </c>
      <c r="L46" s="209">
        <f ca="1">SUM(G46:K46)</f>
        <v>900</v>
      </c>
      <c r="M46" s="942"/>
      <c r="N46" s="208">
        <f ca="1">IF($B$41="Лікар загальної практики - сімейний лікар",IF(S45&lt;=Законод!$C$22,N45,Законод!$C$22*'01_Доходи'!N44),IF($B$41="Лікар-педіатр",IF(S45&lt;=Законод!$C$18,N45,Законод!$C$18*'01_Доходи'!N44),IF($B$41="Лікар-терапевт","x",0)))</f>
        <v>157.9591836734694</v>
      </c>
      <c r="O46" s="208">
        <f ca="1">IF($B$41="Лікар загальної практики - сімейний лікар",IF(S45&lt;=Законод!$C$22,O45,Законод!$C$22*'01_Доходи'!O44),IF($B$41="Лікар-педіатр",IF(S45&lt;=Законод!$C$18,O45,Законод!$C$18*'01_Доходи'!O44),IF($B$41="Лікар-терапевт","x",0)))</f>
        <v>742.0408163265306</v>
      </c>
      <c r="P46" s="208" t="str">
        <f ca="1">IF($B$41="Лікар загальної практики - сімейний лікар",IF(S45&lt;=Законод!$C$22,P45,Законод!$C$22*'01_Доходи'!P44),IF($B$41="Лікар-педіатр","x",IF($B$41="Лікар-терапевт",IF(S45&lt;=Законод!$C$26,P45,Законод!$C$26*'01_Доходи'!P44),0)))</f>
        <v>x</v>
      </c>
      <c r="Q46" s="208" t="str">
        <f ca="1">IF($B$41="Лікар загальної практики - сімейний лікар",IF(S45&lt;=Законод!$C$22,Q45,Законод!$C$22*'01_Доходи'!Q44),IF($B$41="Лікар-педіатр","x",IF($B$41="Лікар-терапевт",IF(S45&lt;=Законод!$C$26,Q45,Законод!$C$26*'01_Доходи'!Q44),0)))</f>
        <v>x</v>
      </c>
      <c r="R46" s="208" t="str">
        <f ca="1">IF($B$41="Лікар загальної практики - сімейний лікар",IF(S45&lt;=Законод!$C$22,R45,Законод!$C$22*'01_Доходи'!R44),IF($B$41="Лікар-педіатр","x",IF($B$41="Лікар-терапевт",IF(S45&lt;=Законод!$C$26,R45,Законод!$C$26*'01_Доходи'!R44),0)))</f>
        <v>x</v>
      </c>
      <c r="S46" s="209">
        <f ca="1">SUM(N46:R46)</f>
        <v>900</v>
      </c>
      <c r="T46" s="1075"/>
      <c r="U46" s="208">
        <f ca="1">IF($B$41="Лікар загальної практики - сімейний лікар",IF(Z45&lt;=Законод!$C$22,U45,Законод!$C$22*'01_Доходи'!U44),IF($B$41="Лікар-педіатр",IF(Z45&lt;=Законод!$C$18,U45,Законод!$C$18*'01_Доходи'!U44),IF($B$41="Лікар-терапевт","x",0)))</f>
        <v>157.9591836734694</v>
      </c>
      <c r="V46" s="208">
        <f ca="1">IF($B$41="Лікар загальної практики - сімейний лікар",IF(Z45&lt;=Законод!$C$22,V45,Законод!$C$22*'01_Доходи'!V44),IF($B$41="Лікар-педіатр",IF(Z45&lt;=Законод!$C$18,V45,Законод!$C$18*'01_Доходи'!V44),IF($B$41="Лікар-терапевт","x",0)))</f>
        <v>742.0408163265306</v>
      </c>
      <c r="W46" s="208" t="str">
        <f ca="1">IF($B$41="Лікар загальної практики - сімейний лікар",IF(Z45&lt;=Законод!$C$22,W45,Законод!$C$22*'01_Доходи'!W44),IF($B$41="Лікар-педіатр","x",IF($B$41="Лікар-терапевт",IF(Z45&lt;=Законод!$C$26,W45,Законод!$C$26*'01_Доходи'!W44),0)))</f>
        <v>x</v>
      </c>
      <c r="X46" s="208" t="str">
        <f ca="1">IF($B$41="Лікар загальної практики - сімейний лікар",IF(Z45&lt;=Законод!$C$22,X45,Законод!$C$22*'01_Доходи'!X44),IF($B$41="Лікар-педіатр","x",IF($B$41="Лікар-терапевт",IF(Z45&lt;=Законод!$C$26,X45,Законод!$C$26*'01_Доходи'!X44),0)))</f>
        <v>x</v>
      </c>
      <c r="Y46" s="208" t="str">
        <f ca="1">IF($B$41="Лікар загальної практики - сімейний лікар",IF(Z45&lt;=Законод!$C$22,Y45,Законод!$C$22*'01_Доходи'!Y44),IF($B$41="Лікар-педіатр","x",IF($B$41="Лікар-терапевт",IF(Z45&lt;=Законод!$C$26,Y45,Законод!$C$26*'01_Доходи'!Y44),0)))</f>
        <v>x</v>
      </c>
      <c r="Z46" s="209">
        <f ca="1">SUM(U46:Y46)</f>
        <v>900</v>
      </c>
      <c r="AA46" s="1075"/>
      <c r="AB46" s="208">
        <f ca="1">IF($B$41="Лікар загальної практики - сімейний лікар",IF(AG45&lt;=Законод!$C$22,AB45,Законод!$C$22*'01_Доходи'!AB44),IF($B$41="Лікар-педіатр",IF(AG45&lt;=Законод!$C$18,AB45,Законод!$C$18*'01_Доходи'!AB44),IF($B$41="Лікар-терапевт","x",0)))</f>
        <v>157.9591836734694</v>
      </c>
      <c r="AC46" s="208">
        <f ca="1">IF($B$41="Лікар загальної практики - сімейний лікар",IF(AG45&lt;=Законод!$C$22,AC45,Законод!$C$22*'01_Доходи'!AC44),IF($B$41="Лікар-педіатр",IF(AG45&lt;=Законод!$C$18,AC45,Законод!$C$18*'01_Доходи'!AC44),IF($B$41="Лікар-терапевт","x",0)))</f>
        <v>742.0408163265306</v>
      </c>
      <c r="AD46" s="208" t="str">
        <f ca="1">IF($B$41="Лікар загальної практики - сімейний лікар",IF(AG45&lt;=Законод!$C$22,AD45,Законод!$C$22*'01_Доходи'!AD44),IF($B$41="Лікар-педіатр","x",IF($B$41="Лікар-терапевт",IF(AG45&lt;=Законод!$C$26,AD45,Законод!$C$26*'01_Доходи'!AD44),0)))</f>
        <v>x</v>
      </c>
      <c r="AE46" s="208" t="str">
        <f ca="1">IF($B$41="Лікар загальної практики - сімейний лікар",IF(AG45&lt;=Законод!$C$22,AE45,Законод!$C$22*'01_Доходи'!AE44),IF($B$41="Лікар-педіатр","x",IF($B$41="Лікар-терапевт",IF(AG45&lt;=Законод!$C$26,AE45,Законод!$C$26*'01_Доходи'!AE44),0)))</f>
        <v>x</v>
      </c>
      <c r="AF46" s="208" t="str">
        <f ca="1">IF($B$41="Лікар загальної практики - сімейний лікар",IF(AG45&lt;=Законод!$C$22,AF45,Законод!$C$22*'01_Доходи'!AF44),IF($B$41="Лікар-педіатр","x",IF($B$41="Лікар-терапевт",IF(AG45&lt;=Законод!$C$26,AF45,Законод!$C$26*'01_Доходи'!AF44),0)))</f>
        <v>x</v>
      </c>
      <c r="AG46" s="209">
        <f ca="1">SUM(AB46:AF46)</f>
        <v>900</v>
      </c>
      <c r="AH46" s="1080"/>
      <c r="AI46" s="201"/>
      <c r="AJ46" s="945"/>
      <c r="AK46" s="960"/>
      <c r="AL46" s="960"/>
      <c r="AM46" s="348" t="s">
        <v>451</v>
      </c>
      <c r="AN46" s="210">
        <f ca="1">IF(B41="Лікар загальної практики - сімейний лікар",G46*Законод!$C$11+'01_Доходи'!H46*Законод!$D$11+'01_Доходи'!I46*Законод!$E$11+'01_Доходи'!J46*Законод!$F$11+'01_Доходи'!K46*Законод!$G$11,IF(B41="Лікар-педіатр",G46*Законод!$C$11+'01_Доходи'!H46*Законод!$D$11,IF(B41="Лікар-терапевт",'01_Доходи'!I46*Законод!$E$11+'01_Доходи'!J46*Законод!$F$11+'01_Доходи'!K46*Законод!$G$11,0)))</f>
        <v>274457.60958673467</v>
      </c>
      <c r="AO46" s="210">
        <f ca="1">IF(B41="Лікар загальної практики - сімейний лікар",N46*Законод!$C$11+'01_Доходи'!O46*Законод!$D$11+'01_Доходи'!P46*Законод!$E$11+'01_Доходи'!Q46*Законод!$F$11+'01_Доходи'!R46*Законод!$G$11,IF(B41="Лікар-педіатр",N46*Законод!$C$11+'01_Доходи'!O46*Законод!$D$11,IF(B41="Лікар-терапевт",'01_Доходи'!P46*Законод!$E$11+'01_Доходи'!Q46*Законод!$F$11+'01_Доходи'!R46*Законод!$G$11,0)))</f>
        <v>274457.60958673467</v>
      </c>
      <c r="AP46" s="210">
        <f ca="1">IF(B41="Лікар загальної практики - сімейний лікар",U46*Законод!$C$11+'01_Доходи'!V46*Законод!$D$11+'01_Доходи'!W46*Законод!$E$11+'01_Доходи'!X46*Законод!$F$11+'01_Доходи'!Y46*Законод!$G$11,IF(B41="Лікар-педіатр",U46*Законод!$C$11+'01_Доходи'!V46*Законод!$D$11,IF(B41="Лікар-терапевт",'01_Доходи'!W46*Законод!$E$11+'01_Доходи'!X46*Законод!$F$11+'01_Доходи'!Y46*Законод!$G$11,0)))</f>
        <v>274457.60958673467</v>
      </c>
      <c r="AQ46" s="210">
        <f ca="1">IF(B41="Лікар загальної практики - сімейний лікар",AB46*Законод!$C$11+'01_Доходи'!AC46*Законод!$D$11+'01_Доходи'!AD46*Законод!$E$11+'01_Доходи'!AE46*Законод!$F$11+'01_Доходи'!AF46*Законод!$G$11,IF(B41="Лікар-педіатр",AB46*Законод!$C$11+'01_Доходи'!AC46*Законод!$D$11,IF(B41="Лікар-терапевт",'01_Доходи'!AD46*Законод!$E$11+'01_Доходи'!AE46*Законод!$F$11+'01_Доходи'!AF46*Законод!$G$11,0)))</f>
        <v>274457.60958673467</v>
      </c>
      <c r="AR46" s="211">
        <f t="shared" ref="AR46:AR52" si="0">SUM(AN46:AQ46)</f>
        <v>1097830.4383469387</v>
      </c>
    </row>
    <row r="47" spans="1:44" s="50" customFormat="1" ht="31.9" customHeight="1">
      <c r="A47" s="197"/>
      <c r="B47" s="969"/>
      <c r="C47" s="974"/>
      <c r="D47" s="971"/>
      <c r="E47" s="971"/>
      <c r="F47" s="212" t="str">
        <f ca="1">IF(B41="Лікар-педіатр",Законод!$E$17,IF(B41="Лікар загальної практики - сімейний лікар",Законод!$E$21,IF(B41="Лікар-терапевт",Законод!$E$25,"х")))</f>
        <v>понад ліміт (901-990)</v>
      </c>
      <c r="G47" s="935" t="s">
        <v>423</v>
      </c>
      <c r="H47" s="936"/>
      <c r="I47" s="936"/>
      <c r="J47" s="936"/>
      <c r="K47" s="937"/>
      <c r="L47" s="196">
        <f ca="1">IF($B$41="Лікар загальної практики - сімейний лікар",IF(L45&lt;Законод!$C$22,0,(IF(AND(L45&gt;=Законод!$E$22,L45&lt;=Законод!$E$23),L45-Законод!$C$22,IF('01_Доходи'!L45&gt;=Законод!$F$22,Законод!$E$24,0)))),IF($B$41="Лікар-педіатр",IF(L45&lt;Законод!$C$18,0,(IF(AND(L45&gt;=Законод!$E$18,L45&lt;=Законод!$E$19),L45-Законод!$C$18,IF('01_Доходи'!L45&gt;=Законод!$F$18,Законод!$E$20,0)))),IF($B$41="Лікар-терапевт",IF(L45&lt;Законод!$C$26,0,(IF(AND(L45&gt;=Законод!$E$26,L45&lt;=Законод!$E$27),L45-Законод!$C$26,IF('01_Доходи'!L45&gt;=Законод!$F$26,Законод!$E$28,0)))),0)))</f>
        <v>80</v>
      </c>
      <c r="M47" s="942"/>
      <c r="N47" s="935" t="s">
        <v>423</v>
      </c>
      <c r="O47" s="936"/>
      <c r="P47" s="936"/>
      <c r="Q47" s="936"/>
      <c r="R47" s="937"/>
      <c r="S47" s="196">
        <f ca="1">IF($B$41="Лікар загальної практики - сімейний лікар",IF(S45&lt;Законод!$C$22,0,(IF(AND(S45&gt;=Законод!$E$22,S45&lt;=Законод!$E$23),S45-Законод!$C$22,IF('01_Доходи'!S45&gt;=Законод!$F$22,Законод!$E$24,0)))),IF($B$41="Лікар-педіатр",IF(S45&lt;Законод!$C$18,0,(IF(AND(S45&gt;=Законод!$E$18,S45&lt;=Законод!$E$19),S45-Законод!$C$18,IF('01_Доходи'!S45&gt;=Законод!$F$18,Законод!$E$20,0)))),IF($B$41="Лікар-терапевт",IF(S45&lt;Законод!$C$26,0,(IF(AND(S45&gt;=Законод!$E$26,S45&lt;=Законод!$E$27),S45-Законод!$C$26,IF('01_Доходи'!S45&gt;=Законод!$F$26,Законод!$E$28,0)))),0)))</f>
        <v>80</v>
      </c>
      <c r="T47" s="1075"/>
      <c r="U47" s="935" t="s">
        <v>423</v>
      </c>
      <c r="V47" s="936"/>
      <c r="W47" s="936"/>
      <c r="X47" s="936"/>
      <c r="Y47" s="937"/>
      <c r="Z47" s="196">
        <f ca="1">IF($B$41="Лікар загальної практики - сімейний лікар",IF(Z45&lt;Законод!$C$22,0,(IF(AND(Z45&gt;=Законод!$E$22,Z45&lt;=Законод!$E$23),Z45-Законод!$C$22,IF('01_Доходи'!Z45&gt;=Законод!$F$22,Законод!$E$24,0)))),IF($B$41="Лікар-педіатр",IF(Z45&lt;Законод!$C$18,0,(IF(AND(Z45&gt;=Законод!$E$18,Z45&lt;=Законод!$E$19),Z45-Законод!$C$18,IF('01_Доходи'!Z45&gt;=Законод!$F$18,Законод!$E$20,0)))),IF($B$41="Лікар-терапевт",IF(Z45&lt;Законод!$C$26,0,(IF(AND(Z45&gt;=Законод!$E$26,Z45&lt;=Законод!$E$27),Z45-Законод!$C$26,IF('01_Доходи'!Z45&gt;=Законод!$F$26,Законод!$E$28,0)))),0)))</f>
        <v>80</v>
      </c>
      <c r="AA47" s="1075"/>
      <c r="AB47" s="935" t="s">
        <v>423</v>
      </c>
      <c r="AC47" s="936"/>
      <c r="AD47" s="936"/>
      <c r="AE47" s="936"/>
      <c r="AF47" s="937"/>
      <c r="AG47" s="196">
        <f ca="1">IF($B$41="Лікар загальної практики - сімейний лікар",IF(AG45&lt;Законод!$C$22,0,(IF(AND(AG45&gt;=Законод!$E$22,AG45&lt;=Законод!$E$23),AG45-Законод!$C$22,IF('01_Доходи'!AG45&gt;=Законод!$F$22,Законод!$E$24,0)))),IF($B$41="Лікар-педіатр",IF(AG45&lt;Законод!$C$18,0,(IF(AND(AG45&gt;=Законод!$E$18,AG45&lt;=Законод!$E$19),AG45-Законод!$C$18,IF('01_Доходи'!AG45&gt;=Законод!$F$18,Законод!$E$20,0)))),IF($B$41="Лікар-терапевт",IF(AG45&lt;Законод!$C$26,0,(IF(AND(AG45&gt;=Законод!$E$26,AG45&lt;=Законод!$E$27),AG45-Законод!$C$26,IF('01_Доходи'!AG45&gt;=Законод!$F$26,Законод!$E$28,0)))),0)))</f>
        <v>80</v>
      </c>
      <c r="AH47" s="1080"/>
      <c r="AI47" s="201"/>
      <c r="AJ47" s="945"/>
      <c r="AK47" s="960"/>
      <c r="AL47" s="960"/>
      <c r="AM47" s="926" t="s">
        <v>452</v>
      </c>
      <c r="AN47" s="210">
        <f ca="1">IF(B41="Лікар загальної практики - сімейний лікар",L47*Законод!$C$9/4*Законод!$E$16,IF(B41="Лікар-педіатр",L47*Законод!$C$9/4*Законод!$E$16,IF(B41="Лікар-терапевт",L47*Законод!$C$9/4*Законод!$E$16,0)))</f>
        <v>9691.5280000000002</v>
      </c>
      <c r="AO47" s="210">
        <f ca="1">IF(B41="Лікар загальної практики - сімейний лікар",S47*Законод!$C$9/4*Законод!$E$16,IF(B41="Лікар-педіатр",S47*Законод!$C$9/4*Законод!$E$16,IF(B41="Лікар-терапевт",S47*Законод!$C$9/4*Законод!$E$16,0)))</f>
        <v>9691.5280000000002</v>
      </c>
      <c r="AP47" s="210">
        <f ca="1">IF(B41="Лікар загальної практики - сімейний лікар",Z47*Законод!$C$9/4*Законод!$E$16,IF(B41="Лікар-педіатр",Z47*Законод!$C$9/4*Законод!$E$16,IF(B41="Лікар-терапевт",Z47*Законод!$C$9/4*Законод!$E$16,0)))</f>
        <v>9691.5280000000002</v>
      </c>
      <c r="AQ47" s="210">
        <f ca="1">IF(B41="Лікар загальної практики - сімейний лікар",AG47*Законод!$C$9/4*Законод!$E$16,IF(B41="Лікар-педіатр",AG47*Законод!$C$9/4*Законод!$E$16,IF(B41="Лікар-терапевт",AG47*Законод!$C$9/4*Законод!$E$16,0)))</f>
        <v>9691.5280000000002</v>
      </c>
      <c r="AR47" s="211">
        <f t="shared" si="0"/>
        <v>38766.112000000001</v>
      </c>
    </row>
    <row r="48" spans="1:44" s="50" customFormat="1" ht="31.9" customHeight="1">
      <c r="A48" s="197"/>
      <c r="B48" s="969"/>
      <c r="C48" s="974"/>
      <c r="D48" s="971"/>
      <c r="E48" s="971"/>
      <c r="F48" s="212" t="str">
        <f ca="1">IF(B41="Лікар-педіатр",Законод!$F$17,IF(B41="Лікар загальної практики - сімейний лікар",Законод!$F$21,IF(B41="Лікар-терапевт",Законод!$F$25,"х")))</f>
        <v>понад ліміт (991-1080)</v>
      </c>
      <c r="G48" s="935" t="s">
        <v>423</v>
      </c>
      <c r="H48" s="936"/>
      <c r="I48" s="936"/>
      <c r="J48" s="936"/>
      <c r="K48" s="937"/>
      <c r="L48" s="196">
        <f ca="1">IF($B$41="Лікар загальної практики - сімейний лікар",IF(L45&lt;Законод!$C$22,0,(IF(AND(L45&gt;=Законод!$F$22,L45&lt;=Законод!$F$23),L45-Законод!$E$23,IF('01_Доходи'!L45&gt;=Законод!$G$22,Законод!$F$24,0)))),IF($B$41="Лікар-педіатр",IF(L45&lt;Законод!$C$18,0,(IF(AND(L45&gt;=Законод!$F$18,L45&lt;=Законод!$F$19),L45-Законод!$E$19,IF('01_Доходи'!L45&gt;=Законод!$G$18,Законод!$F$20,0)))),IF($B$41="Лікар-терапевт",IF(L45&lt;Законод!$C$26,0,(IF(AND(L45&gt;=Законод!$F$26,L45&lt;=Законод!$F$27),L45-Законод!$E$27,IF('01_Доходи'!L45&gt;=Законод!$G$26,Законод!$F$28,0)))),0)))</f>
        <v>0</v>
      </c>
      <c r="M48" s="942"/>
      <c r="N48" s="935" t="s">
        <v>423</v>
      </c>
      <c r="O48" s="936"/>
      <c r="P48" s="936"/>
      <c r="Q48" s="936"/>
      <c r="R48" s="937"/>
      <c r="S48" s="196">
        <f ca="1">IF($B$41="Лікар загальної практики - сімейний лікар",IF(S45&lt;Законод!$C$22,0,(IF(AND(S45&gt;=Законод!$F$22,S45&lt;=Законод!$F$23),S45-Законод!$E$23,IF('01_Доходи'!S45&gt;=Законод!$G$22,Законод!$F$24,0)))),IF($B$41="Лікар-педіатр",IF(S45&lt;Законод!$C$18,0,(IF(AND(S45&gt;=Законод!$F$18,S45&lt;=Законод!$F$19),S45-Законод!$E$19,IF('01_Доходи'!S45&gt;=Законод!$G$18,Законод!$F$20,0)))),IF($B$41="Лікар-терапевт",IF(S45&lt;Законод!$C$26,0,(IF(AND(S45&gt;=Законод!$F$26,S45&lt;=Законод!$F$27),S45-Законод!$E$27,IF('01_Доходи'!S45&gt;=Законод!$G$26,Законод!$F$28,0)))),0)))</f>
        <v>0</v>
      </c>
      <c r="T48" s="1075"/>
      <c r="U48" s="935" t="s">
        <v>423</v>
      </c>
      <c r="V48" s="936"/>
      <c r="W48" s="936"/>
      <c r="X48" s="936"/>
      <c r="Y48" s="937"/>
      <c r="Z48" s="196">
        <f ca="1">IF($B$41="Лікар загальної практики - сімейний лікар",IF(Z45&lt;Законод!$C$22,0,(IF(AND(Z45&gt;=Законод!$F$22,Z45&lt;=Законод!$F$23),Z45-Законод!$E$23,IF('01_Доходи'!Z45&gt;=Законод!$G$22,Законод!$F$24,0)))),IF($B$41="Лікар-педіатр",IF(Z45&lt;Законод!$C$18,0,(IF(AND(Z45&gt;=Законод!$F$18,Z45&lt;=Законод!$F$19),Z45-Законод!$E$19,IF('01_Доходи'!Z45&gt;=Законод!$G$18,Законод!$F$20,0)))),IF($B$41="Лікар-терапевт",IF(Z45&lt;Законод!$C$26,0,(IF(AND(Z45&gt;=Законод!$F$26,Z45&lt;=Законод!$F$27),Z45-Законод!$E$27,IF('01_Доходи'!Z45&gt;=Законод!$G$26,Законод!$F$28,0)))),0)))</f>
        <v>0</v>
      </c>
      <c r="AA48" s="1075"/>
      <c r="AB48" s="935" t="s">
        <v>423</v>
      </c>
      <c r="AC48" s="936"/>
      <c r="AD48" s="936"/>
      <c r="AE48" s="936"/>
      <c r="AF48" s="937"/>
      <c r="AG48" s="196">
        <f ca="1">IF($B$41="Лікар загальної практики - сімейний лікар",IF(AG45&lt;Законод!$C$22,0,(IF(AND(AG45&gt;=Законод!$F$22,AG45&lt;=Законод!$F$23),AG45-Законод!$E$23,IF('01_Доходи'!AG45&gt;=Законод!$G$22,Законод!$F$24,0)))),IF($B$41="Лікар-педіатр",IF(AG45&lt;Законод!$C$18,0,(IF(AND(AG45&gt;=Законод!$F$18,AG45&lt;=Законод!$F$19),AG45-Законод!$E$19,IF('01_Доходи'!AG45&gt;=Законод!$G$18,Законод!$F$20,0)))),IF($B$41="Лікар-терапевт",IF(AG45&lt;Законод!$C$26,0,(IF(AND(AG45&gt;=Законод!$F$26,AG45&lt;=Законод!$F$27),AG45-Законод!$E$27,IF('01_Доходи'!AG45&gt;=Законод!$G$26,Законод!$F$28,0)))),0)))</f>
        <v>0</v>
      </c>
      <c r="AH48" s="1080"/>
      <c r="AI48" s="201"/>
      <c r="AJ48" s="945"/>
      <c r="AK48" s="960"/>
      <c r="AL48" s="960"/>
      <c r="AM48" s="927"/>
      <c r="AN48" s="210">
        <f ca="1">IF(B41="Лікар загальної практики - сімейний лікар",L48*Законод!$C$9/4*Законод!$F$16,IF(B41="Лікар-педіатр",L48*Законод!$C$9/4*Законод!$F$16,IF(B41="Лікар-терапевт",L48*Законод!$C$9/4*Законод!$F$16,0)))</f>
        <v>0</v>
      </c>
      <c r="AO48" s="210">
        <f ca="1">IF(B41="Лікар загальної практики - сімейний лікар",S48*Законод!$C$9/4*Законод!$F$16,IF(B41="Лікар-педіатр",S48*Законод!$C$9/4*Законод!$F$16,IF(B41="Лікар-терапевт",S48*Законод!$C$9/4*Законод!$F$16,0)))</f>
        <v>0</v>
      </c>
      <c r="AP48" s="210">
        <f ca="1">IF(B41="Лікар загальної практики - сімейний лікар",Z48*Законод!$C$9/4*Законод!$F$16,IF(B41="Лікар-педіатр",Z48*Законод!$C$9/4*Законод!$F$16,IF(B41="Лікар-терапевт",Z48*Законод!$C$9/4*Законод!$F$16,0)))</f>
        <v>0</v>
      </c>
      <c r="AQ48" s="210">
        <f ca="1">IF(B41="Лікар загальної практики - сімейний лікар",AG48*Законод!$C$9/4*Законод!$F$16,IF(B41="Лікар-педіатр",AG48*Законод!$C$9/4*Законод!$F$16,IF(B41="Лікар-терапевт",AG48*Законод!$C$9/4*Законод!$F$16,0)))</f>
        <v>0</v>
      </c>
      <c r="AR48" s="211">
        <f t="shared" si="0"/>
        <v>0</v>
      </c>
    </row>
    <row r="49" spans="1:44" s="50" customFormat="1" ht="31.9" customHeight="1">
      <c r="A49" s="197"/>
      <c r="B49" s="969"/>
      <c r="C49" s="974"/>
      <c r="D49" s="971"/>
      <c r="E49" s="971"/>
      <c r="F49" s="212" t="str">
        <f ca="1">IF(B41="Лікар-педіатр",Законод!$G$17,IF(B41="Лікар загальної практики - сімейний лікар",Законод!$G$21,IF(B41="Лікар-терапевт",Законод!$G$25,"х")))</f>
        <v>понад ліміт (1081-1170)</v>
      </c>
      <c r="G49" s="935" t="s">
        <v>423</v>
      </c>
      <c r="H49" s="936"/>
      <c r="I49" s="936"/>
      <c r="J49" s="936"/>
      <c r="K49" s="937"/>
      <c r="L49" s="196">
        <f ca="1">IF($B$41="Лікар загальної практики - сімейний лікар",IF(L45&lt;Законод!$C$22,0,(IF(AND(L45&gt;=Законод!$G$22,L45&lt;=Законод!$G$23),L45-Законод!$F$23,IF('01_Доходи'!L45&gt;=Законод!$H$22,Законод!$G$24,0)))),IF($B$41="Лікар-педіатр",IF(L45&lt;Законод!$C$18,0,(IF(AND(L45&gt;=Законод!$G$18,L45&lt;=Законод!$G$19),L45-Законод!$F$19,IF('01_Доходи'!L45&gt;=Законод!$H$18,Законод!$G$20,0)))),IF($B$41="Лікар-терапевт",IF(L45&lt;Законод!$C$26,0,(IF(AND(L45&gt;=Законод!$G$26,L45&lt;=Законод!$G$27),L45-Законод!$F$27,IF('01_Доходи'!L45&gt;=Законод!$H$26,Законод!$G$28,0)))),0)))</f>
        <v>0</v>
      </c>
      <c r="M49" s="942"/>
      <c r="N49" s="935" t="s">
        <v>423</v>
      </c>
      <c r="O49" s="936"/>
      <c r="P49" s="936"/>
      <c r="Q49" s="936"/>
      <c r="R49" s="937"/>
      <c r="S49" s="196">
        <f ca="1">IF($B$41="Лікар загальної практики - сімейний лікар",IF(S45&lt;Законод!$C$22,0,(IF(AND(S45&gt;=Законод!$G$22,S45&lt;=Законод!$G$23),S45-Законод!$F$23,IF('01_Доходи'!S45&gt;=Законод!$H$22,Законод!$G$24,0)))),IF($B$41="Лікар-педіатр",IF(S45&lt;Законод!$C$18,0,(IF(AND(S45&gt;=Законод!$G$18,S45&lt;=Законод!$G$19),S45-Законод!$F$19,IF('01_Доходи'!S45&gt;=Законод!$H$18,Законод!$G$20,0)))),IF($B$41="Лікар-терапевт",IF(S45&lt;Законод!$C$26,0,(IF(AND(S45&gt;=Законод!$G$26,S45&lt;=Законод!$G$27),S45-Законод!$F$27,IF('01_Доходи'!S45&gt;=Законод!$H$26,Законод!$G$28,0)))),0)))</f>
        <v>0</v>
      </c>
      <c r="T49" s="1075"/>
      <c r="U49" s="935" t="s">
        <v>423</v>
      </c>
      <c r="V49" s="936"/>
      <c r="W49" s="936"/>
      <c r="X49" s="936"/>
      <c r="Y49" s="937"/>
      <c r="Z49" s="196">
        <f ca="1">IF($B$41="Лікар загальної практики - сімейний лікар",IF(Z45&lt;Законод!$C$22,0,(IF(AND(Z45&gt;=Законод!$G$22,Z45&lt;=Законод!$G$23),Z45-Законод!$F$23,IF('01_Доходи'!Z45&gt;=Законод!$H$22,Законод!$G$24,0)))),IF($B$41="Лікар-педіатр",IF(Z45&lt;Законод!$C$18,0,(IF(AND(Z45&gt;=Законод!$G$18,Z45&lt;=Законод!$G$19),Z45-Законод!$F$19,IF('01_Доходи'!Z45&gt;=Законод!$H$18,Законод!$G$20,0)))),IF($B$41="Лікар-терапевт",IF(Z45&lt;Законод!$C$26,0,(IF(AND(Z45&gt;=Законод!$G$26,Z45&lt;=Законод!$G$27),Z45-Законод!$F$27,IF('01_Доходи'!Z45&gt;=Законод!$H$26,Законод!$G$28,0)))),0)))</f>
        <v>0</v>
      </c>
      <c r="AA49" s="1075"/>
      <c r="AB49" s="935" t="s">
        <v>423</v>
      </c>
      <c r="AC49" s="936"/>
      <c r="AD49" s="936"/>
      <c r="AE49" s="936"/>
      <c r="AF49" s="937"/>
      <c r="AG49" s="196">
        <f ca="1">IF($B$41="Лікар загальної практики - сімейний лікар",IF(AG45&lt;Законод!$C$22,0,(IF(AND(AG45&gt;=Законод!$G$22,AG45&lt;=Законод!$G$23),AG45-Законод!$F$23,IF('01_Доходи'!AG45&gt;=Законод!$H$22,Законод!$G$24,0)))),IF($B$41="Лікар-педіатр",IF(AG45&lt;Законод!$C$18,0,(IF(AND(AG45&gt;=Законод!$G$18,AG45&lt;=Законод!$G$19),AG45-Законод!$F$19,IF('01_Доходи'!AG45&gt;=Законод!$H$18,Законод!$G$20,0)))),IF($B$41="Лікар-терапевт",IF(AG45&lt;Законод!$C$26,0,(IF(AND(AG45&gt;=Законод!$G$26,AG45&lt;=Законод!$G$27),AG45-Законод!$F$27,IF('01_Доходи'!AG45&gt;=Законод!$H$26,Законод!$G$28,0)))),0)))</f>
        <v>0</v>
      </c>
      <c r="AH49" s="1080"/>
      <c r="AI49" s="201"/>
      <c r="AJ49" s="945"/>
      <c r="AK49" s="960"/>
      <c r="AL49" s="960"/>
      <c r="AM49" s="927"/>
      <c r="AN49" s="210">
        <f ca="1">IF(B41="Лікар загальної практики - сімейний лікар",L49*Законод!$C$9/4*Законод!$G$16,IF(B41="Лікар-педіатр",L49*Законод!$C$9/4*Законод!$G$16,IF(B41="Лікар-терапевт",L49*Законод!$C$9/4*Законод!$G$16,0)))</f>
        <v>0</v>
      </c>
      <c r="AO49" s="210">
        <f ca="1">IF(B41="Лікар загальної практики - сімейний лікар",S49*Законод!$C$9/4*Законод!$G$16,IF(B41="Лікар-педіатр",S49*Законод!$C$9/4*Законод!$G$16,IF(B41="Лікар-терапевт",S49*Законод!$C$9/4*Законод!$G$16,0)))</f>
        <v>0</v>
      </c>
      <c r="AP49" s="210">
        <f ca="1">IF(B41="Лікар загальної практики - сімейний лікар",Z49*Законод!$C$9/4*Законод!$G$16,IF(B41="Лікар-педіатр",Z49*Законод!$C$9/4*Законод!$G$16,IF(B41="Лікар-терапевт",Z49*Законод!$C$9/4*Законод!$G$16,0)))</f>
        <v>0</v>
      </c>
      <c r="AQ49" s="210">
        <f ca="1">IF(B41="Лікар загальної практики - сімейний лікар",AG49*Законод!$C$9/4*Законод!$G$16,IF(B41="Лікар-педіатр",AG49*Законод!$C$9/4*Законод!$G$16,IF(B41="Лікар-терапевт",AG49*Законод!$C$9/4*Законод!$G$16,0)))</f>
        <v>0</v>
      </c>
      <c r="AR49" s="211">
        <f t="shared" si="0"/>
        <v>0</v>
      </c>
    </row>
    <row r="50" spans="1:44" s="50" customFormat="1" ht="31.9" customHeight="1">
      <c r="A50" s="197"/>
      <c r="B50" s="969"/>
      <c r="C50" s="974"/>
      <c r="D50" s="971"/>
      <c r="E50" s="971"/>
      <c r="F50" s="212" t="str">
        <f ca="1">IF(B41="Лікар-педіатр",Законод!$H$17,IF(B41="Лікар загальної практики - сімейний лікар",Законод!$H$21,IF(B41="Лікар-терапевт",Законод!$H$25,"х")))</f>
        <v>понад ліміт (1171-1260)</v>
      </c>
      <c r="G50" s="935" t="s">
        <v>423</v>
      </c>
      <c r="H50" s="936"/>
      <c r="I50" s="936"/>
      <c r="J50" s="936"/>
      <c r="K50" s="937"/>
      <c r="L50" s="196">
        <f ca="1">IF($B$41="Лікар загальної практики - сімейний лікар",IF(L45&lt;Законод!$C$22,0,(IF(AND(L45&gt;=Законод!$H$22,L45&lt;=Законод!$H$23),L45-Законод!$G$23,IF('01_Доходи'!L45&gt;=Законод!$I$22,Законод!$H$24,0)))),IF($B$41="Лікар-педіатр",IF(L45&lt;Законод!$C$18,0,(IF(AND(L45&gt;=Законод!$H$18,L45&lt;=Законод!$H$19),L45-Законод!$G$19,IF('01_Доходи'!L45&gt;=Законод!$I$18,Законод!$H$20,0)))),IF($B$41="Лікар-терапевт",IF(L45&lt;Законод!$C$26,0,(IF(AND(L45&gt;=Законод!$H$26,L45&lt;=Законод!$H$27),L45-Законод!$G$27,IF(L45&gt;=Законод!$I$26,Законод!$H$28,0)))),0)))</f>
        <v>0</v>
      </c>
      <c r="M50" s="942"/>
      <c r="N50" s="935" t="s">
        <v>423</v>
      </c>
      <c r="O50" s="936"/>
      <c r="P50" s="936"/>
      <c r="Q50" s="936"/>
      <c r="R50" s="937"/>
      <c r="S50" s="196">
        <f ca="1">IF($B$41="Лікар загальної практики - сімейний лікар",IF(S45&lt;Законод!$C$22,0,(IF(AND(S45&gt;=Законод!$H$22,S45&lt;=Законод!$H$23),S45-Законод!$G$23,IF('01_Доходи'!S45&gt;=Законод!$I$22,Законод!$H$24,0)))),IF($B$41="Лікар-педіатр",IF(S45&lt;Законод!$C$18,0,(IF(AND(S45&gt;=Законод!$H$18,S45&lt;=Законод!$H$19),S45-Законод!$G$19,IF('01_Доходи'!S45&gt;=Законод!$I$18,Законод!$H$20,0)))),IF($B$41="Лікар-терапевт",IF(S45&lt;Законод!$C$26,0,(IF(AND(S45&gt;=Законод!$H$26,S45&lt;=Законод!$H$27),S45-Законод!$G$27,IF(S45&gt;=Законод!$I$26,Законод!$H$28,0)))),0)))</f>
        <v>0</v>
      </c>
      <c r="T50" s="1075"/>
      <c r="U50" s="935" t="s">
        <v>423</v>
      </c>
      <c r="V50" s="936"/>
      <c r="W50" s="936"/>
      <c r="X50" s="936"/>
      <c r="Y50" s="937"/>
      <c r="Z50" s="196">
        <f ca="1">IF($B$41="Лікар загальної практики - сімейний лікар",IF(Z45&lt;Законод!$C$22,0,(IF(AND(Z45&gt;=Законод!$H$22,Z45&lt;=Законод!$H$23),Z45-Законод!$G$23,IF('01_Доходи'!Z45&gt;=Законод!$I$22,Законод!$H$24,0)))),IF($B$41="Лікар-педіатр",IF(Z45&lt;Законод!$C$18,0,(IF(AND(Z45&gt;=Законод!$H$18,Z45&lt;=Законод!$H$19),Z45-Законод!$G$19,IF('01_Доходи'!Z45&gt;=Законод!$I$18,Законод!$H$20,0)))),IF($B$41="Лікар-терапевт",IF(Z45&lt;Законод!$C$26,0,(IF(AND(Z45&gt;=Законод!$H$26,Z45&lt;=Законод!$H$27),Z45-Законод!$G$27,IF(Z45&gt;=Законод!$I$26,Законод!$H$28,0)))),0)))</f>
        <v>0</v>
      </c>
      <c r="AA50" s="1075"/>
      <c r="AB50" s="935" t="s">
        <v>423</v>
      </c>
      <c r="AC50" s="936"/>
      <c r="AD50" s="936"/>
      <c r="AE50" s="936"/>
      <c r="AF50" s="937"/>
      <c r="AG50" s="196">
        <f ca="1">IF($B$41="Лікар загальної практики - сімейний лікар",IF(AG45&lt;Законод!$C$22,0,(IF(AND(AG45&gt;=Законод!$H$22,AG45&lt;=Законод!$H$23),AG45-Законод!$G$23,IF('01_Доходи'!AG45&gt;=Законод!$I$22,Законод!$H$24,0)))),IF($B$41="Лікар-педіатр",IF(AG45&lt;Законод!$C$18,0,(IF(AND(AG45&gt;=Законод!$H$18,AG45&lt;=Законод!$H$19),AG45-Законод!$G$19,IF('01_Доходи'!AG45&gt;=Законод!$I$18,Законод!$H$20,0)))),IF($B$41="Лікар-терапевт",IF(AG45&lt;Законод!$C$26,0,(IF(AND(AG45&gt;=Законод!$H$26,AG45&lt;=Законод!$H$27),AG45-Законод!$G$27,IF(AG45&gt;=Законод!$I$26,Законод!$H$28,0)))),0)))</f>
        <v>0</v>
      </c>
      <c r="AH50" s="1080"/>
      <c r="AI50" s="201"/>
      <c r="AJ50" s="945"/>
      <c r="AK50" s="960"/>
      <c r="AL50" s="960"/>
      <c r="AM50" s="927"/>
      <c r="AN50" s="210">
        <f ca="1">IF(B41="Лікар загальної практики - сімейний лікар",L50*Законод!$C$9/4*Законод!$H$16,IF(B41="Лікар-педіатр",L50*Законод!$C$9/4*Законод!$H$16,IF(B41="Лікар-терапевт",L50*Законод!$C$9/4*Законод!$H$16,0)))</f>
        <v>0</v>
      </c>
      <c r="AO50" s="210">
        <f ca="1">IF(B41="Лікар загальної практики - сімейний лікар",S50*Законод!$C$9/4*Законод!$H$16,IF(B41="Лікар-педіатр",S50*Законод!$C$9/4*Законод!$H$16,IF(B41="Лікар-терапевт",S50*Законод!$C$9/4*Законод!$H$16,0)))</f>
        <v>0</v>
      </c>
      <c r="AP50" s="210">
        <f ca="1">IF(B41="Лікар загальної практики - сімейний лікар",Z50*Законод!$C$9/4*Законод!$H$16,IF(B41="Лікар-педіатр",Z50*Законод!$C$9/4*Законод!$H$16,IF(B41="Лікар-терапевт",Z50*Законод!$C$9/4*Законод!$H$16,0)))</f>
        <v>0</v>
      </c>
      <c r="AQ50" s="210">
        <f ca="1">IF(B41="Лікар загальної практики - сімейний лікар",AG50*Законод!$C$9/4*Законод!$H$16,IF(B41="Лікар-педіатр",AG50*Законод!$C$9/4*Законод!$H$16,IF(B41="Лікар-терапевт",AG50*Законод!$C$9/4*Законод!$H$16,0)))</f>
        <v>0</v>
      </c>
      <c r="AR50" s="211">
        <f t="shared" si="0"/>
        <v>0</v>
      </c>
    </row>
    <row r="51" spans="1:44" s="50" customFormat="1" ht="31.9" customHeight="1">
      <c r="A51" s="197"/>
      <c r="B51" s="969"/>
      <c r="C51" s="974"/>
      <c r="D51" s="971"/>
      <c r="E51" s="971"/>
      <c r="F51" s="212" t="str">
        <f ca="1">IF(B41="Лікар-педіатр",Законод!$I$17,IF(B41="Лікар загальної практики - сімейний лікар",Законод!$I$21,IF(B41="Лікар-терапевт",Законод!$I$25,"х")))</f>
        <v>понад ліміт (1261-1350)</v>
      </c>
      <c r="G51" s="935" t="s">
        <v>423</v>
      </c>
      <c r="H51" s="936"/>
      <c r="I51" s="936"/>
      <c r="J51" s="936"/>
      <c r="K51" s="937"/>
      <c r="L51" s="196">
        <f ca="1">IF($B$41="Лікар загальної практики - сімейний лікар",IF(L45&lt;Законод!$C$22,0,(IF(AND(L45&gt;=Законод!$I$22,L45&lt;=Законод!$I$23),L45-Законод!$H$23,IF('01_Доходи'!L45&gt;=Законод!$I$22,Законод!$I$24,0)))),IF($B$41="Лікар-педіатр",IF(L45&lt;Законод!$C$18,0,(IF(AND(L45&gt;=Законод!$I$18,L45&lt;=Законод!$I$19),L45-Законод!$H$19,IF('01_Доходи'!L45&gt;=Законод!$I$18,Законод!$H$20,0)))),IF($B$41="Лікар-терапевт",IF(L45&lt;Законод!$C$26,0,(IF(AND(L45&gt;=Законод!$I$26,L45&lt;=Законод!$I$27),L45-Законод!$H$27,IF('01_Доходи'!L45&gt;=Законод!$I$26,Законод!$H$28,0)))),0)))</f>
        <v>0</v>
      </c>
      <c r="M51" s="942"/>
      <c r="N51" s="935" t="s">
        <v>423</v>
      </c>
      <c r="O51" s="936"/>
      <c r="P51" s="936"/>
      <c r="Q51" s="936"/>
      <c r="R51" s="937"/>
      <c r="S51" s="196">
        <f ca="1">IF($B$41="Лікар загальної практики - сімейний лікар",IF(S45&lt;Законод!$C$22,0,(IF(AND(S45&gt;=Законод!$I$22,S45&lt;=Законод!$I$23),S45-Законод!$H$23,IF('01_Доходи'!S45&gt;=Законод!$I$22,Законод!$I$24,0)))),IF($B$41="Лікар-педіатр",IF(S45&lt;Законод!$C$18,0,(IF(AND(S45&gt;=Законод!$I$18,S45&lt;=Законод!$I$19),S45-Законод!$H$19,IF('01_Доходи'!S45&gt;=Законод!$I$18,Законод!$H$20,0)))),IF($B$41="Лікар-терапевт",IF(S45&lt;Законод!$C$26,0,(IF(AND(S45&gt;=Законод!$I$26,S45&lt;=Законод!$I$27),S45-Законод!$H$27,IF('01_Доходи'!S45&gt;=Законод!$I$26,Законод!$H$28,0)))),0)))</f>
        <v>0</v>
      </c>
      <c r="T51" s="1075"/>
      <c r="U51" s="935" t="s">
        <v>423</v>
      </c>
      <c r="V51" s="936"/>
      <c r="W51" s="936"/>
      <c r="X51" s="936"/>
      <c r="Y51" s="937"/>
      <c r="Z51" s="196">
        <f ca="1">IF($B$41="Лікар загальної практики - сімейний лікар",IF(Z45&lt;Законод!$C$22,0,(IF(AND(Z45&gt;=Законод!$I$22,Z45&lt;=Законод!$I$23),Z45-Законод!$H$23,IF('01_Доходи'!Z45&gt;=Законод!$I$22,Законод!$I$24,0)))),IF($B$41="Лікар-педіатр",IF(Z45&lt;Законод!$C$18,0,(IF(AND(Z45&gt;=Законод!$I$18,Z45&lt;=Законод!$I$19),Z45-Законод!$H$19,IF('01_Доходи'!Z45&gt;=Законод!$I$18,Законод!$H$20,0)))),IF($B$41="Лікар-терапевт",IF(Z45&lt;Законод!$C$26,0,(IF(AND(Z45&gt;=Законод!$I$26,Z45&lt;=Законод!$I$27),Z45-Законод!$H$27,IF('01_Доходи'!Z45&gt;=Законод!$I$26,Законод!$H$28,0)))),0)))</f>
        <v>0</v>
      </c>
      <c r="AA51" s="1075"/>
      <c r="AB51" s="935" t="s">
        <v>423</v>
      </c>
      <c r="AC51" s="936"/>
      <c r="AD51" s="936"/>
      <c r="AE51" s="936"/>
      <c r="AF51" s="937"/>
      <c r="AG51" s="196">
        <f ca="1">IF($B$41="Лікар загальної практики - сімейний лікар",IF(AG45&lt;Законод!$C$22,0,(IF(AND(AG45&gt;=Законод!$I$22,AG45&lt;=Законод!$I$23),AG45-Законод!$H$23,IF('01_Доходи'!AG45&gt;=Законод!$I$22,Законод!$I$24,0)))),IF($B$41="Лікар-педіатр",IF(AG45&lt;Законод!$C$18,0,(IF(AND(AG45&gt;=Законод!$I$18,AG45&lt;=Законод!$I$19),AG45-Законод!$H$19,IF('01_Доходи'!AG45&gt;=Законод!$I$18,Законод!$H$20,0)))),IF($B$41="Лікар-терапевт",IF(AG45&lt;Законод!$C$26,0,(IF(AND(AG45&gt;=Законод!$I$26,AG45&lt;=Законод!$I$27),AG45-Законод!$H$27,IF('01_Доходи'!AG45&gt;=Законод!$I$26,Законод!$H$28,0)))),0)))</f>
        <v>0</v>
      </c>
      <c r="AH51" s="1080"/>
      <c r="AI51" s="201"/>
      <c r="AJ51" s="945"/>
      <c r="AK51" s="960"/>
      <c r="AL51" s="960"/>
      <c r="AM51" s="927"/>
      <c r="AN51" s="210">
        <f ca="1">IF(B41="Лікар загальної практики - сімейний лікар",L51*Законод!$C$9/4*Законод!$I$16,IF(B41="Лікар-педіатр",L51*Законод!$C$9/4*Законод!$I$16,IF(B41="Лікар-терапевт",L51*Законод!$C$9/4*Законод!$I$16,0)))</f>
        <v>0</v>
      </c>
      <c r="AO51" s="210">
        <f ca="1">IF(B41="Лікар загальної практики - сімейний лікар",S51*Законод!$C$9/4*Законод!$I$16,IF(B41="Лікар-педіатр",S51*Законод!$C$9/4*Законод!$I$16,IF(B41="Лікар-терапевт",S51*Законод!$C$9/4*Законод!$I$16,0)))</f>
        <v>0</v>
      </c>
      <c r="AP51" s="210">
        <f ca="1">IF(B41="Лікар загальної практики - сімейний лікар",Z51*Законод!$C$9/4*Законод!$I$16,IF(B41="Лікар-педіатр",Z51*Законод!$C$9/4*Законод!$I$16,IF(B41="Лікар-терапевт",Z51*Законод!$C$9/4*Законод!$I$16,0)))</f>
        <v>0</v>
      </c>
      <c r="AQ51" s="210">
        <f ca="1">IF(B41="Лікар загальної практики - сімейний лікар",AG51*Законод!$C$9/4*Законод!$I$16,IF(B41="Лікар-педіатр",AG51*Законод!$C$9/4*Законод!$I$16,IF(B41="Лікар-терапевт",AG51*Законод!$C$9/4*Законод!$I$16,0)))</f>
        <v>0</v>
      </c>
      <c r="AR51" s="211">
        <f t="shared" si="0"/>
        <v>0</v>
      </c>
    </row>
    <row r="52" spans="1:44" s="218" customFormat="1" ht="31.9" customHeight="1" thickBot="1">
      <c r="A52" s="213"/>
      <c r="B52" s="969"/>
      <c r="C52" s="974"/>
      <c r="D52" s="971"/>
      <c r="E52" s="971"/>
      <c r="F52" s="214" t="str">
        <f ca="1">IF(B41="Лікар-педіатр",Законод!$J$17,IF(B41="Лікар загальної практики - сімейний лікар",Законод!$J$21,IF(B41="Лікар-терапевт",Законод!$J$25,"х")))</f>
        <v>понад ліміт (&gt;=1351)</v>
      </c>
      <c r="G52" s="932" t="s">
        <v>423</v>
      </c>
      <c r="H52" s="933"/>
      <c r="I52" s="933"/>
      <c r="J52" s="933"/>
      <c r="K52" s="934"/>
      <c r="L52" s="196">
        <f ca="1">IF($B$41="Лікар загальної практики - сімейний лікар",IF(L45&gt;=Законод!$J$22,'01_Доходи'!L45-('01_Доходи'!L46+'01_Доходи'!L47+'01_Доходи'!L48+'01_Доходи'!L49+'01_Доходи'!L50+'01_Доходи'!L51),0),IF($B$41="Лікар-педіатр",IF(L45&gt;=Законод!$J$18,'01_Доходи'!L45-('01_Доходи'!L46+'01_Доходи'!L47+'01_Доходи'!L48+'01_Доходи'!L49+'01_Доходи'!L50+'01_Доходи'!L51),0),IF($B$41="Лікар-терапевт",IF('01_Доходи'!L45&gt;=Законод!$J$26,L45-Законод!$I$27,0),0)))</f>
        <v>0</v>
      </c>
      <c r="M52" s="943"/>
      <c r="N52" s="932" t="s">
        <v>423</v>
      </c>
      <c r="O52" s="933"/>
      <c r="P52" s="933"/>
      <c r="Q52" s="933"/>
      <c r="R52" s="934"/>
      <c r="S52" s="196">
        <f ca="1">IF($B$41="Лікар загальної практики - сімейний лікар",IF(S45&gt;=Законод!$J$22,'01_Доходи'!S45-('01_Доходи'!S46+'01_Доходи'!S47+'01_Доходи'!S48+'01_Доходи'!S49+'01_Доходи'!S50+'01_Доходи'!S51),0),IF($B$41="Лікар-педіатр",IF(S45&gt;=Законод!$J$18,'01_Доходи'!S45-('01_Доходи'!S46+'01_Доходи'!S47+'01_Доходи'!S48+'01_Доходи'!S49+'01_Доходи'!S50+'01_Доходи'!S51),0),IF($B$41="Лікар-терапевт",IF('01_Доходи'!S45&gt;=Законод!$J$26,S45-Законод!$I$27,0),0)))</f>
        <v>0</v>
      </c>
      <c r="T52" s="1076"/>
      <c r="U52" s="932" t="s">
        <v>423</v>
      </c>
      <c r="V52" s="933"/>
      <c r="W52" s="933"/>
      <c r="X52" s="933"/>
      <c r="Y52" s="934"/>
      <c r="Z52" s="196">
        <f ca="1">IF($B$41="Лікар загальної практики - сімейний лікар",IF(Z45&gt;=Законод!$J$22,'01_Доходи'!Z45-('01_Доходи'!Z46+'01_Доходи'!Z47+'01_Доходи'!Z48+'01_Доходи'!Z49+'01_Доходи'!Z50+'01_Доходи'!Z51),0),IF($B$41="Лікар-педіатр",IF(Z45&gt;=Законод!$J$18,'01_Доходи'!Z45-('01_Доходи'!Z46+'01_Доходи'!Z47+'01_Доходи'!Z48+'01_Доходи'!Z49+'01_Доходи'!Z50+'01_Доходи'!Z51),0),IF($B$41="Лікар-терапевт",IF('01_Доходи'!Z45&gt;=Законод!$J$26,Z45-Законод!$I$27,0),0)))</f>
        <v>0</v>
      </c>
      <c r="AA52" s="1076"/>
      <c r="AB52" s="932" t="s">
        <v>423</v>
      </c>
      <c r="AC52" s="933"/>
      <c r="AD52" s="933"/>
      <c r="AE52" s="933"/>
      <c r="AF52" s="934"/>
      <c r="AG52" s="196">
        <f ca="1">IF($B$41="Лікар загальної практики - сімейний лікар",IF(AG45&gt;=Законод!$J$22,'01_Доходи'!AG45-('01_Доходи'!AG46+'01_Доходи'!AG47+'01_Доходи'!AG48+'01_Доходи'!AG49+'01_Доходи'!AG50+'01_Доходи'!AG51),0),IF($B$41="Лікар-педіатр",IF(AG45&gt;=Законод!$J$18,'01_Доходи'!AG45-('01_Доходи'!AG46+'01_Доходи'!AG47+'01_Доходи'!AG48+'01_Доходи'!AG49+'01_Доходи'!AG50+'01_Доходи'!AG51),0),IF($B$41="Лікар-терапевт",IF('01_Доходи'!AG45&gt;=Законод!$J$26,AG45-Законод!$I$27,0),0)))</f>
        <v>0</v>
      </c>
      <c r="AH52" s="1081"/>
      <c r="AI52" s="215"/>
      <c r="AJ52" s="946"/>
      <c r="AK52" s="961"/>
      <c r="AL52" s="961"/>
      <c r="AM52" s="928"/>
      <c r="AN52" s="216">
        <f ca="1">IF(B41="Лікар загальної практики - сімейний лікар",L52*Законод!$C$9/4*Законод!$J$16,IF(B41="Лікар-педіатр",L52*Законод!$C$9/4*Законод!$J$16,IF(B41="Лікар-терапевт",L52*Законод!$C$9/4*Законод!$J$16,0)))</f>
        <v>0</v>
      </c>
      <c r="AO52" s="216">
        <f ca="1">IF(B41="Лікар загальної практики - сімейний лікар",S52*Законод!$C$9/4*Законод!$J$16,IF(B41="Лікар-педіатр",S52*Законод!$C$9/4*Законод!$J$16,IF(B41="Лікар-терапевт",S52*Законод!$C$9/4*Законод!$J$16,0)))</f>
        <v>0</v>
      </c>
      <c r="AP52" s="216">
        <f ca="1">IF(B41="Лікар загальної практики - сімейний лікар",S52*Законод!$C$9/4*Законод!$J$16,IF(B41="Лікар-педіатр",S52*Законод!$C$9/4*Законод!$J$16,IF(B41="Лікар-терапевт",S52*Законод!$C$9/4*Законод!$J$16,0)))</f>
        <v>0</v>
      </c>
      <c r="AQ52" s="216">
        <f ca="1">IF(B41="Лікар загальної практики - сімейний лікар",AG52*Законод!$C$9/4*Законод!$J$16,IF(B41="Лікар-педіатр",AG52*Законод!$C$9/4*Законод!$J$16,IF(B41="Лікар-терапевт",AG52*Законод!$C$9/4*Законод!$J$16,0)))</f>
        <v>0</v>
      </c>
      <c r="AR52" s="217">
        <f t="shared" si="0"/>
        <v>0</v>
      </c>
    </row>
    <row r="53" spans="1:44" s="233" customFormat="1" ht="18" customHeight="1" thickBot="1">
      <c r="A53" s="219"/>
      <c r="B53" s="220"/>
      <c r="C53" s="729"/>
      <c r="D53" s="222"/>
      <c r="E53" s="222"/>
      <c r="F53" s="223"/>
      <c r="G53" s="224"/>
      <c r="H53" s="224"/>
      <c r="I53" s="224"/>
      <c r="J53" s="224"/>
      <c r="K53" s="224"/>
      <c r="L53" s="225"/>
      <c r="M53" s="226"/>
      <c r="N53" s="224"/>
      <c r="O53" s="224"/>
      <c r="P53" s="224"/>
      <c r="Q53" s="224"/>
      <c r="R53" s="224"/>
      <c r="S53" s="225"/>
      <c r="T53" s="226"/>
      <c r="U53" s="224"/>
      <c r="V53" s="224"/>
      <c r="W53" s="224"/>
      <c r="X53" s="224"/>
      <c r="Y53" s="224"/>
      <c r="Z53" s="227"/>
      <c r="AA53" s="226"/>
      <c r="AB53" s="224"/>
      <c r="AC53" s="224"/>
      <c r="AD53" s="224"/>
      <c r="AE53" s="224"/>
      <c r="AF53" s="224"/>
      <c r="AG53" s="227"/>
      <c r="AH53" s="226"/>
      <c r="AI53" s="228"/>
      <c r="AJ53" s="229"/>
      <c r="AK53" s="229"/>
      <c r="AL53" s="229"/>
      <c r="AM53" s="230"/>
      <c r="AN53" s="231"/>
      <c r="AO53" s="231"/>
      <c r="AP53" s="231"/>
      <c r="AQ53" s="231"/>
      <c r="AR53" s="232"/>
    </row>
    <row r="54" spans="1:44" s="191" customFormat="1" ht="30" customHeight="1">
      <c r="A54" s="194">
        <f>A41+1</f>
        <v>2</v>
      </c>
      <c r="B54" s="969" t="s">
        <v>312</v>
      </c>
      <c r="C54" s="974" t="s">
        <v>205</v>
      </c>
      <c r="D54" s="971"/>
      <c r="E54" s="971" t="s">
        <v>160</v>
      </c>
      <c r="F54" s="234" t="s">
        <v>659</v>
      </c>
      <c r="G54" s="196">
        <f>75+3</f>
        <v>78</v>
      </c>
      <c r="H54" s="196">
        <f>318+7</f>
        <v>325</v>
      </c>
      <c r="I54" s="196">
        <f>472+2</f>
        <v>474</v>
      </c>
      <c r="J54" s="196">
        <f>612+2</f>
        <v>614</v>
      </c>
      <c r="K54" s="196">
        <v>323</v>
      </c>
      <c r="L54" s="196">
        <f t="shared" ref="L54:L59" si="1">SUM(G54:K54)</f>
        <v>1814</v>
      </c>
      <c r="M54" s="966">
        <v>1</v>
      </c>
      <c r="N54" s="196">
        <f>75+3</f>
        <v>78</v>
      </c>
      <c r="O54" s="196">
        <f>318+7</f>
        <v>325</v>
      </c>
      <c r="P54" s="196">
        <f>472+2</f>
        <v>474</v>
      </c>
      <c r="Q54" s="196">
        <f>612+2</f>
        <v>614</v>
      </c>
      <c r="R54" s="196">
        <v>323</v>
      </c>
      <c r="S54" s="557">
        <f t="shared" ref="S54:S59" si="2">SUM(N54:R54)</f>
        <v>1814</v>
      </c>
      <c r="T54" s="966">
        <v>1</v>
      </c>
      <c r="U54" s="196">
        <f>75+3</f>
        <v>78</v>
      </c>
      <c r="V54" s="196">
        <f>318+7</f>
        <v>325</v>
      </c>
      <c r="W54" s="196">
        <f>472+2</f>
        <v>474</v>
      </c>
      <c r="X54" s="196">
        <f>612+2</f>
        <v>614</v>
      </c>
      <c r="Y54" s="196">
        <v>323</v>
      </c>
      <c r="Z54" s="557">
        <f>U54+V54+W54+X54+Y54</f>
        <v>1814</v>
      </c>
      <c r="AA54" s="966">
        <v>1</v>
      </c>
      <c r="AB54" s="196">
        <f>75+3</f>
        <v>78</v>
      </c>
      <c r="AC54" s="196">
        <f>318+7</f>
        <v>325</v>
      </c>
      <c r="AD54" s="196">
        <f>472+2</f>
        <v>474</v>
      </c>
      <c r="AE54" s="196">
        <f>612+2</f>
        <v>614</v>
      </c>
      <c r="AF54" s="196">
        <v>323</v>
      </c>
      <c r="AG54" s="557">
        <f>AB54+AC54+AD54+AE54+AF54</f>
        <v>1814</v>
      </c>
      <c r="AH54" s="966">
        <v>1</v>
      </c>
      <c r="AI54" s="540">
        <f>A54</f>
        <v>2</v>
      </c>
      <c r="AJ54" s="944" t="str">
        <f>B54</f>
        <v>Лікар загальної практики - сімейний лікар</v>
      </c>
      <c r="AK54" s="959" t="str">
        <f>C54</f>
        <v>Левківська Богданна Генадіївна</v>
      </c>
      <c r="AL54" s="959">
        <f>D54</f>
        <v>0</v>
      </c>
      <c r="AM54" s="929" t="s">
        <v>79</v>
      </c>
      <c r="AN54" s="947">
        <f>SUM(AN59:AN65)</f>
        <v>348616.75222136558</v>
      </c>
      <c r="AO54" s="947">
        <f>SUM(AO59:AO65)</f>
        <v>348616.75222136558</v>
      </c>
      <c r="AP54" s="947">
        <f>SUM(AP59:AP65)</f>
        <v>348616.75222136558</v>
      </c>
      <c r="AQ54" s="947">
        <f>SUM(AQ59:AQ65)</f>
        <v>348616.75222136558</v>
      </c>
      <c r="AR54" s="962">
        <f>SUM(AN54:AQ58)</f>
        <v>1394467.0088854623</v>
      </c>
    </row>
    <row r="55" spans="1:44" s="50" customFormat="1" ht="28.15" customHeight="1">
      <c r="A55" s="197"/>
      <c r="B55" s="969"/>
      <c r="C55" s="974"/>
      <c r="D55" s="971"/>
      <c r="E55" s="971"/>
      <c r="F55" s="234" t="s">
        <v>660</v>
      </c>
      <c r="G55" s="196">
        <f>75+3</f>
        <v>78</v>
      </c>
      <c r="H55" s="196">
        <f>318+7</f>
        <v>325</v>
      </c>
      <c r="I55" s="196">
        <f>472+2</f>
        <v>474</v>
      </c>
      <c r="J55" s="196">
        <f>612+2</f>
        <v>614</v>
      </c>
      <c r="K55" s="196">
        <v>324</v>
      </c>
      <c r="L55" s="196">
        <f t="shared" si="1"/>
        <v>1815</v>
      </c>
      <c r="M55" s="966"/>
      <c r="N55" s="196">
        <f>75+3</f>
        <v>78</v>
      </c>
      <c r="O55" s="196">
        <f>318+7</f>
        <v>325</v>
      </c>
      <c r="P55" s="196">
        <f>472+2</f>
        <v>474</v>
      </c>
      <c r="Q55" s="196">
        <f>612+2</f>
        <v>614</v>
      </c>
      <c r="R55" s="196">
        <v>324</v>
      </c>
      <c r="S55" s="557">
        <f t="shared" si="2"/>
        <v>1815</v>
      </c>
      <c r="T55" s="966"/>
      <c r="U55" s="196">
        <f>75+3</f>
        <v>78</v>
      </c>
      <c r="V55" s="196">
        <f>318+7</f>
        <v>325</v>
      </c>
      <c r="W55" s="196">
        <f>472+2</f>
        <v>474</v>
      </c>
      <c r="X55" s="196">
        <f>612+2</f>
        <v>614</v>
      </c>
      <c r="Y55" s="196">
        <v>324</v>
      </c>
      <c r="Z55" s="557">
        <f>U55+V55+W55+X55+Y55</f>
        <v>1815</v>
      </c>
      <c r="AA55" s="966"/>
      <c r="AB55" s="196">
        <f>75+3</f>
        <v>78</v>
      </c>
      <c r="AC55" s="196">
        <f>318+7</f>
        <v>325</v>
      </c>
      <c r="AD55" s="196">
        <f>472+2</f>
        <v>474</v>
      </c>
      <c r="AE55" s="196">
        <f>612+2</f>
        <v>614</v>
      </c>
      <c r="AF55" s="196">
        <v>324</v>
      </c>
      <c r="AG55" s="557">
        <f>AB55+AC55+AD55+AE55+AF55</f>
        <v>1815</v>
      </c>
      <c r="AH55" s="966"/>
      <c r="AI55" s="198"/>
      <c r="AJ55" s="945"/>
      <c r="AK55" s="960"/>
      <c r="AL55" s="960"/>
      <c r="AM55" s="930"/>
      <c r="AN55" s="948"/>
      <c r="AO55" s="948"/>
      <c r="AP55" s="948"/>
      <c r="AQ55" s="948"/>
      <c r="AR55" s="963"/>
    </row>
    <row r="56" spans="1:44" s="50" customFormat="1" ht="31.15" customHeight="1">
      <c r="A56" s="197"/>
      <c r="B56" s="969"/>
      <c r="C56" s="974"/>
      <c r="D56" s="971"/>
      <c r="E56" s="971"/>
      <c r="F56" s="234" t="s">
        <v>661</v>
      </c>
      <c r="G56" s="196">
        <f>75+3</f>
        <v>78</v>
      </c>
      <c r="H56" s="196">
        <f>318+7</f>
        <v>325</v>
      </c>
      <c r="I56" s="196">
        <f>472+2</f>
        <v>474</v>
      </c>
      <c r="J56" s="196">
        <f>612+2</f>
        <v>614</v>
      </c>
      <c r="K56" s="196">
        <v>325</v>
      </c>
      <c r="L56" s="196">
        <f t="shared" si="1"/>
        <v>1816</v>
      </c>
      <c r="M56" s="966"/>
      <c r="N56" s="196">
        <f>75+3</f>
        <v>78</v>
      </c>
      <c r="O56" s="196">
        <f>318+7</f>
        <v>325</v>
      </c>
      <c r="P56" s="196">
        <f>472+2</f>
        <v>474</v>
      </c>
      <c r="Q56" s="196">
        <f>612+2</f>
        <v>614</v>
      </c>
      <c r="R56" s="196">
        <v>325</v>
      </c>
      <c r="S56" s="557">
        <f t="shared" si="2"/>
        <v>1816</v>
      </c>
      <c r="T56" s="966"/>
      <c r="U56" s="196">
        <f>75+3</f>
        <v>78</v>
      </c>
      <c r="V56" s="196">
        <f>318+7</f>
        <v>325</v>
      </c>
      <c r="W56" s="196">
        <f>472+2</f>
        <v>474</v>
      </c>
      <c r="X56" s="196">
        <f>612+2</f>
        <v>614</v>
      </c>
      <c r="Y56" s="196">
        <v>325</v>
      </c>
      <c r="Z56" s="200">
        <f>SUM(U56:Y56)</f>
        <v>1816</v>
      </c>
      <c r="AA56" s="966"/>
      <c r="AB56" s="196">
        <f>75+3</f>
        <v>78</v>
      </c>
      <c r="AC56" s="196">
        <f>318+7</f>
        <v>325</v>
      </c>
      <c r="AD56" s="196">
        <f>472+2</f>
        <v>474</v>
      </c>
      <c r="AE56" s="196">
        <f>612+2</f>
        <v>614</v>
      </c>
      <c r="AF56" s="196">
        <v>325</v>
      </c>
      <c r="AG56" s="557">
        <f>AB56+AC56+AD56+AE56+AF56</f>
        <v>1816</v>
      </c>
      <c r="AH56" s="966"/>
      <c r="AI56" s="201"/>
      <c r="AJ56" s="945"/>
      <c r="AK56" s="960"/>
      <c r="AL56" s="960"/>
      <c r="AM56" s="930"/>
      <c r="AN56" s="948"/>
      <c r="AO56" s="948"/>
      <c r="AP56" s="948"/>
      <c r="AQ56" s="948"/>
      <c r="AR56" s="963"/>
    </row>
    <row r="57" spans="1:44" s="50" customFormat="1" ht="31.9" customHeight="1" thickBot="1">
      <c r="A57" s="197"/>
      <c r="B57" s="969"/>
      <c r="C57" s="974"/>
      <c r="D57" s="971"/>
      <c r="E57" s="971"/>
      <c r="F57" s="236" t="s">
        <v>426</v>
      </c>
      <c r="G57" s="203">
        <f>IF($B$54="Лікар-педіатр",G56/L56,IF($B$54="Лікар-терапевт","х",IF($B$54="Лікар загальної практики - сімейний лікар",G56/L56,0)))</f>
        <v>4.2951541850220265E-2</v>
      </c>
      <c r="H57" s="203">
        <f>IF($B$54="Лікар-педіатр",H56/L56,IF($B$54="Лікар-терапевт","х",IF($B$54="Лікар загальної практики - сімейний лікар",H56/L56,0)))</f>
        <v>0.1789647577092511</v>
      </c>
      <c r="I57" s="203">
        <f>IF($B$54="Лікар-педіатр","x",IF($B$54="Лікар-терапевт",I56/L56,IF($B$54="Лікар загальної практики - сімейний лікар",I56/L56,0)))</f>
        <v>0.26101321585903081</v>
      </c>
      <c r="J57" s="203">
        <f>IF($B$54="Лікар-педіатр","x",IF($B$54="Лікар-терапевт",J56/L56,IF($B$54="Лікар загальної практики - сімейний лікар",J56/L56,0)))</f>
        <v>0.33810572687224671</v>
      </c>
      <c r="K57" s="203">
        <f>IF($B$54="Лікар-педіатр","x",IF($B$54="Лікар-терапевт",K56/L56,IF($B$54="Лікар загальної практики - сімейний лікар",K56/L56,0)))</f>
        <v>0.1789647577092511</v>
      </c>
      <c r="L57" s="203">
        <f t="shared" si="1"/>
        <v>1</v>
      </c>
      <c r="M57" s="966"/>
      <c r="N57" s="203">
        <f>IF($B$54="Лікар-педіатр",N56/S56,IF($B$54="Лікар-терапевт","х",IF($B$54="Лікар загальної практики - сімейний лікар",N56/S56,0)))</f>
        <v>4.2951541850220265E-2</v>
      </c>
      <c r="O57" s="203">
        <f>IF($B$54="Лікар-педіатр",O56/S56,IF($B$54="Лікар-терапевт","х",IF($B$54="Лікар загальної практики - сімейний лікар",O56/S56,0)))</f>
        <v>0.1789647577092511</v>
      </c>
      <c r="P57" s="203">
        <f>IF($B$54="Лікар-педіатр","x",IF($B$54="Лікар-терапевт",P56/S56,IF($B$54="Лікар загальної практики - сімейний лікар",P56/S56,0)))</f>
        <v>0.26101321585903081</v>
      </c>
      <c r="Q57" s="203">
        <f>IF($B$54="Лікар-педіатр","x",IF($B$54="Лікар-терапевт",Q56/S56,IF($B$54="Лікар загальної практики - сімейний лікар",Q56/S56,0)))</f>
        <v>0.33810572687224671</v>
      </c>
      <c r="R57" s="203">
        <f>IF($B$54="Лікар-педіатр","x",IF($B$54="Лікар-терапевт",R56/S56,IF($B$54="Лікар загальної практики - сімейний лікар",R56/S56,0)))</f>
        <v>0.1789647577092511</v>
      </c>
      <c r="S57" s="203">
        <f t="shared" si="2"/>
        <v>1</v>
      </c>
      <c r="T57" s="966"/>
      <c r="U57" s="203">
        <f>IF($B$54="Лікар-педіатр",U56/Z56,IF($B$54="Лікар-терапевт","х",IF($B$54="Лікар загальної практики - сімейний лікар",U56/Z56,0)))</f>
        <v>4.2951541850220265E-2</v>
      </c>
      <c r="V57" s="203">
        <f>IF($B$54="Лікар-педіатр",V56/Z56,IF($B$54="Лікар-терапевт","х",IF($B$54="Лікар загальної практики - сімейний лікар",V56/Z56,0)))</f>
        <v>0.1789647577092511</v>
      </c>
      <c r="W57" s="203">
        <f>IF($B$54="Лікар-педіатр","x",IF($B$54="Лікар-терапевт",W56/Z56,IF($B$54="Лікар загальної практики - сімейний лікар",W56/Z56,0)))</f>
        <v>0.26101321585903081</v>
      </c>
      <c r="X57" s="203">
        <f>IF($B$54="Лікар-педіатр","x",IF($B$54="Лікар-терапевт",X56/Z56,IF($B$54="Лікар загальної практики - сімейний лікар",X56/Z56,0)))</f>
        <v>0.33810572687224671</v>
      </c>
      <c r="Y57" s="203">
        <f>IF($B$54="Лікар-педіатр","x",IF($B$54="Лікар-терапевт",Y56/Z56,IF($B$54="Лікар загальної практики - сімейний лікар",Y56/Z56,0)))</f>
        <v>0.1789647577092511</v>
      </c>
      <c r="Z57" s="203">
        <f>SUM(U57:Y57)</f>
        <v>1</v>
      </c>
      <c r="AA57" s="966"/>
      <c r="AB57" s="203">
        <f>IF($B$54="Лікар-педіатр",AB56/AG56,IF($B$54="Лікар-терапевт","х",IF($B$54="Лікар загальної практики - сімейний лікар",AB56/AG56,0)))</f>
        <v>4.2951541850220265E-2</v>
      </c>
      <c r="AC57" s="203">
        <f>IF($B$54="Лікар-педіатр",AC56/AG56,IF($B$54="Лікар-терапевт","х",IF($B$54="Лікар загальної практики - сімейний лікар",AC56/AG56,0)))</f>
        <v>0.1789647577092511</v>
      </c>
      <c r="AD57" s="203">
        <f>IF($B$54="Лікар-педіатр","x",IF($B$54="Лікар-терапевт",AD56/AG56,IF($B$54="Лікар загальної практики - сімейний лікар",AD56/AG56,0)))</f>
        <v>0.26101321585903081</v>
      </c>
      <c r="AE57" s="203">
        <f>IF($B$54="Лікар-педіатр","x",IF($B$54="Лікар-терапевт",AE56/AG56,IF($B$54="Лікар загальної практики - сімейний лікар",AE56/AG56,0)))</f>
        <v>0.33810572687224671</v>
      </c>
      <c r="AF57" s="203">
        <f>IF($B$54="Лікар-педіатр","x",IF($B$54="Лікар-терапевт",AF56/AG56,IF($B$54="Лікар загальної практики - сімейний лікар",AF56/AG56,0)))</f>
        <v>0.1789647577092511</v>
      </c>
      <c r="AG57" s="203">
        <f>SUM(AB57:AF57)</f>
        <v>1</v>
      </c>
      <c r="AH57" s="966"/>
      <c r="AI57" s="201"/>
      <c r="AJ57" s="945"/>
      <c r="AK57" s="960"/>
      <c r="AL57" s="960"/>
      <c r="AM57" s="930"/>
      <c r="AN57" s="948"/>
      <c r="AO57" s="948"/>
      <c r="AP57" s="948"/>
      <c r="AQ57" s="948"/>
      <c r="AR57" s="963"/>
    </row>
    <row r="58" spans="1:44" s="50" customFormat="1" ht="45" customHeight="1" thickBot="1">
      <c r="A58" s="197"/>
      <c r="B58" s="969"/>
      <c r="C58" s="974"/>
      <c r="D58" s="971"/>
      <c r="E58" s="972"/>
      <c r="F58" s="204" t="s">
        <v>662</v>
      </c>
      <c r="G58" s="205">
        <f>IF($B$54="Лікар загальної практики - сімейний лікар",AVERAGE(G54:G56),IF($B$54="Лікар-педіатр",AVERAGE(G54:G56),IF($B$54="Лікар-терапевт","х",0)))</f>
        <v>78</v>
      </c>
      <c r="H58" s="205">
        <f>IF($B$54="Лікар загальної практики - сімейний лікар",AVERAGE(H54:H56),IF($B$54="Лікар-педіатр",AVERAGE(H54:H56),IF($B$54="Лікар-терапевт","х",0)))</f>
        <v>325</v>
      </c>
      <c r="I58" s="205">
        <f>IF($B$54="Лікар загальної практики - сімейний лікар",AVERAGE(I54:I56),IF($B$54="Лікар-педіатр","x",IF($B$54="Лікар-терапевт",AVERAGE(I54:I56),0)))</f>
        <v>474</v>
      </c>
      <c r="J58" s="205">
        <f>IF($B$54="Лікар загальної практики - сімейний лікар",AVERAGE(J54:J56),IF($B$54="Лікар-педіатр","x",IF($B$54="Лікар-терапевт",AVERAGE(J54:J56),0)))</f>
        <v>614</v>
      </c>
      <c r="K58" s="205">
        <f>IF($B$54="Лікар загальної практики - сімейний лікар",AVERAGE(K54:K56),IF($B$54="Лікар-педіатр","x",IF($B$54="Лікар-терапевт",AVERAGE(K54:K56),0)))</f>
        <v>324</v>
      </c>
      <c r="L58" s="206">
        <f t="shared" si="1"/>
        <v>1815</v>
      </c>
      <c r="M58" s="973"/>
      <c r="N58" s="205">
        <f>IF($B$54="Лікар загальної практики - сімейний лікар",AVERAGE(N54:N56),IF($B$54="Лікар-педіатр",AVERAGE(N54:N56),IF($B$54="Лікар-терапевт","х",0)))</f>
        <v>78</v>
      </c>
      <c r="O58" s="205">
        <f>IF($B$54="Лікар загальної практики - сімейний лікар",AVERAGE(O54:O56),IF($B$54="Лікар-педіатр",AVERAGE(O54:O56),IF($B$54="Лікар-терапевт","х",0)))</f>
        <v>325</v>
      </c>
      <c r="P58" s="205">
        <f>IF($B$54="Лікар загальної практики - сімейний лікар",AVERAGE(P54:P56),IF($B$54="Лікар-педіатр","x",IF($B$54="Лікар-терапевт",AVERAGE(P54:P56),0)))</f>
        <v>474</v>
      </c>
      <c r="Q58" s="205">
        <f>IF($B$54="Лікар загальної практики - сімейний лікар",AVERAGE(Q54:Q56),IF($B$54="Лікар-педіатр","x",IF($B$54="Лікар-терапевт",AVERAGE(Q54:Q56),0)))</f>
        <v>614</v>
      </c>
      <c r="R58" s="205">
        <f>IF($B$54="Лікар загальної практики - сімейний лікар",AVERAGE(R54:R56),IF($B$54="Лікар-педіатр","x",IF($B$54="Лікар-терапевт",AVERAGE(R54:R56),0)))</f>
        <v>324</v>
      </c>
      <c r="S58" s="206">
        <f t="shared" si="2"/>
        <v>1815</v>
      </c>
      <c r="T58" s="973"/>
      <c r="U58" s="205">
        <f>IF($B$54="Лікар загальної практики - сімейний лікар",AVERAGE(U54:U56),IF($B$54="Лікар-педіатр",AVERAGE(U54:U56),IF($B$54="Лікар-терапевт","х",0)))</f>
        <v>78</v>
      </c>
      <c r="V58" s="205">
        <f>IF($B$54="Лікар загальної практики - сімейний лікар",AVERAGE(V54:V56),IF($B$54="Лікар-педіатр",AVERAGE(V54:V56),IF($B$54="Лікар-терапевт","х",0)))</f>
        <v>325</v>
      </c>
      <c r="W58" s="205">
        <f>IF($B$54="Лікар загальної практики - сімейний лікар",AVERAGE(W54:W56),IF($B$54="Лікар-педіатр","x",IF($B$54="Лікар-терапевт",AVERAGE(W54:W56),0)))</f>
        <v>474</v>
      </c>
      <c r="X58" s="205">
        <f>IF($B$54="Лікар загальної практики - сімейний лікар",AVERAGE(X54:X56),IF($B$54="Лікар-педіатр","x",IF($B$54="Лікар-терапевт",AVERAGE(X54:X56),0)))</f>
        <v>614</v>
      </c>
      <c r="Y58" s="205">
        <f>IF($B$54="Лікар загальної практики - сімейний лікар",AVERAGE(Y54:Y56),IF($B$54="Лікар-педіатр","x",IF($B$54="Лікар-терапевт",AVERAGE(Y54:Y56),0)))</f>
        <v>324</v>
      </c>
      <c r="Z58" s="206">
        <f>SUM(U58:Y58)</f>
        <v>1815</v>
      </c>
      <c r="AA58" s="973"/>
      <c r="AB58" s="205">
        <f>IF($B$54="Лікар загальної практики - сімейний лікар",AVERAGE(AB54:AB56),IF($B$54="Лікар-педіатр",AVERAGE(AB54:AB56),IF($B$54="Лікар-терапевт","х",0)))</f>
        <v>78</v>
      </c>
      <c r="AC58" s="205">
        <f>IF($B$54="Лікар загальної практики - сімейний лікар",AVERAGE(AC54:AC56),IF($B$54="Лікар-педіатр",AVERAGE(AC54:AC56),IF($B$54="Лікар-терапевт","х",0)))</f>
        <v>325</v>
      </c>
      <c r="AD58" s="205">
        <f>IF($B$54="Лікар загальної практики - сімейний лікар",AVERAGE(AD54:AD56),IF($B$54="Лікар-педіатр","x",IF($B$54="Лікар-терапевт",AVERAGE(AD54:AD56),0)))</f>
        <v>474</v>
      </c>
      <c r="AE58" s="205">
        <f>IF($B$54="Лікар загальної практики - сімейний лікар",AVERAGE(AE54:AE56),IF($B$54="Лікар-педіатр","x",IF($B$54="Лікар-терапевт",AVERAGE(AE54:AE56),0)))</f>
        <v>614</v>
      </c>
      <c r="AF58" s="205">
        <f>IF($B$54="Лікар загальної практики - сімейний лікар",AVERAGE(AF54:AF56),IF($B$54="Лікар-педіатр","x",IF($B$54="Лікар-терапевт",AVERAGE(AF54:AF56),0)))</f>
        <v>324</v>
      </c>
      <c r="AG58" s="206">
        <f>SUM(AB58:AF58)</f>
        <v>1815</v>
      </c>
      <c r="AH58" s="967"/>
      <c r="AI58" s="201"/>
      <c r="AJ58" s="945"/>
      <c r="AK58" s="960"/>
      <c r="AL58" s="960"/>
      <c r="AM58" s="931"/>
      <c r="AN58" s="949"/>
      <c r="AO58" s="949"/>
      <c r="AP58" s="949"/>
      <c r="AQ58" s="949"/>
      <c r="AR58" s="964"/>
    </row>
    <row r="59" spans="1:44" s="50" customFormat="1" ht="40.5">
      <c r="A59" s="197"/>
      <c r="B59" s="969"/>
      <c r="C59" s="974"/>
      <c r="D59" s="971"/>
      <c r="E59" s="971"/>
      <c r="F59" s="237" t="str">
        <f ca="1">IF(B54="Лікар-педіатр",Законод!$C$17,IF(B54="Лікар загальної практики - сімейний лікар",Законод!$C$21,IF(B54="Лікар-терапевт",Законод!$C$25,"х")))</f>
        <v>ліміт (до 1800)</v>
      </c>
      <c r="G59" s="208">
        <f ca="1">IF($B$54="Лікар загальної практики - сімейний лікар",IF(L58&lt;=Законод!$C$22,G58,Законод!$C$22*'01_Доходи'!G57),IF($B$54="Лікар-педіатр",IF(L58&lt;=Законод!$C$18,G58,Законод!$C$18*'01_Доходи'!G57),IF($B$54="Лікар-терапевт","x",0)))</f>
        <v>77.312775330396477</v>
      </c>
      <c r="H59" s="208">
        <f ca="1">IF($B$54="Лікар загальної практики - сімейний лікар",IF(L58&lt;=Законод!$C$22,H58,Законод!$C$22*'01_Доходи'!H57),IF($B$54="Лікар-педіатр",IF(L58&lt;=Законод!$C$18,H58,Законод!$C$18*'01_Доходи'!H57),IF($B$54="Лікар-терапевт","x",0)))</f>
        <v>322.13656387665196</v>
      </c>
      <c r="I59" s="208">
        <f ca="1">IF($B$54="Лікар загальної практики - сімейний лікар",IF(L58&lt;=Законод!$C$22,I58,Законод!$C$22*'01_Доходи'!I57),IF($B$54="Лікар-педіатр","x",IF($B$54="Лікар-терапевт",IF(L58&lt;=Законод!$C$26,I58,Законод!$C$26*'01_Доходи'!I57),0)))</f>
        <v>469.82378854625546</v>
      </c>
      <c r="J59" s="208">
        <f ca="1">IF($B$54="Лікар загальної практики - сімейний лікар",IF(L58&lt;=Законод!$C$22,J58,Законод!$C$22*'01_Доходи'!J57),IF($B$54="Лікар-педіатр","x",IF($B$54="Лікар-терапевт",IF(L58&lt;=Законод!$C$26,J58,Законод!$C$26*'01_Доходи'!J57),0)))</f>
        <v>608.59030837004411</v>
      </c>
      <c r="K59" s="208">
        <f ca="1">IF($B$54="Лікар загальної практики - сімейний лікар",IF(L58&lt;=Законод!$C$22,K58,Законод!$C$22*'01_Доходи'!K57),IF($B$54="Лікар-педіатр","x",IF($B$54="Лікар-терапевт",IF(L58&lt;=Законод!$C$26,K58,Законод!$C$26*'01_Доходи'!K57),0)))</f>
        <v>322.13656387665196</v>
      </c>
      <c r="L59" s="209">
        <f t="shared" si="1"/>
        <v>1800</v>
      </c>
      <c r="M59" s="966"/>
      <c r="N59" s="208">
        <f ca="1">IF($B$54="Лікар загальної практики - сімейний лікар",IF(S58&lt;=Законод!$C$22,N58,Законод!$C$22*'01_Доходи'!N57),IF($B$54="Лікар-педіатр",IF(S58&lt;=Законод!$C$18,N58,Законод!$C$18*'01_Доходи'!N57),IF($B$54="Лікар-терапевт","x",0)))</f>
        <v>77.312775330396477</v>
      </c>
      <c r="O59" s="208">
        <f ca="1">IF($B$54="Лікар загальної практики - сімейний лікар",IF(S58&lt;=Законод!$C$22,O58,Законод!$C$22*'01_Доходи'!O57),IF($B$54="Лікар-педіатр",IF(S58&lt;=Законод!$C$18,O58,Законод!$C$18*'01_Доходи'!O57),IF($B$54="Лікар-терапевт","x",0)))</f>
        <v>322.13656387665196</v>
      </c>
      <c r="P59" s="208">
        <f ca="1">IF($B$54="Лікар загальної практики - сімейний лікар",IF(S58&lt;=Законод!$C$22,P58,Законод!$C$22*'01_Доходи'!P57),IF($B$54="Лікар-педіатр","x",IF($B$54="Лікар-терапевт",IF(S58&lt;=Законод!$C$26,P58,Законод!$C$26*'01_Доходи'!P57),0)))</f>
        <v>469.82378854625546</v>
      </c>
      <c r="Q59" s="208">
        <f ca="1">IF($B$54="Лікар загальної практики - сімейний лікар",IF(S58&lt;=Законод!$C$22,Q58,Законод!$C$22*'01_Доходи'!Q57),IF($B$54="Лікар-педіатр","x",IF($B$54="Лікар-терапевт",IF(S58&lt;=Законод!$C$26,Q58,Законод!$C$26*'01_Доходи'!Q57),0)))</f>
        <v>608.59030837004411</v>
      </c>
      <c r="R59" s="208">
        <f ca="1">IF($B$54="Лікар загальної практики - сімейний лікар",IF(S58&lt;=Законод!$C$22,R58,Законод!$C$22*'01_Доходи'!R57),IF($B$54="Лікар-педіатр","x",IF($B$54="Лікар-терапевт",IF(S58&lt;=Законод!$C$26,R58,Законод!$C$26*'01_Доходи'!R57),0)))</f>
        <v>322.13656387665196</v>
      </c>
      <c r="S59" s="209">
        <f t="shared" si="2"/>
        <v>1800</v>
      </c>
      <c r="T59" s="966"/>
      <c r="U59" s="208">
        <f ca="1">IF($B$54="Лікар загальної практики - сімейний лікар",IF(Z58&lt;=Законод!$C$22,U58,Законод!$C$22*'01_Доходи'!U57),IF($B$54="Лікар-педіатр",IF(Z58&lt;=Законод!$C$18,U58,Законод!$C$18*'01_Доходи'!U57),IF($B$54="Лікар-терапевт","x",0)))</f>
        <v>77.312775330396477</v>
      </c>
      <c r="V59" s="208">
        <f ca="1">IF($B$54="Лікар загальної практики - сімейний лікар",IF(Z58&lt;=Законод!$C$22,V58,Законод!$C$22*'01_Доходи'!V57),IF($B$54="Лікар-педіатр",IF(Z58&lt;=Законод!$C$18,V58,Законод!$C$18*'01_Доходи'!V57),IF($B$54="Лікар-терапевт","x",0)))</f>
        <v>322.13656387665196</v>
      </c>
      <c r="W59" s="208">
        <f ca="1">IF($B$54="Лікар загальної практики - сімейний лікар",IF(Z58&lt;=Законод!$C$22,W58,Законод!$C$22*'01_Доходи'!W57),IF($B$54="Лікар-педіатр","x",IF($B$54="Лікар-терапевт",IF(Z58&lt;=Законод!$C$26,W58,Законод!$C$26*'01_Доходи'!W57),0)))</f>
        <v>469.82378854625546</v>
      </c>
      <c r="X59" s="208">
        <f ca="1">IF($B$54="Лікар загальної практики - сімейний лікар",IF(Z58&lt;=Законод!$C$22,X58,Законод!$C$22*'01_Доходи'!X57),IF($B$54="Лікар-педіатр","x",IF($B$54="Лікар-терапевт",IF(Z58&lt;=Законод!$C$26,X58,Законод!$C$26*'01_Доходи'!X57),0)))</f>
        <v>608.59030837004411</v>
      </c>
      <c r="Y59" s="208">
        <f ca="1">IF($B$54="Лікар загальної практики - сімейний лікар",IF(Z58&lt;=Законод!$C$22,Y58,Законод!$C$22*'01_Доходи'!Y57),IF($B$54="Лікар-педіатр","x",IF($B$54="Лікар-терапевт",IF(Z58&lt;=Законод!$C$26,Y58,Законод!$C$26*'01_Доходи'!Y57),0)))</f>
        <v>322.13656387665196</v>
      </c>
      <c r="Z59" s="209">
        <f ca="1">SUM(U59:Y59)</f>
        <v>1800</v>
      </c>
      <c r="AA59" s="966"/>
      <c r="AB59" s="208">
        <f ca="1">IF($B$54="Лікар загальної практики - сімейний лікар",IF(AG58&lt;=Законод!$C$22,AB58,Законод!$C$22*'01_Доходи'!AB57),IF($B$54="Лікар-педіатр",IF(AG58&lt;=Законод!$C$18,AB58,Законод!$C$18*'01_Доходи'!AB57),IF($B$54="Лікар-терапевт","x",0)))</f>
        <v>77.312775330396477</v>
      </c>
      <c r="AC59" s="208">
        <f ca="1">IF($B$54="Лікар загальної практики - сімейний лікар",IF(AG58&lt;=Законод!$C$22,AC58,Законод!$C$22*'01_Доходи'!AC57),IF($B$54="Лікар-педіатр",IF(AG58&lt;=Законод!$C$18,AC58,Законод!$C$18*'01_Доходи'!AC57),IF($B$54="Лікар-терапевт","x",0)))</f>
        <v>322.13656387665196</v>
      </c>
      <c r="AD59" s="208">
        <f ca="1">IF($B$54="Лікар загальної практики - сімейний лікар",IF(AG58&lt;=Законод!$C$22,AD58,Законод!$C$22*'01_Доходи'!AD57),IF($B$54="Лікар-педіатр","x",IF($B$54="Лікар-терапевт",IF(AG58&lt;=Законод!$C$26,AD58,Законод!$C$26*'01_Доходи'!AD57),0)))</f>
        <v>469.82378854625546</v>
      </c>
      <c r="AE59" s="208">
        <f ca="1">IF($B$54="Лікар загальної практики - сімейний лікар",IF(AG58&lt;=Законод!$C$22,AE58,Законод!$C$22*'01_Доходи'!AE57),IF($B$54="Лікар-педіатр","x",IF($B$54="Лікар-терапевт",IF(AG58&lt;=Законод!$C$26,AE58,Законод!$C$26*'01_Доходи'!AE57),0)))</f>
        <v>608.59030837004411</v>
      </c>
      <c r="AF59" s="208">
        <f ca="1">IF($B$54="Лікар загальної практики - сімейний лікар",IF(AG58&lt;=Законод!$C$22,AF58,Законод!$C$22*'01_Доходи'!AF57),IF($B$54="Лікар-педіатр","x",IF($B$54="Лікар-терапевт",IF(AG58&lt;=Законод!$C$26,AF58,Законод!$C$26*'01_Доходи'!AF57),0)))</f>
        <v>322.13656387665196</v>
      </c>
      <c r="AG59" s="209">
        <f ca="1">SUM(AB59:AF59)</f>
        <v>1800</v>
      </c>
      <c r="AH59" s="966"/>
      <c r="AI59" s="201"/>
      <c r="AJ59" s="945"/>
      <c r="AK59" s="960"/>
      <c r="AL59" s="960"/>
      <c r="AM59" s="348" t="s">
        <v>451</v>
      </c>
      <c r="AN59" s="210">
        <f ca="1">IF(B54="Лікар загальної практики - сімейний лікар",G59*Законод!$C$11+'01_Доходи'!H59*Законод!$D$11+'01_Доходи'!I59*Законод!$E$11+'01_Доходи'!J59*Законод!$F$11+'01_Доходи'!K59*Законод!$G$11,IF(B54="Лікар-педіатр",G59*Законод!$C$11+'01_Доходи'!H59*Законод!$D$11,IF(B54="Лікар-терапевт",'01_Доходи'!I59*Законод!$E$11+'01_Доходи'!J59*Законод!$F$11+'01_Доходи'!K59*Законод!$G$11,0)))</f>
        <v>346799.59072136559</v>
      </c>
      <c r="AO59" s="210">
        <f ca="1">IF(B54="Лікар загальної практики - сімейний лікар",N59*Законод!$C$11+'01_Доходи'!O59*Законод!$D$11+'01_Доходи'!P59*Законод!$E$11+'01_Доходи'!Q59*Законод!$F$11+'01_Доходи'!R59*Законод!$G$11,IF(B54="Лікар-педіатр",N59*Законод!$C$11+'01_Доходи'!O59*Законод!$D$11,IF(B54="Лікар-терапевт",'01_Доходи'!P59*Законод!$E$11+'01_Доходи'!Q59*Законод!$F$11+'01_Доходи'!R59*Законод!$G$11,0)))</f>
        <v>346799.59072136559</v>
      </c>
      <c r="AP59" s="210">
        <f ca="1">IF(B54="Лікар загальної практики - сімейний лікар",U59*Законод!$C$11+'01_Доходи'!V59*Законод!$D$11+'01_Доходи'!W59*Законод!$E$11+'01_Доходи'!X59*Законод!$F$11+'01_Доходи'!Y59*Законод!$G$11,IF(B54="Лікар-педіатр",U59*Законод!$C$11+'01_Доходи'!V59*Законод!$D$11,IF(B54="Лікар-терапевт",'01_Доходи'!W59*Законод!$E$11+'01_Доходи'!X59*Законод!$F$11+'01_Доходи'!Y59*Законод!$G$11,0)))</f>
        <v>346799.59072136559</v>
      </c>
      <c r="AQ59" s="210">
        <f ca="1">IF(B54="Лікар загальної практики - сімейний лікар",AB59*Законод!$C$11+'01_Доходи'!AC59*Законод!$D$11+'01_Доходи'!AD59*Законод!$E$11+'01_Доходи'!AE59*Законод!$F$11+'01_Доходи'!AF59*Законод!$G$11,IF(B54="Лікар-педіатр",AB59*Законод!$C$11+'01_Доходи'!AC59*Законод!$D$11,IF(B54="Лікар-терапевт",'01_Доходи'!AD59*Законод!$E$11+'01_Доходи'!AE59*Законод!$F$11+'01_Доходи'!AF59*Законод!$G$11,0)))</f>
        <v>346799.59072136559</v>
      </c>
      <c r="AR59" s="211">
        <f t="shared" ref="AR59:AR65" si="3">SUM(AN59:AQ59)</f>
        <v>1387198.3628854624</v>
      </c>
    </row>
    <row r="60" spans="1:44" s="50" customFormat="1" ht="31.9" customHeight="1">
      <c r="A60" s="197"/>
      <c r="B60" s="969"/>
      <c r="C60" s="974"/>
      <c r="D60" s="971"/>
      <c r="E60" s="971"/>
      <c r="F60" s="238" t="str">
        <f ca="1">IF(B54="Лікар-педіатр",Законод!$E$17,IF(B54="Лікар загальної практики - сімейний лікар",Законод!$E$21,IF(B54="Лікар-терапевт",Законод!$E$25,"х")))</f>
        <v>понад ліміт (1801-1980)</v>
      </c>
      <c r="G60" s="965" t="s">
        <v>423</v>
      </c>
      <c r="H60" s="965"/>
      <c r="I60" s="965"/>
      <c r="J60" s="965"/>
      <c r="K60" s="965"/>
      <c r="L60" s="196">
        <f ca="1">IF($B$54="Лікар загальної практики - сімейний лікар",IF(L58&lt;Законод!$C$22,0,(IF(AND(L58&gt;=Законод!$E$22,L58&lt;=Законод!$E$23),L58-Законод!$C$22,IF('01_Доходи'!L58&gt;=Законод!$F$22,Законод!$E$24,0)))),IF($B$54="Лікар-педіатр",IF(L58&lt;Законод!$C$18,0,(IF(AND(L58&gt;=Законод!$E$18,L58&lt;=Законод!$E$19),L58-Законод!$C$18,IF('01_Доходи'!L58&gt;=Законод!$F$18,Законод!$E$20,0)))),IF($B$54="Лікар-терапевт",IF(L58&lt;Законод!$C$26,0,(IF(AND(L58&gt;=Законод!$E$26,L58&lt;=Законод!$E$27),L58-Законод!$C$26,IF('01_Доходи'!L58&gt;=Законод!$F$26,Законод!$E$28,0)))),0)))</f>
        <v>15</v>
      </c>
      <c r="M60" s="966"/>
      <c r="N60" s="965" t="s">
        <v>423</v>
      </c>
      <c r="O60" s="965"/>
      <c r="P60" s="965"/>
      <c r="Q60" s="965"/>
      <c r="R60" s="965"/>
      <c r="S60" s="196">
        <f ca="1">IF($B$54="Лікар загальної практики - сімейний лікар",IF(S58&lt;Законод!$C$22,0,(IF(AND(S58&gt;=Законод!$E$22,S58&lt;=Законод!$E$23),S58-Законод!$C$22,IF('01_Доходи'!S58&gt;=Законод!$F$22,Законод!$E$24,0)))),IF($B$54="Лікар-педіатр",IF(S58&lt;Законод!$C$18,0,(IF(AND(S58&gt;=Законод!$E$18,S58&lt;=Законод!$E$19),S58-Законод!$C$18,IF('01_Доходи'!S58&gt;=Законод!$F$18,Законод!$E$20,0)))),IF($B$54="Лікар-терапевт",IF(S58&lt;Законод!$C$26,0,(IF(AND(S58&gt;=Законод!$E$26,S58&lt;=Законод!$E$27),S58-Законод!$C$26,IF('01_Доходи'!S58&gt;=Законод!$F$26,Законод!$E$28,0)))),0)))</f>
        <v>15</v>
      </c>
      <c r="T60" s="966"/>
      <c r="U60" s="965" t="s">
        <v>423</v>
      </c>
      <c r="V60" s="965"/>
      <c r="W60" s="965"/>
      <c r="X60" s="965"/>
      <c r="Y60" s="965"/>
      <c r="Z60" s="196">
        <f ca="1">IF($B$54="Лікар загальної практики - сімейний лікар",IF(Z58&lt;Законод!$C$22,0,(IF(AND(Z58&gt;=Законод!$E$22,Z58&lt;=Законод!$E$23),Z58-Законод!$C$22,IF('01_Доходи'!Z58&gt;=Законод!$F$22,Законод!$E$24,0)))),IF($B$54="Лікар-педіатр",IF(Z58&lt;Законод!$C$18,0,(IF(AND(Z58&gt;=Законод!$E$18,Z58&lt;=Законод!$E$19),Z58-Законод!$C$18,IF('01_Доходи'!Z58&gt;=Законод!$F$18,Законод!$E$20,0)))),IF($B$54="Лікар-терапевт",IF(Z58&lt;Законод!$C$26,0,(IF(AND(Z58&gt;=Законод!$E$26,Z58&lt;=Законод!$E$27),Z58-Законод!$C$26,IF('01_Доходи'!Z58&gt;=Законод!$F$26,Законод!$E$28,0)))),0)))</f>
        <v>15</v>
      </c>
      <c r="AA60" s="966"/>
      <c r="AB60" s="965" t="s">
        <v>423</v>
      </c>
      <c r="AC60" s="965"/>
      <c r="AD60" s="965"/>
      <c r="AE60" s="965"/>
      <c r="AF60" s="965"/>
      <c r="AG60" s="196">
        <f ca="1">IF($B$54="Лікар загальної практики - сімейний лікар",IF(AG58&lt;Законод!$C$22,0,(IF(AND(AG58&gt;=Законод!$E$22,AG58&lt;=Законод!$E$23),AG58-Законод!$C$22,IF('01_Доходи'!AG58&gt;=Законод!$F$22,Законод!$E$24,0)))),IF($B$54="Лікар-педіатр",IF(AG58&lt;Законод!$C$18,0,(IF(AND(AG58&gt;=Законод!$E$18,AG58&lt;=Законод!$E$19),AG58-Законод!$C$18,IF('01_Доходи'!AG58&gt;=Законод!$F$18,Законод!$E$20,0)))),IF($B$54="Лікар-терапевт",IF(AG58&lt;Законод!$C$26,0,(IF(AND(AG58&gt;=Законод!$E$26,AG58&lt;=Законод!$E$27),AG58-Законод!$C$26,IF('01_Доходи'!AG58&gt;=Законод!$F$26,Законод!$E$28,0)))),0)))</f>
        <v>15</v>
      </c>
      <c r="AH60" s="966"/>
      <c r="AI60" s="201"/>
      <c r="AJ60" s="945"/>
      <c r="AK60" s="960"/>
      <c r="AL60" s="960"/>
      <c r="AM60" s="926" t="s">
        <v>452</v>
      </c>
      <c r="AN60" s="210">
        <f ca="1">IF(B54="Лікар загальної практики - сімейний лікар",L60*Законод!$C$9/4*Законод!$E$16,IF(B54="Лікар-педіатр",L60*Законод!$C$9/4*Законод!$E$16,IF(B54="Лікар-терапевт",L60*Законод!$C$9/4*Законод!$E$16,0)))</f>
        <v>1817.1614999999999</v>
      </c>
      <c r="AO60" s="210">
        <f ca="1">IF(B54="Лікар загальної практики - сімейний лікар",S60*Законод!$C$9/4*Законод!$E$16,IF(B54="Лікар-педіатр",S60*Законод!$C$9/4*Законод!$E$16,IF(B54="Лікар-терапевт",S60*Законод!$C$9/4*Законод!$E$16,0)))</f>
        <v>1817.1614999999999</v>
      </c>
      <c r="AP60" s="210">
        <f ca="1">IF(B54="Лікар загальної практики - сімейний лікар",Z60*Законод!$C$9/4*Законод!$E$16,IF(B54="Лікар-педіатр",Z60*Законод!$C$9/4*Законод!$E$16,IF(B54="Лікар-терапевт",Z60*Законод!$C$9/4*Законод!$E$16,0)))</f>
        <v>1817.1614999999999</v>
      </c>
      <c r="AQ60" s="210">
        <f ca="1">IF(B54="Лікар загальної практики - сімейний лікар",AG60*Законод!$C$9/4*Законод!$E$16,IF(B54="Лікар-педіатр",AG60*Законод!$C$9/4*Законод!$E$16,IF(B54="Лікар-терапевт",AG60*Законод!$C$9/4*Законод!$E$16,0)))</f>
        <v>1817.1614999999999</v>
      </c>
      <c r="AR60" s="211">
        <f t="shared" si="3"/>
        <v>7268.6459999999997</v>
      </c>
    </row>
    <row r="61" spans="1:44" s="50" customFormat="1" ht="31.9" customHeight="1">
      <c r="A61" s="197"/>
      <c r="B61" s="969"/>
      <c r="C61" s="974"/>
      <c r="D61" s="971"/>
      <c r="E61" s="971"/>
      <c r="F61" s="238" t="str">
        <f ca="1">IF(B54="Лікар-педіатр",Законод!$F$17,IF(B54="Лікар загальної практики - сімейний лікар",Законод!$F$21,IF(B54="Лікар-терапевт",Законод!$F$25,"х")))</f>
        <v>понад ліміт (1981-2160)</v>
      </c>
      <c r="G61" s="965" t="s">
        <v>423</v>
      </c>
      <c r="H61" s="965"/>
      <c r="I61" s="965"/>
      <c r="J61" s="965"/>
      <c r="K61" s="965"/>
      <c r="L61" s="196">
        <f ca="1">IF($B$54="Лікар загальної практики - сімейний лікар",IF(L58&lt;Законод!$C$22,0,(IF(AND(L58&gt;=Законод!$F$22,L58&lt;=Законод!$F$23),L58-Законод!$E$23,IF('01_Доходи'!L58&gt;=Законод!$G$22,Законод!$F$24,0)))),IF($B$54="Лікар-педіатр",IF(L58&lt;Законод!$C$18,0,(IF(AND(L58&gt;=Законод!$F$18,L58&lt;=Законод!$F$19),L58-Законод!$E$19,IF('01_Доходи'!L58&gt;=Законод!$G$18,Законод!$F$20,0)))),IF($B$54="Лікар-терапевт",IF(L58&lt;Законод!$C$26,0,(IF(AND(L58&gt;=Законод!$F$26,L58&lt;=Законод!$F$27),L58-Законод!$E$27,IF('01_Доходи'!L58&gt;=Законод!$G$26,Законод!$F$28,0)))),0)))</f>
        <v>0</v>
      </c>
      <c r="M61" s="966"/>
      <c r="N61" s="965" t="s">
        <v>423</v>
      </c>
      <c r="O61" s="965"/>
      <c r="P61" s="965"/>
      <c r="Q61" s="965"/>
      <c r="R61" s="965"/>
      <c r="S61" s="196">
        <f ca="1">IF($B$54="Лікар загальної практики - сімейний лікар",IF(S58&lt;Законод!$C$22,0,(IF(AND(S58&gt;=Законод!$F$22,S58&lt;=Законод!$F$23),S58-Законод!$E$23,IF('01_Доходи'!S58&gt;=Законод!$G$22,Законод!$F$24,0)))),IF($B$54="Лікар-педіатр",IF(S58&lt;Законод!$C$18,0,(IF(AND(S58&gt;=Законод!$F$18,S58&lt;=Законод!$F$19),S58-Законод!$E$19,IF('01_Доходи'!S58&gt;=Законод!$G$18,Законод!$F$20,0)))),IF($B$54="Лікар-терапевт",IF(S58&lt;Законод!$C$26,0,(IF(AND(S58&gt;=Законод!$F$26,S58&lt;=Законод!$F$27),S58-Законод!$E$27,IF('01_Доходи'!S58&gt;=Законод!$G$26,Законод!$F$28,0)))),0)))</f>
        <v>0</v>
      </c>
      <c r="T61" s="966"/>
      <c r="U61" s="965" t="s">
        <v>423</v>
      </c>
      <c r="V61" s="965"/>
      <c r="W61" s="965"/>
      <c r="X61" s="965"/>
      <c r="Y61" s="965"/>
      <c r="Z61" s="196">
        <f ca="1">IF($B$54="Лікар загальної практики - сімейний лікар",IF(Z58&lt;Законод!$C$22,0,(IF(AND(Z58&gt;=Законод!$F$22,Z58&lt;=Законод!$F$23),Z58-Законод!$E$23,IF('01_Доходи'!Z58&gt;=Законод!$G$22,Законод!$F$24,0)))),IF($B$54="Лікар-педіатр",IF(Z58&lt;Законод!$C$18,0,(IF(AND(Z58&gt;=Законод!$F$18,Z58&lt;=Законод!$F$19),Z58-Законод!$E$19,IF('01_Доходи'!Z58&gt;=Законод!$G$18,Законод!$F$20,0)))),IF($B$54="Лікар-терапевт",IF(Z58&lt;Законод!$C$26,0,(IF(AND(Z58&gt;=Законод!$F$26,Z58&lt;=Законод!$F$27),Z58-Законод!$E$27,IF('01_Доходи'!Z58&gt;=Законод!$G$26,Законод!$F$28,0)))),0)))</f>
        <v>0</v>
      </c>
      <c r="AA61" s="966"/>
      <c r="AB61" s="965" t="s">
        <v>423</v>
      </c>
      <c r="AC61" s="965"/>
      <c r="AD61" s="965"/>
      <c r="AE61" s="965"/>
      <c r="AF61" s="965"/>
      <c r="AG61" s="196">
        <f ca="1">IF($B$54="Лікар загальної практики - сімейний лікар",IF(AG58&lt;Законод!$C$22,0,(IF(AND(AG58&gt;=Законод!$F$22,AG58&lt;=Законод!$F$23),AG58-Законод!$E$23,IF('01_Доходи'!AG58&gt;=Законод!$G$22,Законод!$F$24,0)))),IF($B$54="Лікар-педіатр",IF(AG58&lt;Законод!$C$18,0,(IF(AND(AG58&gt;=Законод!$F$18,AG58&lt;=Законод!$F$19),AG58-Законод!$E$19,IF('01_Доходи'!AG58&gt;=Законод!$G$18,Законод!$F$20,0)))),IF($B$54="Лікар-терапевт",IF(AG58&lt;Законод!$C$26,0,(IF(AND(AG58&gt;=Законод!$F$26,AG58&lt;=Законод!$F$27),AG58-Законод!$E$27,IF('01_Доходи'!AG58&gt;=Законод!$G$26,Законод!$F$28,0)))),0)))</f>
        <v>0</v>
      </c>
      <c r="AH61" s="966"/>
      <c r="AI61" s="201"/>
      <c r="AJ61" s="945"/>
      <c r="AK61" s="960"/>
      <c r="AL61" s="960"/>
      <c r="AM61" s="927"/>
      <c r="AN61" s="210">
        <f ca="1">IF(B54="Лікар загальної практики - сімейний лікар",L61*Законод!$C$9/4*Законод!$F$16,IF(B54="Лікар-педіатр",L61*Законод!$C$9/4*Законод!$F$16,IF(B54="Лікар-терапевт",L61*Законод!$C$9/4*Законод!$F$16,0)))</f>
        <v>0</v>
      </c>
      <c r="AO61" s="210">
        <f ca="1">IF(B54="Лікар загальної практики - сімейний лікар",S61*Законод!$C$9/4*Законод!$F$16,IF(B54="Лікар-педіатр",S61*Законод!$C$9/4*Законод!$F$16,IF(B54="Лікар-терапевт",S61*Законод!$C$9/4*Законод!$F$16,0)))</f>
        <v>0</v>
      </c>
      <c r="AP61" s="210">
        <f ca="1">IF(B54="Лікар загальної практики - сімейний лікар",Z61*Законод!$C$9/4*Законод!$F$16,IF(B54="Лікар-педіатр",Z61*Законод!$C$9/4*Законод!$F$16,IF(B54="Лікар-терапевт",Z61*Законод!$C$9/4*Законод!$F$16,0)))</f>
        <v>0</v>
      </c>
      <c r="AQ61" s="210">
        <f ca="1">IF(B54="Лікар загальної практики - сімейний лікар",AG61*Законод!$C$9/4*Законод!$F$16,IF(B54="Лікар-педіатр",AG61*Законод!$C$9/4*Законод!$F$16,IF(B54="Лікар-терапевт",AG61*Законод!$C$9/4*Законод!$F$16,0)))</f>
        <v>0</v>
      </c>
      <c r="AR61" s="211">
        <f t="shared" si="3"/>
        <v>0</v>
      </c>
    </row>
    <row r="62" spans="1:44" s="50" customFormat="1" ht="31.9" customHeight="1">
      <c r="A62" s="197"/>
      <c r="B62" s="969"/>
      <c r="C62" s="974"/>
      <c r="D62" s="971"/>
      <c r="E62" s="971"/>
      <c r="F62" s="238" t="str">
        <f ca="1">IF(B54="Лікар-педіатр",Законод!$G$17,IF(B54="Лікар загальної практики - сімейний лікар",Законод!$G$21,IF(B54="Лікар-терапевт",Законод!$G$25,"х")))</f>
        <v>понад ліміт (2161-2340)</v>
      </c>
      <c r="G62" s="965" t="s">
        <v>423</v>
      </c>
      <c r="H62" s="965"/>
      <c r="I62" s="965"/>
      <c r="J62" s="965"/>
      <c r="K62" s="965"/>
      <c r="L62" s="196">
        <f ca="1">IF($B$54="Лікар загальної практики - сімейний лікар",IF(L58&lt;Законод!$C$22,0,(IF(AND(L58&gt;=Законод!$G$22,L58&lt;=Законод!$G$23),L58-Законод!$F$23,IF('01_Доходи'!L58&gt;=Законод!$H$22,Законод!$G$24,0)))),IF($B$54="Лікар-педіатр",IF(L58&lt;Законод!$C$18,0,(IF(AND(L58&gt;=Законод!$G$18,L58&lt;=Законод!$G$19),L58-Законод!$F$19,IF('01_Доходи'!L58&gt;=Законод!$H$18,Законод!$G$20,0)))),IF($B$54="Лікар-терапевт",IF(L58&lt;Законод!$C$26,0,(IF(AND(L58&gt;=Законод!$G$26,L58&lt;=Законод!$G$27),L58-Законод!$F$27,IF('01_Доходи'!L58&gt;=Законод!$H$26,Законод!$G$28,0)))),0)))</f>
        <v>0</v>
      </c>
      <c r="M62" s="966"/>
      <c r="N62" s="965" t="s">
        <v>423</v>
      </c>
      <c r="O62" s="965"/>
      <c r="P62" s="965"/>
      <c r="Q62" s="965"/>
      <c r="R62" s="965"/>
      <c r="S62" s="196">
        <f ca="1">IF($B$54="Лікар загальної практики - сімейний лікар",IF(S58&lt;Законод!$C$22,0,(IF(AND(S58&gt;=Законод!$G$22,S58&lt;=Законод!$G$23),S58-Законод!$F$23,IF('01_Доходи'!S58&gt;=Законод!$H$22,Законод!$G$24,0)))),IF($B$54="Лікар-педіатр",IF(S58&lt;Законод!$C$18,0,(IF(AND(S58&gt;=Законод!$G$18,S58&lt;=Законод!$G$19),S58-Законод!$F$19,IF('01_Доходи'!S58&gt;=Законод!$H$18,Законод!$G$20,0)))),IF($B$54="Лікар-терапевт",IF(S58&lt;Законод!$C$26,0,(IF(AND(S58&gt;=Законод!$G$26,S58&lt;=Законод!$G$27),S58-Законод!$F$27,IF('01_Доходи'!S58&gt;=Законод!$H$26,Законод!$G$28,0)))),0)))</f>
        <v>0</v>
      </c>
      <c r="T62" s="966"/>
      <c r="U62" s="965" t="s">
        <v>423</v>
      </c>
      <c r="V62" s="965"/>
      <c r="W62" s="965"/>
      <c r="X62" s="965"/>
      <c r="Y62" s="965"/>
      <c r="Z62" s="196">
        <f ca="1">IF($B$54="Лікар загальної практики - сімейний лікар",IF(Z58&lt;Законод!$C$22,0,(IF(AND(Z58&gt;=Законод!$G$22,Z58&lt;=Законод!$G$23),Z58-Законод!$F$23,IF('01_Доходи'!Z58&gt;=Законод!$H$22,Законод!$G$24,0)))),IF($B$54="Лікар-педіатр",IF(Z58&lt;Законод!$C$18,0,(IF(AND(Z58&gt;=Законод!$G$18,Z58&lt;=Законод!$G$19),Z58-Законод!$F$19,IF('01_Доходи'!Z58&gt;=Законод!$H$18,Законод!$G$20,0)))),IF($B$54="Лікар-терапевт",IF(Z58&lt;Законод!$C$26,0,(IF(AND(Z58&gt;=Законод!$G$26,Z58&lt;=Законод!$G$27),Z58-Законод!$F$27,IF('01_Доходи'!Z58&gt;=Законод!$H$26,Законод!$G$28,0)))),0)))</f>
        <v>0</v>
      </c>
      <c r="AA62" s="966"/>
      <c r="AB62" s="965" t="s">
        <v>423</v>
      </c>
      <c r="AC62" s="965"/>
      <c r="AD62" s="965"/>
      <c r="AE62" s="965"/>
      <c r="AF62" s="965"/>
      <c r="AG62" s="196">
        <f ca="1">IF($B$54="Лікар загальної практики - сімейний лікар",IF(AG58&lt;Законод!$C$22,0,(IF(AND(AG58&gt;=Законод!$G$22,AG58&lt;=Законод!$G$23),AG58-Законод!$F$23,IF('01_Доходи'!AG58&gt;=Законод!$H$22,Законод!$G$24,0)))),IF($B$54="Лікар-педіатр",IF(AG58&lt;Законод!$C$18,0,(IF(AND(AG58&gt;=Законод!$G$18,AG58&lt;=Законод!$G$19),AG58-Законод!$F$19,IF('01_Доходи'!AG58&gt;=Законод!$H$18,Законод!$G$20,0)))),IF($B$54="Лікар-терапевт",IF(AG58&lt;Законод!$C$26,0,(IF(AND(AG58&gt;=Законод!$G$26,AG58&lt;=Законод!$G$27),AG58-Законод!$F$27,IF('01_Доходи'!AG58&gt;=Законод!$H$26,Законод!$G$28,0)))),0)))</f>
        <v>0</v>
      </c>
      <c r="AH62" s="966"/>
      <c r="AI62" s="201"/>
      <c r="AJ62" s="945"/>
      <c r="AK62" s="960"/>
      <c r="AL62" s="960"/>
      <c r="AM62" s="927"/>
      <c r="AN62" s="210">
        <f ca="1">IF(B54="Лікар загальної практики - сімейний лікар",L62*Законод!$C$9/4*Законод!$G$16,IF(B54="Лікар-педіатр",L62*Законод!$C$9/4*Законод!$G$16,IF(B54="Лікар-терапевт",L62*Законод!$C$9/4*Законод!$G$16,0)))</f>
        <v>0</v>
      </c>
      <c r="AO62" s="210">
        <f ca="1">IF(B54="Лікар загальної практики - сімейний лікар",S62*Законод!$C$9/4*Законод!$G$16,IF(B54="Лікар-педіатр",S62*Законод!$C$9/4*Законод!$G$16,IF(B54="Лікар-терапевт",S62*Законод!$C$9/4*Законод!$G$16,0)))</f>
        <v>0</v>
      </c>
      <c r="AP62" s="210">
        <f ca="1">IF(B54="Лікар загальної практики - сімейний лікар",Z62*Законод!$C$9/4*Законод!$G$16,IF(B54="Лікар-педіатр",Z62*Законод!$C$9/4*Законод!$G$16,IF(B54="Лікар-терапевт",Z62*Законод!$C$9/4*Законод!$G$16,0)))</f>
        <v>0</v>
      </c>
      <c r="AQ62" s="210">
        <f ca="1">IF(B54="Лікар загальної практики - сімейний лікар",AG62*Законод!$C$9/4*Законод!$G$16,IF(B54="Лікар-педіатр",AG62*Законод!$C$9/4*Законод!$G$16,IF(B54="Лікар-терапевт",AG62*Законод!$C$9/4*Законод!$G$16,0)))</f>
        <v>0</v>
      </c>
      <c r="AR62" s="211">
        <f t="shared" si="3"/>
        <v>0</v>
      </c>
    </row>
    <row r="63" spans="1:44" s="50" customFormat="1" ht="31.9" customHeight="1">
      <c r="A63" s="197"/>
      <c r="B63" s="969"/>
      <c r="C63" s="974"/>
      <c r="D63" s="971"/>
      <c r="E63" s="971"/>
      <c r="F63" s="238" t="str">
        <f ca="1">IF(B54="Лікар-педіатр",Законод!$H$17,IF(B54="Лікар загальної практики - сімейний лікар",Законод!$H$21,IF(B54="Лікар-терапевт",Законод!$H$25,"х")))</f>
        <v>понад ліміт (2341-2520)</v>
      </c>
      <c r="G63" s="965" t="s">
        <v>423</v>
      </c>
      <c r="H63" s="965"/>
      <c r="I63" s="965"/>
      <c r="J63" s="965"/>
      <c r="K63" s="965"/>
      <c r="L63" s="196">
        <f ca="1">IF($B$54="Лікар загальної практики - сімейний лікар",IF(L58&lt;Законод!$C$22,0,(IF(AND(L58&gt;=Законод!$H$22,L58&lt;=Законод!$H$23),L58-Законод!$G$23,IF('01_Доходи'!L58&gt;=Законод!$I$22,Законод!$H$24,0)))),IF($B$54="Лікар-педіатр",IF(L58&lt;Законод!$C$18,0,(IF(AND(L58&gt;=Законод!$H$18,L58&lt;=Законод!$H$19),L58-Законод!$G$19,IF('01_Доходи'!L58&gt;=Законод!$I$18,Законод!$H$20,0)))),IF($B$54="Лікар-терапевт",IF(L58&lt;Законод!$C$26,0,(IF(AND(L58&gt;=Законод!$H$26,L58&lt;=Законод!$H$27),L58-Законод!$G$27,IF(L58&gt;=Законод!$I$26,Законод!$H$28,0)))),0)))</f>
        <v>0</v>
      </c>
      <c r="M63" s="966"/>
      <c r="N63" s="965" t="s">
        <v>423</v>
      </c>
      <c r="O63" s="965"/>
      <c r="P63" s="965"/>
      <c r="Q63" s="965"/>
      <c r="R63" s="965"/>
      <c r="S63" s="196">
        <f ca="1">IF($B$54="Лікар загальної практики - сімейний лікар",IF(S58&lt;Законод!$C$22,0,(IF(AND(S58&gt;=Законод!$H$22,S58&lt;=Законод!$H$23),S58-Законод!$G$23,IF('01_Доходи'!S58&gt;=Законод!$I$22,Законод!$H$24,0)))),IF($B$54="Лікар-педіатр",IF(S58&lt;Законод!$C$18,0,(IF(AND(S58&gt;=Законод!$H$18,S58&lt;=Законод!$H$19),S58-Законод!$G$19,IF('01_Доходи'!S58&gt;=Законод!$I$18,Законод!$H$20,0)))),IF($B$54="Лікар-терапевт",IF(S58&lt;Законод!$C$26,0,(IF(AND(S58&gt;=Законод!$H$26,S58&lt;=Законод!$H$27),S58-Законод!$G$27,IF(S58&gt;=Законод!$I$26,Законод!$H$28,0)))),0)))</f>
        <v>0</v>
      </c>
      <c r="T63" s="966"/>
      <c r="U63" s="965" t="s">
        <v>423</v>
      </c>
      <c r="V63" s="965"/>
      <c r="W63" s="965"/>
      <c r="X63" s="965"/>
      <c r="Y63" s="965"/>
      <c r="Z63" s="196">
        <f ca="1">IF($B$54="Лікар загальної практики - сімейний лікар",IF(Z58&lt;Законод!$C$22,0,(IF(AND(Z58&gt;=Законод!$H$22,Z58&lt;=Законод!$H$23),Z58-Законод!$G$23,IF('01_Доходи'!Z58&gt;=Законод!$I$22,Законод!$H$24,0)))),IF($B$54="Лікар-педіатр",IF(Z58&lt;Законод!$C$18,0,(IF(AND(Z58&gt;=Законод!$H$18,Z58&lt;=Законод!$H$19),Z58-Законод!$G$19,IF('01_Доходи'!Z58&gt;=Законод!$I$18,Законод!$H$20,0)))),IF($B$54="Лікар-терапевт",IF(Z58&lt;Законод!$C$26,0,(IF(AND(Z58&gt;=Законод!$H$26,Z58&lt;=Законод!$H$27),Z58-Законод!$G$27,IF(Z58&gt;=Законод!$I$26,Законод!$H$28,0)))),0)))</f>
        <v>0</v>
      </c>
      <c r="AA63" s="966"/>
      <c r="AB63" s="965" t="s">
        <v>423</v>
      </c>
      <c r="AC63" s="965"/>
      <c r="AD63" s="965"/>
      <c r="AE63" s="965"/>
      <c r="AF63" s="965"/>
      <c r="AG63" s="196">
        <f ca="1">IF($B$54="Лікар загальної практики - сімейний лікар",IF(AG58&lt;Законод!$C$22,0,(IF(AND(AG58&gt;=Законод!$H$22,AG58&lt;=Законод!$H$23),AG58-Законод!$G$23,IF('01_Доходи'!AG58&gt;=Законод!$I$22,Законод!$H$24,0)))),IF($B$54="Лікар-педіатр",IF(AG58&lt;Законод!$C$18,0,(IF(AND(AG58&gt;=Законод!$H$18,AG58&lt;=Законод!$H$19),AG58-Законод!$G$19,IF('01_Доходи'!AG58&gt;=Законод!$I$18,Законод!$H$20,0)))),IF($B$54="Лікар-терапевт",IF(AG58&lt;Законод!$C$26,0,(IF(AND(AG58&gt;=Законод!$H$26,AG58&lt;=Законод!$H$27),AG58-Законод!$G$27,IF(AG58&gt;=Законод!$I$26,Законод!$H$28,0)))),0)))</f>
        <v>0</v>
      </c>
      <c r="AH63" s="966"/>
      <c r="AI63" s="201"/>
      <c r="AJ63" s="945"/>
      <c r="AK63" s="960"/>
      <c r="AL63" s="960"/>
      <c r="AM63" s="927"/>
      <c r="AN63" s="210">
        <f ca="1">IF(B54="Лікар загальної практики - сімейний лікар",L63*Законод!$C$9/4*Законод!$H$16,IF(B54="Лікар-педіатр",L63*Законод!$C$9/4*Законод!$H$16,IF(B54="Лікар-терапевт",L63*Законод!$C$9/4*Законод!$H$16,0)))</f>
        <v>0</v>
      </c>
      <c r="AO63" s="210">
        <f ca="1">IF(B54="Лікар загальної практики - сімейний лікар",S63*Законод!$C$9/4*Законод!$H$16,IF(B54="Лікар-педіатр",S63*Законод!$C$9/4*Законод!$H$16,IF(B54="Лікар-терапевт",S63*Законод!$C$9/4*Законод!$H$16,0)))</f>
        <v>0</v>
      </c>
      <c r="AP63" s="210">
        <f ca="1">IF(B54="Лікар загальної практики - сімейний лікар",Z63*Законод!$C$9/4*Законод!$H$16,IF(B54="Лікар-педіатр",Z63*Законод!$C$9/4*Законод!$H$16,IF(B54="Лікар-терапевт",Z63*Законод!$C$9/4*Законод!$H$16,0)))</f>
        <v>0</v>
      </c>
      <c r="AQ63" s="210">
        <f ca="1">IF(B54="Лікар загальної практики - сімейний лікар",AG63*Законод!$C$9/4*Законод!$H$16,IF(B54="Лікар-педіатр",AG63*Законод!$C$9/4*Законод!$H$16,IF(B54="Лікар-терапевт",AG63*Законод!$C$9/4*Законод!$H$16,0)))</f>
        <v>0</v>
      </c>
      <c r="AR63" s="211">
        <f t="shared" si="3"/>
        <v>0</v>
      </c>
    </row>
    <row r="64" spans="1:44" s="50" customFormat="1" ht="31.9" customHeight="1">
      <c r="A64" s="197"/>
      <c r="B64" s="969"/>
      <c r="C64" s="974"/>
      <c r="D64" s="971"/>
      <c r="E64" s="971"/>
      <c r="F64" s="238" t="str">
        <f ca="1">IF(B54="Лікар-педіатр",Законод!$I$17,IF(B54="Лікар загальної практики - сімейний лікар",Законод!$I$21,IF(B54="Лікар-терапевт",Законод!$I$25,"х")))</f>
        <v>понад ліміт (2521-2700)</v>
      </c>
      <c r="G64" s="965" t="s">
        <v>423</v>
      </c>
      <c r="H64" s="965"/>
      <c r="I64" s="965"/>
      <c r="J64" s="965"/>
      <c r="K64" s="965"/>
      <c r="L64" s="196">
        <f ca="1">IF($B$54="Лікар загальної практики - сімейний лікар",IF(L58&lt;Законод!$C$22,0,(IF(AND(L58&gt;=Законод!$I$22,L58&lt;=Законод!$I$23),L58-Законод!$H$23,IF('01_Доходи'!L58&gt;=Законод!$I$22,Законод!$I$24,0)))),IF($B$54="Лікар-педіатр",IF(L58&lt;Законод!$C$18,0,(IF(AND(L58&gt;=Законод!$I$18,L58&lt;=Законод!$I$19),L58-Законод!$H$19,IF('01_Доходи'!L58&gt;=Законод!$I$18,Законод!$H$20,0)))),IF($B$54="Лікар-терапевт",IF(L58&lt;Законод!$C$26,0,(IF(AND(L58&gt;=Законод!$I$26,L58&lt;=Законод!$I$27),L58-Законод!$H$27,IF('01_Доходи'!L58&gt;=Законод!$I$26,Законод!$H$28,0)))),0)))</f>
        <v>0</v>
      </c>
      <c r="M64" s="966"/>
      <c r="N64" s="965" t="s">
        <v>423</v>
      </c>
      <c r="O64" s="965"/>
      <c r="P64" s="965"/>
      <c r="Q64" s="965"/>
      <c r="R64" s="965"/>
      <c r="S64" s="196">
        <f ca="1">IF($B$54="Лікар загальної практики - сімейний лікар",IF(S58&lt;Законод!$C$22,0,(IF(AND(S58&gt;=Законод!$I$22,S58&lt;=Законод!$I$23),S58-Законод!$H$23,IF('01_Доходи'!S58&gt;=Законод!$I$22,Законод!$I$24,0)))),IF($B$54="Лікар-педіатр",IF(S58&lt;Законод!$C$18,0,(IF(AND(S58&gt;=Законод!$I$18,S58&lt;=Законод!$I$19),S58-Законод!$H$19,IF('01_Доходи'!S58&gt;=Законод!$I$18,Законод!$H$20,0)))),IF($B$54="Лікар-терапевт",IF(S58&lt;Законод!$C$26,0,(IF(AND(S58&gt;=Законод!$I$26,S58&lt;=Законод!$I$27),S58-Законод!$H$27,IF('01_Доходи'!S58&gt;=Законод!$I$26,Законод!$H$28,0)))),0)))</f>
        <v>0</v>
      </c>
      <c r="T64" s="966"/>
      <c r="U64" s="965" t="s">
        <v>423</v>
      </c>
      <c r="V64" s="965"/>
      <c r="W64" s="965"/>
      <c r="X64" s="965"/>
      <c r="Y64" s="965"/>
      <c r="Z64" s="196">
        <f ca="1">IF($B$54="Лікар загальної практики - сімейний лікар",IF(Z58&lt;Законод!$C$22,0,(IF(AND(Z58&gt;=Законод!$I$22,Z58&lt;=Законод!$I$23),Z58-Законод!$H$23,IF('01_Доходи'!Z58&gt;=Законод!$I$22,Законод!$I$24,0)))),IF($B$54="Лікар-педіатр",IF(Z58&lt;Законод!$C$18,0,(IF(AND(Z58&gt;=Законод!$I$18,Z58&lt;=Законод!$I$19),Z58-Законод!$H$19,IF('01_Доходи'!Z58&gt;=Законод!$I$18,Законод!$H$20,0)))),IF($B$54="Лікар-терапевт",IF(Z58&lt;Законод!$C$26,0,(IF(AND(Z58&gt;=Законод!$I$26,Z58&lt;=Законод!$I$27),Z58-Законод!$H$27,IF('01_Доходи'!Z58&gt;=Законод!$I$26,Законод!$H$28,0)))),0)))</f>
        <v>0</v>
      </c>
      <c r="AA64" s="966"/>
      <c r="AB64" s="965" t="s">
        <v>423</v>
      </c>
      <c r="AC64" s="965"/>
      <c r="AD64" s="965"/>
      <c r="AE64" s="965"/>
      <c r="AF64" s="965"/>
      <c r="AG64" s="196">
        <f ca="1">IF($B$54="Лікар загальної практики - сімейний лікар",IF(AG58&lt;Законод!$C$22,0,(IF(AND(AG58&gt;=Законод!$I$22,AG58&lt;=Законод!$I$23),AG58-Законод!$H$23,IF('01_Доходи'!AG58&gt;=Законод!$I$22,Законод!$I$24,0)))),IF($B$54="Лікар-педіатр",IF(AG58&lt;Законод!$C$18,0,(IF(AND(AG58&gt;=Законод!$I$18,AG58&lt;=Законод!$I$19),AG58-Законод!$H$19,IF('01_Доходи'!AG58&gt;=Законод!$I$18,Законод!$H$20,0)))),IF($B$54="Лікар-терапевт",IF(AG58&lt;Законод!$C$26,0,(IF(AND(AG58&gt;=Законод!$I$26,AG58&lt;=Законод!$I$27),AG58-Законод!$H$27,IF('01_Доходи'!AG58&gt;=Законод!$I$26,Законод!$H$28,0)))),0)))</f>
        <v>0</v>
      </c>
      <c r="AH64" s="966"/>
      <c r="AI64" s="201"/>
      <c r="AJ64" s="945"/>
      <c r="AK64" s="960"/>
      <c r="AL64" s="960"/>
      <c r="AM64" s="927"/>
      <c r="AN64" s="210">
        <f ca="1">IF(B54="Лікар загальної практики - сімейний лікар",L64*Законод!$C$9/4*Законод!$I$16,IF(B54="Лікар-педіатр",L64*Законод!$C$9/4*Законод!$I$16,IF(B54="Лікар-терапевт",L64*Законод!$C$9/4*Законод!$I$16,0)))</f>
        <v>0</v>
      </c>
      <c r="AO64" s="210">
        <f ca="1">IF(B54="Лікар загальної практики - сімейний лікар",S64*Законод!$C$9/4*Законод!$I$16,IF(B54="Лікар-педіатр",S64*Законод!$C$9/4*Законод!$I$16,IF(B54="Лікар-терапевт",S64*Законод!$C$9/4*Законод!$I$16,0)))</f>
        <v>0</v>
      </c>
      <c r="AP64" s="210">
        <f ca="1">IF(B54="Лікар загальної практики - сімейний лікар",Z64*Законод!$C$9/4*Законод!$I$16,IF(B54="Лікар-педіатр",Z64*Законод!$C$9/4*Законод!$I$16,IF(B54="Лікар-терапевт",Z64*Законод!$C$9/4*Законод!$I$16,0)))</f>
        <v>0</v>
      </c>
      <c r="AQ64" s="210">
        <f ca="1">IF(B54="Лікар загальної практики - сімейний лікар",AG64*Законод!$C$9/4*Законод!$I$16,IF(B54="Лікар-педіатр",AG64*Законод!$C$9/4*Законод!$I$16,IF(B54="Лікар-терапевт",AG64*Законод!$C$9/4*Законод!$I$16,0)))</f>
        <v>0</v>
      </c>
      <c r="AR64" s="211">
        <f t="shared" si="3"/>
        <v>0</v>
      </c>
    </row>
    <row r="65" spans="1:44" s="218" customFormat="1" ht="31.9" customHeight="1" thickBot="1">
      <c r="A65" s="213"/>
      <c r="B65" s="969"/>
      <c r="C65" s="974"/>
      <c r="D65" s="971"/>
      <c r="E65" s="971"/>
      <c r="F65" s="239" t="str">
        <f ca="1">IF(B54="Лікар-педіатр",Законод!$J$17,IF(B54="Лікар загальної практики - сімейний лікар",Законод!$J$21,IF(B54="Лікар-терапевт",Законод!$J$25,"х")))</f>
        <v>понад ліміт (&gt;=2701)</v>
      </c>
      <c r="G65" s="968" t="s">
        <v>423</v>
      </c>
      <c r="H65" s="968"/>
      <c r="I65" s="968"/>
      <c r="J65" s="968"/>
      <c r="K65" s="968"/>
      <c r="L65" s="196">
        <f ca="1">IF($B$54="Лікар загальної практики - сімейний лікар",IF(L58&gt;=Законод!$J$22,'01_Доходи'!L58-('01_Доходи'!L59+'01_Доходи'!L60+'01_Доходи'!L61+'01_Доходи'!L62+'01_Доходи'!L63+'01_Доходи'!L64),0),IF($B$54="Лікар-педіатр",IF(L58&gt;=Законод!$J$18,'01_Доходи'!L58-('01_Доходи'!L59+'01_Доходи'!L60+'01_Доходи'!L61+'01_Доходи'!L62+'01_Доходи'!L63+'01_Доходи'!L64),0),IF($B$54="Лікар-терапевт",IF('01_Доходи'!L58&gt;=Законод!$J$26,L58-Законод!$I$27,0),0)))</f>
        <v>0</v>
      </c>
      <c r="M65" s="966"/>
      <c r="N65" s="968" t="s">
        <v>423</v>
      </c>
      <c r="O65" s="968"/>
      <c r="P65" s="968"/>
      <c r="Q65" s="968"/>
      <c r="R65" s="968"/>
      <c r="S65" s="196">
        <f ca="1">IF($B$54="Лікар загальної практики - сімейний лікар",IF(S58&gt;=Законод!$J$22,'01_Доходи'!S58-('01_Доходи'!S59+'01_Доходи'!S60+'01_Доходи'!S61+'01_Доходи'!S62+'01_Доходи'!S63+'01_Доходи'!S64),0),IF($B$54="Лікар-педіатр",IF(S58&gt;=Законод!$J$18,'01_Доходи'!S58-('01_Доходи'!S59+'01_Доходи'!S60+'01_Доходи'!S61+'01_Доходи'!S62+'01_Доходи'!S63+'01_Доходи'!S64),0),IF($B$54="Лікар-терапевт",IF('01_Доходи'!S58&gt;=Законод!$J$26,S58-Законод!$I$27,0),0)))</f>
        <v>0</v>
      </c>
      <c r="T65" s="966"/>
      <c r="U65" s="968" t="s">
        <v>423</v>
      </c>
      <c r="V65" s="968"/>
      <c r="W65" s="968"/>
      <c r="X65" s="968"/>
      <c r="Y65" s="968"/>
      <c r="Z65" s="196">
        <f ca="1">IF($B$54="Лікар загальної практики - сімейний лікар",IF(Z58&gt;=Законод!$J$22,'01_Доходи'!Z58-('01_Доходи'!Z59+'01_Доходи'!Z60+'01_Доходи'!Z61+'01_Доходи'!Z62+'01_Доходи'!Z63+'01_Доходи'!Z64),0),IF($B$54="Лікар-педіатр",IF(Z58&gt;=Законод!$J$18,'01_Доходи'!Z58-('01_Доходи'!Z59+'01_Доходи'!Z60+'01_Доходи'!Z61+'01_Доходи'!Z62+'01_Доходи'!Z63+'01_Доходи'!Z64),0),IF($B$54="Лікар-терапевт",IF('01_Доходи'!Z58&gt;=Законод!$J$26,Z58-Законод!$I$27,0),0)))</f>
        <v>0</v>
      </c>
      <c r="AA65" s="966"/>
      <c r="AB65" s="968" t="s">
        <v>423</v>
      </c>
      <c r="AC65" s="968"/>
      <c r="AD65" s="968"/>
      <c r="AE65" s="968"/>
      <c r="AF65" s="968"/>
      <c r="AG65" s="196">
        <f ca="1">IF($B$54="Лікар загальної практики - сімейний лікар",IF(AG58&gt;=Законод!$J$22,'01_Доходи'!AG58-('01_Доходи'!AG59+'01_Доходи'!AG60+'01_Доходи'!AG61+'01_Доходи'!AG62+'01_Доходи'!AG63+'01_Доходи'!AG64),0),IF($B$54="Лікар-педіатр",IF(AG58&gt;=Законод!$J$18,'01_Доходи'!AG58-('01_Доходи'!AG59+'01_Доходи'!AG60+'01_Доходи'!AG61+'01_Доходи'!AG62+'01_Доходи'!AG63+'01_Доходи'!AG64),0),IF($B$54="Лікар-терапевт",IF('01_Доходи'!AG58&gt;=Законод!$J$26,AG58-Законод!$I$27,0),0)))</f>
        <v>0</v>
      </c>
      <c r="AH65" s="966"/>
      <c r="AI65" s="215"/>
      <c r="AJ65" s="946"/>
      <c r="AK65" s="961"/>
      <c r="AL65" s="961"/>
      <c r="AM65" s="928"/>
      <c r="AN65" s="216">
        <f ca="1">IF(B54="Лікар загальної практики - сімейний лікар",L65*Законод!$C$9/4*Законод!$J$16,IF(B54="Лікар-педіатр",L65*Законод!$C$9/4*Законод!$J$16,IF(B54="Лікар-терапевт",L65*Законод!$C$9/4*Законод!$J$16,0)))</f>
        <v>0</v>
      </c>
      <c r="AO65" s="216">
        <f ca="1">IF(B54="Лікар загальної практики - сімейний лікар",S65*Законод!$C$9/4*Законод!$J$16,IF(B54="Лікар-педіатр",S65*Законод!$C$9/4*Законод!$J$16,IF(B54="Лікар-терапевт",S65*Законод!$C$9/4*Законод!$J$16,0)))</f>
        <v>0</v>
      </c>
      <c r="AP65" s="216">
        <f ca="1">IF(B54="Лікар загальної практики - сімейний лікар",S65*Законод!$C$9/4*Законод!$J$16,IF(B54="Лікар-педіатр",S65*Законод!$C$9/4*Законод!$J$16,IF(B54="Лікар-терапевт",S65*Законод!$C$9/4*Законод!$J$16,0)))</f>
        <v>0</v>
      </c>
      <c r="AQ65" s="216">
        <f ca="1">IF(B54="Лікар загальної практики - сімейний лікар",AG65*Законод!$C$9/4*Законод!$J$16,IF(B54="Лікар-педіатр",AG65*Законод!$C$9/4*Законод!$J$16,IF(B54="Лікар-терапевт",AG65*Законод!$C$9/4*Законод!$J$16,0)))</f>
        <v>0</v>
      </c>
      <c r="AR65" s="217">
        <f t="shared" si="3"/>
        <v>0</v>
      </c>
    </row>
    <row r="66" spans="1:44" s="233" customFormat="1" ht="18" customHeight="1" thickBot="1">
      <c r="A66" s="219"/>
      <c r="B66" s="220"/>
      <c r="C66" s="729"/>
      <c r="D66" s="222"/>
      <c r="E66" s="222"/>
      <c r="F66" s="223"/>
      <c r="G66" s="224"/>
      <c r="H66" s="224"/>
      <c r="I66" s="224"/>
      <c r="J66" s="224"/>
      <c r="K66" s="224"/>
      <c r="L66" s="225"/>
      <c r="M66" s="226"/>
      <c r="N66" s="224"/>
      <c r="O66" s="224"/>
      <c r="P66" s="224"/>
      <c r="Q66" s="224"/>
      <c r="R66" s="224"/>
      <c r="S66" s="225"/>
      <c r="T66" s="226"/>
      <c r="U66" s="224"/>
      <c r="V66" s="224"/>
      <c r="W66" s="224"/>
      <c r="X66" s="224"/>
      <c r="Y66" s="224"/>
      <c r="Z66" s="227"/>
      <c r="AA66" s="226"/>
      <c r="AB66" s="224"/>
      <c r="AC66" s="224"/>
      <c r="AD66" s="224"/>
      <c r="AE66" s="224"/>
      <c r="AF66" s="224"/>
      <c r="AG66" s="227"/>
      <c r="AH66" s="226"/>
      <c r="AI66" s="228"/>
      <c r="AJ66" s="229"/>
      <c r="AK66" s="229"/>
      <c r="AL66" s="229"/>
      <c r="AM66" s="230"/>
      <c r="AN66" s="231"/>
      <c r="AO66" s="231"/>
      <c r="AP66" s="231"/>
      <c r="AQ66" s="231"/>
      <c r="AR66" s="232"/>
    </row>
    <row r="67" spans="1:44" s="191" customFormat="1" ht="30" customHeight="1">
      <c r="A67" s="194">
        <f>A54+1</f>
        <v>3</v>
      </c>
      <c r="B67" s="969" t="s">
        <v>312</v>
      </c>
      <c r="C67" s="976" t="s">
        <v>10</v>
      </c>
      <c r="D67" s="971"/>
      <c r="E67" s="971" t="str">
        <f>E93</f>
        <v>Рожищенська АЗПСМ №1</v>
      </c>
      <c r="F67" s="234" t="s">
        <v>659</v>
      </c>
      <c r="G67" s="196">
        <v>0</v>
      </c>
      <c r="H67" s="196">
        <v>25</v>
      </c>
      <c r="I67" s="196">
        <v>130</v>
      </c>
      <c r="J67" s="196">
        <v>185</v>
      </c>
      <c r="K67" s="196">
        <v>75</v>
      </c>
      <c r="L67" s="557">
        <f t="shared" ref="L67:L72" si="4">SUM(G67:K67)</f>
        <v>415</v>
      </c>
      <c r="M67" s="966">
        <v>0</v>
      </c>
      <c r="N67" s="196">
        <v>0</v>
      </c>
      <c r="O67" s="196">
        <v>25</v>
      </c>
      <c r="P67" s="196">
        <v>130</v>
      </c>
      <c r="Q67" s="196">
        <v>185</v>
      </c>
      <c r="R67" s="196">
        <v>75</v>
      </c>
      <c r="S67" s="557">
        <f t="shared" ref="S67:S72" si="5">SUM(N67:R67)</f>
        <v>415</v>
      </c>
      <c r="T67" s="966">
        <v>0</v>
      </c>
      <c r="U67" s="196">
        <v>0</v>
      </c>
      <c r="V67" s="196">
        <v>25</v>
      </c>
      <c r="W67" s="196">
        <v>130</v>
      </c>
      <c r="X67" s="196">
        <v>185</v>
      </c>
      <c r="Y67" s="196">
        <v>75</v>
      </c>
      <c r="Z67" s="557">
        <f>SUM(U67+V67+W67+X67+Y67)</f>
        <v>415</v>
      </c>
      <c r="AA67" s="966">
        <v>0</v>
      </c>
      <c r="AB67" s="196">
        <v>0</v>
      </c>
      <c r="AC67" s="196">
        <v>25</v>
      </c>
      <c r="AD67" s="196">
        <v>130</v>
      </c>
      <c r="AE67" s="196">
        <v>185</v>
      </c>
      <c r="AF67" s="196">
        <v>75</v>
      </c>
      <c r="AG67" s="557">
        <f>AB67+AC67+AD67+AE67+AF67</f>
        <v>415</v>
      </c>
      <c r="AH67" s="966">
        <v>0</v>
      </c>
      <c r="AI67" s="540">
        <f>A67</f>
        <v>3</v>
      </c>
      <c r="AJ67" s="944" t="str">
        <f>B67</f>
        <v>Лікар загальної практики - сімейний лікар</v>
      </c>
      <c r="AK67" s="959" t="str">
        <f>C67</f>
        <v>Нікітченко Анатолій Олександрович</v>
      </c>
      <c r="AL67" s="959">
        <f>D67</f>
        <v>0</v>
      </c>
      <c r="AM67" s="929" t="s">
        <v>79</v>
      </c>
      <c r="AN67" s="947">
        <f>SUM(AN72:AN78)</f>
        <v>0</v>
      </c>
      <c r="AO67" s="947">
        <f>SUM(AO72:AO78)</f>
        <v>0</v>
      </c>
      <c r="AP67" s="947">
        <f>SUM(AP72:AP78)</f>
        <v>0</v>
      </c>
      <c r="AQ67" s="947">
        <f>SUM(AQ72:AQ78)</f>
        <v>0</v>
      </c>
      <c r="AR67" s="962">
        <f>SUM(AN67:AQ71)</f>
        <v>0</v>
      </c>
    </row>
    <row r="68" spans="1:44" s="50" customFormat="1" ht="28.15" customHeight="1">
      <c r="A68" s="197"/>
      <c r="B68" s="969"/>
      <c r="C68" s="976"/>
      <c r="D68" s="971"/>
      <c r="E68" s="971"/>
      <c r="F68" s="234" t="s">
        <v>660</v>
      </c>
      <c r="G68" s="196">
        <v>0</v>
      </c>
      <c r="H68" s="196">
        <v>25</v>
      </c>
      <c r="I68" s="196">
        <v>130</v>
      </c>
      <c r="J68" s="196">
        <v>185</v>
      </c>
      <c r="K68" s="196">
        <v>75</v>
      </c>
      <c r="L68" s="557">
        <f t="shared" si="4"/>
        <v>415</v>
      </c>
      <c r="M68" s="966"/>
      <c r="N68" s="196">
        <v>0</v>
      </c>
      <c r="O68" s="196">
        <v>25</v>
      </c>
      <c r="P68" s="196">
        <v>130</v>
      </c>
      <c r="Q68" s="196">
        <v>185</v>
      </c>
      <c r="R68" s="196">
        <v>75</v>
      </c>
      <c r="S68" s="557">
        <f t="shared" si="5"/>
        <v>415</v>
      </c>
      <c r="T68" s="966"/>
      <c r="U68" s="196">
        <v>0</v>
      </c>
      <c r="V68" s="196">
        <v>25</v>
      </c>
      <c r="W68" s="196">
        <v>130</v>
      </c>
      <c r="X68" s="196">
        <v>185</v>
      </c>
      <c r="Y68" s="196">
        <v>75</v>
      </c>
      <c r="Z68" s="557">
        <f>SUM(U68+V68+W68+X68+Y68)</f>
        <v>415</v>
      </c>
      <c r="AA68" s="966"/>
      <c r="AB68" s="196">
        <v>0</v>
      </c>
      <c r="AC68" s="196">
        <v>25</v>
      </c>
      <c r="AD68" s="196">
        <v>130</v>
      </c>
      <c r="AE68" s="196">
        <v>185</v>
      </c>
      <c r="AF68" s="196">
        <v>75</v>
      </c>
      <c r="AG68" s="557">
        <f>AB68+AC68+AD68+AE68+AF68</f>
        <v>415</v>
      </c>
      <c r="AH68" s="966"/>
      <c r="AI68" s="198"/>
      <c r="AJ68" s="945"/>
      <c r="AK68" s="960"/>
      <c r="AL68" s="960"/>
      <c r="AM68" s="930"/>
      <c r="AN68" s="948"/>
      <c r="AO68" s="948"/>
      <c r="AP68" s="948"/>
      <c r="AQ68" s="948"/>
      <c r="AR68" s="963"/>
    </row>
    <row r="69" spans="1:44" s="90" customFormat="1" ht="31.15" customHeight="1">
      <c r="A69" s="240"/>
      <c r="B69" s="969"/>
      <c r="C69" s="976"/>
      <c r="D69" s="971"/>
      <c r="E69" s="971"/>
      <c r="F69" s="241" t="s">
        <v>661</v>
      </c>
      <c r="G69" s="196">
        <v>0</v>
      </c>
      <c r="H69" s="196">
        <v>25</v>
      </c>
      <c r="I69" s="196">
        <v>130</v>
      </c>
      <c r="J69" s="196">
        <v>185</v>
      </c>
      <c r="K69" s="196">
        <v>75</v>
      </c>
      <c r="L69" s="200">
        <f t="shared" si="4"/>
        <v>415</v>
      </c>
      <c r="M69" s="966"/>
      <c r="N69" s="196">
        <v>0</v>
      </c>
      <c r="O69" s="196">
        <v>25</v>
      </c>
      <c r="P69" s="196">
        <v>130</v>
      </c>
      <c r="Q69" s="196">
        <v>185</v>
      </c>
      <c r="R69" s="196">
        <v>75</v>
      </c>
      <c r="S69" s="200">
        <f t="shared" si="5"/>
        <v>415</v>
      </c>
      <c r="T69" s="966"/>
      <c r="U69" s="196">
        <v>0</v>
      </c>
      <c r="V69" s="196">
        <v>25</v>
      </c>
      <c r="W69" s="196">
        <v>130</v>
      </c>
      <c r="X69" s="196">
        <v>185</v>
      </c>
      <c r="Y69" s="196">
        <v>75</v>
      </c>
      <c r="Z69" s="200">
        <f>SUM(U69:Y69)</f>
        <v>415</v>
      </c>
      <c r="AA69" s="966"/>
      <c r="AB69" s="196">
        <v>0</v>
      </c>
      <c r="AC69" s="196">
        <v>25</v>
      </c>
      <c r="AD69" s="196">
        <v>130</v>
      </c>
      <c r="AE69" s="196">
        <v>185</v>
      </c>
      <c r="AF69" s="196">
        <v>75</v>
      </c>
      <c r="AG69" s="557">
        <f>AB69+AC69+AD69+AE69+AF69</f>
        <v>415</v>
      </c>
      <c r="AH69" s="966"/>
      <c r="AI69" s="242"/>
      <c r="AJ69" s="945"/>
      <c r="AK69" s="960"/>
      <c r="AL69" s="960"/>
      <c r="AM69" s="930"/>
      <c r="AN69" s="948"/>
      <c r="AO69" s="948"/>
      <c r="AP69" s="948"/>
      <c r="AQ69" s="948"/>
      <c r="AR69" s="963"/>
    </row>
    <row r="70" spans="1:44" s="50" customFormat="1" ht="31.9" customHeight="1" thickBot="1">
      <c r="A70" s="197"/>
      <c r="B70" s="969"/>
      <c r="C70" s="976"/>
      <c r="D70" s="971"/>
      <c r="E70" s="971"/>
      <c r="F70" s="236" t="s">
        <v>426</v>
      </c>
      <c r="G70" s="203">
        <v>0</v>
      </c>
      <c r="H70" s="203">
        <v>0</v>
      </c>
      <c r="I70" s="203">
        <v>0</v>
      </c>
      <c r="J70" s="203">
        <v>0</v>
      </c>
      <c r="K70" s="203">
        <v>0</v>
      </c>
      <c r="L70" s="203">
        <f t="shared" si="4"/>
        <v>0</v>
      </c>
      <c r="M70" s="966"/>
      <c r="N70" s="203">
        <v>0</v>
      </c>
      <c r="O70" s="203">
        <v>0</v>
      </c>
      <c r="P70" s="203">
        <v>0</v>
      </c>
      <c r="Q70" s="203">
        <v>0</v>
      </c>
      <c r="R70" s="203">
        <v>0</v>
      </c>
      <c r="S70" s="203">
        <f t="shared" si="5"/>
        <v>0</v>
      </c>
      <c r="T70" s="966"/>
      <c r="U70" s="203">
        <v>0</v>
      </c>
      <c r="V70" s="203">
        <v>0</v>
      </c>
      <c r="W70" s="203">
        <v>0</v>
      </c>
      <c r="X70" s="203">
        <v>0</v>
      </c>
      <c r="Y70" s="203">
        <v>0</v>
      </c>
      <c r="Z70" s="203">
        <f>SUM(U70:Y70)</f>
        <v>0</v>
      </c>
      <c r="AA70" s="966"/>
      <c r="AB70" s="203">
        <v>0</v>
      </c>
      <c r="AC70" s="203">
        <v>0</v>
      </c>
      <c r="AD70" s="203">
        <v>0</v>
      </c>
      <c r="AE70" s="203">
        <v>0</v>
      </c>
      <c r="AF70" s="203">
        <v>0</v>
      </c>
      <c r="AG70" s="203">
        <f>SUM(AB70:AF70)</f>
        <v>0</v>
      </c>
      <c r="AH70" s="966"/>
      <c r="AI70" s="201"/>
      <c r="AJ70" s="945"/>
      <c r="AK70" s="960"/>
      <c r="AL70" s="960"/>
      <c r="AM70" s="930"/>
      <c r="AN70" s="948"/>
      <c r="AO70" s="948"/>
      <c r="AP70" s="948"/>
      <c r="AQ70" s="948"/>
      <c r="AR70" s="963"/>
    </row>
    <row r="71" spans="1:44" s="50" customFormat="1" ht="45" customHeight="1" thickBot="1">
      <c r="A71" s="197"/>
      <c r="B71" s="969"/>
      <c r="C71" s="976"/>
      <c r="D71" s="971"/>
      <c r="E71" s="972"/>
      <c r="F71" s="204" t="s">
        <v>662</v>
      </c>
      <c r="G71" s="205">
        <v>0</v>
      </c>
      <c r="H71" s="205">
        <v>0</v>
      </c>
      <c r="I71" s="205">
        <v>0</v>
      </c>
      <c r="J71" s="205">
        <v>0</v>
      </c>
      <c r="K71" s="205">
        <v>0</v>
      </c>
      <c r="L71" s="206">
        <f t="shared" si="4"/>
        <v>0</v>
      </c>
      <c r="M71" s="973"/>
      <c r="N71" s="205">
        <v>0</v>
      </c>
      <c r="O71" s="205">
        <v>0</v>
      </c>
      <c r="P71" s="205">
        <v>0</v>
      </c>
      <c r="Q71" s="205">
        <v>0</v>
      </c>
      <c r="R71" s="205">
        <v>0</v>
      </c>
      <c r="S71" s="206">
        <f t="shared" si="5"/>
        <v>0</v>
      </c>
      <c r="T71" s="973"/>
      <c r="U71" s="205">
        <v>0</v>
      </c>
      <c r="V71" s="205">
        <v>0</v>
      </c>
      <c r="W71" s="205">
        <v>0</v>
      </c>
      <c r="X71" s="205">
        <v>0</v>
      </c>
      <c r="Y71" s="205">
        <v>0</v>
      </c>
      <c r="Z71" s="206">
        <f>SUM(U71:Y71)</f>
        <v>0</v>
      </c>
      <c r="AA71" s="973"/>
      <c r="AB71" s="205">
        <v>0</v>
      </c>
      <c r="AC71" s="205">
        <v>0</v>
      </c>
      <c r="AD71" s="205">
        <v>0</v>
      </c>
      <c r="AE71" s="205">
        <v>0</v>
      </c>
      <c r="AF71" s="205">
        <v>0</v>
      </c>
      <c r="AG71" s="206">
        <f>SUM(AB71:AF71)</f>
        <v>0</v>
      </c>
      <c r="AH71" s="967"/>
      <c r="AI71" s="201"/>
      <c r="AJ71" s="945"/>
      <c r="AK71" s="960"/>
      <c r="AL71" s="960"/>
      <c r="AM71" s="931"/>
      <c r="AN71" s="949"/>
      <c r="AO71" s="949"/>
      <c r="AP71" s="949"/>
      <c r="AQ71" s="949"/>
      <c r="AR71" s="964"/>
    </row>
    <row r="72" spans="1:44" s="50" customFormat="1" ht="40.5">
      <c r="A72" s="197"/>
      <c r="B72" s="969"/>
      <c r="C72" s="976"/>
      <c r="D72" s="971"/>
      <c r="E72" s="971"/>
      <c r="F72" s="237" t="str">
        <f ca="1">IF(B67="Лікар-педіатр",Законод!$C$17,IF(B67="Лікар загальної практики - сімейний лікар",Законод!$C$21,IF(B67="Лікар-терапевт",Законод!$C$25,"х")))</f>
        <v>ліміт (до 1800)</v>
      </c>
      <c r="G72" s="208">
        <f ca="1">IF($B$67="Лікар загальної практики - сімейний лікар",IF(L71&lt;=Законод!$C$22,G71,Законод!$C$22*'01_Доходи'!G70),IF($B$67="Лікар-педіатр",IF(L71&lt;=Законод!$C$18,G71,Законод!$C$18*'01_Доходи'!G70),IF($B$67="Лікар-терапевт","x",0)))</f>
        <v>0</v>
      </c>
      <c r="H72" s="208">
        <f ca="1">IF($B$67="Лікар загальної практики - сімейний лікар",IF(L71&lt;=Законод!$C$22,H71,Законод!$C$22*'01_Доходи'!H70),IF($B$67="Лікар-педіатр",IF(L71&lt;=Законод!$C$18,H71,Законод!$C$18*'01_Доходи'!H70),IF($B$67="Лікар-терапевт","x",0)))</f>
        <v>0</v>
      </c>
      <c r="I72" s="208">
        <f ca="1">IF($B$67="Лікар загальної практики - сімейний лікар",IF(L71&lt;=Законод!$C$22,I71,Законод!$C$22*'01_Доходи'!I70),IF($B$67="Лікар-педіатр","x",IF($B$67="Лікар-терапевт",IF(L71&lt;=Законод!$C$26,I71,Законод!$C$26*'01_Доходи'!I70),0)))</f>
        <v>0</v>
      </c>
      <c r="J72" s="208">
        <f ca="1">IF($B$67="Лікар загальної практики - сімейний лікар",IF(L71&lt;=Законод!$C$22,J71,Законод!$C$22*'01_Доходи'!J70),IF($B$67="Лікар-педіатр","x",IF($B$67="Лікар-терапевт",IF(L71&lt;=Законод!$C$26,J71,Законод!$C$26*'01_Доходи'!J70),0)))</f>
        <v>0</v>
      </c>
      <c r="K72" s="208">
        <f ca="1">IF($B$67="Лікар загальної практики - сімейний лікар",IF(L71&lt;=Законод!$C$22,K71,Законод!$C$22*'01_Доходи'!K70),IF($B$67="Лікар-педіатр","x",IF($B$67="Лікар-терапевт",IF(L71&lt;=Законод!$C$26,K71,Законод!$C$26*'01_Доходи'!K70),0)))</f>
        <v>0</v>
      </c>
      <c r="L72" s="209">
        <f t="shared" si="4"/>
        <v>0</v>
      </c>
      <c r="M72" s="966"/>
      <c r="N72" s="208">
        <f ca="1">IF($B$67="Лікар загальної практики - сімейний лікар",IF(S71&lt;=Законод!$C$22,N71,Законод!$C$22*'01_Доходи'!N70),IF($B$67="Лікар-педіатр",IF(S71&lt;=Законод!$C$18,N71,Законод!$C$18*'01_Доходи'!N70),IF($B$67="Лікар-терапевт","x",0)))</f>
        <v>0</v>
      </c>
      <c r="O72" s="208">
        <f ca="1">IF($B$67="Лікар загальної практики - сімейний лікар",IF(S71&lt;=Законод!$C$22,O71,Законод!$C$22*'01_Доходи'!O70),IF($B$67="Лікар-педіатр",IF(S71&lt;=Законод!$C$18,O71,Законод!$C$18*'01_Доходи'!O70),IF($B$67="Лікар-терапевт","x",0)))</f>
        <v>0</v>
      </c>
      <c r="P72" s="208">
        <f ca="1">IF($B$67="Лікар загальної практики - сімейний лікар",IF(S71&lt;=Законод!$C$22,P71,Законод!$C$22*'01_Доходи'!P70),IF($B$67="Лікар-педіатр","x",IF($B$67="Лікар-терапевт",IF(S71&lt;=Законод!$C$26,P71,Законод!$C$26*'01_Доходи'!P70),0)))</f>
        <v>0</v>
      </c>
      <c r="Q72" s="208">
        <f ca="1">IF($B$67="Лікар загальної практики - сімейний лікар",IF(S71&lt;=Законод!$C$22,Q71,Законод!$C$22*'01_Доходи'!Q70),IF($B$67="Лікар-педіатр","x",IF($B$67="Лікар-терапевт",IF(S71&lt;=Законод!$C$26,Q71,Законод!$C$26*'01_Доходи'!Q70),0)))</f>
        <v>0</v>
      </c>
      <c r="R72" s="208">
        <f ca="1">IF($B$67="Лікар загальної практики - сімейний лікар",IF(S71&lt;=Законод!$C$22,R71,Законод!$C$22*'01_Доходи'!R70),IF($B$67="Лікар-педіатр","x",IF($B$67="Лікар-терапевт",IF(S71&lt;=Законод!$C$26,R71,Законод!$C$26*'01_Доходи'!R70),0)))</f>
        <v>0</v>
      </c>
      <c r="S72" s="209">
        <f t="shared" si="5"/>
        <v>0</v>
      </c>
      <c r="T72" s="966"/>
      <c r="U72" s="208">
        <f ca="1">IF($B$67="Лікар загальної практики - сімейний лікар",IF(Z71&lt;=Законод!$C$22,U71,Законод!$C$22*'01_Доходи'!U70),IF($B$67="Лікар-педіатр",IF(Z71&lt;=Законод!$C$18,U71,Законод!$C$18*'01_Доходи'!U70),IF($B$67="Лікар-терапевт","x",0)))</f>
        <v>0</v>
      </c>
      <c r="V72" s="208">
        <f ca="1">IF($B$67="Лікар загальної практики - сімейний лікар",IF(Z71&lt;=Законод!$C$22,V71,Законод!$C$22*'01_Доходи'!V70),IF($B$67="Лікар-педіатр",IF(Z71&lt;=Законод!$C$18,V71,Законод!$C$18*'01_Доходи'!V70),IF($B$67="Лікар-терапевт","x",0)))</f>
        <v>0</v>
      </c>
      <c r="W72" s="208">
        <f ca="1">IF($B$67="Лікар загальної практики - сімейний лікар",IF(Z71&lt;=Законод!$C$22,W71,Законод!$C$22*'01_Доходи'!W70),IF($B$67="Лікар-педіатр","x",IF($B$67="Лікар-терапевт",IF(Z71&lt;=Законод!$C$26,W71,Законод!$C$26*'01_Доходи'!W70),0)))</f>
        <v>0</v>
      </c>
      <c r="X72" s="208">
        <f ca="1">IF($B$67="Лікар загальної практики - сімейний лікар",IF(Z71&lt;=Законод!$C$22,X71,Законод!$C$22*'01_Доходи'!X70),IF($B$67="Лікар-педіатр","x",IF($B$67="Лікар-терапевт",IF(Z71&lt;=Законод!$C$26,X71,Законод!$C$26*'01_Доходи'!X70),0)))</f>
        <v>0</v>
      </c>
      <c r="Y72" s="208">
        <f ca="1">IF($B$67="Лікар загальної практики - сімейний лікар",IF(Z71&lt;=Законод!$C$22,Y71,Законод!$C$22*'01_Доходи'!Y70),IF($B$67="Лікар-педіатр","x",IF($B$67="Лікар-терапевт",IF(Z71&lt;=Законод!$C$26,Y71,Законод!$C$26*'01_Доходи'!Y70),0)))</f>
        <v>0</v>
      </c>
      <c r="Z72" s="209">
        <f ca="1">SUM(U72:Y72)</f>
        <v>0</v>
      </c>
      <c r="AA72" s="966"/>
      <c r="AB72" s="208">
        <f ca="1">IF($B$67="Лікар загальної практики - сімейний лікар",IF(AG71&lt;=Законод!$C$22,AB71,Законод!$C$22*'01_Доходи'!AB70),IF($B$67="Лікар-педіатр",IF(AG71&lt;=Законод!$C$18,AB71,Законод!$C$18*'01_Доходи'!AB70),IF($B$67="Лікар-терапевт","x",0)))</f>
        <v>0</v>
      </c>
      <c r="AC72" s="208">
        <f ca="1">IF($B$67="Лікар загальної практики - сімейний лікар",IF(AG71&lt;=Законод!$C$22,AC71,Законод!$C$22*'01_Доходи'!AC70),IF($B$67="Лікар-педіатр",IF(AG71&lt;=Законод!$C$18,AC71,Законод!$C$18*'01_Доходи'!AC70),IF($B$67="Лікар-терапевт","x",0)))</f>
        <v>0</v>
      </c>
      <c r="AD72" s="208">
        <f ca="1">IF($B$67="Лікар загальної практики - сімейний лікар",IF(AG71&lt;=Законод!$C$22,AD71,Законод!$C$22*'01_Доходи'!AD70),IF($B$67="Лікар-педіатр","x",IF($B$67="Лікар-терапевт",IF(AG71&lt;=Законод!$C$26,AD71,Законод!$C$26*'01_Доходи'!AD70),0)))</f>
        <v>0</v>
      </c>
      <c r="AE72" s="208">
        <f ca="1">IF($B$67="Лікар загальної практики - сімейний лікар",IF(AG71&lt;=Законод!$C$22,AE71,Законод!$C$22*'01_Доходи'!AE70),IF($B$67="Лікар-педіатр","x",IF($B$67="Лікар-терапевт",IF(AG71&lt;=Законод!$C$26,AE71,Законод!$C$26*'01_Доходи'!AE70),0)))</f>
        <v>0</v>
      </c>
      <c r="AF72" s="208">
        <f ca="1">IF($B$67="Лікар загальної практики - сімейний лікар",IF(AG71&lt;=Законод!$C$22,AF71,Законод!$C$22*'01_Доходи'!AF70),IF($B$67="Лікар-педіатр","x",IF($B$67="Лікар-терапевт",IF(AG71&lt;=Законод!$C$26,AF71,Законод!$C$26*'01_Доходи'!AF70),0)))</f>
        <v>0</v>
      </c>
      <c r="AG72" s="209">
        <f ca="1">SUM(AB72:AF72)</f>
        <v>0</v>
      </c>
      <c r="AH72" s="966"/>
      <c r="AI72" s="201"/>
      <c r="AJ72" s="945"/>
      <c r="AK72" s="960"/>
      <c r="AL72" s="960"/>
      <c r="AM72" s="348" t="s">
        <v>451</v>
      </c>
      <c r="AN72" s="210">
        <f ca="1">IF(B67="Лікар загальної практики - сімейний лікар",G72*Законод!$C$11+'01_Доходи'!H72*Законод!$D$11+'01_Доходи'!I72*Законод!$E$11+'01_Доходи'!J72*Законод!$F$11+'01_Доходи'!K72*Законод!$G$11,IF(B67="Лікар-педіатр",G72*Законод!$C$11+'01_Доходи'!H72*Законод!$D$11,IF(B67="Лікар-терапевт",'01_Доходи'!I72*Законод!$E$11+'01_Доходи'!J72*Законод!$F$11+'01_Доходи'!K72*Законод!$G$11,0)))</f>
        <v>0</v>
      </c>
      <c r="AO72" s="210">
        <f ca="1">IF(B67="Лікар загальної практики - сімейний лікар",N72*Законод!$C$11+'01_Доходи'!O72*Законод!$D$11+'01_Доходи'!P72*Законод!$E$11+'01_Доходи'!Q72*Законод!$F$11+'01_Доходи'!R72*Законод!$G$11,IF(B67="Лікар-педіатр",N72*Законод!$C$11+'01_Доходи'!O72*Законод!$D$11,IF(B67="Лікар-терапевт",'01_Доходи'!P72*Законод!$E$11+'01_Доходи'!Q72*Законод!$F$11+'01_Доходи'!R72*Законод!$G$11,0)))</f>
        <v>0</v>
      </c>
      <c r="AP72" s="210">
        <f ca="1">IF(B67="Лікар загальної практики - сімейний лікар",U72*Законод!$C$11+'01_Доходи'!V72*Законод!$D$11+'01_Доходи'!W72*Законод!$E$11+'01_Доходи'!X72*Законод!$F$11+'01_Доходи'!Y72*Законод!$G$11,IF(B67="Лікар-педіатр",U72*Законод!$C$11+'01_Доходи'!V72*Законод!$D$11,IF(B67="Лікар-терапевт",'01_Доходи'!W72*Законод!$E$11+'01_Доходи'!X72*Законод!$F$11+'01_Доходи'!Y72*Законод!$G$11,0)))</f>
        <v>0</v>
      </c>
      <c r="AQ72" s="210">
        <f ca="1">IF(B67="Лікар загальної практики - сімейний лікар",AB72*Законод!$C$11+'01_Доходи'!AC72*Законод!$D$11+'01_Доходи'!AD72*Законод!$E$11+'01_Доходи'!AE72*Законод!$F$11+'01_Доходи'!AF72*Законод!$G$11,IF(B67="Лікар-педіатр",AB72*Законод!$C$11+'01_Доходи'!AC72*Законод!$D$11,IF(B67="Лікар-терапевт",'01_Доходи'!AD72*Законод!$E$11+'01_Доходи'!AE72*Законод!$F$11+'01_Доходи'!AF72*Законод!$G$11,0)))</f>
        <v>0</v>
      </c>
      <c r="AR72" s="211">
        <f t="shared" ref="AR72:AR78" si="6">SUM(AN72:AQ72)</f>
        <v>0</v>
      </c>
    </row>
    <row r="73" spans="1:44" s="50" customFormat="1" ht="31.9" customHeight="1">
      <c r="A73" s="197"/>
      <c r="B73" s="969"/>
      <c r="C73" s="976"/>
      <c r="D73" s="971"/>
      <c r="E73" s="971"/>
      <c r="F73" s="238" t="str">
        <f ca="1">IF(B67="Лікар-педіатр",Законод!$E$17,IF(B67="Лікар загальної практики - сімейний лікар",Законод!$E$21,IF(B67="Лікар-терапевт",Законод!$E$25,"х")))</f>
        <v>понад ліміт (1801-1980)</v>
      </c>
      <c r="G73" s="965" t="s">
        <v>423</v>
      </c>
      <c r="H73" s="965"/>
      <c r="I73" s="965"/>
      <c r="J73" s="965"/>
      <c r="K73" s="965"/>
      <c r="L73" s="196">
        <f ca="1">IF($B$67="Лікар загальної практики - сімейний лікар",IF(L71&lt;Законод!$C$22,0,(IF(AND(L71&gt;=Законод!$E$22,L71&lt;=Законод!$E$23),L71-Законод!$C$22,IF('01_Доходи'!L71&gt;=Законод!$F$22,Законод!$E$24,0)))),IF($B$67="Лікар-педіатр",IF(L71&lt;Законод!$C$18,0,(IF(AND(L71&gt;=Законод!$E$18,L71&lt;=Законод!$E$19),L71-Законод!$C$18,IF('01_Доходи'!L71&gt;=Законод!$F$18,Законод!$E$20,0)))),IF($B$67="Лікар-терапевт",IF(L71&lt;Законод!$C$26,0,(IF(AND(L71&gt;=Законод!$E$26,L71&lt;=Законод!$E$27),L71-Законод!$C$26,IF('01_Доходи'!L71&gt;=Законод!$F$26,Законод!$E$28,0)))),0)))</f>
        <v>0</v>
      </c>
      <c r="M73" s="966"/>
      <c r="N73" s="965" t="s">
        <v>423</v>
      </c>
      <c r="O73" s="965"/>
      <c r="P73" s="965"/>
      <c r="Q73" s="965"/>
      <c r="R73" s="965"/>
      <c r="S73" s="196">
        <f ca="1">IF($B$67="Лікар загальної практики - сімейний лікар",IF(S71&lt;Законод!$C$22,0,(IF(AND(S71&gt;=Законод!$E$22,S71&lt;=Законод!$E$23),S71-Законод!$C$22,IF('01_Доходи'!S71&gt;=Законод!$F$22,Законод!$E$24,0)))),IF($B$67="Лікар-педіатр",IF(S71&lt;Законод!$C$18,0,(IF(AND(S71&gt;=Законод!$E$18,S71&lt;=Законод!$E$19),S71-Законод!$C$18,IF('01_Доходи'!S71&gt;=Законод!$F$18,Законод!$E$20,0)))),IF($B$67="Лікар-терапевт",IF(S71&lt;Законод!$C$26,0,(IF(AND(S71&gt;=Законод!$E$26,S71&lt;=Законод!$E$27),S71-Законод!$C$26,IF('01_Доходи'!S71&gt;=Законод!$F$26,Законод!$E$28,0)))),0)))</f>
        <v>0</v>
      </c>
      <c r="T73" s="966"/>
      <c r="U73" s="965" t="s">
        <v>423</v>
      </c>
      <c r="V73" s="965"/>
      <c r="W73" s="965"/>
      <c r="X73" s="965"/>
      <c r="Y73" s="965"/>
      <c r="Z73" s="196">
        <f ca="1">IF($B$67="Лікар загальної практики - сімейний лікар",IF(Z71&lt;Законод!$C$22,0,(IF(AND(Z71&gt;=Законод!$E$22,Z71&lt;=Законод!$E$23),Z71-Законод!$C$22,IF('01_Доходи'!Z71&gt;=Законод!$F$22,Законод!$E$24,0)))),IF($B$67="Лікар-педіатр",IF(Z71&lt;Законод!$C$18,0,(IF(AND(Z71&gt;=Законод!$E$18,Z71&lt;=Законод!$E$19),Z71-Законод!$C$18,IF('01_Доходи'!Z71&gt;=Законод!$F$18,Законод!$E$20,0)))),IF($B$67="Лікар-терапевт",IF(Z71&lt;Законод!$C$26,0,(IF(AND(Z71&gt;=Законод!$E$26,Z71&lt;=Законод!$E$27),Z71-Законод!$C$26,IF('01_Доходи'!Z71&gt;=Законод!$F$26,Законод!$E$28,0)))),0)))</f>
        <v>0</v>
      </c>
      <c r="AA73" s="966"/>
      <c r="AB73" s="965" t="s">
        <v>423</v>
      </c>
      <c r="AC73" s="965"/>
      <c r="AD73" s="965"/>
      <c r="AE73" s="965"/>
      <c r="AF73" s="965"/>
      <c r="AG73" s="196">
        <f ca="1">IF($B$67="Лікар загальної практики - сімейний лікар",IF(AG71&lt;Законод!$C$22,0,(IF(AND(AG71&gt;=Законод!$E$22,AG71&lt;=Законод!$E$23),AG71-Законод!$C$22,IF('01_Доходи'!AG71&gt;=Законод!$F$22,Законод!$E$24,0)))),IF($B$67="Лікар-педіатр",IF(AG71&lt;Законод!$C$18,0,(IF(AND(AG71&gt;=Законод!$E$18,AG71&lt;=Законод!$E$19),AG71-Законод!$C$18,IF('01_Доходи'!AG71&gt;=Законод!$F$18,Законод!$E$20,0)))),IF($B$67="Лікар-терапевт",IF(AG71&lt;Законод!$C$26,0,(IF(AND(AG71&gt;=Законод!$E$26,AG71&lt;=Законод!$E$27),AG71-Законод!$C$26,IF('01_Доходи'!AG71&gt;=Законод!$F$26,Законод!$E$28,0)))),0)))</f>
        <v>0</v>
      </c>
      <c r="AH73" s="966"/>
      <c r="AI73" s="201"/>
      <c r="AJ73" s="945"/>
      <c r="AK73" s="960"/>
      <c r="AL73" s="960"/>
      <c r="AM73" s="926" t="s">
        <v>452</v>
      </c>
      <c r="AN73" s="210">
        <f ca="1">IF(B67="Лікар загальної практики - сімейний лікар",L73*Законод!$C$9/4*Законод!$E$16,IF(B67="Лікар-педіатр",L73*Законод!$C$9/4*Законод!$E$16,IF(B67="Лікар-терапевт",L73*Законод!$C$9/4*Законод!$E$16,0)))</f>
        <v>0</v>
      </c>
      <c r="AO73" s="210">
        <f ca="1">IF(B67="Лікар загальної практики - сімейний лікар",S73*Законод!$C$9/4*Законод!$E$16,IF(B67="Лікар-педіатр",S73*Законод!$C$9/4*Законод!$E$16,IF(B67="Лікар-терапевт",S73*Законод!$C$9/4*Законод!$E$16,0)))</f>
        <v>0</v>
      </c>
      <c r="AP73" s="210">
        <f ca="1">IF(B67="Лікар загальної практики - сімейний лікар",Z73*Законод!$C$9/4*Законод!$E$16,IF(B67="Лікар-педіатр",Z73*Законод!$C$9/4*Законод!$E$16,IF(B67="Лікар-терапевт",Z73*Законод!$C$9/4*Законод!$E$16,0)))</f>
        <v>0</v>
      </c>
      <c r="AQ73" s="210">
        <f ca="1">IF(B67="Лікар загальної практики - сімейний лікар",AG73*Законод!$C$9/4*Законод!$E$16,IF(B67="Лікар-педіатр",AG73*Законод!$C$9/4*Законод!$E$16,IF(B67="Лікар-терапевт",AG73*Законод!$C$9/4*Законод!$E$16,0)))</f>
        <v>0</v>
      </c>
      <c r="AR73" s="211">
        <f t="shared" si="6"/>
        <v>0</v>
      </c>
    </row>
    <row r="74" spans="1:44" s="50" customFormat="1" ht="31.9" customHeight="1">
      <c r="A74" s="197"/>
      <c r="B74" s="969"/>
      <c r="C74" s="976"/>
      <c r="D74" s="971"/>
      <c r="E74" s="971"/>
      <c r="F74" s="238" t="str">
        <f ca="1">IF(B67="Лікар-педіатр",Законод!$F$17,IF(B67="Лікар загальної практики - сімейний лікар",Законод!$F$21,IF(B67="Лікар-терапевт",Законод!$F$25,"х")))</f>
        <v>понад ліміт (1981-2160)</v>
      </c>
      <c r="G74" s="965" t="s">
        <v>423</v>
      </c>
      <c r="H74" s="965"/>
      <c r="I74" s="965"/>
      <c r="J74" s="965"/>
      <c r="K74" s="965"/>
      <c r="L74" s="196">
        <f ca="1">IF($B$67="Лікар загальної практики - сімейний лікар",IF(L71&lt;Законод!$C$22,0,(IF(AND(L71&gt;=Законод!$F$22,L71&lt;=Законод!$F$23),L71-Законод!$E$23,IF('01_Доходи'!L71&gt;=Законод!$G$22,Законод!$F$24,0)))),IF($B$67="Лікар-педіатр",IF(L71&lt;Законод!$C$18,0,(IF(AND(L71&gt;=Законод!$F$18,L71&lt;=Законод!$F$19),L71-Законод!$E$19,IF('01_Доходи'!L71&gt;=Законод!$G$18,Законод!$F$20,0)))),IF($B$67="Лікар-терапевт",IF(L71&lt;Законод!$C$26,0,(IF(AND(L71&gt;=Законод!$F$26,L71&lt;=Законод!$F$27),L71-Законод!$E$27,IF('01_Доходи'!L71&gt;=Законод!$G$26,Законод!$F$28,0)))),0)))</f>
        <v>0</v>
      </c>
      <c r="M74" s="966"/>
      <c r="N74" s="965" t="s">
        <v>423</v>
      </c>
      <c r="O74" s="965"/>
      <c r="P74" s="965"/>
      <c r="Q74" s="965"/>
      <c r="R74" s="965"/>
      <c r="S74" s="196">
        <f ca="1">IF($B$67="Лікар загальної практики - сімейний лікар",IF(S71&lt;Законод!$C$22,0,(IF(AND(S71&gt;=Законод!$F$22,S71&lt;=Законод!$F$23),S71-Законод!$E$23,IF('01_Доходи'!S71&gt;=Законод!$G$22,Законод!$F$24,0)))),IF($B$67="Лікар-педіатр",IF(S71&lt;Законод!$C$18,0,(IF(AND(S71&gt;=Законод!$F$18,S71&lt;=Законод!$F$19),S71-Законод!$E$19,IF('01_Доходи'!S71&gt;=Законод!$G$18,Законод!$F$20,0)))),IF($B$67="Лікар-терапевт",IF(S71&lt;Законод!$C$26,0,(IF(AND(S71&gt;=Законод!$F$26,S71&lt;=Законод!$F$27),S71-Законод!$E$27,IF('01_Доходи'!S71&gt;=Законод!$G$26,Законод!$F$28,0)))),0)))</f>
        <v>0</v>
      </c>
      <c r="T74" s="966"/>
      <c r="U74" s="965" t="s">
        <v>423</v>
      </c>
      <c r="V74" s="965"/>
      <c r="W74" s="965"/>
      <c r="X74" s="965"/>
      <c r="Y74" s="965"/>
      <c r="Z74" s="196">
        <f ca="1">IF($B$67="Лікар загальної практики - сімейний лікар",IF(Z71&lt;Законод!$C$22,0,(IF(AND(Z71&gt;=Законод!$F$22,Z71&lt;=Законод!$F$23),Z71-Законод!$E$23,IF('01_Доходи'!Z71&gt;=Законод!$G$22,Законод!$F$24,0)))),IF($B$67="Лікар-педіатр",IF(Z71&lt;Законод!$C$18,0,(IF(AND(Z71&gt;=Законод!$F$18,Z71&lt;=Законод!$F$19),Z71-Законод!$E$19,IF('01_Доходи'!Z71&gt;=Законод!$G$18,Законод!$F$20,0)))),IF($B$67="Лікар-терапевт",IF(Z71&lt;Законод!$C$26,0,(IF(AND(Z71&gt;=Законод!$F$26,Z71&lt;=Законод!$F$27),Z71-Законод!$E$27,IF('01_Доходи'!Z71&gt;=Законод!$G$26,Законод!$F$28,0)))),0)))</f>
        <v>0</v>
      </c>
      <c r="AA74" s="966"/>
      <c r="AB74" s="965" t="s">
        <v>423</v>
      </c>
      <c r="AC74" s="965"/>
      <c r="AD74" s="965"/>
      <c r="AE74" s="965"/>
      <c r="AF74" s="965"/>
      <c r="AG74" s="196">
        <f ca="1">IF($B$67="Лікар загальної практики - сімейний лікар",IF(AG71&lt;Законод!$C$22,0,(IF(AND(AG71&gt;=Законод!$F$22,AG71&lt;=Законод!$F$23),AG71-Законод!$E$23,IF('01_Доходи'!AG71&gt;=Законод!$G$22,Законод!$F$24,0)))),IF($B$67="Лікар-педіатр",IF(AG71&lt;Законод!$C$18,0,(IF(AND(AG71&gt;=Законод!$F$18,AG71&lt;=Законод!$F$19),AG71-Законод!$E$19,IF('01_Доходи'!AG71&gt;=Законод!$G$18,Законод!$F$20,0)))),IF($B$67="Лікар-терапевт",IF(AG71&lt;Законод!$C$26,0,(IF(AND(AG71&gt;=Законод!$F$26,AG71&lt;=Законод!$F$27),AG71-Законод!$E$27,IF('01_Доходи'!AG71&gt;=Законод!$G$26,Законод!$F$28,0)))),0)))</f>
        <v>0</v>
      </c>
      <c r="AH74" s="966"/>
      <c r="AI74" s="201"/>
      <c r="AJ74" s="945"/>
      <c r="AK74" s="960"/>
      <c r="AL74" s="960"/>
      <c r="AM74" s="927"/>
      <c r="AN74" s="210">
        <f ca="1">IF(B67="Лікар загальної практики - сімейний лікар",L74*Законод!$C$9/4*Законод!$F$16,IF(B67="Лікар-педіатр",L74*Законод!$C$9/4*Законод!$F$16,IF(B67="Лікар-терапевт",L74*Законод!$C$9/4*Законод!$F$16,0)))</f>
        <v>0</v>
      </c>
      <c r="AO74" s="210">
        <f ca="1">IF(B67="Лікар загальної практики - сімейний лікар",S74*Законод!$C$9/4*Законод!$F$16,IF(B67="Лікар-педіатр",S74*Законод!$C$9/4*Законод!$F$16,IF(B67="Лікар-терапевт",S74*Законод!$C$9/4*Законод!$F$16,0)))</f>
        <v>0</v>
      </c>
      <c r="AP74" s="210">
        <f ca="1">IF(B67="Лікар загальної практики - сімейний лікар",Z74*Законод!$C$9/4*Законод!$F$16,IF(B67="Лікар-педіатр",Z74*Законод!$C$9/4*Законод!$F$16,IF(B67="Лікар-терапевт",Z74*Законод!$C$9/4*Законод!$F$16,0)))</f>
        <v>0</v>
      </c>
      <c r="AQ74" s="210">
        <f ca="1">IF(B67="Лікар загальної практики - сімейний лікар",AG74*Законод!$C$9/4*Законод!$F$16,IF(B67="Лікар-педіатр",AG74*Законод!$C$9/4*Законод!$F$16,IF(B67="Лікар-терапевт",AG74*Законод!$C$9/4*Законод!$F$16,0)))</f>
        <v>0</v>
      </c>
      <c r="AR74" s="211">
        <f t="shared" si="6"/>
        <v>0</v>
      </c>
    </row>
    <row r="75" spans="1:44" s="50" customFormat="1" ht="31.9" customHeight="1">
      <c r="A75" s="197"/>
      <c r="B75" s="969"/>
      <c r="C75" s="976"/>
      <c r="D75" s="971"/>
      <c r="E75" s="971"/>
      <c r="F75" s="238" t="str">
        <f ca="1">IF(B67="Лікар-педіатр",Законод!$G$17,IF(B67="Лікар загальної практики - сімейний лікар",Законод!$G$21,IF(B67="Лікар-терапевт",Законод!$G$25,"х")))</f>
        <v>понад ліміт (2161-2340)</v>
      </c>
      <c r="G75" s="965" t="s">
        <v>423</v>
      </c>
      <c r="H75" s="965"/>
      <c r="I75" s="965"/>
      <c r="J75" s="965"/>
      <c r="K75" s="965"/>
      <c r="L75" s="196">
        <f ca="1">IF($B$67="Лікар загальної практики - сімейний лікар",IF(L71&lt;Законод!$C$22,0,(IF(AND(L71&gt;=Законод!$G$22,L71&lt;=Законод!$G$23),L71-Законод!$F$23,IF('01_Доходи'!L71&gt;=Законод!$H$22,Законод!$G$24,0)))),IF($B$67="Лікар-педіатр",IF(L71&lt;Законод!$C$18,0,(IF(AND(L71&gt;=Законод!$G$18,L71&lt;=Законод!$G$19),L71-Законод!$F$19,IF('01_Доходи'!L71&gt;=Законод!$H$18,Законод!$G$20,0)))),IF($B$67="Лікар-терапевт",IF(L71&lt;Законод!$C$26,0,(IF(AND(L71&gt;=Законод!$G$26,L71&lt;=Законод!$G$27),L71-Законод!$F$27,IF('01_Доходи'!L71&gt;=Законод!$H$26,Законод!$G$28,0)))),0)))</f>
        <v>0</v>
      </c>
      <c r="M75" s="966"/>
      <c r="N75" s="965" t="s">
        <v>423</v>
      </c>
      <c r="O75" s="965"/>
      <c r="P75" s="965"/>
      <c r="Q75" s="965"/>
      <c r="R75" s="965"/>
      <c r="S75" s="196">
        <f ca="1">IF($B$67="Лікар загальної практики - сімейний лікар",IF(S71&lt;Законод!$C$22,0,(IF(AND(S71&gt;=Законод!$G$22,S71&lt;=Законод!$G$23),S71-Законод!$F$23,IF('01_Доходи'!S71&gt;=Законод!$H$22,Законод!$G$24,0)))),IF($B$67="Лікар-педіатр",IF(S71&lt;Законод!$C$18,0,(IF(AND(S71&gt;=Законод!$G$18,S71&lt;=Законод!$G$19),S71-Законод!$F$19,IF('01_Доходи'!S71&gt;=Законод!$H$18,Законод!$G$20,0)))),IF($B$67="Лікар-терапевт",IF(S71&lt;Законод!$C$26,0,(IF(AND(S71&gt;=Законод!$G$26,S71&lt;=Законод!$G$27),S71-Законод!$F$27,IF('01_Доходи'!S71&gt;=Законод!$H$26,Законод!$G$28,0)))),0)))</f>
        <v>0</v>
      </c>
      <c r="T75" s="966"/>
      <c r="U75" s="965" t="s">
        <v>423</v>
      </c>
      <c r="V75" s="965"/>
      <c r="W75" s="965"/>
      <c r="X75" s="965"/>
      <c r="Y75" s="965"/>
      <c r="Z75" s="196">
        <f ca="1">IF($B$67="Лікар загальної практики - сімейний лікар",IF(Z71&lt;Законод!$C$22,0,(IF(AND(Z71&gt;=Законод!$G$22,Z71&lt;=Законод!$G$23),Z71-Законод!$F$23,IF('01_Доходи'!Z71&gt;=Законод!$H$22,Законод!$G$24,0)))),IF($B$67="Лікар-педіатр",IF(Z71&lt;Законод!$C$18,0,(IF(AND(Z71&gt;=Законод!$G$18,Z71&lt;=Законод!$G$19),Z71-Законод!$F$19,IF('01_Доходи'!Z71&gt;=Законод!$H$18,Законод!$G$20,0)))),IF($B$67="Лікар-терапевт",IF(Z71&lt;Законод!$C$26,0,(IF(AND(Z71&gt;=Законод!$G$26,Z71&lt;=Законод!$G$27),Z71-Законод!$F$27,IF('01_Доходи'!Z71&gt;=Законод!$H$26,Законод!$G$28,0)))),0)))</f>
        <v>0</v>
      </c>
      <c r="AA75" s="966"/>
      <c r="AB75" s="965" t="s">
        <v>423</v>
      </c>
      <c r="AC75" s="965"/>
      <c r="AD75" s="965"/>
      <c r="AE75" s="965"/>
      <c r="AF75" s="965"/>
      <c r="AG75" s="196">
        <f ca="1">IF($B$67="Лікар загальної практики - сімейний лікар",IF(AG71&lt;Законод!$C$22,0,(IF(AND(AG71&gt;=Законод!$G$22,AG71&lt;=Законод!$G$23),AG71-Законод!$F$23,IF('01_Доходи'!AG71&gt;=Законод!$H$22,Законод!$G$24,0)))),IF($B$67="Лікар-педіатр",IF(AG71&lt;Законод!$C$18,0,(IF(AND(AG71&gt;=Законод!$G$18,AG71&lt;=Законод!$G$19),AG71-Законод!$F$19,IF('01_Доходи'!AG71&gt;=Законод!$H$18,Законод!$G$20,0)))),IF($B$67="Лікар-терапевт",IF(AG71&lt;Законод!$C$26,0,(IF(AND(AG71&gt;=Законод!$G$26,AG71&lt;=Законод!$G$27),AG71-Законод!$F$27,IF('01_Доходи'!AG71&gt;=Законод!$H$26,Законод!$G$28,0)))),0)))</f>
        <v>0</v>
      </c>
      <c r="AH75" s="966"/>
      <c r="AI75" s="201"/>
      <c r="AJ75" s="945"/>
      <c r="AK75" s="960"/>
      <c r="AL75" s="960"/>
      <c r="AM75" s="927"/>
      <c r="AN75" s="210">
        <f ca="1">IF(B67="Лікар загальної практики - сімейний лікар",L75*Законод!$C$9/4*Законод!$G$16,IF(B67="Лікар-педіатр",L75*Законод!$C$9/4*Законод!$G$16,IF(B67="Лікар-терапевт",L75*Законод!$C$9/4*Законод!$G$16,0)))</f>
        <v>0</v>
      </c>
      <c r="AO75" s="210">
        <f ca="1">IF(B67="Лікар загальної практики - сімейний лікар",S75*Законод!$C$9/4*Законод!$G$16,IF(B67="Лікар-педіатр",S75*Законод!$C$9/4*Законод!$G$16,IF(B67="Лікар-терапевт",S75*Законод!$C$9/4*Законод!$G$16,0)))</f>
        <v>0</v>
      </c>
      <c r="AP75" s="210">
        <f ca="1">IF(B67="Лікар загальної практики - сімейний лікар",Z75*Законод!$C$9/4*Законод!$G$16,IF(B67="Лікар-педіатр",Z75*Законод!$C$9/4*Законод!$G$16,IF(B67="Лікар-терапевт",Z75*Законод!$C$9/4*Законод!$G$16,0)))</f>
        <v>0</v>
      </c>
      <c r="AQ75" s="210">
        <f ca="1">IF(B67="Лікар загальної практики - сімейний лікар",AG75*Законод!$C$9/4*Законод!$G$16,IF(B67="Лікар-педіатр",AG75*Законод!$C$9/4*Законод!$G$16,IF(B67="Лікар-терапевт",AG75*Законод!$C$9/4*Законод!$G$16,0)))</f>
        <v>0</v>
      </c>
      <c r="AR75" s="211">
        <f t="shared" si="6"/>
        <v>0</v>
      </c>
    </row>
    <row r="76" spans="1:44" s="50" customFormat="1" ht="31.9" customHeight="1">
      <c r="A76" s="197"/>
      <c r="B76" s="969"/>
      <c r="C76" s="976"/>
      <c r="D76" s="971"/>
      <c r="E76" s="971"/>
      <c r="F76" s="238" t="str">
        <f ca="1">IF(B67="Лікар-педіатр",Законод!$H$17,IF(B67="Лікар загальної практики - сімейний лікар",Законод!$H$21,IF(B67="Лікар-терапевт",Законод!$H$25,"х")))</f>
        <v>понад ліміт (2341-2520)</v>
      </c>
      <c r="G76" s="965" t="s">
        <v>423</v>
      </c>
      <c r="H76" s="965"/>
      <c r="I76" s="965"/>
      <c r="J76" s="965"/>
      <c r="K76" s="965"/>
      <c r="L76" s="196">
        <f ca="1">IF($B$67="Лікар загальної практики - сімейний лікар",IF(L71&lt;Законод!$C$22,0,(IF(AND(L71&gt;=Законод!$H$22,L71&lt;=Законод!$H$23),L71-Законод!$G$23,IF('01_Доходи'!L71&gt;=Законод!$I$22,Законод!$H$24,0)))),IF($B$67="Лікар-педіатр",IF(L71&lt;Законод!$C$18,0,(IF(AND(L71&gt;=Законод!$H$18,L71&lt;=Законод!$H$19),L71-Законод!$G$19,IF('01_Доходи'!L71&gt;=Законод!$I$18,Законод!$H$20,0)))),IF($B$67="Лікар-терапевт",IF(L71&lt;Законод!$C$26,0,(IF(AND(L71&gt;=Законод!$H$26,L71&lt;=Законод!$H$27),L71-Законод!$G$27,IF(L71&gt;=Законод!$I$26,Законод!$H$28,0)))),0)))</f>
        <v>0</v>
      </c>
      <c r="M76" s="966"/>
      <c r="N76" s="965" t="s">
        <v>423</v>
      </c>
      <c r="O76" s="965"/>
      <c r="P76" s="965"/>
      <c r="Q76" s="965"/>
      <c r="R76" s="965"/>
      <c r="S76" s="196">
        <f ca="1">IF($B$67="Лікар загальної практики - сімейний лікар",IF(S71&lt;Законод!$C$22,0,(IF(AND(S71&gt;=Законод!$H$22,S71&lt;=Законод!$H$23),S71-Законод!$G$23,IF('01_Доходи'!S71&gt;=Законод!$I$22,Законод!$H$24,0)))),IF($B$67="Лікар-педіатр",IF(S71&lt;Законод!$C$18,0,(IF(AND(S71&gt;=Законод!$H$18,S71&lt;=Законод!$H$19),S71-Законод!$G$19,IF('01_Доходи'!S71&gt;=Законод!$I$18,Законод!$H$20,0)))),IF($B$67="Лікар-терапевт",IF(S71&lt;Законод!$C$26,0,(IF(AND(S71&gt;=Законод!$H$26,S71&lt;=Законод!$H$27),S71-Законод!$G$27,IF(S71&gt;=Законод!$I$26,Законод!$H$28,0)))),0)))</f>
        <v>0</v>
      </c>
      <c r="T76" s="966"/>
      <c r="U76" s="965" t="s">
        <v>423</v>
      </c>
      <c r="V76" s="965"/>
      <c r="W76" s="965"/>
      <c r="X76" s="965"/>
      <c r="Y76" s="965"/>
      <c r="Z76" s="196">
        <f ca="1">IF($B$67="Лікар загальної практики - сімейний лікар",IF(Z71&lt;Законод!$C$22,0,(IF(AND(Z71&gt;=Законод!$H$22,Z71&lt;=Законод!$H$23),Z71-Законод!$G$23,IF('01_Доходи'!Z71&gt;=Законод!$I$22,Законод!$H$24,0)))),IF($B$67="Лікар-педіатр",IF(Z71&lt;Законод!$C$18,0,(IF(AND(Z71&gt;=Законод!$H$18,Z71&lt;=Законод!$H$19),Z71-Законод!$G$19,IF('01_Доходи'!Z71&gt;=Законод!$I$18,Законод!$H$20,0)))),IF($B$67="Лікар-терапевт",IF(Z71&lt;Законод!$C$26,0,(IF(AND(Z71&gt;=Законод!$H$26,Z71&lt;=Законод!$H$27),Z71-Законод!$G$27,IF(Z71&gt;=Законод!$I$26,Законод!$H$28,0)))),0)))</f>
        <v>0</v>
      </c>
      <c r="AA76" s="966"/>
      <c r="AB76" s="965" t="s">
        <v>423</v>
      </c>
      <c r="AC76" s="965"/>
      <c r="AD76" s="965"/>
      <c r="AE76" s="965"/>
      <c r="AF76" s="965"/>
      <c r="AG76" s="196">
        <f ca="1">IF($B$67="Лікар загальної практики - сімейний лікар",IF(AG71&lt;Законод!$C$22,0,(IF(AND(AG71&gt;=Законод!$H$22,AG71&lt;=Законод!$H$23),AG71-Законод!$G$23,IF('01_Доходи'!AG71&gt;=Законод!$I$22,Законод!$H$24,0)))),IF($B$67="Лікар-педіатр",IF(AG71&lt;Законод!$C$18,0,(IF(AND(AG71&gt;=Законод!$H$18,AG71&lt;=Законод!$H$19),AG71-Законод!$G$19,IF('01_Доходи'!AG71&gt;=Законод!$I$18,Законод!$H$20,0)))),IF($B$67="Лікар-терапевт",IF(AG71&lt;Законод!$C$26,0,(IF(AND(AG71&gt;=Законод!$H$26,AG71&lt;=Законод!$H$27),AG71-Законод!$G$27,IF(AG71&gt;=Законод!$I$26,Законод!$H$28,0)))),0)))</f>
        <v>0</v>
      </c>
      <c r="AH76" s="966"/>
      <c r="AI76" s="201"/>
      <c r="AJ76" s="945"/>
      <c r="AK76" s="960"/>
      <c r="AL76" s="960"/>
      <c r="AM76" s="927"/>
      <c r="AN76" s="210">
        <f ca="1">IF(B67="Лікар загальної практики - сімейний лікар",L76*Законод!$C$9/4*Законод!$H$16,IF(B67="Лікар-педіатр",L76*Законод!$C$9/4*Законод!$H$16,IF(B67="Лікар-терапевт",L76*Законод!$C$9/4*Законод!$H$16,0)))</f>
        <v>0</v>
      </c>
      <c r="AO76" s="210">
        <f ca="1">IF(B67="Лікар загальної практики - сімейний лікар",S76*Законод!$C$9/4*Законод!$H$16,IF(B67="Лікар-педіатр",S76*Законод!$C$9/4*Законод!$H$16,IF(B67="Лікар-терапевт",S76*Законод!$C$9/4*Законод!$H$16,0)))</f>
        <v>0</v>
      </c>
      <c r="AP76" s="210">
        <f ca="1">IF(B67="Лікар загальної практики - сімейний лікар",Z76*Законод!$C$9/4*Законод!$H$16,IF(B67="Лікар-педіатр",Z76*Законод!$C$9/4*Законод!$H$16,IF(B67="Лікар-терапевт",Z76*Законод!$C$9/4*Законод!$H$16,0)))</f>
        <v>0</v>
      </c>
      <c r="AQ76" s="210">
        <f ca="1">IF(B67="Лікар загальної практики - сімейний лікар",AG76*Законод!$C$9/4*Законод!$H$16,IF(B67="Лікар-педіатр",AG76*Законод!$C$9/4*Законод!$H$16,IF(B67="Лікар-терапевт",AG76*Законод!$C$9/4*Законод!$H$16,0)))</f>
        <v>0</v>
      </c>
      <c r="AR76" s="211">
        <f t="shared" si="6"/>
        <v>0</v>
      </c>
    </row>
    <row r="77" spans="1:44" s="50" customFormat="1" ht="31.9" customHeight="1">
      <c r="A77" s="197"/>
      <c r="B77" s="969"/>
      <c r="C77" s="976"/>
      <c r="D77" s="971"/>
      <c r="E77" s="971"/>
      <c r="F77" s="238" t="str">
        <f ca="1">IF(B67="Лікар-педіатр",Законод!$I$17,IF(B67="Лікар загальної практики - сімейний лікар",Законод!$I$21,IF(B67="Лікар-терапевт",Законод!$I$25,"х")))</f>
        <v>понад ліміт (2521-2700)</v>
      </c>
      <c r="G77" s="965" t="s">
        <v>423</v>
      </c>
      <c r="H77" s="965"/>
      <c r="I77" s="965"/>
      <c r="J77" s="965"/>
      <c r="K77" s="965"/>
      <c r="L77" s="196">
        <f ca="1">IF($B$67="Лікар загальної практики - сімейний лікар",IF(L71&lt;Законод!$C$22,0,(IF(AND(L71&gt;=Законод!$I$22,L71&lt;=Законод!$I$23),L71-Законод!$H$23,IF('01_Доходи'!L71&gt;=Законод!$I$22,Законод!$I$24,0)))),IF($B$67="Лікар-педіатр",IF(L71&lt;Законод!$C$18,0,(IF(AND(L71&gt;=Законод!$I$18,L71&lt;=Законод!$I$19),L71-Законод!$H$19,IF('01_Доходи'!L71&gt;=Законод!$I$18,Законод!$H$20,0)))),IF($B$67="Лікар-терапевт",IF(L71&lt;Законод!$C$26,0,(IF(AND(L71&gt;=Законод!$I$26,L71&lt;=Законод!$I$27),L71-Законод!$H$27,IF('01_Доходи'!L71&gt;=Законод!$I$26,Законод!$H$28,0)))),0)))</f>
        <v>0</v>
      </c>
      <c r="M77" s="966"/>
      <c r="N77" s="965" t="s">
        <v>423</v>
      </c>
      <c r="O77" s="965"/>
      <c r="P77" s="965"/>
      <c r="Q77" s="965"/>
      <c r="R77" s="965"/>
      <c r="S77" s="196">
        <f ca="1">IF($B$67="Лікар загальної практики - сімейний лікар",IF(S71&lt;Законод!$C$22,0,(IF(AND(S71&gt;=Законод!$I$22,S71&lt;=Законод!$I$23),S71-Законод!$H$23,IF('01_Доходи'!S71&gt;=Законод!$I$22,Законод!$I$24,0)))),IF($B$67="Лікар-педіатр",IF(S71&lt;Законод!$C$18,0,(IF(AND(S71&gt;=Законод!$I$18,S71&lt;=Законод!$I$19),S71-Законод!$H$19,IF('01_Доходи'!S71&gt;=Законод!$I$18,Законод!$H$20,0)))),IF($B$67="Лікар-терапевт",IF(S71&lt;Законод!$C$26,0,(IF(AND(S71&gt;=Законод!$I$26,S71&lt;=Законод!$I$27),S71-Законод!$H$27,IF('01_Доходи'!S71&gt;=Законод!$I$26,Законод!$H$28,0)))),0)))</f>
        <v>0</v>
      </c>
      <c r="T77" s="966"/>
      <c r="U77" s="965" t="s">
        <v>423</v>
      </c>
      <c r="V77" s="965"/>
      <c r="W77" s="965"/>
      <c r="X77" s="965"/>
      <c r="Y77" s="965"/>
      <c r="Z77" s="196">
        <f ca="1">IF($B$67="Лікар загальної практики - сімейний лікар",IF(Z71&lt;Законод!$C$22,0,(IF(AND(Z71&gt;=Законод!$I$22,Z71&lt;=Законод!$I$23),Z71-Законод!$H$23,IF('01_Доходи'!Z71&gt;=Законод!$I$22,Законод!$I$24,0)))),IF($B$67="Лікар-педіатр",IF(Z71&lt;Законод!$C$18,0,(IF(AND(Z71&gt;=Законод!$I$18,Z71&lt;=Законод!$I$19),Z71-Законод!$H$19,IF('01_Доходи'!Z71&gt;=Законод!$I$18,Законод!$H$20,0)))),IF($B$67="Лікар-терапевт",IF(Z71&lt;Законод!$C$26,0,(IF(AND(Z71&gt;=Законод!$I$26,Z71&lt;=Законод!$I$27),Z71-Законод!$H$27,IF('01_Доходи'!Z71&gt;=Законод!$I$26,Законод!$H$28,0)))),0)))</f>
        <v>0</v>
      </c>
      <c r="AA77" s="966"/>
      <c r="AB77" s="965" t="s">
        <v>423</v>
      </c>
      <c r="AC77" s="965"/>
      <c r="AD77" s="965"/>
      <c r="AE77" s="965"/>
      <c r="AF77" s="965"/>
      <c r="AG77" s="196">
        <f ca="1">IF($B$67="Лікар загальної практики - сімейний лікар",IF(AG71&lt;Законод!$C$22,0,(IF(AND(AG71&gt;=Законод!$I$22,AG71&lt;=Законод!$I$23),AG71-Законод!$H$23,IF('01_Доходи'!AG71&gt;=Законод!$I$22,Законод!$I$24,0)))),IF($B$67="Лікар-педіатр",IF(AG71&lt;Законод!$C$18,0,(IF(AND(AG71&gt;=Законод!$I$18,AG71&lt;=Законод!$I$19),AG71-Законод!$H$19,IF('01_Доходи'!AG71&gt;=Законод!$I$18,Законод!$H$20,0)))),IF($B$67="Лікар-терапевт",IF(AG71&lt;Законод!$C$26,0,(IF(AND(AG71&gt;=Законод!$I$26,AG71&lt;=Законод!$I$27),AG71-Законод!$H$27,IF('01_Доходи'!AG71&gt;=Законод!$I$26,Законод!$H$28,0)))),0)))</f>
        <v>0</v>
      </c>
      <c r="AH77" s="966"/>
      <c r="AI77" s="201"/>
      <c r="AJ77" s="945"/>
      <c r="AK77" s="960"/>
      <c r="AL77" s="960"/>
      <c r="AM77" s="927"/>
      <c r="AN77" s="210">
        <f ca="1">IF(B67="Лікар загальної практики - сімейний лікар",L77*Законод!$C$9/4*Законод!$I$16,IF(B67="Лікар-педіатр",L77*Законод!$C$9/4*Законод!$I$16,IF(B67="Лікар-терапевт",L77*Законод!$C$9/4*Законод!$I$16,0)))</f>
        <v>0</v>
      </c>
      <c r="AO77" s="210">
        <f ca="1">IF(B67="Лікар загальної практики - сімейний лікар",S77*Законод!$C$9/4*Законод!$I$16,IF(B67="Лікар-педіатр",S77*Законод!$C$9/4*Законод!$I$16,IF(B67="Лікар-терапевт",S77*Законод!$C$9/4*Законод!$I$16,0)))</f>
        <v>0</v>
      </c>
      <c r="AP77" s="210">
        <f ca="1">IF(B67="Лікар загальної практики - сімейний лікар",Z77*Законод!$C$9/4*Законод!$I$16,IF(B67="Лікар-педіатр",Z77*Законод!$C$9/4*Законод!$I$16,IF(B67="Лікар-терапевт",Z77*Законод!$C$9/4*Законод!$I$16,0)))</f>
        <v>0</v>
      </c>
      <c r="AQ77" s="210">
        <f ca="1">IF(B67="Лікар загальної практики - сімейний лікар",AG77*Законод!$C$9/4*Законод!$I$16,IF(B67="Лікар-педіатр",AG77*Законод!$C$9/4*Законод!$I$16,IF(B67="Лікар-терапевт",AG77*Законод!$C$9/4*Законод!$I$16,0)))</f>
        <v>0</v>
      </c>
      <c r="AR77" s="211">
        <f t="shared" si="6"/>
        <v>0</v>
      </c>
    </row>
    <row r="78" spans="1:44" s="218" customFormat="1" ht="31.9" customHeight="1" thickBot="1">
      <c r="A78" s="213"/>
      <c r="B78" s="969"/>
      <c r="C78" s="976"/>
      <c r="D78" s="971"/>
      <c r="E78" s="971"/>
      <c r="F78" s="239" t="str">
        <f ca="1">IF(B67="Лікар-педіатр",Законод!$J$17,IF(B67="Лікар загальної практики - сімейний лікар",Законод!$J$21,IF(B67="Лікар-терапевт",Законод!$J$25,"х")))</f>
        <v>понад ліміт (&gt;=2701)</v>
      </c>
      <c r="G78" s="968" t="s">
        <v>423</v>
      </c>
      <c r="H78" s="968"/>
      <c r="I78" s="968"/>
      <c r="J78" s="968"/>
      <c r="K78" s="968"/>
      <c r="L78" s="196">
        <f ca="1">IF($B$67="Лікар загальної практики - сімейний лікар",IF(L71&gt;=Законод!$J$22,'01_Доходи'!L71-('01_Доходи'!L72+'01_Доходи'!L73+'01_Доходи'!L74+'01_Доходи'!L75+'01_Доходи'!L76+'01_Доходи'!L77),0),IF($B$67="Лікар-педіатр",IF(L71&gt;=Законод!$J$18,'01_Доходи'!L71-('01_Доходи'!L72+'01_Доходи'!L73+'01_Доходи'!L74+'01_Доходи'!L75+'01_Доходи'!L76+'01_Доходи'!L77),0),IF($B$67="Лікар-терапевт",IF('01_Доходи'!L71&gt;=Законод!$J$26,L71-Законод!$I$27,0),0)))</f>
        <v>0</v>
      </c>
      <c r="M78" s="966"/>
      <c r="N78" s="968" t="s">
        <v>423</v>
      </c>
      <c r="O78" s="968"/>
      <c r="P78" s="968"/>
      <c r="Q78" s="968"/>
      <c r="R78" s="968"/>
      <c r="S78" s="196">
        <f ca="1">IF($B$67="Лікар загальної практики - сімейний лікар",IF(S71&gt;=Законод!$J$22,'01_Доходи'!S71-('01_Доходи'!S72+'01_Доходи'!S73+'01_Доходи'!S74+'01_Доходи'!S75+'01_Доходи'!S76+'01_Доходи'!S77),0),IF($B$67="Лікар-педіатр",IF(S71&gt;=Законод!$J$18,'01_Доходи'!S71-('01_Доходи'!S72+'01_Доходи'!S73+'01_Доходи'!S74+'01_Доходи'!S75+'01_Доходи'!S76+'01_Доходи'!S77),0),IF($B$67="Лікар-терапевт",IF('01_Доходи'!S71&gt;=Законод!$J$26,S71-Законод!$I$27,0),0)))</f>
        <v>0</v>
      </c>
      <c r="T78" s="966"/>
      <c r="U78" s="968" t="s">
        <v>423</v>
      </c>
      <c r="V78" s="968"/>
      <c r="W78" s="968"/>
      <c r="X78" s="968"/>
      <c r="Y78" s="968"/>
      <c r="Z78" s="196">
        <f ca="1">IF($B$67="Лікар загальної практики - сімейний лікар",IF(Z71&gt;=Законод!$J$22,'01_Доходи'!Z71-('01_Доходи'!Z72+'01_Доходи'!Z73+'01_Доходи'!Z74+'01_Доходи'!Z75+'01_Доходи'!Z76+'01_Доходи'!Z77),0),IF($B$67="Лікар-педіатр",IF(Z71&gt;=Законод!$J$18,'01_Доходи'!Z71-('01_Доходи'!Z72+'01_Доходи'!Z73+'01_Доходи'!Z74+'01_Доходи'!Z75+'01_Доходи'!Z76+'01_Доходи'!Z77),0),IF($B$67="Лікар-терапевт",IF('01_Доходи'!Z71&gt;=Законод!$J$26,Z71-Законод!$I$27,0),0)))</f>
        <v>0</v>
      </c>
      <c r="AA78" s="966"/>
      <c r="AB78" s="968" t="s">
        <v>423</v>
      </c>
      <c r="AC78" s="968"/>
      <c r="AD78" s="968"/>
      <c r="AE78" s="968"/>
      <c r="AF78" s="968"/>
      <c r="AG78" s="196">
        <f ca="1">IF($B$67="Лікар загальної практики - сімейний лікар",IF(AG71&gt;=Законод!$J$22,'01_Доходи'!AG71-('01_Доходи'!AG72+'01_Доходи'!AG73+'01_Доходи'!AG74+'01_Доходи'!AG75+'01_Доходи'!AG76+'01_Доходи'!AG77),0),IF($B$67="Лікар-педіатр",IF(AG71&gt;=Законод!$J$18,'01_Доходи'!AG71-('01_Доходи'!AG72+'01_Доходи'!AG73+'01_Доходи'!AG74+'01_Доходи'!AG75+'01_Доходи'!AG76+'01_Доходи'!AG77),0),IF($B$67="Лікар-терапевт",IF('01_Доходи'!AG71&gt;=Законод!$J$26,AG71-Законод!$I$27,0),0)))</f>
        <v>0</v>
      </c>
      <c r="AH78" s="966"/>
      <c r="AI78" s="215"/>
      <c r="AJ78" s="946"/>
      <c r="AK78" s="961"/>
      <c r="AL78" s="961"/>
      <c r="AM78" s="928"/>
      <c r="AN78" s="216">
        <f ca="1">IF(B67="Лікар загальної практики - сімейний лікар",L78*Законод!$C$9/4*Законод!$J$16,IF(B67="Лікар-педіатр",L78*Законод!$C$9/4*Законод!$J$16,IF(B67="Лікар-терапевт",L78*Законод!$C$9/4*Законод!$J$16,0)))</f>
        <v>0</v>
      </c>
      <c r="AO78" s="216">
        <f ca="1">IF(B67="Лікар загальної практики - сімейний лікар",S78*Законод!$C$9/4*Законод!$J$16,IF(B67="Лікар-педіатр",S78*Законод!$C$9/4*Законод!$J$16,IF(B67="Лікар-терапевт",S78*Законод!$C$9/4*Законод!$J$16,0)))</f>
        <v>0</v>
      </c>
      <c r="AP78" s="216">
        <f ca="1">IF(B67="Лікар загальної практики - сімейний лікар",S78*Законод!$C$9/4*Законод!$J$16,IF(B67="Лікар-педіатр",S78*Законод!$C$9/4*Законод!$J$16,IF(B67="Лікар-терапевт",S78*Законод!$C$9/4*Законод!$J$16,0)))</f>
        <v>0</v>
      </c>
      <c r="AQ78" s="216">
        <f ca="1">IF(B67="Лікар загальної практики - сімейний лікар",AG78*Законод!$C$9/4*Законод!$J$16,IF(B67="Лікар-педіатр",AG78*Законод!$C$9/4*Законод!$J$16,IF(B67="Лікар-терапевт",AG78*Законод!$C$9/4*Законод!$J$16,0)))</f>
        <v>0</v>
      </c>
      <c r="AR78" s="217">
        <f t="shared" si="6"/>
        <v>0</v>
      </c>
    </row>
    <row r="79" spans="1:44" s="233" customFormat="1" ht="22.9" customHeight="1" thickBot="1">
      <c r="A79" s="219"/>
      <c r="B79" s="220"/>
      <c r="C79" s="729"/>
      <c r="D79" s="222"/>
      <c r="E79" s="222"/>
      <c r="F79" s="223"/>
      <c r="G79" s="224"/>
      <c r="H79" s="224"/>
      <c r="I79" s="224"/>
      <c r="J79" s="224"/>
      <c r="K79" s="224"/>
      <c r="L79" s="225"/>
      <c r="M79" s="226"/>
      <c r="N79" s="224"/>
      <c r="O79" s="224"/>
      <c r="P79" s="224"/>
      <c r="Q79" s="224"/>
      <c r="R79" s="224"/>
      <c r="S79" s="225"/>
      <c r="T79" s="226"/>
      <c r="U79" s="224"/>
      <c r="V79" s="224"/>
      <c r="W79" s="224"/>
      <c r="X79" s="224"/>
      <c r="Y79" s="224"/>
      <c r="Z79" s="227"/>
      <c r="AA79" s="226"/>
      <c r="AB79" s="224"/>
      <c r="AC79" s="224"/>
      <c r="AD79" s="224"/>
      <c r="AE79" s="224"/>
      <c r="AF79" s="224"/>
      <c r="AG79" s="227"/>
      <c r="AH79" s="226"/>
      <c r="AI79" s="228"/>
      <c r="AJ79" s="229"/>
      <c r="AK79" s="229"/>
      <c r="AL79" s="229"/>
      <c r="AM79" s="230"/>
      <c r="AN79" s="231"/>
      <c r="AO79" s="231"/>
      <c r="AP79" s="231"/>
      <c r="AQ79" s="231"/>
      <c r="AR79" s="232"/>
    </row>
    <row r="80" spans="1:44" s="191" customFormat="1" ht="30" customHeight="1">
      <c r="A80" s="194">
        <f>A67+1</f>
        <v>4</v>
      </c>
      <c r="B80" s="969" t="s">
        <v>312</v>
      </c>
      <c r="C80" s="974" t="s">
        <v>162</v>
      </c>
      <c r="D80" s="971"/>
      <c r="E80" s="971" t="s">
        <v>161</v>
      </c>
      <c r="F80" s="234" t="s">
        <v>659</v>
      </c>
      <c r="G80" s="196">
        <v>26</v>
      </c>
      <c r="H80" s="196">
        <v>246</v>
      </c>
      <c r="I80" s="196">
        <v>475</v>
      </c>
      <c r="J80" s="196">
        <v>597</v>
      </c>
      <c r="K80" s="196">
        <v>316</v>
      </c>
      <c r="L80" s="557">
        <f t="shared" ref="L80:L85" si="7">SUM(G80:K80)</f>
        <v>1660</v>
      </c>
      <c r="M80" s="966">
        <v>1</v>
      </c>
      <c r="N80" s="196">
        <v>26</v>
      </c>
      <c r="O80" s="196">
        <v>246</v>
      </c>
      <c r="P80" s="196">
        <v>475</v>
      </c>
      <c r="Q80" s="196">
        <v>597</v>
      </c>
      <c r="R80" s="196">
        <v>316</v>
      </c>
      <c r="S80" s="557">
        <f t="shared" ref="S80:S85" si="8">SUM(N80:R80)</f>
        <v>1660</v>
      </c>
      <c r="T80" s="966">
        <v>1</v>
      </c>
      <c r="U80" s="196">
        <v>26</v>
      </c>
      <c r="V80" s="196">
        <v>246</v>
      </c>
      <c r="W80" s="196">
        <v>475</v>
      </c>
      <c r="X80" s="196">
        <v>597</v>
      </c>
      <c r="Y80" s="196">
        <v>316</v>
      </c>
      <c r="Z80" s="557">
        <f t="shared" ref="Z80:Z85" si="9">SUM(U80:Y80)</f>
        <v>1660</v>
      </c>
      <c r="AA80" s="966">
        <v>1</v>
      </c>
      <c r="AB80" s="196">
        <v>26</v>
      </c>
      <c r="AC80" s="196">
        <v>246</v>
      </c>
      <c r="AD80" s="196">
        <v>475</v>
      </c>
      <c r="AE80" s="196">
        <v>597</v>
      </c>
      <c r="AF80" s="196">
        <v>316</v>
      </c>
      <c r="AG80" s="557">
        <f>AB80+AC80+AD80+AE80+AF80</f>
        <v>1660</v>
      </c>
      <c r="AH80" s="966">
        <v>1</v>
      </c>
      <c r="AI80" s="540">
        <f>A80</f>
        <v>4</v>
      </c>
      <c r="AJ80" s="944" t="str">
        <f>B80</f>
        <v>Лікар загальної практики - сімейний лікар</v>
      </c>
      <c r="AK80" s="959" t="str">
        <f>C80</f>
        <v>Венедіктова Світлана Павлівна</v>
      </c>
      <c r="AL80" s="959">
        <f>D80</f>
        <v>0</v>
      </c>
      <c r="AM80" s="929" t="s">
        <v>79</v>
      </c>
      <c r="AN80" s="947">
        <f>SUM(AN85:AN91)</f>
        <v>299076.66016249999</v>
      </c>
      <c r="AO80" s="947">
        <f>SUM(AO85:AO91)</f>
        <v>299076.66016249999</v>
      </c>
      <c r="AP80" s="947">
        <f>SUM(AP85:AP91)</f>
        <v>299076.66016249999</v>
      </c>
      <c r="AQ80" s="947">
        <f>SUM(AQ85:AQ91)</f>
        <v>299076.66016249999</v>
      </c>
      <c r="AR80" s="962">
        <f>SUM(AN80:AQ84)</f>
        <v>1196306.64065</v>
      </c>
    </row>
    <row r="81" spans="1:44" s="50" customFormat="1" ht="28.15" customHeight="1">
      <c r="A81" s="197"/>
      <c r="B81" s="969"/>
      <c r="C81" s="974"/>
      <c r="D81" s="971"/>
      <c r="E81" s="971"/>
      <c r="F81" s="234" t="s">
        <v>660</v>
      </c>
      <c r="G81" s="196">
        <v>26</v>
      </c>
      <c r="H81" s="196">
        <v>246</v>
      </c>
      <c r="I81" s="196">
        <v>475</v>
      </c>
      <c r="J81" s="196">
        <v>597</v>
      </c>
      <c r="K81" s="196">
        <v>316</v>
      </c>
      <c r="L81" s="557">
        <f t="shared" si="7"/>
        <v>1660</v>
      </c>
      <c r="M81" s="966"/>
      <c r="N81" s="196">
        <v>26</v>
      </c>
      <c r="O81" s="196">
        <v>246</v>
      </c>
      <c r="P81" s="196">
        <v>475</v>
      </c>
      <c r="Q81" s="196">
        <v>597</v>
      </c>
      <c r="R81" s="196">
        <v>316</v>
      </c>
      <c r="S81" s="557">
        <f t="shared" si="8"/>
        <v>1660</v>
      </c>
      <c r="T81" s="966"/>
      <c r="U81" s="196">
        <v>26</v>
      </c>
      <c r="V81" s="196">
        <v>246</v>
      </c>
      <c r="W81" s="196">
        <v>475</v>
      </c>
      <c r="X81" s="196">
        <v>597</v>
      </c>
      <c r="Y81" s="196">
        <v>316</v>
      </c>
      <c r="Z81" s="557">
        <f t="shared" si="9"/>
        <v>1660</v>
      </c>
      <c r="AA81" s="966"/>
      <c r="AB81" s="196">
        <v>26</v>
      </c>
      <c r="AC81" s="196">
        <v>246</v>
      </c>
      <c r="AD81" s="196">
        <v>475</v>
      </c>
      <c r="AE81" s="196">
        <v>597</v>
      </c>
      <c r="AF81" s="196">
        <v>316</v>
      </c>
      <c r="AG81" s="557">
        <f>AB81+AC81+AD81+AE81+AF81</f>
        <v>1660</v>
      </c>
      <c r="AH81" s="966"/>
      <c r="AI81" s="198"/>
      <c r="AJ81" s="945"/>
      <c r="AK81" s="960"/>
      <c r="AL81" s="960"/>
      <c r="AM81" s="930"/>
      <c r="AN81" s="948"/>
      <c r="AO81" s="948"/>
      <c r="AP81" s="948"/>
      <c r="AQ81" s="948"/>
      <c r="AR81" s="963"/>
    </row>
    <row r="82" spans="1:44" s="90" customFormat="1" ht="31.15" customHeight="1">
      <c r="A82" s="240"/>
      <c r="B82" s="969"/>
      <c r="C82" s="974"/>
      <c r="D82" s="971"/>
      <c r="E82" s="971"/>
      <c r="F82" s="241" t="s">
        <v>661</v>
      </c>
      <c r="G82" s="196">
        <v>26</v>
      </c>
      <c r="H82" s="196">
        <v>246</v>
      </c>
      <c r="I82" s="196">
        <v>475</v>
      </c>
      <c r="J82" s="196">
        <v>597</v>
      </c>
      <c r="K82" s="196">
        <v>316</v>
      </c>
      <c r="L82" s="557">
        <f t="shared" si="7"/>
        <v>1660</v>
      </c>
      <c r="M82" s="966"/>
      <c r="N82" s="196">
        <v>26</v>
      </c>
      <c r="O82" s="196">
        <v>246</v>
      </c>
      <c r="P82" s="196">
        <v>475</v>
      </c>
      <c r="Q82" s="196">
        <v>597</v>
      </c>
      <c r="R82" s="196">
        <v>316</v>
      </c>
      <c r="S82" s="200">
        <f t="shared" si="8"/>
        <v>1660</v>
      </c>
      <c r="T82" s="966"/>
      <c r="U82" s="196">
        <v>26</v>
      </c>
      <c r="V82" s="196">
        <v>246</v>
      </c>
      <c r="W82" s="196">
        <v>475</v>
      </c>
      <c r="X82" s="196">
        <v>597</v>
      </c>
      <c r="Y82" s="196">
        <v>316</v>
      </c>
      <c r="Z82" s="557">
        <f t="shared" si="9"/>
        <v>1660</v>
      </c>
      <c r="AA82" s="966"/>
      <c r="AB82" s="196">
        <v>26</v>
      </c>
      <c r="AC82" s="196">
        <v>246</v>
      </c>
      <c r="AD82" s="196">
        <v>475</v>
      </c>
      <c r="AE82" s="196">
        <v>597</v>
      </c>
      <c r="AF82" s="196">
        <v>316</v>
      </c>
      <c r="AG82" s="557">
        <f>AB82+AC82+AD82+AE82+AF82</f>
        <v>1660</v>
      </c>
      <c r="AH82" s="966"/>
      <c r="AI82" s="242"/>
      <c r="AJ82" s="945"/>
      <c r="AK82" s="960"/>
      <c r="AL82" s="960"/>
      <c r="AM82" s="930"/>
      <c r="AN82" s="948"/>
      <c r="AO82" s="948"/>
      <c r="AP82" s="948"/>
      <c r="AQ82" s="948"/>
      <c r="AR82" s="963"/>
    </row>
    <row r="83" spans="1:44" s="50" customFormat="1" ht="31.9" customHeight="1" thickBot="1">
      <c r="A83" s="197"/>
      <c r="B83" s="969"/>
      <c r="C83" s="974"/>
      <c r="D83" s="971"/>
      <c r="E83" s="971"/>
      <c r="F83" s="236" t="s">
        <v>426</v>
      </c>
      <c r="G83" s="203">
        <f>IF($B$80="Лікар-педіатр",G82/L82,IF($B$80="Лікар-терапевт","х",IF($B$80="Лікар загальної практики - сімейний лікар",G82/L82,0)))</f>
        <v>1.566265060240964E-2</v>
      </c>
      <c r="H83" s="203">
        <f>IF($B$80="Лікар-педіатр",H82/L82,IF($B$80="Лікар-терапевт","х",IF($B$80="Лікар загальної практики - сімейний лікар",H82/L82,0)))</f>
        <v>0.14819277108433734</v>
      </c>
      <c r="I83" s="203">
        <f>IF($B$80="Лікар-педіатр","x",IF($B$80="Лікар-терапевт",I82/L82,IF($B$80="Лікар загальної практики - сімейний лікар",I82/L82,0)))</f>
        <v>0.28614457831325302</v>
      </c>
      <c r="J83" s="203">
        <f>IF($B$80="Лікар-педіатр","x",IF($B$80="Лікар-терапевт",J82/L82,IF($B$80="Лікар загальної практики - сімейний лікар",J82/L82,0)))</f>
        <v>0.35963855421686747</v>
      </c>
      <c r="K83" s="203">
        <f>IF($B$80="Лікар-педіатр","x",IF($B$80="Лікар-терапевт",K82/L82,IF($B$80="Лікар загальної практики - сімейний лікар",K82/L82,0)))</f>
        <v>0.19036144578313252</v>
      </c>
      <c r="L83" s="203">
        <f t="shared" si="7"/>
        <v>1</v>
      </c>
      <c r="M83" s="966"/>
      <c r="N83" s="203">
        <f>IF($B$80="Лікар-педіатр",N82/S82,IF($B$80="Лікар-терапевт","х",IF($B$80="Лікар загальної практики - сімейний лікар",N82/S82,0)))</f>
        <v>1.566265060240964E-2</v>
      </c>
      <c r="O83" s="203">
        <f>IF($B$80="Лікар-педіатр",O82/S82,IF($B$80="Лікар-терапевт","х",IF($B$80="Лікар загальної практики - сімейний лікар",O82/S82,0)))</f>
        <v>0.14819277108433734</v>
      </c>
      <c r="P83" s="203">
        <f>IF($B$80="Лікар-педіатр","x",IF($B$80="Лікар-терапевт",P82/S82,IF($B$80="Лікар загальної практики - сімейний лікар",P82/S82,0)))</f>
        <v>0.28614457831325302</v>
      </c>
      <c r="Q83" s="203">
        <f>IF($B$80="Лікар-педіатр","x",IF($B$80="Лікар-терапевт",Q82/S82,IF($B$80="Лікар загальної практики - сімейний лікар",Q82/S82,0)))</f>
        <v>0.35963855421686747</v>
      </c>
      <c r="R83" s="203">
        <f>IF($B$80="Лікар-педіатр","x",IF($B$80="Лікар-терапевт",R82/S82,IF($B$80="Лікар загальної практики - сімейний лікар",R82/S82,0)))</f>
        <v>0.19036144578313252</v>
      </c>
      <c r="S83" s="203">
        <f t="shared" si="8"/>
        <v>1</v>
      </c>
      <c r="T83" s="966"/>
      <c r="U83" s="203">
        <f>IF($B$80="Лікар-педіатр",U82/Z82,IF($B$80="Лікар-терапевт","х",IF($B$80="Лікар загальної практики - сімейний лікар",U82/Z82,0)))</f>
        <v>1.566265060240964E-2</v>
      </c>
      <c r="V83" s="203">
        <f>IF($B$80="Лікар-педіатр",V82/Z82,IF($B$80="Лікар-терапевт","х",IF($B$80="Лікар загальної практики - сімейний лікар",V82/Z82,0)))</f>
        <v>0.14819277108433734</v>
      </c>
      <c r="W83" s="203">
        <f>IF($B$80="Лікар-педіатр","x",IF($B$80="Лікар-терапевт",W82/Z82,IF($B$80="Лікар загальної практики - сімейний лікар",W82/Z82,0)))</f>
        <v>0.28614457831325302</v>
      </c>
      <c r="X83" s="203">
        <f>IF($B$80="Лікар-педіатр","x",IF($B$80="Лікар-терапевт",X82/Z82,IF($B$80="Лікар загальної практики - сімейний лікар",X82/Z82,0)))</f>
        <v>0.35963855421686747</v>
      </c>
      <c r="Y83" s="203">
        <f>IF($B$80="Лікар-педіатр","x",IF($B$80="Лікар-терапевт",Y82/Z82,IF($B$80="Лікар загальної практики - сімейний лікар",Y82/Z82,0)))</f>
        <v>0.19036144578313252</v>
      </c>
      <c r="Z83" s="203">
        <f t="shared" si="9"/>
        <v>1</v>
      </c>
      <c r="AA83" s="966"/>
      <c r="AB83" s="203">
        <f>IF($B$80="Лікар-педіатр",AB82/AG82,IF($B$80="Лікар-терапевт","х",IF($B$80="Лікар загальної практики - сімейний лікар",AB82/AG82,0)))</f>
        <v>1.566265060240964E-2</v>
      </c>
      <c r="AC83" s="203">
        <f>IF($B$80="Лікар-педіатр",AC82/AG82,IF($B$80="Лікар-терапевт","х",IF($B$80="Лікар загальної практики - сімейний лікар",AC82/AG82,0)))</f>
        <v>0.14819277108433734</v>
      </c>
      <c r="AD83" s="203">
        <f>IF($B$80="Лікар-педіатр","x",IF($B$80="Лікар-терапевт",AD82/AG82,IF($B$80="Лікар загальної практики - сімейний лікар",AD82/AG82,0)))</f>
        <v>0.28614457831325302</v>
      </c>
      <c r="AE83" s="203">
        <f>IF($B$80="Лікар-педіатр","x",IF($B$80="Лікар-терапевт",AE82/AG82,IF($B$80="Лікар загальної практики - сімейний лікар",AE82/AG82,0)))</f>
        <v>0.35963855421686747</v>
      </c>
      <c r="AF83" s="203">
        <f>IF($B$80="Лікар-педіатр","x",IF($B$80="Лікар-терапевт",AF82/AG82,IF($B$80="Лікар загальної практики - сімейний лікар",AF82/AG82,0)))</f>
        <v>0.19036144578313252</v>
      </c>
      <c r="AG83" s="203">
        <f>SUM(AB83:AF83)</f>
        <v>1</v>
      </c>
      <c r="AH83" s="966"/>
      <c r="AI83" s="201"/>
      <c r="AJ83" s="945"/>
      <c r="AK83" s="960"/>
      <c r="AL83" s="960"/>
      <c r="AM83" s="930"/>
      <c r="AN83" s="948"/>
      <c r="AO83" s="948"/>
      <c r="AP83" s="948"/>
      <c r="AQ83" s="948"/>
      <c r="AR83" s="963"/>
    </row>
    <row r="84" spans="1:44" s="50" customFormat="1" ht="45" customHeight="1" thickBot="1">
      <c r="A84" s="197"/>
      <c r="B84" s="969"/>
      <c r="C84" s="974"/>
      <c r="D84" s="971"/>
      <c r="E84" s="972"/>
      <c r="F84" s="204" t="s">
        <v>662</v>
      </c>
      <c r="G84" s="205">
        <f>IF($B$80="Лікар загальної практики - сімейний лікар",AVERAGE(G80:G82),IF($B$80="Лікар-педіатр",AVERAGE(G80:G82),IF($B$80="Лікар-терапевт","х",0)))</f>
        <v>26</v>
      </c>
      <c r="H84" s="205">
        <f>IF($B$80="Лікар загальної практики - сімейний лікар",AVERAGE(H80:H82),IF($B$80="Лікар-педіатр",AVERAGE(H80:H82),IF($B$80="Лікар-терапевт","х",0)))</f>
        <v>246</v>
      </c>
      <c r="I84" s="205">
        <f>IF($B$80="Лікар загальної практики - сімейний лікар",AVERAGE(I80:I82),IF($B$80="Лікар-педіатр","x",IF($B$80="Лікар-терапевт",AVERAGE(I80:I82),0)))</f>
        <v>475</v>
      </c>
      <c r="J84" s="205">
        <f>IF($B$80="Лікар загальної практики - сімейний лікар",AVERAGE(J80:J82),IF($B$80="Лікар-педіатр","x",IF($B$80="Лікар-терапевт",AVERAGE(J80:J82),0)))</f>
        <v>597</v>
      </c>
      <c r="K84" s="205">
        <f>IF($B$80="Лікар загальної практики - сімейний лікар",AVERAGE(K80:K82),IF($B$80="Лікар-педіатр","x",IF($B$80="Лікар-терапевт",AVERAGE(K80:K82),0)))</f>
        <v>316</v>
      </c>
      <c r="L84" s="206">
        <f t="shared" si="7"/>
        <v>1660</v>
      </c>
      <c r="M84" s="973"/>
      <c r="N84" s="205">
        <f>IF($B$80="Лікар загальної практики - сімейний лікар",AVERAGE(N80:N82),IF($B$80="Лікар-педіатр",AVERAGE(N80:N82),IF($B$80="Лікар-терапевт","х",0)))</f>
        <v>26</v>
      </c>
      <c r="O84" s="205">
        <f>IF($B$80="Лікар загальної практики - сімейний лікар",AVERAGE(O80:O82),IF($B$80="Лікар-педіатр",AVERAGE(O80:O82),IF($B$80="Лікар-терапевт","х",0)))</f>
        <v>246</v>
      </c>
      <c r="P84" s="205">
        <f>IF($B$80="Лікар загальної практики - сімейний лікар",AVERAGE(P80:P82),IF($B$80="Лікар-педіатр","x",IF($B$80="Лікар-терапевт",AVERAGE(P80:P82),0)))</f>
        <v>475</v>
      </c>
      <c r="Q84" s="205">
        <f>IF($B$80="Лікар загальної практики - сімейний лікар",AVERAGE(Q80:Q82),IF($B$80="Лікар-педіатр","x",IF($B$80="Лікар-терапевт",AVERAGE(Q80:Q82),0)))</f>
        <v>597</v>
      </c>
      <c r="R84" s="205">
        <f>IF($B$80="Лікар загальної практики - сімейний лікар",AVERAGE(R80:R82),IF($B$80="Лікар-педіатр","x",IF($B$80="Лікар-терапевт",AVERAGE(R80:R82),0)))</f>
        <v>316</v>
      </c>
      <c r="S84" s="206">
        <f t="shared" si="8"/>
        <v>1660</v>
      </c>
      <c r="T84" s="973"/>
      <c r="U84" s="205">
        <f>IF($B$80="Лікар загальної практики - сімейний лікар",AVERAGE(U80:U82),IF($B$80="Лікар-педіатр",AVERAGE(U80:U82),IF($B$80="Лікар-терапевт","х",0)))</f>
        <v>26</v>
      </c>
      <c r="V84" s="205">
        <f>IF($B$80="Лікар загальної практики - сімейний лікар",AVERAGE(V80:V82),IF($B$80="Лікар-педіатр",AVERAGE(V80:V82),IF($B$80="Лікар-терапевт","х",0)))</f>
        <v>246</v>
      </c>
      <c r="W84" s="205">
        <f>IF($B$80="Лікар загальної практики - сімейний лікар",AVERAGE(W80:W82),IF($B$80="Лікар-педіатр","x",IF($B$80="Лікар-терапевт",AVERAGE(W80:W82),0)))</f>
        <v>475</v>
      </c>
      <c r="X84" s="205">
        <f>IF($B$80="Лікар загальної практики - сімейний лікар",AVERAGE(X80:X82),IF($B$80="Лікар-педіатр","x",IF($B$80="Лікар-терапевт",AVERAGE(X80:X82),0)))</f>
        <v>597</v>
      </c>
      <c r="Y84" s="205">
        <f>IF($B$80="Лікар загальної практики - сімейний лікар",AVERAGE(Y80:Y82),IF($B$80="Лікар-педіатр","x",IF($B$80="Лікар-терапевт",AVERAGE(Y80:Y82),0)))</f>
        <v>316</v>
      </c>
      <c r="Z84" s="206">
        <f t="shared" si="9"/>
        <v>1660</v>
      </c>
      <c r="AA84" s="973"/>
      <c r="AB84" s="205">
        <f>IF($B$80="Лікар загальної практики - сімейний лікар",AVERAGE(AB80:AB82),IF($B$80="Лікар-педіатр",AVERAGE(AB80:AB82),IF($B$80="Лікар-терапевт","х",0)))</f>
        <v>26</v>
      </c>
      <c r="AC84" s="205">
        <f>IF($B$80="Лікар загальної практики - сімейний лікар",AVERAGE(AC80:AC82),IF($B$80="Лікар-педіатр",AVERAGE(AC80:AC82),IF($B$80="Лікар-терапевт","х",0)))</f>
        <v>246</v>
      </c>
      <c r="AD84" s="205">
        <f>IF($B$80="Лікар загальної практики - сімейний лікар",AVERAGE(AD80:AD82),IF($B$80="Лікар-педіатр","x",IF($B$80="Лікар-терапевт",AVERAGE(AD80:AD82),0)))</f>
        <v>475</v>
      </c>
      <c r="AE84" s="205">
        <f>IF($B$80="Лікар загальної практики - сімейний лікар",AVERAGE(AE80:AE82),IF($B$80="Лікар-педіатр","x",IF($B$80="Лікар-терапевт",AVERAGE(AE80:AE82),0)))</f>
        <v>597</v>
      </c>
      <c r="AF84" s="205">
        <f>IF($B$80="Лікар загальної практики - сімейний лікар",AVERAGE(AF80:AF82),IF($B$80="Лікар-педіатр","x",IF($B$80="Лікар-терапевт",AVERAGE(AF80:AF82),0)))</f>
        <v>316</v>
      </c>
      <c r="AG84" s="206">
        <f>SUM(AB84:AF84)</f>
        <v>1660</v>
      </c>
      <c r="AH84" s="967"/>
      <c r="AI84" s="201"/>
      <c r="AJ84" s="945"/>
      <c r="AK84" s="960"/>
      <c r="AL84" s="960"/>
      <c r="AM84" s="931"/>
      <c r="AN84" s="949"/>
      <c r="AO84" s="949"/>
      <c r="AP84" s="949"/>
      <c r="AQ84" s="949"/>
      <c r="AR84" s="964"/>
    </row>
    <row r="85" spans="1:44" s="50" customFormat="1" ht="40.5">
      <c r="A85" s="197"/>
      <c r="B85" s="969"/>
      <c r="C85" s="974"/>
      <c r="D85" s="971"/>
      <c r="E85" s="971"/>
      <c r="F85" s="237" t="str">
        <f ca="1">IF(B80="Лікар-педіатр",Законод!$C$17,IF(B80="Лікар загальної практики - сімейний лікар",Законод!$C$21,IF(B80="Лікар-терапевт",Законод!$C$25,"х")))</f>
        <v>ліміт (до 1800)</v>
      </c>
      <c r="G85" s="208">
        <f ca="1">IF($B$80="Лікар загальної практики - сімейний лікар",IF(L84&lt;=Законод!$C$22,G84,Законод!$C$22*'01_Доходи'!G83),IF($B$80="Лікар-педіатр",IF(L84&lt;=Законод!$C$18,G84,Законод!$C$18*'01_Доходи'!G83),IF($B$80="Лікар-терапевт","x",0)))</f>
        <v>26</v>
      </c>
      <c r="H85" s="208">
        <f ca="1">IF($B$80="Лікар загальної практики - сімейний лікар",IF(L84&lt;=Законод!$C$22,H84,Законод!$C$22*'01_Доходи'!H83),IF($B$80="Лікар-педіатр",IF(L84&lt;=Законод!$C$18,H84,Законод!$C$18*'01_Доходи'!H83),IF($B$80="Лікар-терапевт","x",0)))</f>
        <v>246</v>
      </c>
      <c r="I85" s="208">
        <f ca="1">IF($B$80="Лікар загальної практики - сімейний лікар",IF(L84&lt;=Законод!$C$22,I84,Законод!$C$22*'01_Доходи'!I83),IF($B$80="Лікар-педіатр","x",IF($B$80="Лікар-терапевт",IF(L84&lt;=Законод!$C$26,I84,Законод!$C$26*'01_Доходи'!I83),0)))</f>
        <v>475</v>
      </c>
      <c r="J85" s="208">
        <f ca="1">IF($B$80="Лікар загальної практики - сімейний лікар",IF(L84&lt;=Законод!$C$22,J84,Законод!$C$22*'01_Доходи'!J83),IF($B$80="Лікар-педіатр","x",IF($B$80="Лікар-терапевт",IF(L84&lt;=Законод!$C$26,J84,Законод!$C$26*'01_Доходи'!J83),0)))</f>
        <v>597</v>
      </c>
      <c r="K85" s="208">
        <f ca="1">IF($B$80="Лікар загальної практики - сімейний лікар",IF(L84&lt;=Законод!$C$22,K84,Законод!$C$22*'01_Доходи'!K83),IF($B$80="Лікар-педіатр","x",IF($B$80="Лікар-терапевт",IF(L84&lt;=Законод!$C$26,K84,Законод!$C$26*'01_Доходи'!K83),0)))</f>
        <v>316</v>
      </c>
      <c r="L85" s="209">
        <f t="shared" si="7"/>
        <v>1660</v>
      </c>
      <c r="M85" s="966"/>
      <c r="N85" s="208">
        <f ca="1">IF($B$80="Лікар загальної практики - сімейний лікар",IF(S84&lt;=Законод!$C$22,N84,Законод!$C$22*'01_Доходи'!N83),IF($B$80="Лікар-педіатр",IF(S84&lt;=Законод!$C$18,N84,Законод!$C$18*'01_Доходи'!N83),IF($B$80="Лікар-терапевт","x",0)))</f>
        <v>26</v>
      </c>
      <c r="O85" s="208">
        <f ca="1">IF($B$80="Лікар загальної практики - сімейний лікар",IF(S84&lt;=Законод!$C$22,O84,Законод!$C$22*'01_Доходи'!O83),IF($B$80="Лікар-педіатр",IF(S84&lt;=Законод!$C$18,O84,Законод!$C$18*'01_Доходи'!O83),IF($B$80="Лікар-терапевт","x",0)))</f>
        <v>246</v>
      </c>
      <c r="P85" s="208">
        <f ca="1">IF($B$80="Лікар загальної практики - сімейний лікар",IF(S84&lt;=Законод!$C$22,P84,Законод!$C$22*'01_Доходи'!P83),IF($B$80="Лікар-педіатр","x",IF($B$80="Лікар-терапевт",IF(S84&lt;=Законод!$C$26,P84,Законод!$C$26*'01_Доходи'!P83),0)))</f>
        <v>475</v>
      </c>
      <c r="Q85" s="208">
        <f ca="1">IF($B$80="Лікар загальної практики - сімейний лікар",IF(S84&lt;=Законод!$C$22,Q84,Законод!$C$22*'01_Доходи'!Q83),IF($B$80="Лікар-педіатр","x",IF($B$80="Лікар-терапевт",IF(S84&lt;=Законод!$C$26,Q84,Законод!$C$26*'01_Доходи'!Q83),0)))</f>
        <v>597</v>
      </c>
      <c r="R85" s="208">
        <f ca="1">IF($B$80="Лікар загальної практики - сімейний лікар",IF(S84&lt;=Законод!$C$22,R84,Законод!$C$22*'01_Доходи'!R83),IF($B$80="Лікар-педіатр","x",IF($B$80="Лікар-терапевт",IF(S84&lt;=Законод!$C$26,R84,Законод!$C$26*'01_Доходи'!R83),0)))</f>
        <v>316</v>
      </c>
      <c r="S85" s="209">
        <f t="shared" si="8"/>
        <v>1660</v>
      </c>
      <c r="T85" s="966"/>
      <c r="U85" s="208">
        <f ca="1">IF($B$80="Лікар загальної практики - сімейний лікар",IF(Z84&lt;=Законод!$C$22,U84,Законод!$C$22*'01_Доходи'!U83),IF($B$80="Лікар-педіатр",IF(Z84&lt;=Законод!$C$18,U84,Законод!$C$18*'01_Доходи'!U83),IF($B$80="Лікар-терапевт","x",0)))</f>
        <v>26</v>
      </c>
      <c r="V85" s="208">
        <f ca="1">IF($B$80="Лікар загальної практики - сімейний лікар",IF(Z84&lt;=Законод!$C$22,V84,Законод!$C$22*'01_Доходи'!V83),IF($B$80="Лікар-педіатр",IF(Z84&lt;=Законод!$C$18,V84,Законод!$C$18*'01_Доходи'!V83),IF($B$80="Лікар-терапевт","x",0)))</f>
        <v>246</v>
      </c>
      <c r="W85" s="208">
        <f ca="1">IF($B$80="Лікар загальної практики - сімейний лікар",IF(Z84&lt;=Законод!$C$22,W84,Законод!$C$22*'01_Доходи'!W83),IF($B$80="Лікар-педіатр","x",IF($B$80="Лікар-терапевт",IF(Z84&lt;=Законод!$C$26,W84,Законод!$C$26*'01_Доходи'!W83),0)))</f>
        <v>475</v>
      </c>
      <c r="X85" s="208">
        <f ca="1">IF($B$80="Лікар загальної практики - сімейний лікар",IF(Z84&lt;=Законод!$C$22,X84,Законод!$C$22*'01_Доходи'!X83),IF($B$80="Лікар-педіатр","x",IF($B$80="Лікар-терапевт",IF(Z84&lt;=Законод!$C$26,X84,Законод!$C$26*'01_Доходи'!X83),0)))</f>
        <v>597</v>
      </c>
      <c r="Y85" s="208">
        <f ca="1">IF($B$80="Лікар загальної практики - сімейний лікар",IF(Z84&lt;=Законод!$C$22,Y84,Законод!$C$22*'01_Доходи'!Y83),IF($B$80="Лікар-педіатр","x",IF($B$80="Лікар-терапевт",IF(Z84&lt;=Законод!$C$26,Y84,Законод!$C$26*'01_Доходи'!Y83),0)))</f>
        <v>316</v>
      </c>
      <c r="Z85" s="209">
        <f t="shared" si="9"/>
        <v>1660</v>
      </c>
      <c r="AA85" s="966"/>
      <c r="AB85" s="208">
        <f ca="1">IF($B$80="Лікар загальної практики - сімейний лікар",IF(AG84&lt;=Законод!$C$22,AB84,Законод!$C$22*'01_Доходи'!AB83),IF($B$80="Лікар-педіатр",IF(AG84&lt;=Законод!$C$18,AB84,Законод!$C$18*'01_Доходи'!AB83),IF($B$80="Лікар-терапевт","x",0)))</f>
        <v>26</v>
      </c>
      <c r="AC85" s="208">
        <f ca="1">IF($B$80="Лікар загальної практики - сімейний лікар",IF(AG84&lt;=Законод!$C$22,AC84,Законод!$C$22*'01_Доходи'!AC83),IF($B$80="Лікар-педіатр",IF(AG84&lt;=Законод!$C$18,AC84,Законод!$C$18*'01_Доходи'!AC83),IF($B$80="Лікар-терапевт","x",0)))</f>
        <v>246</v>
      </c>
      <c r="AD85" s="208">
        <f ca="1">IF($B$80="Лікар загальної практики - сімейний лікар",IF(AG84&lt;=Законод!$C$22,AD84,Законод!$C$22*'01_Доходи'!AD83),IF($B$80="Лікар-педіатр","x",IF($B$80="Лікар-терапевт",IF(AG84&lt;=Законод!$C$26,AD84,Законод!$C$26*'01_Доходи'!AD83),0)))</f>
        <v>475</v>
      </c>
      <c r="AE85" s="208">
        <f ca="1">IF($B$80="Лікар загальної практики - сімейний лікар",IF(AG84&lt;=Законод!$C$22,AE84,Законод!$C$22*'01_Доходи'!AE83),IF($B$80="Лікар-педіатр","x",IF($B$80="Лікар-терапевт",IF(AG84&lt;=Законод!$C$26,AE84,Законод!$C$26*'01_Доходи'!AE83),0)))</f>
        <v>597</v>
      </c>
      <c r="AF85" s="208">
        <f ca="1">IF($B$80="Лікар загальної практики - сімейний лікар",IF(AG84&lt;=Законод!$C$22,AF84,Законод!$C$22*'01_Доходи'!AF83),IF($B$80="Лікар-педіатр","x",IF($B$80="Лікар-терапевт",IF(AG84&lt;=Законод!$C$26,AF84,Законод!$C$26*'01_Доходи'!AF83),0)))</f>
        <v>316</v>
      </c>
      <c r="AG85" s="209">
        <f ca="1">SUM(AB85:AF85)</f>
        <v>1660</v>
      </c>
      <c r="AH85" s="966"/>
      <c r="AI85" s="201"/>
      <c r="AJ85" s="945"/>
      <c r="AK85" s="960"/>
      <c r="AL85" s="960"/>
      <c r="AM85" s="348" t="s">
        <v>451</v>
      </c>
      <c r="AN85" s="210">
        <f ca="1">IF(B80="Лікар загальної практики - сімейний лікар",G85*Законод!$C$11+'01_Доходи'!H85*Законод!$D$11+'01_Доходи'!I85*Законод!$E$11+'01_Доходи'!J85*Законод!$F$11+'01_Доходи'!K85*Законод!$G$11,IF(B80="Лікар-педіатр",G85*Законод!$C$11+'01_Доходи'!H85*Законод!$D$11,IF(B80="Лікар-терапевт",'01_Доходи'!I85*Законод!$E$11+'01_Доходи'!J85*Законод!$F$11+'01_Доходи'!K85*Законод!$G$11,0)))</f>
        <v>299076.66016249999</v>
      </c>
      <c r="AO85" s="210">
        <f ca="1">IF(B80="Лікар загальної практики - сімейний лікар",N85*Законод!$C$11+'01_Доходи'!O85*Законод!$D$11+'01_Доходи'!P85*Законод!$E$11+'01_Доходи'!Q85*Законод!$F$11+'01_Доходи'!R85*Законод!$G$11,IF(B80="Лікар-педіатр",N85*Законод!$C$11+'01_Доходи'!O85*Законод!$D$11,IF(B80="Лікар-терапевт",'01_Доходи'!P85*Законод!$E$11+'01_Доходи'!Q85*Законод!$F$11+'01_Доходи'!R85*Законод!$G$11,0)))</f>
        <v>299076.66016249999</v>
      </c>
      <c r="AP85" s="210">
        <f ca="1">IF(B80="Лікар загальної практики - сімейний лікар",U85*Законод!$C$11+'01_Доходи'!V85*Законод!$D$11+'01_Доходи'!W85*Законод!$E$11+'01_Доходи'!X85*Законод!$F$11+'01_Доходи'!Y85*Законод!$G$11,IF(B80="Лікар-педіатр",U85*Законод!$C$11+'01_Доходи'!V85*Законод!$D$11,IF(B80="Лікар-терапевт",'01_Доходи'!W85*Законод!$E$11+'01_Доходи'!X85*Законод!$F$11+'01_Доходи'!Y85*Законод!$G$11,0)))</f>
        <v>299076.66016249999</v>
      </c>
      <c r="AQ85" s="210">
        <f ca="1">IF(B80="Лікар загальної практики - сімейний лікар",AB85*Законод!$C$11+'01_Доходи'!AC85*Законод!$D$11+'01_Доходи'!AD85*Законод!$E$11+'01_Доходи'!AE85*Законод!$F$11+'01_Доходи'!AF85*Законод!$G$11,IF(B80="Лікар-педіатр",AB85*Законод!$C$11+'01_Доходи'!AC85*Законод!$D$11,IF(B80="Лікар-терапевт",'01_Доходи'!AD85*Законод!$E$11+'01_Доходи'!AE85*Законод!$F$11+'01_Доходи'!AF85*Законод!$G$11,0)))</f>
        <v>299076.66016249999</v>
      </c>
      <c r="AR85" s="211">
        <f t="shared" ref="AR85:AR91" si="10">SUM(AN85:AQ85)</f>
        <v>1196306.64065</v>
      </c>
    </row>
    <row r="86" spans="1:44" s="50" customFormat="1" ht="31.9" customHeight="1">
      <c r="A86" s="197"/>
      <c r="B86" s="969"/>
      <c r="C86" s="974"/>
      <c r="D86" s="971"/>
      <c r="E86" s="971"/>
      <c r="F86" s="238" t="str">
        <f ca="1">IF(B80="Лікар-педіатр",Законод!$E$17,IF(B80="Лікар загальної практики - сімейний лікар",Законод!$E$21,IF(B80="Лікар-терапевт",Законод!$E$25,"х")))</f>
        <v>понад ліміт (1801-1980)</v>
      </c>
      <c r="G86" s="965" t="s">
        <v>423</v>
      </c>
      <c r="H86" s="965"/>
      <c r="I86" s="965"/>
      <c r="J86" s="965"/>
      <c r="K86" s="965"/>
      <c r="L86" s="196">
        <f ca="1">IF($B$80="Лікар загальної практики - сімейний лікар",IF(L84&lt;Законод!$C$22,0,(IF(AND(L84&gt;=Законод!$E$22,L84&lt;=Законод!$E$23),L84-Законод!$C$22,IF('01_Доходи'!L84&gt;=Законод!$F$22,Законод!$E$24,0)))),IF($B$80="Лікар-педіатр",IF(L84&lt;Законод!$C$18,0,(IF(AND(L84&gt;=Законод!$E$18,L84&lt;=Законод!$E$19),L84-Законод!$C$18,IF('01_Доходи'!L84&gt;=Законод!$F$18,Законод!$E$20,0)))),IF($B$80="Лікар-терапевт",IF(L84&lt;Законод!$C$26,0,(IF(AND(L84&gt;=Законод!$E$26,L84&lt;=Законод!$E$27),L84-Законод!$C$26,IF('01_Доходи'!L84&gt;=Законод!$F$26,Законод!$E$28,0)))),0)))</f>
        <v>0</v>
      </c>
      <c r="M86" s="966"/>
      <c r="N86" s="965" t="s">
        <v>423</v>
      </c>
      <c r="O86" s="965"/>
      <c r="P86" s="965"/>
      <c r="Q86" s="965"/>
      <c r="R86" s="965"/>
      <c r="S86" s="196">
        <f ca="1">IF($B$80="Лікар загальної практики - сімейний лікар",IF(S84&lt;Законод!$C$22,0,(IF(AND(S84&gt;=Законод!$E$22,S84&lt;=Законод!$E$23),S84-Законод!$C$22,IF('01_Доходи'!S84&gt;=Законод!$F$22,Законод!$E$24,0)))),IF($B$80="Лікар-педіатр",IF(S84&lt;Законод!$C$18,0,(IF(AND(S84&gt;=Законод!$E$18,S84&lt;=Законод!$E$19),S84-Законод!$C$18,IF('01_Доходи'!S84&gt;=Законод!$F$18,Законод!$E$20,0)))),IF($B$80="Лікар-терапевт",IF(S84&lt;Законод!$C$26,0,(IF(AND(S84&gt;=Законод!$E$26,S84&lt;=Законод!$E$27),S84-Законод!$C$26,IF('01_Доходи'!S84&gt;=Законод!$F$26,Законод!$E$28,0)))),0)))</f>
        <v>0</v>
      </c>
      <c r="T86" s="966"/>
      <c r="U86" s="965" t="s">
        <v>423</v>
      </c>
      <c r="V86" s="965"/>
      <c r="W86" s="965"/>
      <c r="X86" s="965"/>
      <c r="Y86" s="965"/>
      <c r="Z86" s="196">
        <f ca="1">IF($B$80="Лікар загальної практики - сімейний лікар",IF(Z84&lt;Законод!$C$22,0,(IF(AND(Z84&gt;=Законод!$E$22,Z84&lt;=Законод!$E$23),Z84-Законод!$C$22,IF('01_Доходи'!Z84&gt;=Законод!$F$22,Законод!$E$24,0)))),IF($B$80="Лікар-педіатр",IF(Z84&lt;Законод!$C$18,0,(IF(AND(Z84&gt;=Законод!$E$18,Z84&lt;=Законод!$E$19),Z84-Законод!$C$18,IF('01_Доходи'!Z84&gt;=Законод!$F$18,Законод!$E$20,0)))),IF($B$80="Лікар-терапевт",IF(Z84&lt;Законод!$C$26,0,(IF(AND(Z84&gt;=Законод!$E$26,Z84&lt;=Законод!$E$27),Z84-Законод!$C$26,IF('01_Доходи'!Z84&gt;=Законод!$F$26,Законод!$E$28,0)))),0)))</f>
        <v>0</v>
      </c>
      <c r="AA86" s="966"/>
      <c r="AB86" s="965" t="s">
        <v>423</v>
      </c>
      <c r="AC86" s="965"/>
      <c r="AD86" s="965"/>
      <c r="AE86" s="965"/>
      <c r="AF86" s="965"/>
      <c r="AG86" s="196">
        <f ca="1">IF($B$80="Лікар загальної практики - сімейний лікар",IF(AG84&lt;Законод!$C$22,0,(IF(AND(AG84&gt;=Законод!$E$22,AG84&lt;=Законод!$E$23),AG84-Законод!$C$22,IF('01_Доходи'!AG84&gt;=Законод!$F$22,Законод!$E$24,0)))),IF($B$80="Лікар-педіатр",IF(AG84&lt;Законод!$C$18,0,(IF(AND(AG84&gt;=Законод!$E$18,AG84&lt;=Законод!$E$19),AG84-Законод!$C$18,IF('01_Доходи'!AG84&gt;=Законод!$F$18,Законод!$E$20,0)))),IF($B$80="Лікар-терапевт",IF(AG84&lt;Законод!$C$26,0,(IF(AND(AG84&gt;=Законод!$E$26,AG84&lt;=Законод!$E$27),AG84-Законод!$C$26,IF('01_Доходи'!AG84&gt;=Законод!$F$26,Законод!$E$28,0)))),0)))</f>
        <v>0</v>
      </c>
      <c r="AH86" s="966"/>
      <c r="AI86" s="201"/>
      <c r="AJ86" s="945"/>
      <c r="AK86" s="960"/>
      <c r="AL86" s="960"/>
      <c r="AM86" s="926" t="s">
        <v>452</v>
      </c>
      <c r="AN86" s="210">
        <f ca="1">IF(B80="Лікар загальної практики - сімейний лікар",L86*Законод!$C$9/4*Законод!$E$16,IF(B80="Лікар-педіатр",L86*Законод!$C$9/4*Законод!$E$16,IF(B80="Лікар-терапевт",L86*Законод!$C$9/4*Законод!$E$16,0)))</f>
        <v>0</v>
      </c>
      <c r="AO86" s="210">
        <f ca="1">IF(B80="Лікар загальної практики - сімейний лікар",S86*Законод!$C$9/4*Законод!$E$16,IF(B80="Лікар-педіатр",S86*Законод!$C$9/4*Законод!$E$16,IF(B80="Лікар-терапевт",S86*Законод!$C$9/4*Законод!$E$16,0)))</f>
        <v>0</v>
      </c>
      <c r="AP86" s="210">
        <f ca="1">IF(B80="Лікар загальної практики - сімейний лікар",Z86*Законод!$C$9/4*Законод!$E$16,IF(B80="Лікар-педіатр",Z86*Законод!$C$9/4*Законод!$E$16,IF(B80="Лікар-терапевт",Z86*Законод!$C$9/4*Законод!$E$16,0)))</f>
        <v>0</v>
      </c>
      <c r="AQ86" s="210">
        <f ca="1">IF(B80="Лікар загальної практики - сімейний лікар",AG86*Законод!$C$9/4*Законод!$E$16,IF(B80="Лікар-педіатр",AG86*Законод!$C$9/4*Законод!$E$16,IF(B80="Лікар-терапевт",AG86*Законод!$C$9/4*Законод!$E$16,0)))</f>
        <v>0</v>
      </c>
      <c r="AR86" s="211">
        <f t="shared" si="10"/>
        <v>0</v>
      </c>
    </row>
    <row r="87" spans="1:44" s="50" customFormat="1" ht="31.9" customHeight="1">
      <c r="A87" s="197"/>
      <c r="B87" s="969"/>
      <c r="C87" s="974"/>
      <c r="D87" s="971"/>
      <c r="E87" s="971"/>
      <c r="F87" s="238" t="str">
        <f ca="1">IF(B80="Лікар-педіатр",Законод!$F$17,IF(B80="Лікар загальної практики - сімейний лікар",Законод!$F$21,IF(B80="Лікар-терапевт",Законод!$F$25,"х")))</f>
        <v>понад ліміт (1981-2160)</v>
      </c>
      <c r="G87" s="965" t="s">
        <v>423</v>
      </c>
      <c r="H87" s="965"/>
      <c r="I87" s="965"/>
      <c r="J87" s="965"/>
      <c r="K87" s="965"/>
      <c r="L87" s="196">
        <f ca="1">IF($B$80="Лікар загальної практики - сімейний лікар",IF(L84&lt;Законод!$C$22,0,(IF(AND(L84&gt;=Законод!$F$22,L84&lt;=Законод!$F$23),L84-Законод!$E$23,IF('01_Доходи'!L84&gt;=Законод!$G$22,Законод!$F$24,0)))),IF($B$80="Лікар-педіатр",IF(L84&lt;Законод!$C$18,0,(IF(AND(L84&gt;=Законод!$F$18,L84&lt;=Законод!$F$19),L84-Законод!$E$19,IF('01_Доходи'!L84&gt;=Законод!$G$18,Законод!$F$20,0)))),IF($B$80="Лікар-терапевт",IF(L84&lt;Законод!$C$26,0,(IF(AND(L84&gt;=Законод!$F$26,L84&lt;=Законод!$F$27),L84-Законод!$E$27,IF('01_Доходи'!L84&gt;=Законод!$G$26,Законод!$F$28,0)))),0)))</f>
        <v>0</v>
      </c>
      <c r="M87" s="966"/>
      <c r="N87" s="965" t="s">
        <v>423</v>
      </c>
      <c r="O87" s="965"/>
      <c r="P87" s="965"/>
      <c r="Q87" s="965"/>
      <c r="R87" s="965"/>
      <c r="S87" s="196">
        <f ca="1">IF($B$80="Лікар загальної практики - сімейний лікар",IF(S84&lt;Законод!$C$22,0,(IF(AND(S84&gt;=Законод!$F$22,S84&lt;=Законод!$F$23),S84-Законод!$E$23,IF('01_Доходи'!S84&gt;=Законод!$G$22,Законод!$F$24,0)))),IF($B$80="Лікар-педіатр",IF(S84&lt;Законод!$C$18,0,(IF(AND(S84&gt;=Законод!$F$18,S84&lt;=Законод!$F$19),S84-Законод!$E$19,IF('01_Доходи'!S84&gt;=Законод!$G$18,Законод!$F$20,0)))),IF($B$80="Лікар-терапевт",IF(S84&lt;Законод!$C$26,0,(IF(AND(S84&gt;=Законод!$F$26,S84&lt;=Законод!$F$27),S84-Законод!$E$27,IF('01_Доходи'!S84&gt;=Законод!$G$26,Законод!$F$28,0)))),0)))</f>
        <v>0</v>
      </c>
      <c r="T87" s="966"/>
      <c r="U87" s="965" t="s">
        <v>423</v>
      </c>
      <c r="V87" s="965"/>
      <c r="W87" s="965"/>
      <c r="X87" s="965"/>
      <c r="Y87" s="965"/>
      <c r="Z87" s="196">
        <f ca="1">IF($B$80="Лікар загальної практики - сімейний лікар",IF(Z84&lt;Законод!$C$22,0,(IF(AND(Z84&gt;=Законод!$F$22,Z84&lt;=Законод!$F$23),Z84-Законод!$E$23,IF('01_Доходи'!Z84&gt;=Законод!$G$22,Законод!$F$24,0)))),IF($B$80="Лікар-педіатр",IF(Z84&lt;Законод!$C$18,0,(IF(AND(Z84&gt;=Законод!$F$18,Z84&lt;=Законод!$F$19),Z84-Законод!$E$19,IF('01_Доходи'!Z84&gt;=Законод!$G$18,Законод!$F$20,0)))),IF($B$80="Лікар-терапевт",IF(Z84&lt;Законод!$C$26,0,(IF(AND(Z84&gt;=Законод!$F$26,Z84&lt;=Законод!$F$27),Z84-Законод!$E$27,IF('01_Доходи'!Z84&gt;=Законод!$G$26,Законод!$F$28,0)))),0)))</f>
        <v>0</v>
      </c>
      <c r="AA87" s="966"/>
      <c r="AB87" s="965" t="s">
        <v>423</v>
      </c>
      <c r="AC87" s="965"/>
      <c r="AD87" s="965"/>
      <c r="AE87" s="965"/>
      <c r="AF87" s="965"/>
      <c r="AG87" s="196">
        <f ca="1">IF($B$80="Лікар загальної практики - сімейний лікар",IF(AG84&lt;Законод!$C$22,0,(IF(AND(AG84&gt;=Законод!$F$22,AG84&lt;=Законод!$F$23),AG84-Законод!$E$23,IF('01_Доходи'!AG84&gt;=Законод!$G$22,Законод!$F$24,0)))),IF($B$80="Лікар-педіатр",IF(AG84&lt;Законод!$C$18,0,(IF(AND(AG84&gt;=Законод!$F$18,AG84&lt;=Законод!$F$19),AG84-Законод!$E$19,IF('01_Доходи'!AG84&gt;=Законод!$G$18,Законод!$F$20,0)))),IF($B$80="Лікар-терапевт",IF(AG84&lt;Законод!$C$26,0,(IF(AND(AG84&gt;=Законод!$F$26,AG84&lt;=Законод!$F$27),AG84-Законод!$E$27,IF('01_Доходи'!AG84&gt;=Законод!$G$26,Законод!$F$28,0)))),0)))</f>
        <v>0</v>
      </c>
      <c r="AH87" s="966"/>
      <c r="AI87" s="201"/>
      <c r="AJ87" s="945"/>
      <c r="AK87" s="960"/>
      <c r="AL87" s="960"/>
      <c r="AM87" s="927"/>
      <c r="AN87" s="210">
        <f ca="1">IF(B80="Лікар загальної практики - сімейний лікар",L87*Законод!$C$9/4*Законод!$F$16,IF(B80="Лікар-педіатр",L87*Законод!$C$9/4*Законод!$F$16,IF(B80="Лікар-терапевт",L87*Законод!$C$9/4*Законод!$F$16,0)))</f>
        <v>0</v>
      </c>
      <c r="AO87" s="210">
        <f ca="1">IF(B80="Лікар загальної практики - сімейний лікар",S87*Законод!$C$9/4*Законод!$F$16,IF(B80="Лікар-педіатр",S87*Законод!$C$9/4*Законод!$F$16,IF(B80="Лікар-терапевт",S87*Законод!$C$9/4*Законод!$F$16,0)))</f>
        <v>0</v>
      </c>
      <c r="AP87" s="210">
        <f ca="1">IF(B80="Лікар загальної практики - сімейний лікар",Z87*Законод!$C$9/4*Законод!$F$16,IF(B80="Лікар-педіатр",Z87*Законод!$C$9/4*Законод!$F$16,IF(B80="Лікар-терапевт",Z87*Законод!$C$9/4*Законод!$F$16,0)))</f>
        <v>0</v>
      </c>
      <c r="AQ87" s="210">
        <f ca="1">IF(B80="Лікар загальної практики - сімейний лікар",AG87*Законод!$C$9/4*Законод!$F$16,IF(B80="Лікар-педіатр",AG87*Законод!$C$9/4*Законод!$F$16,IF(B80="Лікар-терапевт",AG87*Законод!$C$9/4*Законод!$F$16,0)))</f>
        <v>0</v>
      </c>
      <c r="AR87" s="211">
        <f t="shared" si="10"/>
        <v>0</v>
      </c>
    </row>
    <row r="88" spans="1:44" s="50" customFormat="1" ht="31.9" customHeight="1">
      <c r="A88" s="197"/>
      <c r="B88" s="969"/>
      <c r="C88" s="974"/>
      <c r="D88" s="971"/>
      <c r="E88" s="971"/>
      <c r="F88" s="238" t="str">
        <f ca="1">IF(B80="Лікар-педіатр",Законод!$G$17,IF(B80="Лікар загальної практики - сімейний лікар",Законод!$G$21,IF(B80="Лікар-терапевт",Законод!$G$25,"х")))</f>
        <v>понад ліміт (2161-2340)</v>
      </c>
      <c r="G88" s="965" t="s">
        <v>423</v>
      </c>
      <c r="H88" s="965"/>
      <c r="I88" s="965"/>
      <c r="J88" s="965"/>
      <c r="K88" s="965"/>
      <c r="L88" s="196">
        <f ca="1">IF($B$80="Лікар загальної практики - сімейний лікар",IF(L84&lt;Законод!$C$22,0,(IF(AND(L84&gt;=Законод!$G$22,L84&lt;=Законод!$G$23),L84-Законод!$F$23,IF('01_Доходи'!L84&gt;=Законод!$H$22,Законод!$G$24,0)))),IF($B$80="Лікар-педіатр",IF(L84&lt;Законод!$C$18,0,(IF(AND(L84&gt;=Законод!$G$18,L84&lt;=Законод!$G$19),L84-Законод!$F$19,IF('01_Доходи'!L84&gt;=Законод!$H$18,Законод!$G$20,0)))),IF($B$80="Лікар-терапевт",IF(L84&lt;Законод!$C$26,0,(IF(AND(L84&gt;=Законод!$G$26,L84&lt;=Законод!$G$27),L84-Законод!$F$27,IF('01_Доходи'!L84&gt;=Законод!$H$26,Законод!$G$28,0)))),0)))</f>
        <v>0</v>
      </c>
      <c r="M88" s="966"/>
      <c r="N88" s="965" t="s">
        <v>423</v>
      </c>
      <c r="O88" s="965"/>
      <c r="P88" s="965"/>
      <c r="Q88" s="965"/>
      <c r="R88" s="965"/>
      <c r="S88" s="196">
        <f ca="1">IF($B$80="Лікар загальної практики - сімейний лікар",IF(S84&lt;Законод!$C$22,0,(IF(AND(S84&gt;=Законод!$G$22,S84&lt;=Законод!$G$23),S84-Законод!$F$23,IF('01_Доходи'!S84&gt;=Законод!$H$22,Законод!$G$24,0)))),IF($B$80="Лікар-педіатр",IF(S84&lt;Законод!$C$18,0,(IF(AND(S84&gt;=Законод!$G$18,S84&lt;=Законод!$G$19),S84-Законод!$F$19,IF('01_Доходи'!S84&gt;=Законод!$H$18,Законод!$G$20,0)))),IF($B$80="Лікар-терапевт",IF(S84&lt;Законод!$C$26,0,(IF(AND(S84&gt;=Законод!$G$26,S84&lt;=Законод!$G$27),S84-Законод!$F$27,IF('01_Доходи'!S84&gt;=Законод!$H$26,Законод!$G$28,0)))),0)))</f>
        <v>0</v>
      </c>
      <c r="T88" s="966"/>
      <c r="U88" s="965" t="s">
        <v>423</v>
      </c>
      <c r="V88" s="965"/>
      <c r="W88" s="965"/>
      <c r="X88" s="965"/>
      <c r="Y88" s="965"/>
      <c r="Z88" s="196">
        <f ca="1">IF($B$80="Лікар загальної практики - сімейний лікар",IF(Z84&lt;Законод!$C$22,0,(IF(AND(Z84&gt;=Законод!$G$22,Z84&lt;=Законод!$G$23),Z84-Законод!$F$23,IF('01_Доходи'!Z84&gt;=Законод!$H$22,Законод!$G$24,0)))),IF($B$80="Лікар-педіатр",IF(Z84&lt;Законод!$C$18,0,(IF(AND(Z84&gt;=Законод!$G$18,Z84&lt;=Законод!$G$19),Z84-Законод!$F$19,IF('01_Доходи'!Z84&gt;=Законод!$H$18,Законод!$G$20,0)))),IF($B$80="Лікар-терапевт",IF(Z84&lt;Законод!$C$26,0,(IF(AND(Z84&gt;=Законод!$G$26,Z84&lt;=Законод!$G$27),Z84-Законод!$F$27,IF('01_Доходи'!Z84&gt;=Законод!$H$26,Законод!$G$28,0)))),0)))</f>
        <v>0</v>
      </c>
      <c r="AA88" s="966"/>
      <c r="AB88" s="965" t="s">
        <v>423</v>
      </c>
      <c r="AC88" s="965"/>
      <c r="AD88" s="965"/>
      <c r="AE88" s="965"/>
      <c r="AF88" s="965"/>
      <c r="AG88" s="196">
        <f ca="1">IF($B$80="Лікар загальної практики - сімейний лікар",IF(AG84&lt;Законод!$C$22,0,(IF(AND(AG84&gt;=Законод!$G$22,AG84&lt;=Законод!$G$23),AG84-Законод!$F$23,IF('01_Доходи'!AG84&gt;=Законод!$H$22,Законод!$G$24,0)))),IF($B$80="Лікар-педіатр",IF(AG84&lt;Законод!$C$18,0,(IF(AND(AG84&gt;=Законод!$G$18,AG84&lt;=Законод!$G$19),AG84-Законод!$F$19,IF('01_Доходи'!AG84&gt;=Законод!$H$18,Законод!$G$20,0)))),IF($B$80="Лікар-терапевт",IF(AG84&lt;Законод!$C$26,0,(IF(AND(AG84&gt;=Законод!$G$26,AG84&lt;=Законод!$G$27),AG84-Законод!$F$27,IF('01_Доходи'!AG84&gt;=Законод!$H$26,Законод!$G$28,0)))),0)))</f>
        <v>0</v>
      </c>
      <c r="AH88" s="966"/>
      <c r="AI88" s="201"/>
      <c r="AJ88" s="945"/>
      <c r="AK88" s="960"/>
      <c r="AL88" s="960"/>
      <c r="AM88" s="927"/>
      <c r="AN88" s="210">
        <f ca="1">IF(B80="Лікар загальної практики - сімейний лікар",L88*Законод!$C$9/4*Законод!$G$16,IF(B80="Лікар-педіатр",L88*Законод!$C$9/4*Законод!$G$16,IF(B80="Лікар-терапевт",L88*Законод!$C$9/4*Законод!$G$16,0)))</f>
        <v>0</v>
      </c>
      <c r="AO88" s="210">
        <f ca="1">IF(B80="Лікар загальної практики - сімейний лікар",S88*Законод!$C$9/4*Законод!$G$16,IF(B80="Лікар-педіатр",S88*Законод!$C$9/4*Законод!$G$16,IF(B80="Лікар-терапевт",S88*Законод!$C$9/4*Законод!$G$16,0)))</f>
        <v>0</v>
      </c>
      <c r="AP88" s="210">
        <f ca="1">IF(B80="Лікар загальної практики - сімейний лікар",Z88*Законод!$C$9/4*Законод!$G$16,IF(B80="Лікар-педіатр",Z88*Законод!$C$9/4*Законод!$G$16,IF(B80="Лікар-терапевт",Z88*Законод!$C$9/4*Законод!$G$16,0)))</f>
        <v>0</v>
      </c>
      <c r="AQ88" s="210">
        <f ca="1">IF(B80="Лікар загальної практики - сімейний лікар",AG88*Законод!$C$9/4*Законод!$G$16,IF(B80="Лікар-педіатр",AG88*Законод!$C$9/4*Законод!$G$16,IF(B80="Лікар-терапевт",AG88*Законод!$C$9/4*Законод!$G$16,0)))</f>
        <v>0</v>
      </c>
      <c r="AR88" s="211">
        <f t="shared" si="10"/>
        <v>0</v>
      </c>
    </row>
    <row r="89" spans="1:44" s="50" customFormat="1" ht="31.9" customHeight="1">
      <c r="A89" s="197"/>
      <c r="B89" s="969"/>
      <c r="C89" s="974"/>
      <c r="D89" s="971"/>
      <c r="E89" s="971"/>
      <c r="F89" s="238" t="str">
        <f ca="1">IF(B80="Лікар-педіатр",Законод!$H$17,IF(B80="Лікар загальної практики - сімейний лікар",Законод!$H$21,IF(B80="Лікар-терапевт",Законод!$H$25,"х")))</f>
        <v>понад ліміт (2341-2520)</v>
      </c>
      <c r="G89" s="965" t="s">
        <v>423</v>
      </c>
      <c r="H89" s="965"/>
      <c r="I89" s="965"/>
      <c r="J89" s="965"/>
      <c r="K89" s="965"/>
      <c r="L89" s="196">
        <f ca="1">IF($B$80="Лікар загальної практики - сімейний лікар",IF(L84&lt;Законод!$C$22,0,(IF(AND(L84&gt;=Законод!$H$22,L84&lt;=Законод!$H$23),L84-Законод!$G$23,IF('01_Доходи'!L84&gt;=Законод!$I$22,Законод!$H$24,0)))),IF($B$80="Лікар-педіатр",IF(L84&lt;Законод!$C$18,0,(IF(AND(L84&gt;=Законод!$H$18,L84&lt;=Законод!$H$19),L84-Законод!$G$19,IF('01_Доходи'!L84&gt;=Законод!$I$18,Законод!$H$20,0)))),IF($B$80="Лікар-терапевт",IF(L84&lt;Законод!$C$26,0,(IF(AND(L84&gt;=Законод!$H$26,L84&lt;=Законод!$H$27),L84-Законод!$G$27,IF(L84&gt;=Законод!$I$26,Законод!$H$28,0)))),0)))</f>
        <v>0</v>
      </c>
      <c r="M89" s="966"/>
      <c r="N89" s="965" t="s">
        <v>423</v>
      </c>
      <c r="O89" s="965"/>
      <c r="P89" s="965"/>
      <c r="Q89" s="965"/>
      <c r="R89" s="965"/>
      <c r="S89" s="196">
        <f ca="1">IF($B$80="Лікар загальної практики - сімейний лікар",IF(S84&lt;Законод!$C$22,0,(IF(AND(S84&gt;=Законод!$H$22,S84&lt;=Законод!$H$23),S84-Законод!$G$23,IF('01_Доходи'!S84&gt;=Законод!$I$22,Законод!$H$24,0)))),IF($B$80="Лікар-педіатр",IF(S84&lt;Законод!$C$18,0,(IF(AND(S84&gt;=Законод!$H$18,S84&lt;=Законод!$H$19),S84-Законод!$G$19,IF('01_Доходи'!S84&gt;=Законод!$I$18,Законод!$H$20,0)))),IF($B$80="Лікар-терапевт",IF(S84&lt;Законод!$C$26,0,(IF(AND(S84&gt;=Законод!$H$26,S84&lt;=Законод!$H$27),S84-Законод!$G$27,IF(S84&gt;=Законод!$I$26,Законод!$H$28,0)))),0)))</f>
        <v>0</v>
      </c>
      <c r="T89" s="966"/>
      <c r="U89" s="965" t="s">
        <v>423</v>
      </c>
      <c r="V89" s="965"/>
      <c r="W89" s="965"/>
      <c r="X89" s="965"/>
      <c r="Y89" s="965"/>
      <c r="Z89" s="196">
        <f ca="1">IF($B$80="Лікар загальної практики - сімейний лікар",IF(Z84&lt;Законод!$C$22,0,(IF(AND(Z84&gt;=Законод!$H$22,Z84&lt;=Законод!$H$23),Z84-Законод!$G$23,IF('01_Доходи'!Z84&gt;=Законод!$I$22,Законод!$H$24,0)))),IF($B$80="Лікар-педіатр",IF(Z84&lt;Законод!$C$18,0,(IF(AND(Z84&gt;=Законод!$H$18,Z84&lt;=Законод!$H$19),Z84-Законод!$G$19,IF('01_Доходи'!Z84&gt;=Законод!$I$18,Законод!$H$20,0)))),IF($B$80="Лікар-терапевт",IF(Z84&lt;Законод!$C$26,0,(IF(AND(Z84&gt;=Законод!$H$26,Z84&lt;=Законод!$H$27),Z84-Законод!$G$27,IF(Z84&gt;=Законод!$I$26,Законод!$H$28,0)))),0)))</f>
        <v>0</v>
      </c>
      <c r="AA89" s="966"/>
      <c r="AB89" s="965" t="s">
        <v>423</v>
      </c>
      <c r="AC89" s="965"/>
      <c r="AD89" s="965"/>
      <c r="AE89" s="965"/>
      <c r="AF89" s="965"/>
      <c r="AG89" s="196">
        <f ca="1">IF($B$80="Лікар загальної практики - сімейний лікар",IF(AG84&lt;Законод!$C$22,0,(IF(AND(AG84&gt;=Законод!$H$22,AG84&lt;=Законод!$H$23),AG84-Законод!$G$23,IF('01_Доходи'!AG84&gt;=Законод!$I$22,Законод!$H$24,0)))),IF($B$80="Лікар-педіатр",IF(AG84&lt;Законод!$C$18,0,(IF(AND(AG84&gt;=Законод!$H$18,AG84&lt;=Законод!$H$19),AG84-Законод!$G$19,IF('01_Доходи'!AG84&gt;=Законод!$I$18,Законод!$H$20,0)))),IF($B$80="Лікар-терапевт",IF(AG84&lt;Законод!$C$26,0,(IF(AND(AG84&gt;=Законод!$H$26,AG84&lt;=Законод!$H$27),AG84-Законод!$G$27,IF(AG84&gt;=Законод!$I$26,Законод!$H$28,0)))),0)))</f>
        <v>0</v>
      </c>
      <c r="AH89" s="966"/>
      <c r="AI89" s="201"/>
      <c r="AJ89" s="945"/>
      <c r="AK89" s="960"/>
      <c r="AL89" s="960"/>
      <c r="AM89" s="927"/>
      <c r="AN89" s="210">
        <f ca="1">IF(B80="Лікар загальної практики - сімейний лікар",L89*Законод!$C$9/4*Законод!$H$16,IF(B80="Лікар-педіатр",L89*Законод!$C$9/4*Законод!$H$16,IF(B80="Лікар-терапевт",L89*Законод!$C$9/4*Законод!$H$16,0)))</f>
        <v>0</v>
      </c>
      <c r="AO89" s="210">
        <f ca="1">IF(B80="Лікар загальної практики - сімейний лікар",S89*Законод!$C$9/4*Законод!$H$16,IF(B80="Лікар-педіатр",S89*Законод!$C$9/4*Законод!$H$16,IF(B80="Лікар-терапевт",S89*Законод!$C$9/4*Законод!$H$16,0)))</f>
        <v>0</v>
      </c>
      <c r="AP89" s="210">
        <f ca="1">IF(B80="Лікар загальної практики - сімейний лікар",Z89*Законод!$C$9/4*Законод!$H$16,IF(B80="Лікар-педіатр",Z89*Законод!$C$9/4*Законод!$H$16,IF(B80="Лікар-терапевт",Z89*Законод!$C$9/4*Законод!$H$16,0)))</f>
        <v>0</v>
      </c>
      <c r="AQ89" s="210">
        <f ca="1">IF(B80="Лікар загальної практики - сімейний лікар",AG89*Законод!$C$9/4*Законод!$H$16,IF(B80="Лікар-педіатр",AG89*Законод!$C$9/4*Законод!$H$16,IF(B80="Лікар-терапевт",AG89*Законод!$C$9/4*Законод!$H$16,0)))</f>
        <v>0</v>
      </c>
      <c r="AR89" s="211">
        <f t="shared" si="10"/>
        <v>0</v>
      </c>
    </row>
    <row r="90" spans="1:44" s="50" customFormat="1" ht="31.9" customHeight="1">
      <c r="A90" s="197"/>
      <c r="B90" s="969"/>
      <c r="C90" s="974"/>
      <c r="D90" s="971"/>
      <c r="E90" s="971"/>
      <c r="F90" s="238" t="str">
        <f ca="1">IF(B80="Лікар-педіатр",Законод!$I$17,IF(B80="Лікар загальної практики - сімейний лікар",Законод!$I$21,IF(B80="Лікар-терапевт",Законод!$I$25,"х")))</f>
        <v>понад ліміт (2521-2700)</v>
      </c>
      <c r="G90" s="965" t="s">
        <v>423</v>
      </c>
      <c r="H90" s="965"/>
      <c r="I90" s="965"/>
      <c r="J90" s="965"/>
      <c r="K90" s="965"/>
      <c r="L90" s="196">
        <f ca="1">IF($B$80="Лікар загальної практики - сімейний лікар",IF(L84&lt;Законод!$C$22,0,(IF(AND(L84&gt;=Законод!$I$22,L84&lt;=Законод!$I$23),L84-Законод!$H$23,IF('01_Доходи'!L84&gt;=Законод!$I$22,Законод!$I$24,0)))),IF($B$80="Лікар-педіатр",IF(L84&lt;Законод!$C$18,0,(IF(AND(L84&gt;=Законод!$I$18,L84&lt;=Законод!$I$19),L84-Законод!$H$19,IF('01_Доходи'!L84&gt;=Законод!$I$18,Законод!$H$20,0)))),IF($B$80="Лікар-терапевт",IF(L84&lt;Законод!$C$26,0,(IF(AND(L84&gt;=Законод!$I$26,L84&lt;=Законод!$I$27),L84-Законод!$H$27,IF('01_Доходи'!L84&gt;=Законод!$I$26,Законод!$H$28,0)))),0)))</f>
        <v>0</v>
      </c>
      <c r="M90" s="966"/>
      <c r="N90" s="965" t="s">
        <v>423</v>
      </c>
      <c r="O90" s="965"/>
      <c r="P90" s="965"/>
      <c r="Q90" s="965"/>
      <c r="R90" s="965"/>
      <c r="S90" s="196">
        <f ca="1">IF($B$80="Лікар загальної практики - сімейний лікар",IF(S84&lt;Законод!$C$22,0,(IF(AND(S84&gt;=Законод!$I$22,S84&lt;=Законод!$I$23),S84-Законод!$H$23,IF('01_Доходи'!S84&gt;=Законод!$I$22,Законод!$I$24,0)))),IF($B$80="Лікар-педіатр",IF(S84&lt;Законод!$C$18,0,(IF(AND(S84&gt;=Законод!$I$18,S84&lt;=Законод!$I$19),S84-Законод!$H$19,IF('01_Доходи'!S84&gt;=Законод!$I$18,Законод!$H$20,0)))),IF($B$80="Лікар-терапевт",IF(S84&lt;Законод!$C$26,0,(IF(AND(S84&gt;=Законод!$I$26,S84&lt;=Законод!$I$27),S84-Законод!$H$27,IF('01_Доходи'!S84&gt;=Законод!$I$26,Законод!$H$28,0)))),0)))</f>
        <v>0</v>
      </c>
      <c r="T90" s="966"/>
      <c r="U90" s="965" t="s">
        <v>423</v>
      </c>
      <c r="V90" s="965"/>
      <c r="W90" s="965"/>
      <c r="X90" s="965"/>
      <c r="Y90" s="965"/>
      <c r="Z90" s="196">
        <f ca="1">IF($B$80="Лікар загальної практики - сімейний лікар",IF(Z84&lt;Законод!$C$22,0,(IF(AND(Z84&gt;=Законод!$I$22,Z84&lt;=Законод!$I$23),Z84-Законод!$H$23,IF('01_Доходи'!Z84&gt;=Законод!$I$22,Законод!$I$24,0)))),IF($B$80="Лікар-педіатр",IF(Z84&lt;Законод!$C$18,0,(IF(AND(Z84&gt;=Законод!$I$18,Z84&lt;=Законод!$I$19),Z84-Законод!$H$19,IF('01_Доходи'!Z84&gt;=Законод!$I$18,Законод!$H$20,0)))),IF($B$80="Лікар-терапевт",IF(Z84&lt;Законод!$C$26,0,(IF(AND(Z84&gt;=Законод!$I$26,Z84&lt;=Законод!$I$27),Z84-Законод!$H$27,IF('01_Доходи'!Z84&gt;=Законод!$I$26,Законод!$H$28,0)))),0)))</f>
        <v>0</v>
      </c>
      <c r="AA90" s="966"/>
      <c r="AB90" s="965" t="s">
        <v>423</v>
      </c>
      <c r="AC90" s="965"/>
      <c r="AD90" s="965"/>
      <c r="AE90" s="965"/>
      <c r="AF90" s="965"/>
      <c r="AG90" s="196">
        <f ca="1">IF($B$80="Лікар загальної практики - сімейний лікар",IF(AG84&lt;Законод!$C$22,0,(IF(AND(AG84&gt;=Законод!$I$22,AG84&lt;=Законод!$I$23),AG84-Законод!$H$23,IF('01_Доходи'!AG84&gt;=Законод!$I$22,Законод!$I$24,0)))),IF($B$80="Лікар-педіатр",IF(AG84&lt;Законод!$C$18,0,(IF(AND(AG84&gt;=Законод!$I$18,AG84&lt;=Законод!$I$19),AG84-Законод!$H$19,IF('01_Доходи'!AG84&gt;=Законод!$I$18,Законод!$H$20,0)))),IF($B$80="Лікар-терапевт",IF(AG84&lt;Законод!$C$26,0,(IF(AND(AG84&gt;=Законод!$I$26,AG84&lt;=Законод!$I$27),AG84-Законод!$H$27,IF('01_Доходи'!AG84&gt;=Законод!$I$26,Законод!$H$28,0)))),0)))</f>
        <v>0</v>
      </c>
      <c r="AH90" s="966"/>
      <c r="AI90" s="201"/>
      <c r="AJ90" s="945"/>
      <c r="AK90" s="960"/>
      <c r="AL90" s="960"/>
      <c r="AM90" s="927"/>
      <c r="AN90" s="210">
        <f ca="1">IF(B80="Лікар загальної практики - сімейний лікар",L90*Законод!$C$9/4*Законод!$I$16,IF(B80="Лікар-педіатр",L90*Законод!$C$9/4*Законод!$I$16,IF(B80="Лікар-терапевт",L90*Законод!$C$9/4*Законод!$I$16,0)))</f>
        <v>0</v>
      </c>
      <c r="AO90" s="210">
        <f ca="1">IF(B80="Лікар загальної практики - сімейний лікар",S90*Законод!$C$9/4*Законод!$I$16,IF(B80="Лікар-педіатр",S90*Законод!$C$9/4*Законод!$I$16,IF(B80="Лікар-терапевт",S90*Законод!$C$9/4*Законод!$I$16,0)))</f>
        <v>0</v>
      </c>
      <c r="AP90" s="210">
        <f ca="1">IF(B80="Лікар загальної практики - сімейний лікар",Z90*Законод!$C$9/4*Законод!$I$16,IF(B80="Лікар-педіатр",Z90*Законод!$C$9/4*Законод!$I$16,IF(B80="Лікар-терапевт",Z90*Законод!$C$9/4*Законод!$I$16,0)))</f>
        <v>0</v>
      </c>
      <c r="AQ90" s="210">
        <f ca="1">IF(B80="Лікар загальної практики - сімейний лікар",AG90*Законод!$C$9/4*Законод!$I$16,IF(B80="Лікар-педіатр",AG90*Законод!$C$9/4*Законод!$I$16,IF(B80="Лікар-терапевт",AG90*Законод!$C$9/4*Законод!$I$16,0)))</f>
        <v>0</v>
      </c>
      <c r="AR90" s="211">
        <f t="shared" si="10"/>
        <v>0</v>
      </c>
    </row>
    <row r="91" spans="1:44" s="218" customFormat="1" ht="31.9" customHeight="1" thickBot="1">
      <c r="A91" s="213"/>
      <c r="B91" s="969"/>
      <c r="C91" s="974"/>
      <c r="D91" s="971"/>
      <c r="E91" s="971"/>
      <c r="F91" s="239" t="str">
        <f ca="1">IF(B80="Лікар-педіатр",Законод!$J$17,IF(B80="Лікар загальної практики - сімейний лікар",Законод!$J$21,IF(B80="Лікар-терапевт",Законод!$J$25,"х")))</f>
        <v>понад ліміт (&gt;=2701)</v>
      </c>
      <c r="G91" s="968" t="s">
        <v>423</v>
      </c>
      <c r="H91" s="968"/>
      <c r="I91" s="968"/>
      <c r="J91" s="968"/>
      <c r="K91" s="968"/>
      <c r="L91" s="196">
        <f ca="1">IF($B$80="Лікар загальної практики - сімейний лікар",IF(L84&gt;=Законод!$J$22,'01_Доходи'!L84-('01_Доходи'!L85+'01_Доходи'!L86+'01_Доходи'!L87+'01_Доходи'!L88+'01_Доходи'!L89+'01_Доходи'!L90),0),IF($B$80="Лікар-педіатр",IF(L84&gt;=Законод!$J$18,'01_Доходи'!L84-('01_Доходи'!L85+'01_Доходи'!L86+'01_Доходи'!L87+'01_Доходи'!L88+'01_Доходи'!L89+'01_Доходи'!L90),0),IF($B$80="Лікар-терапевт",IF('01_Доходи'!L84&gt;=Законод!$J$26,L84-Законод!$I$27,0),0)))</f>
        <v>0</v>
      </c>
      <c r="M91" s="966"/>
      <c r="N91" s="968" t="s">
        <v>423</v>
      </c>
      <c r="O91" s="968"/>
      <c r="P91" s="968"/>
      <c r="Q91" s="968"/>
      <c r="R91" s="968"/>
      <c r="S91" s="196">
        <f ca="1">IF($B$80="Лікар загальної практики - сімейний лікар",IF(S84&gt;=Законод!$J$22,'01_Доходи'!S84-('01_Доходи'!S85+'01_Доходи'!S86+'01_Доходи'!S87+'01_Доходи'!S88+'01_Доходи'!S89+'01_Доходи'!S90),0),IF($B$80="Лікар-педіатр",IF(S84&gt;=Законод!$J$18,'01_Доходи'!S84-('01_Доходи'!S85+'01_Доходи'!S86+'01_Доходи'!S87+'01_Доходи'!S88+'01_Доходи'!S89+'01_Доходи'!S90),0),IF($B$80="Лікар-терапевт",IF('01_Доходи'!S84&gt;=Законод!$J$26,S84-Законод!$I$27,0),0)))</f>
        <v>0</v>
      </c>
      <c r="T91" s="966"/>
      <c r="U91" s="968" t="s">
        <v>423</v>
      </c>
      <c r="V91" s="968"/>
      <c r="W91" s="968"/>
      <c r="X91" s="968"/>
      <c r="Y91" s="968"/>
      <c r="Z91" s="196">
        <f ca="1">IF($B$80="Лікар загальної практики - сімейний лікар",IF(Z84&gt;=Законод!$J$22,'01_Доходи'!Z84-('01_Доходи'!Z85+'01_Доходи'!Z86+'01_Доходи'!Z87+'01_Доходи'!Z88+'01_Доходи'!Z89+'01_Доходи'!Z90),0),IF($B$80="Лікар-педіатр",IF(Z84&gt;=Законод!$J$18,'01_Доходи'!Z84-('01_Доходи'!Z85+'01_Доходи'!Z86+'01_Доходи'!Z87+'01_Доходи'!Z88+'01_Доходи'!Z89+'01_Доходи'!Z90),0),IF($B$80="Лікар-терапевт",IF('01_Доходи'!Z84&gt;=Законод!$J$26,Z84-Законод!$I$27,0),0)))</f>
        <v>0</v>
      </c>
      <c r="AA91" s="966"/>
      <c r="AB91" s="968" t="s">
        <v>423</v>
      </c>
      <c r="AC91" s="968"/>
      <c r="AD91" s="968"/>
      <c r="AE91" s="968"/>
      <c r="AF91" s="968"/>
      <c r="AG91" s="196">
        <f ca="1">IF($B$80="Лікар загальної практики - сімейний лікар",IF(AG84&gt;=Законод!$J$22,'01_Доходи'!AG84-('01_Доходи'!AG85+'01_Доходи'!AG86+'01_Доходи'!AG87+'01_Доходи'!AG88+'01_Доходи'!AG89+'01_Доходи'!AG90),0),IF($B$80="Лікар-педіатр",IF(AG84&gt;=Законод!$J$18,'01_Доходи'!AG84-('01_Доходи'!AG85+'01_Доходи'!AG86+'01_Доходи'!AG87+'01_Доходи'!AG88+'01_Доходи'!AG89+'01_Доходи'!AG90),0),IF($B$80="Лікар-терапевт",IF('01_Доходи'!AG84&gt;=Законод!$J$26,AG84-Законод!$I$27,0),0)))</f>
        <v>0</v>
      </c>
      <c r="AH91" s="966"/>
      <c r="AI91" s="215"/>
      <c r="AJ91" s="946"/>
      <c r="AK91" s="961"/>
      <c r="AL91" s="961"/>
      <c r="AM91" s="928"/>
      <c r="AN91" s="216">
        <f ca="1">IF(B80="Лікар загальної практики - сімейний лікар",L91*Законод!$C$9/4*Законод!$J$16,IF(B80="Лікар-педіатр",L91*Законод!$C$9/4*Законод!$J$16,IF(B80="Лікар-терапевт",L91*Законод!$C$9/4*Законод!$J$16,0)))</f>
        <v>0</v>
      </c>
      <c r="AO91" s="216">
        <f ca="1">IF(B80="Лікар загальної практики - сімейний лікар",S91*Законод!$C$9/4*Законод!$J$16,IF(B80="Лікар-педіатр",S91*Законод!$C$9/4*Законод!$J$16,IF(B80="Лікар-терапевт",S91*Законод!$C$9/4*Законод!$J$16,0)))</f>
        <v>0</v>
      </c>
      <c r="AP91" s="216">
        <f ca="1">IF(B80="Лікар загальної практики - сімейний лікар",S91*Законод!$C$9/4*Законод!$J$16,IF(B80="Лікар-педіатр",S91*Законод!$C$9/4*Законод!$J$16,IF(B80="Лікар-терапевт",S91*Законод!$C$9/4*Законод!$J$16,0)))</f>
        <v>0</v>
      </c>
      <c r="AQ91" s="216">
        <f ca="1">IF(B80="Лікар загальної практики - сімейний лікар",AG91*Законод!$C$9/4*Законод!$J$16,IF(B80="Лікар-педіатр",AG91*Законод!$C$9/4*Законод!$J$16,IF(B80="Лікар-терапевт",AG91*Законод!$C$9/4*Законод!$J$16,0)))</f>
        <v>0</v>
      </c>
      <c r="AR91" s="217">
        <f t="shared" si="10"/>
        <v>0</v>
      </c>
    </row>
    <row r="92" spans="1:44" s="233" customFormat="1" ht="19.149999999999999" customHeight="1" thickBot="1">
      <c r="A92" s="219"/>
      <c r="B92" s="220"/>
      <c r="C92" s="729"/>
      <c r="D92" s="222"/>
      <c r="E92" s="222"/>
      <c r="F92" s="223"/>
      <c r="G92" s="224"/>
      <c r="H92" s="224"/>
      <c r="I92" s="224"/>
      <c r="J92" s="224"/>
      <c r="K92" s="224"/>
      <c r="L92" s="225"/>
      <c r="M92" s="226"/>
      <c r="N92" s="224"/>
      <c r="O92" s="224"/>
      <c r="P92" s="224"/>
      <c r="Q92" s="224"/>
      <c r="R92" s="224"/>
      <c r="S92" s="225"/>
      <c r="T92" s="226"/>
      <c r="U92" s="224"/>
      <c r="V92" s="224"/>
      <c r="W92" s="224"/>
      <c r="X92" s="224"/>
      <c r="Y92" s="224"/>
      <c r="Z92" s="227"/>
      <c r="AA92" s="226"/>
      <c r="AB92" s="224"/>
      <c r="AC92" s="224"/>
      <c r="AD92" s="224"/>
      <c r="AE92" s="224"/>
      <c r="AF92" s="224"/>
      <c r="AG92" s="227"/>
      <c r="AH92" s="226"/>
      <c r="AI92" s="228"/>
      <c r="AJ92" s="229"/>
      <c r="AK92" s="229"/>
      <c r="AL92" s="229"/>
      <c r="AM92" s="230"/>
      <c r="AN92" s="231"/>
      <c r="AO92" s="231"/>
      <c r="AP92" s="231"/>
      <c r="AQ92" s="231"/>
      <c r="AR92" s="232"/>
    </row>
    <row r="93" spans="1:44" s="191" customFormat="1" ht="30" customHeight="1">
      <c r="A93" s="194">
        <f>A80+1</f>
        <v>5</v>
      </c>
      <c r="B93" s="969" t="s">
        <v>312</v>
      </c>
      <c r="C93" s="974" t="s">
        <v>163</v>
      </c>
      <c r="D93" s="971"/>
      <c r="E93" s="971" t="s">
        <v>158</v>
      </c>
      <c r="F93" s="234" t="s">
        <v>659</v>
      </c>
      <c r="G93" s="196">
        <v>78</v>
      </c>
      <c r="H93" s="196">
        <v>345</v>
      </c>
      <c r="I93" s="196">
        <v>580</v>
      </c>
      <c r="J93" s="196">
        <v>594</v>
      </c>
      <c r="K93" s="196">
        <v>182</v>
      </c>
      <c r="L93" s="557">
        <f>G93+H93+I93+J93+K93</f>
        <v>1779</v>
      </c>
      <c r="M93" s="966">
        <v>1</v>
      </c>
      <c r="N93" s="196">
        <v>78</v>
      </c>
      <c r="O93" s="196">
        <v>345</v>
      </c>
      <c r="P93" s="196">
        <v>580</v>
      </c>
      <c r="Q93" s="196">
        <v>594</v>
      </c>
      <c r="R93" s="196">
        <v>182</v>
      </c>
      <c r="S93" s="557">
        <f>N93+O93+P93+Q93+R93</f>
        <v>1779</v>
      </c>
      <c r="T93" s="966">
        <v>1</v>
      </c>
      <c r="U93" s="196">
        <v>78</v>
      </c>
      <c r="V93" s="196">
        <v>345</v>
      </c>
      <c r="W93" s="196">
        <v>580</v>
      </c>
      <c r="X93" s="196">
        <v>594</v>
      </c>
      <c r="Y93" s="196">
        <v>182</v>
      </c>
      <c r="Z93" s="557">
        <f>U93+V93+W93+X93+Y93</f>
        <v>1779</v>
      </c>
      <c r="AA93" s="966">
        <v>1</v>
      </c>
      <c r="AB93" s="196">
        <v>78</v>
      </c>
      <c r="AC93" s="196">
        <v>345</v>
      </c>
      <c r="AD93" s="196">
        <v>580</v>
      </c>
      <c r="AE93" s="196">
        <v>594</v>
      </c>
      <c r="AF93" s="196">
        <v>182</v>
      </c>
      <c r="AG93" s="557">
        <f>AB93+AC93+AD93+AE93+AF93</f>
        <v>1779</v>
      </c>
      <c r="AH93" s="966">
        <v>1</v>
      </c>
      <c r="AI93" s="540">
        <f>A93</f>
        <v>5</v>
      </c>
      <c r="AJ93" s="944" t="str">
        <f>B93</f>
        <v>Лікар загальної практики - сімейний лікар</v>
      </c>
      <c r="AK93" s="959" t="str">
        <f>C93</f>
        <v>Глинюк Яна Ярославівна</v>
      </c>
      <c r="AL93" s="959">
        <f>D93</f>
        <v>0</v>
      </c>
      <c r="AM93" s="929" t="s">
        <v>79</v>
      </c>
      <c r="AN93" s="947">
        <f>SUM(AN98:AN104)</f>
        <v>330503.13099999999</v>
      </c>
      <c r="AO93" s="947">
        <f>SUM(AO98:AO104)</f>
        <v>330503.13099999999</v>
      </c>
      <c r="AP93" s="947">
        <f>SUM(AP98:AP104)</f>
        <v>330503.13099999999</v>
      </c>
      <c r="AQ93" s="947">
        <f>SUM(AQ98:AQ104)</f>
        <v>330503.13099999999</v>
      </c>
      <c r="AR93" s="962">
        <f>SUM(AN93:AQ97)</f>
        <v>1322012.524</v>
      </c>
    </row>
    <row r="94" spans="1:44" s="50" customFormat="1" ht="28.15" customHeight="1">
      <c r="A94" s="197"/>
      <c r="B94" s="969"/>
      <c r="C94" s="974"/>
      <c r="D94" s="971"/>
      <c r="E94" s="971"/>
      <c r="F94" s="234" t="s">
        <v>660</v>
      </c>
      <c r="G94" s="196">
        <v>78</v>
      </c>
      <c r="H94" s="196">
        <v>345</v>
      </c>
      <c r="I94" s="196">
        <v>580</v>
      </c>
      <c r="J94" s="196">
        <v>594</v>
      </c>
      <c r="K94" s="196">
        <v>182</v>
      </c>
      <c r="L94" s="557">
        <f>G94+H94+I94+J94+K94</f>
        <v>1779</v>
      </c>
      <c r="M94" s="966"/>
      <c r="N94" s="196">
        <v>78</v>
      </c>
      <c r="O94" s="196">
        <v>345</v>
      </c>
      <c r="P94" s="196">
        <v>580</v>
      </c>
      <c r="Q94" s="196">
        <v>594</v>
      </c>
      <c r="R94" s="196">
        <v>182</v>
      </c>
      <c r="S94" s="557">
        <f>N94+O94+P94+Q94+R94</f>
        <v>1779</v>
      </c>
      <c r="T94" s="966"/>
      <c r="U94" s="196">
        <v>78</v>
      </c>
      <c r="V94" s="196">
        <v>345</v>
      </c>
      <c r="W94" s="196">
        <v>580</v>
      </c>
      <c r="X94" s="196">
        <v>594</v>
      </c>
      <c r="Y94" s="196">
        <v>182</v>
      </c>
      <c r="Z94" s="557">
        <f>U94+V94+W94+X94+Y94</f>
        <v>1779</v>
      </c>
      <c r="AA94" s="966"/>
      <c r="AB94" s="196">
        <v>78</v>
      </c>
      <c r="AC94" s="196">
        <v>345</v>
      </c>
      <c r="AD94" s="196">
        <v>580</v>
      </c>
      <c r="AE94" s="196">
        <v>594</v>
      </c>
      <c r="AF94" s="196">
        <v>182</v>
      </c>
      <c r="AG94" s="557">
        <f>AB94+AC94+AD94+AE94+AF94</f>
        <v>1779</v>
      </c>
      <c r="AH94" s="966"/>
      <c r="AI94" s="198"/>
      <c r="AJ94" s="945"/>
      <c r="AK94" s="960"/>
      <c r="AL94" s="960"/>
      <c r="AM94" s="930"/>
      <c r="AN94" s="948"/>
      <c r="AO94" s="948"/>
      <c r="AP94" s="948"/>
      <c r="AQ94" s="948"/>
      <c r="AR94" s="963"/>
    </row>
    <row r="95" spans="1:44" s="90" customFormat="1" ht="31.15" customHeight="1">
      <c r="A95" s="240"/>
      <c r="B95" s="969"/>
      <c r="C95" s="974"/>
      <c r="D95" s="971"/>
      <c r="E95" s="971"/>
      <c r="F95" s="241" t="s">
        <v>661</v>
      </c>
      <c r="G95" s="196">
        <v>78</v>
      </c>
      <c r="H95" s="196">
        <v>345</v>
      </c>
      <c r="I95" s="196">
        <v>580</v>
      </c>
      <c r="J95" s="196">
        <v>594</v>
      </c>
      <c r="K95" s="196">
        <v>182</v>
      </c>
      <c r="L95" s="557">
        <f>G95+H95+I95+J95+K95</f>
        <v>1779</v>
      </c>
      <c r="M95" s="966"/>
      <c r="N95" s="196">
        <v>78</v>
      </c>
      <c r="O95" s="196">
        <v>345</v>
      </c>
      <c r="P95" s="196">
        <v>580</v>
      </c>
      <c r="Q95" s="196">
        <v>594</v>
      </c>
      <c r="R95" s="196">
        <v>182</v>
      </c>
      <c r="S95" s="557">
        <f>N95+O95+P95+Q95+R95</f>
        <v>1779</v>
      </c>
      <c r="T95" s="966"/>
      <c r="U95" s="196">
        <v>78</v>
      </c>
      <c r="V95" s="196">
        <v>345</v>
      </c>
      <c r="W95" s="196">
        <v>580</v>
      </c>
      <c r="X95" s="196">
        <v>594</v>
      </c>
      <c r="Y95" s="196">
        <v>182</v>
      </c>
      <c r="Z95" s="557">
        <f>U95+V95+W95+X95+Y95</f>
        <v>1779</v>
      </c>
      <c r="AA95" s="966"/>
      <c r="AB95" s="196">
        <v>78</v>
      </c>
      <c r="AC95" s="196">
        <v>345</v>
      </c>
      <c r="AD95" s="196">
        <v>580</v>
      </c>
      <c r="AE95" s="196">
        <v>594</v>
      </c>
      <c r="AF95" s="196">
        <v>182</v>
      </c>
      <c r="AG95" s="557">
        <f>AB95+AC95+AD95+AE95+AF95</f>
        <v>1779</v>
      </c>
      <c r="AH95" s="966"/>
      <c r="AI95" s="242"/>
      <c r="AJ95" s="945"/>
      <c r="AK95" s="960"/>
      <c r="AL95" s="960"/>
      <c r="AM95" s="930"/>
      <c r="AN95" s="948"/>
      <c r="AO95" s="948"/>
      <c r="AP95" s="948"/>
      <c r="AQ95" s="948"/>
      <c r="AR95" s="963"/>
    </row>
    <row r="96" spans="1:44" s="50" customFormat="1" ht="31.9" customHeight="1" thickBot="1">
      <c r="A96" s="197"/>
      <c r="B96" s="969"/>
      <c r="C96" s="974"/>
      <c r="D96" s="971"/>
      <c r="E96" s="971"/>
      <c r="F96" s="236" t="s">
        <v>426</v>
      </c>
      <c r="G96" s="203">
        <f>IF($B$93="Лікар-педіатр",G95/L95,IF($B$93="Лікар-терапевт","х",IF($B$93="Лікар загальної практики - сімейний лікар",G95/L95,0)))</f>
        <v>4.3844856661045532E-2</v>
      </c>
      <c r="H96" s="203">
        <f>IF($B$93="Лікар-педіатр",H95/L95,IF($B$93="Лікар-терапевт","х",IF($B$93="Лікар загальної практики - сімейний лікар",H95/L95,0)))</f>
        <v>0.19392917369308602</v>
      </c>
      <c r="I96" s="203">
        <f>IF($B$93="Лікар-педіатр","x",IF($B$93="Лікар-терапевт",I95/L95,IF($B$93="Лікар загальної практики - сімейний лікар",I95/L95,0)))</f>
        <v>0.32602585722315908</v>
      </c>
      <c r="J96" s="203">
        <f>IF($B$93="Лікар-педіатр","x",IF($B$93="Лікар-терапевт",J95/L95,IF($B$93="Лікар загальної практики - сімейний лікар",J95/L95,0)))</f>
        <v>0.33389544688026984</v>
      </c>
      <c r="K96" s="203">
        <f>IF($B$93="Лікар-педіатр","x",IF($B$93="Лікар-терапевт",K95/L95,IF($B$93="Лікар загальної практики - сімейний лікар",K95/L95,0)))</f>
        <v>0.10230466554243957</v>
      </c>
      <c r="L96" s="203">
        <f>SUM(G96:K96)</f>
        <v>1</v>
      </c>
      <c r="M96" s="966"/>
      <c r="N96" s="203">
        <f>IF($B$93="Лікар-педіатр",N95/S95,IF($B$93="Лікар-терапевт","х",IF($B$93="Лікар загальної практики - сімейний лікар",N95/S95,0)))</f>
        <v>4.3844856661045532E-2</v>
      </c>
      <c r="O96" s="203">
        <f>IF($B$93="Лікар-педіатр",O95/S95,IF($B$93="Лікар-терапевт","х",IF($B$93="Лікар загальної практики - сімейний лікар",O95/S95,0)))</f>
        <v>0.19392917369308602</v>
      </c>
      <c r="P96" s="203">
        <f>IF($B$93="Лікар-педіатр","x",IF($B$93="Лікар-терапевт",P95/S95,IF($B$93="Лікар загальної практики - сімейний лікар",P95/S95,0)))</f>
        <v>0.32602585722315908</v>
      </c>
      <c r="Q96" s="203">
        <f>IF($B$93="Лікар-педіатр","x",IF($B$93="Лікар-терапевт",Q95/S95,IF($B$93="Лікар загальної практики - сімейний лікар",Q95/S95,0)))</f>
        <v>0.33389544688026984</v>
      </c>
      <c r="R96" s="203">
        <f>IF($B$93="Лікар-педіатр","x",IF($B$93="Лікар-терапевт",R95/S95,IF($B$93="Лікар загальної практики - сімейний лікар",R95/S95,0)))</f>
        <v>0.10230466554243957</v>
      </c>
      <c r="S96" s="203">
        <f>SUM(N96:R96)</f>
        <v>1</v>
      </c>
      <c r="T96" s="966"/>
      <c r="U96" s="203">
        <f>IF($B$93="Лікар-педіатр",U95/Z95,IF($B$93="Лікар-терапевт","х",IF($B$93="Лікар загальної практики - сімейний лікар",U95/Z95,0)))</f>
        <v>4.3844856661045532E-2</v>
      </c>
      <c r="V96" s="203">
        <f>IF($B$93="Лікар-педіатр",V95/Z95,IF($B$93="Лікар-терапевт","х",IF($B$93="Лікар загальної практики - сімейний лікар",V95/Z95,0)))</f>
        <v>0.19392917369308602</v>
      </c>
      <c r="W96" s="203">
        <f>IF($B$93="Лікар-педіатр","x",IF($B$93="Лікар-терапевт",W95/Z95,IF($B$93="Лікар загальної практики - сімейний лікар",W95/Z95,0)))</f>
        <v>0.32602585722315908</v>
      </c>
      <c r="X96" s="203">
        <f>IF($B$93="Лікар-педіатр","x",IF($B$93="Лікар-терапевт",X95/Z95,IF($B$93="Лікар загальної практики - сімейний лікар",X95/Z95,0)))</f>
        <v>0.33389544688026984</v>
      </c>
      <c r="Y96" s="203">
        <f>IF($B$93="Лікар-педіатр","x",IF($B$93="Лікар-терапевт",Y95/Z95,IF($B$93="Лікар загальної практики - сімейний лікар",Y95/Z95,0)))</f>
        <v>0.10230466554243957</v>
      </c>
      <c r="Z96" s="203">
        <f>SUM(U96:Y96)</f>
        <v>1</v>
      </c>
      <c r="AA96" s="966"/>
      <c r="AB96" s="203">
        <f>IF($B$93="Лікар-педіатр",AB95/AG95,IF($B$93="Лікар-терапевт","х",IF($B$93="Лікар загальної практики - сімейний лікар",AB95/AG95,0)))</f>
        <v>4.3844856661045532E-2</v>
      </c>
      <c r="AC96" s="203">
        <f>IF($B$93="Лікар-педіатр",AC95/AG95,IF($B$93="Лікар-терапевт","х",IF($B$93="Лікар загальної практики - сімейний лікар",AC95/AG95,0)))</f>
        <v>0.19392917369308602</v>
      </c>
      <c r="AD96" s="203">
        <f>IF($B$93="Лікар-педіатр","x",IF($B$93="Лікар-терапевт",AD95/AG95,IF($B$93="Лікар загальної практики - сімейний лікар",AD95/AG95,0)))</f>
        <v>0.32602585722315908</v>
      </c>
      <c r="AE96" s="203">
        <f>IF($B$93="Лікар-педіатр","x",IF($B$93="Лікар-терапевт",AE95/AG95,IF($B$93="Лікар загальної практики - сімейний лікар",AE95/AG95,0)))</f>
        <v>0.33389544688026984</v>
      </c>
      <c r="AF96" s="203">
        <f>IF($B$93="Лікар-педіатр","x",IF($B$93="Лікар-терапевт",AF95/AG95,IF($B$93="Лікар загальної практики - сімейний лікар",AF95/AG95,0)))</f>
        <v>0.10230466554243957</v>
      </c>
      <c r="AG96" s="203">
        <f>SUM(AB96:AF96)</f>
        <v>1</v>
      </c>
      <c r="AH96" s="966"/>
      <c r="AI96" s="201"/>
      <c r="AJ96" s="945"/>
      <c r="AK96" s="960"/>
      <c r="AL96" s="960"/>
      <c r="AM96" s="930"/>
      <c r="AN96" s="948"/>
      <c r="AO96" s="948"/>
      <c r="AP96" s="948"/>
      <c r="AQ96" s="948"/>
      <c r="AR96" s="963"/>
    </row>
    <row r="97" spans="1:44" s="50" customFormat="1" ht="45" customHeight="1" thickBot="1">
      <c r="A97" s="197"/>
      <c r="B97" s="969"/>
      <c r="C97" s="974"/>
      <c r="D97" s="971"/>
      <c r="E97" s="972"/>
      <c r="F97" s="204" t="s">
        <v>662</v>
      </c>
      <c r="G97" s="205">
        <f>IF($B$93="Лікар загальної практики - сімейний лікар",AVERAGE(G93:G95),IF($B$93="Лікар-педіатр",AVERAGE(G93:G95),IF($B$93="Лікар-терапевт","х",0)))</f>
        <v>78</v>
      </c>
      <c r="H97" s="205">
        <f>IF($B$93="Лікар загальної практики - сімейний лікар",AVERAGE(H93:H95),IF($B$93="Лікар-педіатр",AVERAGE(H93:H95),IF($B$93="Лікар-терапевт","х",0)))</f>
        <v>345</v>
      </c>
      <c r="I97" s="205">
        <f>IF($B$93="Лікар загальної практики - сімейний лікар",AVERAGE(I93:I95),IF($B$93="Лікар-педіатр","x",IF($B$93="Лікар-терапевт",AVERAGE(I93:I95),0)))</f>
        <v>580</v>
      </c>
      <c r="J97" s="205">
        <f>IF($B$93="Лікар загальної практики - сімейний лікар",AVERAGE(J93:J95),IF($B$93="Лікар-педіатр","x",IF($B$93="Лікар-терапевт",AVERAGE(J93:J95),0)))</f>
        <v>594</v>
      </c>
      <c r="K97" s="205">
        <f>IF($B$93="Лікар загальної практики - сімейний лікар",AVERAGE(K93:K95),IF($B$93="Лікар-педіатр","x",IF($B$93="Лікар-терапевт",AVERAGE(K93:K95),0)))</f>
        <v>182</v>
      </c>
      <c r="L97" s="206">
        <f>SUM(G97:K97)</f>
        <v>1779</v>
      </c>
      <c r="M97" s="973"/>
      <c r="N97" s="205">
        <f>IF($B$93="Лікар загальної практики - сімейний лікар",AVERAGE(N93:N95),IF($B$93="Лікар-педіатр",AVERAGE(N93:N95),IF($B$93="Лікар-терапевт","х",0)))</f>
        <v>78</v>
      </c>
      <c r="O97" s="205">
        <f>IF($B$93="Лікар загальної практики - сімейний лікар",AVERAGE(O93:O95),IF($B$93="Лікар-педіатр",AVERAGE(O93:O95),IF($B$93="Лікар-терапевт","х",0)))</f>
        <v>345</v>
      </c>
      <c r="P97" s="205">
        <f>IF($B$93="Лікар загальної практики - сімейний лікар",AVERAGE(P93:P95),IF($B$93="Лікар-педіатр","x",IF($B$93="Лікар-терапевт",AVERAGE(P93:P95),0)))</f>
        <v>580</v>
      </c>
      <c r="Q97" s="205">
        <f>IF($B$93="Лікар загальної практики - сімейний лікар",AVERAGE(Q93:Q95),IF($B$93="Лікар-педіатр","x",IF($B$93="Лікар-терапевт",AVERAGE(Q93:Q95),0)))</f>
        <v>594</v>
      </c>
      <c r="R97" s="205">
        <f>IF($B$93="Лікар загальної практики - сімейний лікар",AVERAGE(R93:R95),IF($B$93="Лікар-педіатр","x",IF($B$93="Лікар-терапевт",AVERAGE(R93:R95),0)))</f>
        <v>182</v>
      </c>
      <c r="S97" s="206">
        <f>SUM(N97:R97)</f>
        <v>1779</v>
      </c>
      <c r="T97" s="973"/>
      <c r="U97" s="205">
        <f>IF($B$93="Лікар загальної практики - сімейний лікар",AVERAGE(U93:U95),IF($B$93="Лікар-педіатр",AVERAGE(U93:U95),IF($B$93="Лікар-терапевт","х",0)))</f>
        <v>78</v>
      </c>
      <c r="V97" s="205">
        <f>IF($B$93="Лікар загальної практики - сімейний лікар",AVERAGE(V93:V95),IF($B$93="Лікар-педіатр",AVERAGE(V93:V95),IF($B$93="Лікар-терапевт","х",0)))</f>
        <v>345</v>
      </c>
      <c r="W97" s="205">
        <f>IF($B$93="Лікар загальної практики - сімейний лікар",AVERAGE(W93:W95),IF($B$93="Лікар-педіатр","x",IF($B$93="Лікар-терапевт",AVERAGE(W93:W95),0)))</f>
        <v>580</v>
      </c>
      <c r="X97" s="205">
        <f>IF($B$93="Лікар загальної практики - сімейний лікар",AVERAGE(X93:X95),IF($B$93="Лікар-педіатр","x",IF($B$93="Лікар-терапевт",AVERAGE(X93:X95),0)))</f>
        <v>594</v>
      </c>
      <c r="Y97" s="205">
        <f>IF($B$93="Лікар загальної практики - сімейний лікар",AVERAGE(Y93:Y95),IF($B$93="Лікар-педіатр","x",IF($B$93="Лікар-терапевт",AVERAGE(Y93:Y95),0)))</f>
        <v>182</v>
      </c>
      <c r="Z97" s="206">
        <f>SUM(U97:Y97)</f>
        <v>1779</v>
      </c>
      <c r="AA97" s="973"/>
      <c r="AB97" s="205">
        <f>IF($B$93="Лікар загальної практики - сімейний лікар",AVERAGE(AB93:AB95),IF($B$93="Лікар-педіатр",AVERAGE(AB93:AB95),IF($B$93="Лікар-терапевт","х",0)))</f>
        <v>78</v>
      </c>
      <c r="AC97" s="205">
        <f>IF($B$93="Лікар загальної практики - сімейний лікар",AVERAGE(AC93:AC95),IF($B$93="Лікар-педіатр",AVERAGE(AC93:AC95),IF($B$93="Лікар-терапевт","х",0)))</f>
        <v>345</v>
      </c>
      <c r="AD97" s="205">
        <f>IF($B$93="Лікар загальної практики - сімейний лікар",AVERAGE(AD93:AD95),IF($B$93="Лікар-педіатр","x",IF($B$93="Лікар-терапевт",AVERAGE(AD93:AD95),0)))</f>
        <v>580</v>
      </c>
      <c r="AE97" s="205">
        <f>IF($B$93="Лікар загальної практики - сімейний лікар",AVERAGE(AE93:AE95),IF($B$93="Лікар-педіатр","x",IF($B$93="Лікар-терапевт",AVERAGE(AE93:AE95),0)))</f>
        <v>594</v>
      </c>
      <c r="AF97" s="205">
        <f>IF($B$93="Лікар загальної практики - сімейний лікар",AVERAGE(AF93:AF95),IF($B$93="Лікар-педіатр","x",IF($B$93="Лікар-терапевт",AVERAGE(AF93:AF95),0)))</f>
        <v>182</v>
      </c>
      <c r="AG97" s="206">
        <f>SUM(AB97:AF97)</f>
        <v>1779</v>
      </c>
      <c r="AH97" s="967"/>
      <c r="AI97" s="201"/>
      <c r="AJ97" s="945"/>
      <c r="AK97" s="960"/>
      <c r="AL97" s="960"/>
      <c r="AM97" s="931"/>
      <c r="AN97" s="949"/>
      <c r="AO97" s="949"/>
      <c r="AP97" s="949"/>
      <c r="AQ97" s="949"/>
      <c r="AR97" s="964"/>
    </row>
    <row r="98" spans="1:44" s="50" customFormat="1" ht="40.5">
      <c r="A98" s="197"/>
      <c r="B98" s="969"/>
      <c r="C98" s="974"/>
      <c r="D98" s="971"/>
      <c r="E98" s="971"/>
      <c r="F98" s="237" t="str">
        <f ca="1">IF(B93="Лікар-педіатр",Законод!$C$17,IF(B93="Лікар загальної практики - сімейний лікар",Законод!$C$21,IF(B93="Лікар-терапевт",Законод!$C$25,"х")))</f>
        <v>ліміт (до 1800)</v>
      </c>
      <c r="G98" s="208">
        <f ca="1">IF($B$93="Лікар загальної практики - сімейний лікар",IF(L97&lt;=Законод!$C$22,G97,Законод!$C$22*'01_Доходи'!G96),IF($B$93="Лікар-педіатр",IF(L97&lt;=Законод!$C$18,G97,Законод!$C$18*'01_Доходи'!G96),IF($B$93="Лікар-терапевт","x",0)))</f>
        <v>78</v>
      </c>
      <c r="H98" s="208">
        <f ca="1">IF($B$93="Лікар загальної практики - сімейний лікар",IF(L97&lt;=Законод!$C$22,H97,Законод!$C$22*'01_Доходи'!H96),IF($B$93="Лікар-педіатр",IF(L97&lt;=Законод!$C$18,H97,Законод!$C$18*'01_Доходи'!H96),IF($B$93="Лікар-терапевт","x",0)))</f>
        <v>345</v>
      </c>
      <c r="I98" s="208">
        <f ca="1">IF($B$93="Лікар загальної практики - сімейний лікар",IF(L97&lt;=Законод!$C$22,I97,Законод!$C$22*'01_Доходи'!I96),IF($B$93="Лікар-педіатр","x",IF($B$93="Лікар-терапевт",IF(L97&lt;=Законод!$C$26,I97,Законод!$C$26*'01_Доходи'!I96),0)))</f>
        <v>580</v>
      </c>
      <c r="J98" s="208">
        <f ca="1">IF($B$93="Лікар загальної практики - сімейний лікар",IF(L97&lt;=Законод!$C$22,J97,Законод!$C$22*'01_Доходи'!J96),IF($B$93="Лікар-педіатр","x",IF($B$93="Лікар-терапевт",IF(L97&lt;=Законод!$C$26,J97,Законод!$C$26*'01_Доходи'!J96),0)))</f>
        <v>594</v>
      </c>
      <c r="K98" s="208">
        <f ca="1">IF($B$93="Лікар загальної практики - сімейний лікар",IF(L97&lt;=Законод!$C$22,K97,Законод!$C$22*'01_Доходи'!K96),IF($B$93="Лікар-педіатр","x",IF($B$93="Лікар-терапевт",IF(L97&lt;=Законод!$C$26,K97,Законод!$C$26*'01_Доходи'!K96),0)))</f>
        <v>182</v>
      </c>
      <c r="L98" s="209">
        <f ca="1">SUM(G98:K98)</f>
        <v>1779</v>
      </c>
      <c r="M98" s="966"/>
      <c r="N98" s="208">
        <f ca="1">IF($B$93="Лікар загальної практики - сімейний лікар",IF(S97&lt;=Законод!$C$22,N97,Законод!$C$22*'01_Доходи'!N96),IF($B$93="Лікар-педіатр",IF(S97&lt;=Законод!$C$18,N97,Законод!$C$18*'01_Доходи'!N96),IF($B$93="Лікар-терапевт","x",0)))</f>
        <v>78</v>
      </c>
      <c r="O98" s="208">
        <f ca="1">IF($B$93="Лікар загальної практики - сімейний лікар",IF(S97&lt;=Законод!$C$22,O97,Законод!$C$22*'01_Доходи'!O96),IF($B$93="Лікар-педіатр",IF(S97&lt;=Законод!$C$18,O97,Законод!$C$18*'01_Доходи'!O96),IF($B$93="Лікар-терапевт","x",0)))</f>
        <v>345</v>
      </c>
      <c r="P98" s="208">
        <f ca="1">IF($B$93="Лікар загальної практики - сімейний лікар",IF(S97&lt;=Законод!$C$22,P97,Законод!$C$22*'01_Доходи'!P96),IF($B$93="Лікар-педіатр","x",IF($B$93="Лікар-терапевт",IF(S97&lt;=Законод!$C$26,P97,Законод!$C$26*'01_Доходи'!P96),0)))</f>
        <v>580</v>
      </c>
      <c r="Q98" s="208">
        <f ca="1">IF($B$93="Лікар загальної практики - сімейний лікар",IF(S97&lt;=Законод!$C$22,Q97,Законод!$C$22*'01_Доходи'!Q96),IF($B$93="Лікар-педіатр","x",IF($B$93="Лікар-терапевт",IF(S97&lt;=Законод!$C$26,Q97,Законод!$C$26*'01_Доходи'!Q96),0)))</f>
        <v>594</v>
      </c>
      <c r="R98" s="208">
        <f ca="1">IF($B$93="Лікар загальної практики - сімейний лікар",IF(S97&lt;=Законод!$C$22,R97,Законод!$C$22*'01_Доходи'!R96),IF($B$93="Лікар-педіатр","x",IF($B$93="Лікар-терапевт",IF(S97&lt;=Законод!$C$26,R97,Законод!$C$26*'01_Доходи'!R96),0)))</f>
        <v>182</v>
      </c>
      <c r="S98" s="209">
        <f ca="1">SUM(N98:R98)</f>
        <v>1779</v>
      </c>
      <c r="T98" s="966"/>
      <c r="U98" s="208">
        <f ca="1">IF($B$93="Лікар загальної практики - сімейний лікар",IF(Z97&lt;=Законод!$C$22,U97,Законод!$C$22*'01_Доходи'!U96),IF($B$93="Лікар-педіатр",IF(Z97&lt;=Законод!$C$18,U97,Законод!$C$18*'01_Доходи'!U96),IF($B$93="Лікар-терапевт","x",0)))</f>
        <v>78</v>
      </c>
      <c r="V98" s="208">
        <f ca="1">IF($B$93="Лікар загальної практики - сімейний лікар",IF(Z97&lt;=Законод!$C$22,V97,Законод!$C$22*'01_Доходи'!V96),IF($B$93="Лікар-педіатр",IF(Z97&lt;=Законод!$C$18,V97,Законод!$C$18*'01_Доходи'!V96),IF($B$93="Лікар-терапевт","x",0)))</f>
        <v>345</v>
      </c>
      <c r="W98" s="208">
        <f ca="1">IF($B$93="Лікар загальної практики - сімейний лікар",IF(Z97&lt;=Законод!$C$22,W97,Законод!$C$22*'01_Доходи'!W96),IF($B$93="Лікар-педіатр","x",IF($B$93="Лікар-терапевт",IF(Z97&lt;=Законод!$C$26,W97,Законод!$C$26*'01_Доходи'!W96),0)))</f>
        <v>580</v>
      </c>
      <c r="X98" s="208">
        <f ca="1">IF($B$93="Лікар загальної практики - сімейний лікар",IF(Z97&lt;=Законод!$C$22,X97,Законод!$C$22*'01_Доходи'!X96),IF($B$93="Лікар-педіатр","x",IF($B$93="Лікар-терапевт",IF(Z97&lt;=Законод!$C$26,X97,Законод!$C$26*'01_Доходи'!X96),0)))</f>
        <v>594</v>
      </c>
      <c r="Y98" s="208">
        <f ca="1">IF($B$93="Лікар загальної практики - сімейний лікар",IF(Z97&lt;=Законод!$C$22,Y97,Законод!$C$22*'01_Доходи'!Y96),IF($B$93="Лікар-педіатр","x",IF($B$93="Лікар-терапевт",IF(Z97&lt;=Законод!$C$26,Y97,Законод!$C$26*'01_Доходи'!Y96),0)))</f>
        <v>182</v>
      </c>
      <c r="Z98" s="209">
        <f ca="1">SUM(U98:Y98)</f>
        <v>1779</v>
      </c>
      <c r="AA98" s="966"/>
      <c r="AB98" s="208">
        <f ca="1">IF($B$93="Лікар загальної практики - сімейний лікар",IF(AG97&lt;=Законод!$C$22,AB97,Законод!$C$22*'01_Доходи'!AB96),IF($B$93="Лікар-педіатр",IF(AG97&lt;=Законод!$C$18,AB97,Законод!$C$18*'01_Доходи'!AB96),IF($B$93="Лікар-терапевт","x",0)))</f>
        <v>78</v>
      </c>
      <c r="AC98" s="208">
        <f ca="1">IF($B$93="Лікар загальної практики - сімейний лікар",IF(AG97&lt;=Законод!$C$22,AC97,Законод!$C$22*'01_Доходи'!AC96),IF($B$93="Лікар-педіатр",IF(AG97&lt;=Законод!$C$18,AC97,Законод!$C$18*'01_Доходи'!AC96),IF($B$93="Лікар-терапевт","x",0)))</f>
        <v>345</v>
      </c>
      <c r="AD98" s="208">
        <f ca="1">IF($B$93="Лікар загальної практики - сімейний лікар",IF(AG97&lt;=Законод!$C$22,AD97,Законод!$C$22*'01_Доходи'!AD96),IF($B$93="Лікар-педіатр","x",IF($B$93="Лікар-терапевт",IF(AG97&lt;=Законод!$C$26,AD97,Законод!$C$26*'01_Доходи'!AD96),0)))</f>
        <v>580</v>
      </c>
      <c r="AE98" s="208">
        <f ca="1">IF($B$93="Лікар загальної практики - сімейний лікар",IF(AG97&lt;=Законод!$C$22,AE97,Законод!$C$22*'01_Доходи'!AE96),IF($B$93="Лікар-педіатр","x",IF($B$93="Лікар-терапевт",IF(AG97&lt;=Законод!$C$26,AE97,Законод!$C$26*'01_Доходи'!AE96),0)))</f>
        <v>594</v>
      </c>
      <c r="AF98" s="208">
        <f ca="1">IF($B$93="Лікар загальної практики - сімейний лікар",IF(AG97&lt;=Законод!$C$22,AF97,Законод!$C$22*'01_Доходи'!AF96),IF($B$93="Лікар-педіатр","x",IF($B$93="Лікар-терапевт",IF(AG97&lt;=Законод!$C$26,AF97,Законод!$C$26*'01_Доходи'!AF96),0)))</f>
        <v>182</v>
      </c>
      <c r="AG98" s="209">
        <f ca="1">SUM(AB98:AF98)</f>
        <v>1779</v>
      </c>
      <c r="AH98" s="966"/>
      <c r="AI98" s="201"/>
      <c r="AJ98" s="945"/>
      <c r="AK98" s="960"/>
      <c r="AL98" s="960"/>
      <c r="AM98" s="348" t="s">
        <v>451</v>
      </c>
      <c r="AN98" s="210">
        <f ca="1">IF(B93="Лікар загальної практики - сімейний лікар",G98*Законод!$C$11+'01_Доходи'!H98*Законод!$D$11+'01_Доходи'!I98*Законод!$E$11+'01_Доходи'!J98*Законод!$F$11+'01_Доходи'!K98*Законод!$G$11,IF(B93="Лікар-педіатр",G98*Законод!$C$11+'01_Доходи'!H98*Законод!$D$11,IF(B93="Лікар-терапевт",'01_Доходи'!I98*Законод!$E$11+'01_Доходи'!J98*Законод!$F$11+'01_Доходи'!K98*Законод!$G$11,0)))</f>
        <v>330503.13099999999</v>
      </c>
      <c r="AO98" s="210">
        <f ca="1">IF(B93="Лікар загальної практики - сімейний лікар",N98*Законод!$C$11+'01_Доходи'!O98*Законод!$D$11+'01_Доходи'!P98*Законод!$E$11+'01_Доходи'!Q98*Законод!$F$11+'01_Доходи'!R98*Законод!$G$11,IF(B93="Лікар-педіатр",N98*Законод!$C$11+'01_Доходи'!O98*Законод!$D$11,IF(B93="Лікар-терапевт",'01_Доходи'!P98*Законод!$E$11+'01_Доходи'!Q98*Законод!$F$11+'01_Доходи'!R98*Законод!$G$11,0)))</f>
        <v>330503.13099999999</v>
      </c>
      <c r="AP98" s="210">
        <f ca="1">IF(B93="Лікар загальної практики - сімейний лікар",U98*Законод!$C$11+'01_Доходи'!V98*Законод!$D$11+'01_Доходи'!W98*Законод!$E$11+'01_Доходи'!X98*Законод!$F$11+'01_Доходи'!Y98*Законод!$G$11,IF(B93="Лікар-педіатр",U98*Законод!$C$11+'01_Доходи'!V98*Законод!$D$11,IF(B93="Лікар-терапевт",'01_Доходи'!W98*Законод!$E$11+'01_Доходи'!X98*Законод!$F$11+'01_Доходи'!Y98*Законод!$G$11,0)))</f>
        <v>330503.13099999999</v>
      </c>
      <c r="AQ98" s="210">
        <f ca="1">IF(B93="Лікар загальної практики - сімейний лікар",AB98*Законод!$C$11+'01_Доходи'!AC98*Законод!$D$11+'01_Доходи'!AD98*Законод!$E$11+'01_Доходи'!AE98*Законод!$F$11+'01_Доходи'!AF98*Законод!$G$11,IF(B93="Лікар-педіатр",AB98*Законод!$C$11+'01_Доходи'!AC98*Законод!$D$11,IF(B93="Лікар-терапевт",'01_Доходи'!AD98*Законод!$E$11+'01_Доходи'!AE98*Законод!$F$11+'01_Доходи'!AF98*Законод!$G$11,0)))</f>
        <v>330503.13099999999</v>
      </c>
      <c r="AR98" s="211">
        <f t="shared" ref="AR98:AR104" si="11">SUM(AN98:AQ98)</f>
        <v>1322012.524</v>
      </c>
    </row>
    <row r="99" spans="1:44" s="50" customFormat="1" ht="31.9" customHeight="1">
      <c r="A99" s="197"/>
      <c r="B99" s="969"/>
      <c r="C99" s="974"/>
      <c r="D99" s="971"/>
      <c r="E99" s="971"/>
      <c r="F99" s="238" t="str">
        <f ca="1">IF(B93="Лікар-педіатр",Законод!$E$17,IF(B93="Лікар загальної практики - сімейний лікар",Законод!$E$21,IF(B93="Лікар-терапевт",Законод!$E$25,"х")))</f>
        <v>понад ліміт (1801-1980)</v>
      </c>
      <c r="G99" s="965" t="s">
        <v>423</v>
      </c>
      <c r="H99" s="965"/>
      <c r="I99" s="965"/>
      <c r="J99" s="965"/>
      <c r="K99" s="965"/>
      <c r="L99" s="196">
        <f ca="1">IF($B$93="Лікар загальної практики - сімейний лікар",IF(L97&lt;Законод!$C$22,0,(IF(AND(L97&gt;=Законод!$E$22,L97&lt;=Законод!$E$23),L97-Законод!$C$22,IF('01_Доходи'!L97&gt;=Законод!$F$22,Законод!$E$24,0)))),IF($B$93="Лікар-педіатр",IF(L97&lt;Законод!$C$18,0,(IF(AND(L97&gt;=Законод!$E$18,L97&lt;=Законод!$E$19),L97-Законод!$C$18,IF('01_Доходи'!L97&gt;=Законод!$F$18,Законод!$E$20,0)))),IF($B$93="Лікар-терапевт",IF(L97&lt;Законод!$C$26,0,(IF(AND(L97&gt;=Законод!$E$26,L97&lt;=Законод!$E$27),L97-Законод!$C$26,IF('01_Доходи'!L97&gt;=Законод!$F$26,Законод!$E$28,0)))),0)))</f>
        <v>0</v>
      </c>
      <c r="M99" s="966"/>
      <c r="N99" s="965" t="s">
        <v>423</v>
      </c>
      <c r="O99" s="965"/>
      <c r="P99" s="965"/>
      <c r="Q99" s="965"/>
      <c r="R99" s="965"/>
      <c r="S99" s="196">
        <f ca="1">IF($B$93="Лікар загальної практики - сімейний лікар",IF(S97&lt;Законод!$C$22,0,(IF(AND(S97&gt;=Законод!$E$22,S97&lt;=Законод!$E$23),S97-Законод!$C$22,IF('01_Доходи'!S97&gt;=Законод!$F$22,Законод!$E$24,0)))),IF($B$93="Лікар-педіатр",IF(S97&lt;Законод!$C$18,0,(IF(AND(S97&gt;=Законод!$E$18,S97&lt;=Законод!$E$19),S97-Законод!$C$18,IF('01_Доходи'!S97&gt;=Законод!$F$18,Законод!$E$20,0)))),IF($B$93="Лікар-терапевт",IF(S97&lt;Законод!$C$26,0,(IF(AND(S97&gt;=Законод!$E$26,S97&lt;=Законод!$E$27),S97-Законод!$C$26,IF('01_Доходи'!S97&gt;=Законод!$F$26,Законод!$E$28,0)))),0)))</f>
        <v>0</v>
      </c>
      <c r="T99" s="966"/>
      <c r="U99" s="965" t="s">
        <v>423</v>
      </c>
      <c r="V99" s="965"/>
      <c r="W99" s="965"/>
      <c r="X99" s="965"/>
      <c r="Y99" s="965"/>
      <c r="Z99" s="196">
        <f ca="1">IF($B$93="Лікар загальної практики - сімейний лікар",IF(Z97&lt;Законод!$C$22,0,(IF(AND(Z97&gt;=Законод!$E$22,Z97&lt;=Законод!$E$23),Z97-Законод!$C$22,IF('01_Доходи'!Z97&gt;=Законод!$F$22,Законод!$E$24,0)))),IF($B$93="Лікар-педіатр",IF(Z97&lt;Законод!$C$18,0,(IF(AND(Z97&gt;=Законод!$E$18,Z97&lt;=Законод!$E$19),Z97-Законод!$C$18,IF('01_Доходи'!Z97&gt;=Законод!$F$18,Законод!$E$20,0)))),IF($B$93="Лікар-терапевт",IF(Z97&lt;Законод!$C$26,0,(IF(AND(Z97&gt;=Законод!$E$26,Z97&lt;=Законод!$E$27),Z97-Законод!$C$26,IF('01_Доходи'!Z97&gt;=Законод!$F$26,Законод!$E$28,0)))),0)))</f>
        <v>0</v>
      </c>
      <c r="AA99" s="966"/>
      <c r="AB99" s="965" t="s">
        <v>423</v>
      </c>
      <c r="AC99" s="965"/>
      <c r="AD99" s="965"/>
      <c r="AE99" s="965"/>
      <c r="AF99" s="965"/>
      <c r="AG99" s="196">
        <f ca="1">IF($B$93="Лікар загальної практики - сімейний лікар",IF(AG97&lt;Законод!$C$22,0,(IF(AND(AG97&gt;=Законод!$E$22,AG97&lt;=Законод!$E$23),AG97-Законод!$C$22,IF('01_Доходи'!AG97&gt;=Законод!$F$22,Законод!$E$24,0)))),IF($B$93="Лікар-педіатр",IF(AG97&lt;Законод!$C$18,0,(IF(AND(AG97&gt;=Законод!$E$18,AG97&lt;=Законод!$E$19),AG97-Законод!$C$18,IF('01_Доходи'!AG97&gt;=Законод!$F$18,Законод!$E$20,0)))),IF($B$93="Лікар-терапевт",IF(AG97&lt;Законод!$C$26,0,(IF(AND(AG97&gt;=Законод!$E$26,AG97&lt;=Законод!$E$27),AG97-Законод!$C$26,IF('01_Доходи'!AG97&gt;=Законод!$F$26,Законод!$E$28,0)))),0)))</f>
        <v>0</v>
      </c>
      <c r="AH99" s="966"/>
      <c r="AI99" s="201"/>
      <c r="AJ99" s="945"/>
      <c r="AK99" s="960"/>
      <c r="AL99" s="960"/>
      <c r="AM99" s="926" t="s">
        <v>452</v>
      </c>
      <c r="AN99" s="210">
        <f ca="1">IF(B93="Лікар загальної практики - сімейний лікар",L99*Законод!$C$9/4*Законод!$E$16,IF(B93="Лікар-педіатр",L99*Законод!$C$9/4*Законод!$E$16,IF(B93="Лікар-терапевт",L99*Законод!$C$9/4*Законод!$E$16,0)))</f>
        <v>0</v>
      </c>
      <c r="AO99" s="210">
        <f ca="1">IF(B93="Лікар загальної практики - сімейний лікар",S99*Законод!$C$9/4*Законод!$E$16,IF(B93="Лікар-педіатр",S99*Законод!$C$9/4*Законод!$E$16,IF(B93="Лікар-терапевт",S99*Законод!$C$9/4*Законод!$E$16,0)))</f>
        <v>0</v>
      </c>
      <c r="AP99" s="210">
        <f ca="1">IF(B93="Лікар загальної практики - сімейний лікар",Z99*Законод!$C$9/4*Законод!$E$16,IF(B93="Лікар-педіатр",Z99*Законод!$C$9/4*Законод!$E$16,IF(B93="Лікар-терапевт",Z99*Законод!$C$9/4*Законод!$E$16,0)))</f>
        <v>0</v>
      </c>
      <c r="AQ99" s="210">
        <f ca="1">IF(B93="Лікар загальної практики - сімейний лікар",AG99*Законод!$C$9/4*Законод!$E$16,IF(B93="Лікар-педіатр",AG99*Законод!$C$9/4*Законод!$E$16,IF(B93="Лікар-терапевт",AG99*Законод!$C$9/4*Законод!$E$16,0)))</f>
        <v>0</v>
      </c>
      <c r="AR99" s="211">
        <f t="shared" si="11"/>
        <v>0</v>
      </c>
    </row>
    <row r="100" spans="1:44" s="50" customFormat="1" ht="31.9" customHeight="1">
      <c r="A100" s="197"/>
      <c r="B100" s="969"/>
      <c r="C100" s="974"/>
      <c r="D100" s="971"/>
      <c r="E100" s="971"/>
      <c r="F100" s="238" t="str">
        <f ca="1">IF(B93="Лікар-педіатр",Законод!$F$17,IF(B93="Лікар загальної практики - сімейний лікар",Законод!$F$21,IF(B93="Лікар-терапевт",Законод!$F$25,"х")))</f>
        <v>понад ліміт (1981-2160)</v>
      </c>
      <c r="G100" s="965" t="s">
        <v>423</v>
      </c>
      <c r="H100" s="965"/>
      <c r="I100" s="965"/>
      <c r="J100" s="965"/>
      <c r="K100" s="965"/>
      <c r="L100" s="196">
        <f ca="1">IF($B$93="Лікар загальної практики - сімейний лікар",IF(L97&lt;Законод!$C$22,0,(IF(AND(L97&gt;=Законод!$F$22,L97&lt;=Законод!$F$23),L97-Законод!$E$23,IF('01_Доходи'!L97&gt;=Законод!$G$22,Законод!$F$24,0)))),IF($B$93="Лікар-педіатр",IF(L97&lt;Законод!$C$18,0,(IF(AND(L97&gt;=Законод!$F$18,L97&lt;=Законод!$F$19),L97-Законод!$E$19,IF('01_Доходи'!L97&gt;=Законод!$G$18,Законод!$F$20,0)))),IF($B$93="Лікар-терапевт",IF(L97&lt;Законод!$C$26,0,(IF(AND(L97&gt;=Законод!$F$26,L97&lt;=Законод!$F$27),L97-Законод!$E$27,IF('01_Доходи'!L97&gt;=Законод!$G$26,Законод!$F$28,0)))),0)))</f>
        <v>0</v>
      </c>
      <c r="M100" s="966"/>
      <c r="N100" s="965" t="s">
        <v>423</v>
      </c>
      <c r="O100" s="965"/>
      <c r="P100" s="965"/>
      <c r="Q100" s="965"/>
      <c r="R100" s="965"/>
      <c r="S100" s="196">
        <f ca="1">IF($B$93="Лікар загальної практики - сімейний лікар",IF(S97&lt;Законод!$C$22,0,(IF(AND(S97&gt;=Законод!$F$22,S97&lt;=Законод!$F$23),S97-Законод!$E$23,IF('01_Доходи'!S97&gt;=Законод!$G$22,Законод!$F$24,0)))),IF($B$93="Лікар-педіатр",IF(S97&lt;Законод!$C$18,0,(IF(AND(S97&gt;=Законод!$F$18,S97&lt;=Законод!$F$19),S97-Законод!$E$19,IF('01_Доходи'!S97&gt;=Законод!$G$18,Законод!$F$20,0)))),IF($B$93="Лікар-терапевт",IF(S97&lt;Законод!$C$26,0,(IF(AND(S97&gt;=Законод!$F$26,S97&lt;=Законод!$F$27),S97-Законод!$E$27,IF('01_Доходи'!S97&gt;=Законод!$G$26,Законод!$F$28,0)))),0)))</f>
        <v>0</v>
      </c>
      <c r="T100" s="966"/>
      <c r="U100" s="965" t="s">
        <v>423</v>
      </c>
      <c r="V100" s="965"/>
      <c r="W100" s="965"/>
      <c r="X100" s="965"/>
      <c r="Y100" s="965"/>
      <c r="Z100" s="196">
        <f ca="1">IF($B$93="Лікар загальної практики - сімейний лікар",IF(Z97&lt;Законод!$C$22,0,(IF(AND(Z97&gt;=Законод!$F$22,Z97&lt;=Законод!$F$23),Z97-Законод!$E$23,IF('01_Доходи'!Z97&gt;=Законод!$G$22,Законод!$F$24,0)))),IF($B$93="Лікар-педіатр",IF(Z97&lt;Законод!$C$18,0,(IF(AND(Z97&gt;=Законод!$F$18,Z97&lt;=Законод!$F$19),Z97-Законод!$E$19,IF('01_Доходи'!Z97&gt;=Законод!$G$18,Законод!$F$20,0)))),IF($B$93="Лікар-терапевт",IF(Z97&lt;Законод!$C$26,0,(IF(AND(Z97&gt;=Законод!$F$26,Z97&lt;=Законод!$F$27),Z97-Законод!$E$27,IF('01_Доходи'!Z97&gt;=Законод!$G$26,Законод!$F$28,0)))),0)))</f>
        <v>0</v>
      </c>
      <c r="AA100" s="966"/>
      <c r="AB100" s="965" t="s">
        <v>423</v>
      </c>
      <c r="AC100" s="965"/>
      <c r="AD100" s="965"/>
      <c r="AE100" s="965"/>
      <c r="AF100" s="965"/>
      <c r="AG100" s="196">
        <f ca="1">IF($B$93="Лікар загальної практики - сімейний лікар",IF(AG97&lt;Законод!$C$22,0,(IF(AND(AG97&gt;=Законод!$F$22,AG97&lt;=Законод!$F$23),AG97-Законод!$E$23,IF('01_Доходи'!AG97&gt;=Законод!$G$22,Законод!$F$24,0)))),IF($B$93="Лікар-педіатр",IF(AG97&lt;Законод!$C$18,0,(IF(AND(AG97&gt;=Законод!$F$18,AG97&lt;=Законод!$F$19),AG97-Законод!$E$19,IF('01_Доходи'!AG97&gt;=Законод!$G$18,Законод!$F$20,0)))),IF($B$93="Лікар-терапевт",IF(AG97&lt;Законод!$C$26,0,(IF(AND(AG97&gt;=Законод!$F$26,AG97&lt;=Законод!$F$27),AG97-Законод!$E$27,IF('01_Доходи'!AG97&gt;=Законод!$G$26,Законод!$F$28,0)))),0)))</f>
        <v>0</v>
      </c>
      <c r="AH100" s="966"/>
      <c r="AI100" s="201"/>
      <c r="AJ100" s="945"/>
      <c r="AK100" s="960"/>
      <c r="AL100" s="960"/>
      <c r="AM100" s="927"/>
      <c r="AN100" s="210">
        <f ca="1">IF(B93="Лікар загальної практики - сімейний лікар",L100*Законод!$C$9/4*Законод!$F$16,IF(B93="Лікар-педіатр",L100*Законод!$C$9/4*Законод!$F$16,IF(B93="Лікар-терапевт",L100*Законод!$C$9/4*Законод!$F$16,0)))</f>
        <v>0</v>
      </c>
      <c r="AO100" s="210">
        <f ca="1">IF(B93="Лікар загальної практики - сімейний лікар",S100*Законод!$C$9/4*Законод!$F$16,IF(B93="Лікар-педіатр",S100*Законод!$C$9/4*Законод!$F$16,IF(B93="Лікар-терапевт",S100*Законод!$C$9/4*Законод!$F$16,0)))</f>
        <v>0</v>
      </c>
      <c r="AP100" s="210">
        <f ca="1">IF(B93="Лікар загальної практики - сімейний лікар",Z100*Законод!$C$9/4*Законод!$F$16,IF(B93="Лікар-педіатр",Z100*Законод!$C$9/4*Законод!$F$16,IF(B93="Лікар-терапевт",Z100*Законод!$C$9/4*Законод!$F$16,0)))</f>
        <v>0</v>
      </c>
      <c r="AQ100" s="210">
        <f ca="1">IF(B93="Лікар загальної практики - сімейний лікар",AG100*Законод!$C$9/4*Законод!$F$16,IF(B93="Лікар-педіатр",AG100*Законод!$C$9/4*Законод!$F$16,IF(B93="Лікар-терапевт",AG100*Законод!$C$9/4*Законод!$F$16,0)))</f>
        <v>0</v>
      </c>
      <c r="AR100" s="211">
        <f t="shared" si="11"/>
        <v>0</v>
      </c>
    </row>
    <row r="101" spans="1:44" s="50" customFormat="1" ht="31.9" customHeight="1">
      <c r="A101" s="197"/>
      <c r="B101" s="969"/>
      <c r="C101" s="974"/>
      <c r="D101" s="971"/>
      <c r="E101" s="971"/>
      <c r="F101" s="238" t="str">
        <f ca="1">IF(B93="Лікар-педіатр",Законод!$G$17,IF(B93="Лікар загальної практики - сімейний лікар",Законод!$G$21,IF(B93="Лікар-терапевт",Законод!$G$25,"х")))</f>
        <v>понад ліміт (2161-2340)</v>
      </c>
      <c r="G101" s="965" t="s">
        <v>423</v>
      </c>
      <c r="H101" s="965"/>
      <c r="I101" s="965"/>
      <c r="J101" s="965"/>
      <c r="K101" s="965"/>
      <c r="L101" s="196">
        <f ca="1">IF($B$93="Лікар загальної практики - сімейний лікар",IF(L97&lt;Законод!$C$22,0,(IF(AND(L97&gt;=Законод!$G$22,L97&lt;=Законод!$G$23),L97-Законод!$F$23,IF('01_Доходи'!L97&gt;=Законод!$H$22,Законод!$G$24,0)))),IF($B$93="Лікар-педіатр",IF(L97&lt;Законод!$C$18,0,(IF(AND(L97&gt;=Законод!$G$18,L97&lt;=Законод!$G$19),L97-Законод!$F$19,IF('01_Доходи'!L97&gt;=Законод!$H$18,Законод!$G$20,0)))),IF($B$93="Лікар-терапевт",IF(L97&lt;Законод!$C$26,0,(IF(AND(L97&gt;=Законод!$G$26,L97&lt;=Законод!$G$27),L97-Законод!$F$27,IF('01_Доходи'!L97&gt;=Законод!$H$26,Законод!$G$28,0)))),0)))</f>
        <v>0</v>
      </c>
      <c r="M101" s="966"/>
      <c r="N101" s="965" t="s">
        <v>423</v>
      </c>
      <c r="O101" s="965"/>
      <c r="P101" s="965"/>
      <c r="Q101" s="965"/>
      <c r="R101" s="965"/>
      <c r="S101" s="196">
        <f ca="1">IF($B$93="Лікар загальної практики - сімейний лікар",IF(S97&lt;Законод!$C$22,0,(IF(AND(S97&gt;=Законод!$G$22,S97&lt;=Законод!$G$23),S97-Законод!$F$23,IF('01_Доходи'!S97&gt;=Законод!$H$22,Законод!$G$24,0)))),IF($B$93="Лікар-педіатр",IF(S97&lt;Законод!$C$18,0,(IF(AND(S97&gt;=Законод!$G$18,S97&lt;=Законод!$G$19),S97-Законод!$F$19,IF('01_Доходи'!S97&gt;=Законод!$H$18,Законод!$G$20,0)))),IF($B$93="Лікар-терапевт",IF(S97&lt;Законод!$C$26,0,(IF(AND(S97&gt;=Законод!$G$26,S97&lt;=Законод!$G$27),S97-Законод!$F$27,IF('01_Доходи'!S97&gt;=Законод!$H$26,Законод!$G$28,0)))),0)))</f>
        <v>0</v>
      </c>
      <c r="T101" s="966"/>
      <c r="U101" s="965" t="s">
        <v>423</v>
      </c>
      <c r="V101" s="965"/>
      <c r="W101" s="965"/>
      <c r="X101" s="965"/>
      <c r="Y101" s="965"/>
      <c r="Z101" s="196">
        <f ca="1">IF($B$93="Лікар загальної практики - сімейний лікар",IF(Z97&lt;Законод!$C$22,0,(IF(AND(Z97&gt;=Законод!$G$22,Z97&lt;=Законод!$G$23),Z97-Законод!$F$23,IF('01_Доходи'!Z97&gt;=Законод!$H$22,Законод!$G$24,0)))),IF($B$93="Лікар-педіатр",IF(Z97&lt;Законод!$C$18,0,(IF(AND(Z97&gt;=Законод!$G$18,Z97&lt;=Законод!$G$19),Z97-Законод!$F$19,IF('01_Доходи'!Z97&gt;=Законод!$H$18,Законод!$G$20,0)))),IF($B$93="Лікар-терапевт",IF(Z97&lt;Законод!$C$26,0,(IF(AND(Z97&gt;=Законод!$G$26,Z97&lt;=Законод!$G$27),Z97-Законод!$F$27,IF('01_Доходи'!Z97&gt;=Законод!$H$26,Законод!$G$28,0)))),0)))</f>
        <v>0</v>
      </c>
      <c r="AA101" s="966"/>
      <c r="AB101" s="965" t="s">
        <v>423</v>
      </c>
      <c r="AC101" s="965"/>
      <c r="AD101" s="965"/>
      <c r="AE101" s="965"/>
      <c r="AF101" s="965"/>
      <c r="AG101" s="196">
        <f ca="1">IF($B$93="Лікар загальної практики - сімейний лікар",IF(AG97&lt;Законод!$C$22,0,(IF(AND(AG97&gt;=Законод!$G$22,AG97&lt;=Законод!$G$23),AG97-Законод!$F$23,IF('01_Доходи'!AG97&gt;=Законод!$H$22,Законод!$G$24,0)))),IF($B$93="Лікар-педіатр",IF(AG97&lt;Законод!$C$18,0,(IF(AND(AG97&gt;=Законод!$G$18,AG97&lt;=Законод!$G$19),AG97-Законод!$F$19,IF('01_Доходи'!AG97&gt;=Законод!$H$18,Законод!$G$20,0)))),IF($B$93="Лікар-терапевт",IF(AG97&lt;Законод!$C$26,0,(IF(AND(AG97&gt;=Законод!$G$26,AG97&lt;=Законод!$G$27),AG97-Законод!$F$27,IF('01_Доходи'!AG97&gt;=Законод!$H$26,Законод!$G$28,0)))),0)))</f>
        <v>0</v>
      </c>
      <c r="AH101" s="966"/>
      <c r="AI101" s="201"/>
      <c r="AJ101" s="945"/>
      <c r="AK101" s="960"/>
      <c r="AL101" s="960"/>
      <c r="AM101" s="927"/>
      <c r="AN101" s="210">
        <f ca="1">IF(B93="Лікар загальної практики - сімейний лікар",L101*Законод!$C$9/4*Законод!$G$16,IF(B93="Лікар-педіатр",L101*Законод!$C$9/4*Законод!$G$16,IF(B93="Лікар-терапевт",L101*Законод!$C$9/4*Законод!$G$16,0)))</f>
        <v>0</v>
      </c>
      <c r="AO101" s="210">
        <f ca="1">IF(B93="Лікар загальної практики - сімейний лікар",S101*Законод!$C$9/4*Законод!$G$16,IF(B93="Лікар-педіатр",S101*Законод!$C$9/4*Законод!$G$16,IF(B93="Лікар-терапевт",S101*Законод!$C$9/4*Законод!$G$16,0)))</f>
        <v>0</v>
      </c>
      <c r="AP101" s="210">
        <f ca="1">IF(B93="Лікар загальної практики - сімейний лікар",Z101*Законод!$C$9/4*Законод!$G$16,IF(B93="Лікар-педіатр",Z101*Законод!$C$9/4*Законод!$G$16,IF(B93="Лікар-терапевт",Z101*Законод!$C$9/4*Законод!$G$16,0)))</f>
        <v>0</v>
      </c>
      <c r="AQ101" s="210">
        <f ca="1">IF(B93="Лікар загальної практики - сімейний лікар",AG101*Законод!$C$9/4*Законод!$G$16,IF(B93="Лікар-педіатр",AG101*Законод!$C$9/4*Законод!$G$16,IF(B93="Лікар-терапевт",AG101*Законод!$C$9/4*Законод!$G$16,0)))</f>
        <v>0</v>
      </c>
      <c r="AR101" s="211">
        <f t="shared" si="11"/>
        <v>0</v>
      </c>
    </row>
    <row r="102" spans="1:44" s="50" customFormat="1" ht="31.9" customHeight="1">
      <c r="A102" s="197"/>
      <c r="B102" s="969"/>
      <c r="C102" s="974"/>
      <c r="D102" s="971"/>
      <c r="E102" s="971"/>
      <c r="F102" s="238" t="str">
        <f ca="1">IF(B93="Лікар-педіатр",Законод!$H$17,IF(B93="Лікар загальної практики - сімейний лікар",Законод!$H$21,IF(B93="Лікар-терапевт",Законод!$H$25,"х")))</f>
        <v>понад ліміт (2341-2520)</v>
      </c>
      <c r="G102" s="965" t="s">
        <v>423</v>
      </c>
      <c r="H102" s="965"/>
      <c r="I102" s="965"/>
      <c r="J102" s="965"/>
      <c r="K102" s="965"/>
      <c r="L102" s="196">
        <f ca="1">IF($B$93="Лікар загальної практики - сімейний лікар",IF(L97&lt;Законод!$C$22,0,(IF(AND(L97&gt;=Законод!$H$22,L97&lt;=Законод!$H$23),L97-Законод!$G$23,IF('01_Доходи'!L97&gt;=Законод!$I$22,Законод!$H$24,0)))),IF($B$93="Лікар-педіатр",IF(L97&lt;Законод!$C$18,0,(IF(AND(L97&gt;=Законод!$H$18,L97&lt;=Законод!$H$19),L97-Законод!$G$19,IF('01_Доходи'!L97&gt;=Законод!$I$18,Законод!$H$20,0)))),IF($B$93="Лікар-терапевт",IF(L97&lt;Законод!$C$26,0,(IF(AND(L97&gt;=Законод!$H$26,L97&lt;=Законод!$H$27),L97-Законод!$G$27,IF(L97&gt;=Законод!$I$26,Законод!$H$28,0)))),0)))</f>
        <v>0</v>
      </c>
      <c r="M102" s="966"/>
      <c r="N102" s="965" t="s">
        <v>423</v>
      </c>
      <c r="O102" s="965"/>
      <c r="P102" s="965"/>
      <c r="Q102" s="965"/>
      <c r="R102" s="965"/>
      <c r="S102" s="196">
        <f ca="1">IF($B$93="Лікар загальної практики - сімейний лікар",IF(S97&lt;Законод!$C$22,0,(IF(AND(S97&gt;=Законод!$H$22,S97&lt;=Законод!$H$23),S97-Законод!$G$23,IF('01_Доходи'!S97&gt;=Законод!$I$22,Законод!$H$24,0)))),IF($B$93="Лікар-педіатр",IF(S97&lt;Законод!$C$18,0,(IF(AND(S97&gt;=Законод!$H$18,S97&lt;=Законод!$H$19),S97-Законод!$G$19,IF('01_Доходи'!S97&gt;=Законод!$I$18,Законод!$H$20,0)))),IF($B$93="Лікар-терапевт",IF(S97&lt;Законод!$C$26,0,(IF(AND(S97&gt;=Законод!$H$26,S97&lt;=Законод!$H$27),S97-Законод!$G$27,IF(S97&gt;=Законод!$I$26,Законод!$H$28,0)))),0)))</f>
        <v>0</v>
      </c>
      <c r="T102" s="966"/>
      <c r="U102" s="965" t="s">
        <v>423</v>
      </c>
      <c r="V102" s="965"/>
      <c r="W102" s="965"/>
      <c r="X102" s="965"/>
      <c r="Y102" s="965"/>
      <c r="Z102" s="196">
        <f ca="1">IF($B$93="Лікар загальної практики - сімейний лікар",IF(Z97&lt;Законод!$C$22,0,(IF(AND(Z97&gt;=Законод!$H$22,Z97&lt;=Законод!$H$23),Z97-Законод!$G$23,IF('01_Доходи'!Z97&gt;=Законод!$I$22,Законод!$H$24,0)))),IF($B$93="Лікар-педіатр",IF(Z97&lt;Законод!$C$18,0,(IF(AND(Z97&gt;=Законод!$H$18,Z97&lt;=Законод!$H$19),Z97-Законод!$G$19,IF('01_Доходи'!Z97&gt;=Законод!$I$18,Законод!$H$20,0)))),IF($B$93="Лікар-терапевт",IF(Z97&lt;Законод!$C$26,0,(IF(AND(Z97&gt;=Законод!$H$26,Z97&lt;=Законод!$H$27),Z97-Законод!$G$27,IF(Z97&gt;=Законод!$I$26,Законод!$H$28,0)))),0)))</f>
        <v>0</v>
      </c>
      <c r="AA102" s="966"/>
      <c r="AB102" s="965" t="s">
        <v>423</v>
      </c>
      <c r="AC102" s="965"/>
      <c r="AD102" s="965"/>
      <c r="AE102" s="965"/>
      <c r="AF102" s="965"/>
      <c r="AG102" s="196">
        <f ca="1">IF($B$93="Лікар загальної практики - сімейний лікар",IF(AG97&lt;Законод!$C$22,0,(IF(AND(AG97&gt;=Законод!$H$22,AG97&lt;=Законод!$H$23),AG97-Законод!$G$23,IF('01_Доходи'!AG97&gt;=Законод!$I$22,Законод!$H$24,0)))),IF($B$93="Лікар-педіатр",IF(AG97&lt;Законод!$C$18,0,(IF(AND(AG97&gt;=Законод!$H$18,AG97&lt;=Законод!$H$19),AG97-Законод!$G$19,IF('01_Доходи'!AG97&gt;=Законод!$I$18,Законод!$H$20,0)))),IF($B$93="Лікар-терапевт",IF(AG97&lt;Законод!$C$26,0,(IF(AND(AG97&gt;=Законод!$H$26,AG97&lt;=Законод!$H$27),AG97-Законод!$G$27,IF(AG97&gt;=Законод!$I$26,Законод!$H$28,0)))),0)))</f>
        <v>0</v>
      </c>
      <c r="AH102" s="966"/>
      <c r="AI102" s="201"/>
      <c r="AJ102" s="945"/>
      <c r="AK102" s="960"/>
      <c r="AL102" s="960"/>
      <c r="AM102" s="927"/>
      <c r="AN102" s="210">
        <f ca="1">IF(B93="Лікар загальної практики - сімейний лікар",L102*Законод!$C$9/4*Законод!$H$16,IF(B93="Лікар-педіатр",L102*Законод!$C$9/4*Законод!$H$16,IF(B93="Лікар-терапевт",L102*Законод!$C$9/4*Законод!$H$16,0)))</f>
        <v>0</v>
      </c>
      <c r="AO102" s="210">
        <f ca="1">IF(B93="Лікар загальної практики - сімейний лікар",S102*Законод!$C$9/4*Законод!$H$16,IF(B93="Лікар-педіатр",S102*Законод!$C$9/4*Законод!$H$16,IF(B93="Лікар-терапевт",S102*Законод!$C$9/4*Законод!$H$16,0)))</f>
        <v>0</v>
      </c>
      <c r="AP102" s="210">
        <f ca="1">IF(B93="Лікар загальної практики - сімейний лікар",Z102*Законод!$C$9/4*Законод!$H$16,IF(B93="Лікар-педіатр",Z102*Законод!$C$9/4*Законод!$H$16,IF(B93="Лікар-терапевт",Z102*Законод!$C$9/4*Законод!$H$16,0)))</f>
        <v>0</v>
      </c>
      <c r="AQ102" s="210">
        <f ca="1">IF(B93="Лікар загальної практики - сімейний лікар",AG102*Законод!$C$9/4*Законод!$H$16,IF(B93="Лікар-педіатр",AG102*Законод!$C$9/4*Законод!$H$16,IF(B93="Лікар-терапевт",AG102*Законод!$C$9/4*Законод!$H$16,0)))</f>
        <v>0</v>
      </c>
      <c r="AR102" s="211">
        <f t="shared" si="11"/>
        <v>0</v>
      </c>
    </row>
    <row r="103" spans="1:44" s="50" customFormat="1" ht="31.9" customHeight="1">
      <c r="A103" s="197"/>
      <c r="B103" s="969"/>
      <c r="C103" s="974"/>
      <c r="D103" s="971"/>
      <c r="E103" s="971"/>
      <c r="F103" s="238" t="str">
        <f ca="1">IF(B93="Лікар-педіатр",Законод!$I$17,IF(B93="Лікар загальної практики - сімейний лікар",Законод!$I$21,IF(B93="Лікар-терапевт",Законод!$I$25,"х")))</f>
        <v>понад ліміт (2521-2700)</v>
      </c>
      <c r="G103" s="965" t="s">
        <v>423</v>
      </c>
      <c r="H103" s="965"/>
      <c r="I103" s="965"/>
      <c r="J103" s="965"/>
      <c r="K103" s="965"/>
      <c r="L103" s="196">
        <f ca="1">IF($B$93="Лікар загальної практики - сімейний лікар",IF(L97&lt;Законод!$C$22,0,(IF(AND(L97&gt;=Законод!$I$22,L97&lt;=Законод!$I$23),L97-Законод!$H$23,IF('01_Доходи'!L97&gt;=Законод!$I$22,Законод!$I$24,0)))),IF($B$93="Лікар-педіатр",IF(L97&lt;Законод!$C$18,0,(IF(AND(L97&gt;=Законод!$I$18,L97&lt;=Законод!$I$19),L97-Законод!$H$19,IF('01_Доходи'!L97&gt;=Законод!$I$18,Законод!$H$20,0)))),IF($B$93="Лікар-терапевт",IF(L97&lt;Законод!$C$26,0,(IF(AND(L97&gt;=Законод!$I$26,L97&lt;=Законод!$I$27),L97-Законод!$H$27,IF('01_Доходи'!L97&gt;=Законод!$I$26,Законод!$H$28,0)))),0)))</f>
        <v>0</v>
      </c>
      <c r="M103" s="966"/>
      <c r="N103" s="965" t="s">
        <v>423</v>
      </c>
      <c r="O103" s="965"/>
      <c r="P103" s="965"/>
      <c r="Q103" s="965"/>
      <c r="R103" s="965"/>
      <c r="S103" s="196">
        <f ca="1">IF($B$93="Лікар загальної практики - сімейний лікар",IF(S97&lt;Законод!$C$22,0,(IF(AND(S97&gt;=Законод!$I$22,S97&lt;=Законод!$I$23),S97-Законод!$H$23,IF('01_Доходи'!S97&gt;=Законод!$I$22,Законод!$I$24,0)))),IF($B$93="Лікар-педіатр",IF(S97&lt;Законод!$C$18,0,(IF(AND(S97&gt;=Законод!$I$18,S97&lt;=Законод!$I$19),S97-Законод!$H$19,IF('01_Доходи'!S97&gt;=Законод!$I$18,Законод!$H$20,0)))),IF($B$93="Лікар-терапевт",IF(S97&lt;Законод!$C$26,0,(IF(AND(S97&gt;=Законод!$I$26,S97&lt;=Законод!$I$27),S97-Законод!$H$27,IF('01_Доходи'!S97&gt;=Законод!$I$26,Законод!$H$28,0)))),0)))</f>
        <v>0</v>
      </c>
      <c r="T103" s="966"/>
      <c r="U103" s="965" t="s">
        <v>423</v>
      </c>
      <c r="V103" s="965"/>
      <c r="W103" s="965"/>
      <c r="X103" s="965"/>
      <c r="Y103" s="965"/>
      <c r="Z103" s="196">
        <f ca="1">IF($B$93="Лікар загальної практики - сімейний лікар",IF(Z97&lt;Законод!$C$22,0,(IF(AND(Z97&gt;=Законод!$I$22,Z97&lt;=Законод!$I$23),Z97-Законод!$H$23,IF('01_Доходи'!Z97&gt;=Законод!$I$22,Законод!$I$24,0)))),IF($B$93="Лікар-педіатр",IF(Z97&lt;Законод!$C$18,0,(IF(AND(Z97&gt;=Законод!$I$18,Z97&lt;=Законод!$I$19),Z97-Законод!$H$19,IF('01_Доходи'!Z97&gt;=Законод!$I$18,Законод!$H$20,0)))),IF($B$93="Лікар-терапевт",IF(Z97&lt;Законод!$C$26,0,(IF(AND(Z97&gt;=Законод!$I$26,Z97&lt;=Законод!$I$27),Z97-Законод!$H$27,IF('01_Доходи'!Z97&gt;=Законод!$I$26,Законод!$H$28,0)))),0)))</f>
        <v>0</v>
      </c>
      <c r="AA103" s="966"/>
      <c r="AB103" s="965" t="s">
        <v>423</v>
      </c>
      <c r="AC103" s="965"/>
      <c r="AD103" s="965"/>
      <c r="AE103" s="965"/>
      <c r="AF103" s="965"/>
      <c r="AG103" s="196">
        <f ca="1">IF($B$93="Лікар загальної практики - сімейний лікар",IF(AG97&lt;Законод!$C$22,0,(IF(AND(AG97&gt;=Законод!$I$22,AG97&lt;=Законод!$I$23),AG97-Законод!$H$23,IF('01_Доходи'!AG97&gt;=Законод!$I$22,Законод!$I$24,0)))),IF($B$93="Лікар-педіатр",IF(AG97&lt;Законод!$C$18,0,(IF(AND(AG97&gt;=Законод!$I$18,AG97&lt;=Законод!$I$19),AG97-Законод!$H$19,IF('01_Доходи'!AG97&gt;=Законод!$I$18,Законод!$H$20,0)))),IF($B$93="Лікар-терапевт",IF(AG97&lt;Законод!$C$26,0,(IF(AND(AG97&gt;=Законод!$I$26,AG97&lt;=Законод!$I$27),AG97-Законод!$H$27,IF('01_Доходи'!AG97&gt;=Законод!$I$26,Законод!$H$28,0)))),0)))</f>
        <v>0</v>
      </c>
      <c r="AH103" s="966"/>
      <c r="AI103" s="201"/>
      <c r="AJ103" s="945"/>
      <c r="AK103" s="960"/>
      <c r="AL103" s="960"/>
      <c r="AM103" s="927"/>
      <c r="AN103" s="210">
        <f ca="1">IF(B93="Лікар загальної практики - сімейний лікар",L103*Законод!$C$9/4*Законод!$I$16,IF(B93="Лікар-педіатр",L103*Законод!$C$9/4*Законод!$I$16,IF(B93="Лікар-терапевт",L103*Законод!$C$9/4*Законод!$I$16,0)))</f>
        <v>0</v>
      </c>
      <c r="AO103" s="210">
        <f ca="1">IF(B93="Лікар загальної практики - сімейний лікар",S103*Законод!$C$9/4*Законод!$I$16,IF(B93="Лікар-педіатр",S103*Законод!$C$9/4*Законод!$I$16,IF(B93="Лікар-терапевт",S103*Законод!$C$9/4*Законод!$I$16,0)))</f>
        <v>0</v>
      </c>
      <c r="AP103" s="210">
        <f ca="1">IF(B93="Лікар загальної практики - сімейний лікар",Z103*Законод!$C$9/4*Законод!$I$16,IF(B93="Лікар-педіатр",Z103*Законод!$C$9/4*Законод!$I$16,IF(B93="Лікар-терапевт",Z103*Законод!$C$9/4*Законод!$I$16,0)))</f>
        <v>0</v>
      </c>
      <c r="AQ103" s="210">
        <f ca="1">IF(B93="Лікар загальної практики - сімейний лікар",AG103*Законод!$C$9/4*Законод!$I$16,IF(B93="Лікар-педіатр",AG103*Законод!$C$9/4*Законод!$I$16,IF(B93="Лікар-терапевт",AG103*Законод!$C$9/4*Законод!$I$16,0)))</f>
        <v>0</v>
      </c>
      <c r="AR103" s="211">
        <f t="shared" si="11"/>
        <v>0</v>
      </c>
    </row>
    <row r="104" spans="1:44" s="218" customFormat="1" ht="31.9" customHeight="1" thickBot="1">
      <c r="A104" s="213"/>
      <c r="B104" s="969"/>
      <c r="C104" s="974"/>
      <c r="D104" s="971"/>
      <c r="E104" s="971"/>
      <c r="F104" s="239" t="str">
        <f ca="1">IF(B93="Лікар-педіатр",Законод!$J$17,IF(B93="Лікар загальної практики - сімейний лікар",Законод!$J$21,IF(B93="Лікар-терапевт",Законод!$J$25,"х")))</f>
        <v>понад ліміт (&gt;=2701)</v>
      </c>
      <c r="G104" s="968" t="s">
        <v>423</v>
      </c>
      <c r="H104" s="968"/>
      <c r="I104" s="968"/>
      <c r="J104" s="968"/>
      <c r="K104" s="968"/>
      <c r="L104" s="196">
        <f ca="1">IF($B$93="Лікар загальної практики - сімейний лікар",IF(L97&gt;=Законод!$J$22,'01_Доходи'!L97-('01_Доходи'!L98+'01_Доходи'!L99+'01_Доходи'!L100+'01_Доходи'!L101+'01_Доходи'!L102+'01_Доходи'!L103),0),IF($B$93="Лікар-педіатр",IF(L97&gt;=Законод!$J$18,'01_Доходи'!L97-('01_Доходи'!L98+'01_Доходи'!L99+'01_Доходи'!L100+'01_Доходи'!L101+'01_Доходи'!L102+'01_Доходи'!L103),0),IF($B$93="Лікар-терапевт",IF('01_Доходи'!L97&gt;=Законод!$J$26,L97-Законод!$I$27,0),0)))</f>
        <v>0</v>
      </c>
      <c r="M104" s="966"/>
      <c r="N104" s="968" t="s">
        <v>423</v>
      </c>
      <c r="O104" s="968"/>
      <c r="P104" s="968"/>
      <c r="Q104" s="968"/>
      <c r="R104" s="968"/>
      <c r="S104" s="196">
        <f ca="1">IF($B$93="Лікар загальної практики - сімейний лікар",IF(S97&gt;=Законод!$J$22,'01_Доходи'!S97-('01_Доходи'!S98+'01_Доходи'!S99+'01_Доходи'!S100+'01_Доходи'!S101+'01_Доходи'!S102+'01_Доходи'!S103),0),IF($B$93="Лікар-педіатр",IF(S97&gt;=Законод!$J$18,'01_Доходи'!S97-('01_Доходи'!S98+'01_Доходи'!S99+'01_Доходи'!S100+'01_Доходи'!S101+'01_Доходи'!S102+'01_Доходи'!S103),0),IF($B$93="Лікар-терапевт",IF('01_Доходи'!S97&gt;=Законод!$J$26,S97-Законод!$I$27,0),0)))</f>
        <v>0</v>
      </c>
      <c r="T104" s="966"/>
      <c r="U104" s="968" t="s">
        <v>423</v>
      </c>
      <c r="V104" s="968"/>
      <c r="W104" s="968"/>
      <c r="X104" s="968"/>
      <c r="Y104" s="968"/>
      <c r="Z104" s="196">
        <f ca="1">IF($B$93="Лікар загальної практики - сімейний лікар",IF(Z97&gt;=Законод!$J$22,'01_Доходи'!Z97-('01_Доходи'!Z98+'01_Доходи'!Z99+'01_Доходи'!Z100+'01_Доходи'!Z101+'01_Доходи'!Z102+'01_Доходи'!Z103),0),IF($B$93="Лікар-педіатр",IF(Z97&gt;=Законод!$J$18,'01_Доходи'!Z97-('01_Доходи'!Z98+'01_Доходи'!Z99+'01_Доходи'!Z100+'01_Доходи'!Z101+'01_Доходи'!Z102+'01_Доходи'!Z103),0),IF($B$93="Лікар-терапевт",IF('01_Доходи'!Z97&gt;=Законод!$J$26,Z97-Законод!$I$27,0),0)))</f>
        <v>0</v>
      </c>
      <c r="AA104" s="966"/>
      <c r="AB104" s="968" t="s">
        <v>423</v>
      </c>
      <c r="AC104" s="968"/>
      <c r="AD104" s="968"/>
      <c r="AE104" s="968"/>
      <c r="AF104" s="968"/>
      <c r="AG104" s="196">
        <f ca="1">IF($B$93="Лікар загальної практики - сімейний лікар",IF(AG97&gt;=Законод!$J$22,'01_Доходи'!AG97-('01_Доходи'!AG98+'01_Доходи'!AG99+'01_Доходи'!AG100+'01_Доходи'!AG101+'01_Доходи'!AG102+'01_Доходи'!AG103),0),IF($B$93="Лікар-педіатр",IF(AG97&gt;=Законод!$J$18,'01_Доходи'!AG97-('01_Доходи'!AG98+'01_Доходи'!AG99+'01_Доходи'!AG100+'01_Доходи'!AG101+'01_Доходи'!AG102+'01_Доходи'!AG103),0),IF($B$93="Лікар-терапевт",IF('01_Доходи'!AG97&gt;=Законод!$J$26,AG97-Законод!$I$27,0),0)))</f>
        <v>0</v>
      </c>
      <c r="AH104" s="966"/>
      <c r="AI104" s="215"/>
      <c r="AJ104" s="946"/>
      <c r="AK104" s="961"/>
      <c r="AL104" s="961"/>
      <c r="AM104" s="928"/>
      <c r="AN104" s="216">
        <f ca="1">IF(B93="Лікар загальної практики - сімейний лікар",L104*Законод!$C$9/4*Законод!$J$16,IF(B93="Лікар-педіатр",L104*Законод!$C$9/4*Законод!$J$16,IF(B93="Лікар-терапевт",L104*Законод!$C$9/4*Законод!$J$16,0)))</f>
        <v>0</v>
      </c>
      <c r="AO104" s="216">
        <f ca="1">IF(B93="Лікар загальної практики - сімейний лікар",S104*Законод!$C$9/4*Законод!$J$16,IF(B93="Лікар-педіатр",S104*Законод!$C$9/4*Законод!$J$16,IF(B93="Лікар-терапевт",S104*Законод!$C$9/4*Законод!$J$16,0)))</f>
        <v>0</v>
      </c>
      <c r="AP104" s="216">
        <f ca="1">IF(B93="Лікар загальної практики - сімейний лікар",S104*Законод!$C$9/4*Законод!$J$16,IF(B93="Лікар-педіатр",S104*Законод!$C$9/4*Законод!$J$16,IF(B93="Лікар-терапевт",S104*Законод!$C$9/4*Законод!$J$16,0)))</f>
        <v>0</v>
      </c>
      <c r="AQ104" s="216">
        <f ca="1">IF(B93="Лікар загальної практики - сімейний лікар",AG104*Законод!$C$9/4*Законод!$J$16,IF(B93="Лікар-педіатр",AG104*Законод!$C$9/4*Законод!$J$16,IF(B93="Лікар-терапевт",AG104*Законод!$C$9/4*Законод!$J$16,0)))</f>
        <v>0</v>
      </c>
      <c r="AR104" s="217">
        <f t="shared" si="11"/>
        <v>0</v>
      </c>
    </row>
    <row r="105" spans="1:44" s="233" customFormat="1" ht="20.45" customHeight="1" thickBot="1">
      <c r="A105" s="219"/>
      <c r="B105" s="220"/>
      <c r="C105" s="221"/>
      <c r="D105" s="222"/>
      <c r="E105" s="222"/>
      <c r="F105" s="223"/>
      <c r="G105" s="224"/>
      <c r="H105" s="224"/>
      <c r="I105" s="224"/>
      <c r="J105" s="224"/>
      <c r="K105" s="224"/>
      <c r="L105" s="225"/>
      <c r="M105" s="226"/>
      <c r="N105" s="224"/>
      <c r="O105" s="224"/>
      <c r="P105" s="224"/>
      <c r="Q105" s="224"/>
      <c r="R105" s="224"/>
      <c r="S105" s="225"/>
      <c r="T105" s="226"/>
      <c r="U105" s="224"/>
      <c r="V105" s="224"/>
      <c r="W105" s="224"/>
      <c r="X105" s="224"/>
      <c r="Y105" s="224"/>
      <c r="Z105" s="227"/>
      <c r="AA105" s="226"/>
      <c r="AB105" s="224"/>
      <c r="AC105" s="224"/>
      <c r="AD105" s="224"/>
      <c r="AE105" s="224"/>
      <c r="AF105" s="224"/>
      <c r="AG105" s="227"/>
      <c r="AH105" s="226"/>
      <c r="AI105" s="228"/>
      <c r="AJ105" s="229"/>
      <c r="AK105" s="229"/>
      <c r="AL105" s="229"/>
      <c r="AM105" s="230"/>
      <c r="AN105" s="231"/>
      <c r="AO105" s="231"/>
      <c r="AP105" s="231"/>
      <c r="AQ105" s="231"/>
      <c r="AR105" s="232"/>
    </row>
    <row r="106" spans="1:44" s="191" customFormat="1" ht="30" customHeight="1">
      <c r="A106" s="194">
        <f>A93+1</f>
        <v>6</v>
      </c>
      <c r="B106" s="969" t="s">
        <v>313</v>
      </c>
      <c r="C106" s="974" t="s">
        <v>164</v>
      </c>
      <c r="D106" s="971"/>
      <c r="E106" s="971" t="s">
        <v>158</v>
      </c>
      <c r="F106" s="234" t="s">
        <v>659</v>
      </c>
      <c r="G106" s="196" t="str">
        <f>IF($B$106="Лікар-педіатр",G109*L106,IF($B$106="Лікар-терапевт","х",IF($B$106="Лікар загальної практики - сімейний лікар",G109*L106,0)))</f>
        <v>х</v>
      </c>
      <c r="H106" s="196" t="str">
        <f>IF($B$106="Лікар-педіатр",H109*L106,IF($B$106="Лікар-терапевт","х",IF($B$106="Лікар загальної практики - сімейний лікар",H109*L106,0)))</f>
        <v>х</v>
      </c>
      <c r="I106" s="196">
        <v>530</v>
      </c>
      <c r="J106" s="196">
        <v>862</v>
      </c>
      <c r="K106" s="196">
        <v>391</v>
      </c>
      <c r="L106" s="557">
        <f>I106+J106+K106</f>
        <v>1783</v>
      </c>
      <c r="M106" s="966">
        <v>1</v>
      </c>
      <c r="N106" s="196" t="str">
        <f>IF($B$106="Лікар-педіатр",N109*S106,IF($B$106="Лікар-терапевт","х",IF($B$106="Лікар загальної практики - сімейний лікар",N109*S106,0)))</f>
        <v>х</v>
      </c>
      <c r="O106" s="196" t="str">
        <f>IF($B$106="Лікар-педіатр",O109*S106,IF($B$106="Лікар-терапевт","х",IF($B$106="Лікар загальної практики - сімейний лікар",O109*S106,0)))</f>
        <v>х</v>
      </c>
      <c r="P106" s="196">
        <v>530</v>
      </c>
      <c r="Q106" s="196">
        <v>862</v>
      </c>
      <c r="R106" s="196">
        <v>391</v>
      </c>
      <c r="S106" s="557">
        <f>P106+Q106+R106</f>
        <v>1783</v>
      </c>
      <c r="T106" s="966">
        <v>1</v>
      </c>
      <c r="U106" s="196" t="str">
        <f>IF($B$106="Лікар-педіатр",U109*Z106,IF($B$106="Лікар-терапевт","х",IF($B$106="Лікар загальної практики - сімейний лікар",U109*Z106,0)))</f>
        <v>х</v>
      </c>
      <c r="V106" s="196" t="str">
        <f>IF($B$106="Лікар-педіатр",V109*Z106,IF($B$106="Лікар-терапевт","х",IF($B$106="Лікар загальної практики - сімейний лікар",V109*Z106,0)))</f>
        <v>х</v>
      </c>
      <c r="W106" s="196">
        <v>530</v>
      </c>
      <c r="X106" s="196">
        <v>862</v>
      </c>
      <c r="Y106" s="196">
        <v>391</v>
      </c>
      <c r="Z106" s="557">
        <f>W106+X106+Y106</f>
        <v>1783</v>
      </c>
      <c r="AA106" s="966">
        <v>1</v>
      </c>
      <c r="AB106" s="196" t="str">
        <f>IF($B$106="Лікар-педіатр",AB109*AG106,IF($B$106="Лікар-терапевт","х",IF($B$106="Лікар загальної практики - сімейний лікар",AB109*AG106,0)))</f>
        <v>х</v>
      </c>
      <c r="AC106" s="196" t="str">
        <f>IF($B$106="Лікар-педіатр",AC109*AG106,IF($B$106="Лікар-терапевт","х",IF($B$106="Лікар загальної практики - сімейний лікар",AC109*AG106,0)))</f>
        <v>х</v>
      </c>
      <c r="AD106" s="196">
        <v>530</v>
      </c>
      <c r="AE106" s="196">
        <v>862</v>
      </c>
      <c r="AF106" s="196">
        <v>391</v>
      </c>
      <c r="AG106" s="557">
        <f>AD106+AE106+AF106</f>
        <v>1783</v>
      </c>
      <c r="AH106" s="966">
        <v>1</v>
      </c>
      <c r="AI106" s="540">
        <f>A106</f>
        <v>6</v>
      </c>
      <c r="AJ106" s="944" t="str">
        <f>B106</f>
        <v>Лікар-терапевт</v>
      </c>
      <c r="AK106" s="959" t="str">
        <f>C106</f>
        <v>Гнатюк Володимир Іванович</v>
      </c>
      <c r="AL106" s="959">
        <f>D106</f>
        <v>0</v>
      </c>
      <c r="AM106" s="929" t="s">
        <v>79</v>
      </c>
      <c r="AN106" s="947">
        <f>SUM(AN111:AN117)</f>
        <v>284218.61162500002</v>
      </c>
      <c r="AO106" s="947">
        <f>SUM(AO111:AO117)</f>
        <v>284218.61162500002</v>
      </c>
      <c r="AP106" s="947">
        <f>SUM(AP111:AP117)</f>
        <v>284218.61162500002</v>
      </c>
      <c r="AQ106" s="947">
        <f>SUM(AQ111:AQ117)</f>
        <v>284218.61162500002</v>
      </c>
      <c r="AR106" s="962">
        <f>SUM(AN106:AQ110)</f>
        <v>1136874.4465000001</v>
      </c>
    </row>
    <row r="107" spans="1:44" s="50" customFormat="1" ht="28.15" customHeight="1">
      <c r="A107" s="197"/>
      <c r="B107" s="969"/>
      <c r="C107" s="974"/>
      <c r="D107" s="971"/>
      <c r="E107" s="971"/>
      <c r="F107" s="234" t="s">
        <v>660</v>
      </c>
      <c r="G107" s="196" t="str">
        <f>IF($B$106="Лікар-педіатр",G109*L107,IF($B$106="Лікар-терапевт","х",IF($B$106="Лікар загальної практики - сімейний лікар",G109*L107,0)))</f>
        <v>х</v>
      </c>
      <c r="H107" s="196" t="str">
        <f>IF($B$106="Лікар-педіатр",H109*L107,IF($B$106="Лікар-терапевт","х",IF($B$106="Лікар загальної практики - сімейний лікар",H109*L107,0)))</f>
        <v>х</v>
      </c>
      <c r="I107" s="196">
        <v>530</v>
      </c>
      <c r="J107" s="196">
        <v>862</v>
      </c>
      <c r="K107" s="196">
        <v>391</v>
      </c>
      <c r="L107" s="557">
        <f>I107+J107+K107</f>
        <v>1783</v>
      </c>
      <c r="M107" s="966"/>
      <c r="N107" s="196" t="str">
        <f>IF($B$106="Лікар-педіатр",N109*S107,IF($B$106="Лікар-терапевт","х",IF($B$106="Лікар загальної практики - сімейний лікар",N109*S107,0)))</f>
        <v>х</v>
      </c>
      <c r="O107" s="196" t="str">
        <f>IF($B$106="Лікар-педіатр",O109*S107,IF($B$106="Лікар-терапевт","х",IF($B$106="Лікар загальної практики - сімейний лікар",O109*S107,0)))</f>
        <v>х</v>
      </c>
      <c r="P107" s="196">
        <v>530</v>
      </c>
      <c r="Q107" s="196">
        <v>862</v>
      </c>
      <c r="R107" s="196">
        <v>391</v>
      </c>
      <c r="S107" s="557">
        <f>P107+Q107+R107</f>
        <v>1783</v>
      </c>
      <c r="T107" s="966"/>
      <c r="U107" s="196" t="str">
        <f>IF($B$106="Лікар-педіатр",U109*Z107,IF($B$106="Лікар-терапевт","х",IF($B$106="Лікар загальної практики - сімейний лікар",U109*Z107,0)))</f>
        <v>х</v>
      </c>
      <c r="V107" s="196" t="str">
        <f>IF($B$106="Лікар-педіатр",V109*Z107,IF($B$106="Лікар-терапевт","х",IF($B$106="Лікар загальної практики - сімейний лікар",V109*Z107,0)))</f>
        <v>х</v>
      </c>
      <c r="W107" s="196">
        <v>530</v>
      </c>
      <c r="X107" s="196">
        <v>862</v>
      </c>
      <c r="Y107" s="196">
        <v>391</v>
      </c>
      <c r="Z107" s="557">
        <f>W107+X107+Y107</f>
        <v>1783</v>
      </c>
      <c r="AA107" s="966"/>
      <c r="AB107" s="196" t="str">
        <f>IF($B$106="Лікар-педіатр",AB109*AG107,IF($B$106="Лікар-терапевт","х",IF($B$106="Лікар загальної практики - сімейний лікар",AB109*AG107,0)))</f>
        <v>х</v>
      </c>
      <c r="AC107" s="196" t="str">
        <f>IF($B$106="Лікар-педіатр",AC109*AG107,IF($B$106="Лікар-терапевт","х",IF($B$106="Лікар загальної практики - сімейний лікар",AC109*AG107,0)))</f>
        <v>х</v>
      </c>
      <c r="AD107" s="196">
        <v>530</v>
      </c>
      <c r="AE107" s="196">
        <v>862</v>
      </c>
      <c r="AF107" s="196">
        <v>391</v>
      </c>
      <c r="AG107" s="557">
        <f>AD107+AE107+AF107</f>
        <v>1783</v>
      </c>
      <c r="AH107" s="966"/>
      <c r="AI107" s="198"/>
      <c r="AJ107" s="945"/>
      <c r="AK107" s="960"/>
      <c r="AL107" s="960"/>
      <c r="AM107" s="930"/>
      <c r="AN107" s="948"/>
      <c r="AO107" s="948"/>
      <c r="AP107" s="948"/>
      <c r="AQ107" s="948"/>
      <c r="AR107" s="963"/>
    </row>
    <row r="108" spans="1:44" s="90" customFormat="1" ht="31.15" customHeight="1">
      <c r="A108" s="240"/>
      <c r="B108" s="969"/>
      <c r="C108" s="974"/>
      <c r="D108" s="971"/>
      <c r="E108" s="971"/>
      <c r="F108" s="241" t="s">
        <v>661</v>
      </c>
      <c r="G108" s="199" t="str">
        <f>IF(B106="Лікар загальної практики - сімейний лікар"," ",IF(B106="Лікар-педіатр"," ",IF(B106="Лікар-терапевт","х",0)))</f>
        <v>х</v>
      </c>
      <c r="H108" s="199" t="str">
        <f>IF(B106="Лікар загальної практики - сімейний лікар"," ",IF(B106="Лікар-педіатр"," ",IF(B106="Лікар-терапевт","х",0)))</f>
        <v>х</v>
      </c>
      <c r="I108" s="196">
        <v>530</v>
      </c>
      <c r="J108" s="196">
        <v>862</v>
      </c>
      <c r="K108" s="196">
        <v>391</v>
      </c>
      <c r="L108" s="557">
        <f>I108+J108+K108</f>
        <v>1783</v>
      </c>
      <c r="M108" s="966"/>
      <c r="N108" s="199" t="str">
        <f>IF(B106="Лікар загальної практики - сімейний лікар"," ",IF(B106="Лікар-педіатр"," ",IF(B106="Лікар-терапевт","х",0)))</f>
        <v>х</v>
      </c>
      <c r="O108" s="199" t="str">
        <f>IF(B106="Лікар загальної практики - сімейний лікар"," ",IF(B106="Лікар-педіатр"," ",IF(B106="Лікар-терапевт","х",0)))</f>
        <v>х</v>
      </c>
      <c r="P108" s="196">
        <v>530</v>
      </c>
      <c r="Q108" s="196">
        <v>862</v>
      </c>
      <c r="R108" s="196">
        <v>391</v>
      </c>
      <c r="S108" s="200">
        <f>SUM(N108:R108)</f>
        <v>1783</v>
      </c>
      <c r="T108" s="966"/>
      <c r="U108" s="199" t="str">
        <f>IF(B106="Лікар загальної практики - сімейний лікар"," ",IF(B106="Лікар-педіатр"," ",IF(B106="Лікар-терапевт","х",0)))</f>
        <v>х</v>
      </c>
      <c r="V108" s="199" t="str">
        <f>IF(B106="Лікар загальної практики - сімейний лікар"," ",IF(B106="Лікар-педіатр"," ",IF(B106="Лікар-терапевт","х",0)))</f>
        <v>х</v>
      </c>
      <c r="W108" s="196">
        <v>530</v>
      </c>
      <c r="X108" s="196">
        <v>862</v>
      </c>
      <c r="Y108" s="196">
        <v>391</v>
      </c>
      <c r="Z108" s="557">
        <f>W108+X108+Y108</f>
        <v>1783</v>
      </c>
      <c r="AA108" s="966"/>
      <c r="AB108" s="199" t="str">
        <f>IF(B106="Лікар загальної практики - сімейний лікар"," ",IF(B106="Лікар-педіатр"," ",IF(B106="Лікар-терапевт","х",0)))</f>
        <v>х</v>
      </c>
      <c r="AC108" s="199" t="str">
        <f>IF(B106="Лікар загальної практики - сімейний лікар"," ",IF(B106="Лікар-педіатр"," ",IF(B106="Лікар-терапевт","х",0)))</f>
        <v>х</v>
      </c>
      <c r="AD108" s="196">
        <v>530</v>
      </c>
      <c r="AE108" s="196">
        <v>862</v>
      </c>
      <c r="AF108" s="196">
        <v>391</v>
      </c>
      <c r="AG108" s="557">
        <f>AD108+AE108+AF108</f>
        <v>1783</v>
      </c>
      <c r="AH108" s="966"/>
      <c r="AI108" s="242"/>
      <c r="AJ108" s="945"/>
      <c r="AK108" s="960"/>
      <c r="AL108" s="960"/>
      <c r="AM108" s="930"/>
      <c r="AN108" s="948"/>
      <c r="AO108" s="948"/>
      <c r="AP108" s="948"/>
      <c r="AQ108" s="948"/>
      <c r="AR108" s="963"/>
    </row>
    <row r="109" spans="1:44" s="50" customFormat="1" ht="31.9" customHeight="1" thickBot="1">
      <c r="A109" s="197"/>
      <c r="B109" s="969"/>
      <c r="C109" s="974"/>
      <c r="D109" s="971"/>
      <c r="E109" s="971"/>
      <c r="F109" s="236" t="s">
        <v>426</v>
      </c>
      <c r="G109" s="203" t="str">
        <f>IF($B$106="Лікар-педіатр",G108/L108,IF($B$106="Лікар-терапевт","х",IF($B$106="Лікар загальної практики - сімейний лікар",G108/L108,0)))</f>
        <v>х</v>
      </c>
      <c r="H109" s="203" t="str">
        <f>IF($B$106="Лікар-педіатр",H108/L108,IF($B$106="Лікар-терапевт","х",IF($B$106="Лікар загальної практики - сімейний лікар",H108/L108,0)))</f>
        <v>х</v>
      </c>
      <c r="I109" s="203">
        <f>IF($B$106="Лікар-педіатр","x",IF($B$106="Лікар-терапевт",I108/L108,IF($B$106="Лікар загальної практики - сімейний лікар",I108/L108,0)))</f>
        <v>0.29725182277061135</v>
      </c>
      <c r="J109" s="203">
        <f>IF($B$106="Лікар-педіатр","x",IF($B$106="Лікар-терапевт",J108/L108,IF($B$106="Лікар загальної практики - сімейний лікар",J108/L108,0)))</f>
        <v>0.48345485137408861</v>
      </c>
      <c r="K109" s="203">
        <f>IF($B$106="Лікар-педіатр","x",IF($B$106="Лікар-терапевт",K108/L108,IF($B$106="Лікар загальної практики - сімейний лікар",K108/L108,0)))</f>
        <v>0.21929332585530006</v>
      </c>
      <c r="L109" s="203">
        <f>SUM(G109:K109)</f>
        <v>1</v>
      </c>
      <c r="M109" s="966"/>
      <c r="N109" s="203" t="str">
        <f>IF($B$106="Лікар-педіатр",N108/S108,IF($B$106="Лікар-терапевт","х",IF($B$106="Лікар загальної практики - сімейний лікар",N108/S108,0)))</f>
        <v>х</v>
      </c>
      <c r="O109" s="203" t="str">
        <f>IF($B$106="Лікар-педіатр",O108/S108,IF($B$106="Лікар-терапевт","х",IF($B$106="Лікар загальної практики - сімейний лікар",O108/S108,0)))</f>
        <v>х</v>
      </c>
      <c r="P109" s="203">
        <f>IF($B$106="Лікар-педіатр","x",IF($B$106="Лікар-терапевт",P108/S108,IF($B$106="Лікар загальної практики - сімейний лікар",P108/S108,0)))</f>
        <v>0.29725182277061135</v>
      </c>
      <c r="Q109" s="203">
        <f>IF($B$106="Лікар-педіатр","x",IF($B$106="Лікар-терапевт",Q108/S108,IF($B$106="Лікар загальної практики - сімейний лікар",Q108/S108,0)))</f>
        <v>0.48345485137408861</v>
      </c>
      <c r="R109" s="203">
        <f>IF($B$106="Лікар-педіатр","x",IF($B$106="Лікар-терапевт",R108/S108,IF($B$106="Лікар загальної практики - сімейний лікар",R108/S108,0)))</f>
        <v>0.21929332585530006</v>
      </c>
      <c r="S109" s="203">
        <f>SUM(N109:R109)</f>
        <v>1</v>
      </c>
      <c r="T109" s="966"/>
      <c r="U109" s="203" t="str">
        <f>IF($B$106="Лікар-педіатр",U108/Z108,IF($B$106="Лікар-терапевт","х",IF($B$106="Лікар загальної практики - сімейний лікар",U108/Z108,0)))</f>
        <v>х</v>
      </c>
      <c r="V109" s="203" t="str">
        <f>IF($B$106="Лікар-педіатр",V108/Z108,IF($B$106="Лікар-терапевт","х",IF($B$106="Лікар загальної практики - сімейний лікар",V108/Z108,0)))</f>
        <v>х</v>
      </c>
      <c r="W109" s="203">
        <f>IF($B$106="Лікар-педіатр","x",IF($B$106="Лікар-терапевт",W108/Z108,IF($B$106="Лікар загальної практики - сімейний лікар",W108/Z108,0)))</f>
        <v>0.29725182277061135</v>
      </c>
      <c r="X109" s="203">
        <f>IF($B$106="Лікар-педіатр","x",IF($B$106="Лікар-терапевт",X108/Z108,IF($B$106="Лікар загальної практики - сімейний лікар",X108/Z108,0)))</f>
        <v>0.48345485137408861</v>
      </c>
      <c r="Y109" s="203">
        <f>IF($B$106="Лікар-педіатр","x",IF($B$106="Лікар-терапевт",Y108/Z108,IF($B$106="Лікар загальної практики - сімейний лікар",Y108/Z108,0)))</f>
        <v>0.21929332585530006</v>
      </c>
      <c r="Z109" s="203">
        <f>SUM(U109:Y109)</f>
        <v>1</v>
      </c>
      <c r="AA109" s="966"/>
      <c r="AB109" s="203" t="str">
        <f>IF($B$106="Лікар-педіатр",AB108/AG108,IF($B$106="Лікар-терапевт","х",IF($B$106="Лікар загальної практики - сімейний лікар",AB108/AG108,0)))</f>
        <v>х</v>
      </c>
      <c r="AC109" s="203" t="str">
        <f>IF($B$106="Лікар-педіатр",AC108/AG108,IF($B$106="Лікар-терапевт","х",IF($B$106="Лікар загальної практики - сімейний лікар",AC108/AG108,0)))</f>
        <v>х</v>
      </c>
      <c r="AD109" s="203">
        <f>IF($B$106="Лікар-педіатр","x",IF($B$106="Лікар-терапевт",AD108/AG108,IF($B$106="Лікар загальної практики - сімейний лікар",AD108/AG108,0)))</f>
        <v>0.29725182277061135</v>
      </c>
      <c r="AE109" s="203">
        <f>IF($B$106="Лікар-педіатр","x",IF($B$106="Лікар-терапевт",AE108/AG108,IF($B$106="Лікар загальної практики - сімейний лікар",AE108/AG108,0)))</f>
        <v>0.48345485137408861</v>
      </c>
      <c r="AF109" s="203">
        <f>IF($B$106="Лікар-педіатр","x",IF($B$106="Лікар-терапевт",AF108/AG108,IF($B$106="Лікар загальної практики - сімейний лікар",AF108/AG108,0)))</f>
        <v>0.21929332585530006</v>
      </c>
      <c r="AG109" s="203">
        <f>SUM(AB109:AF109)</f>
        <v>1</v>
      </c>
      <c r="AH109" s="966"/>
      <c r="AI109" s="201"/>
      <c r="AJ109" s="945"/>
      <c r="AK109" s="960"/>
      <c r="AL109" s="960"/>
      <c r="AM109" s="930"/>
      <c r="AN109" s="948"/>
      <c r="AO109" s="948"/>
      <c r="AP109" s="948"/>
      <c r="AQ109" s="948"/>
      <c r="AR109" s="963"/>
    </row>
    <row r="110" spans="1:44" s="50" customFormat="1" ht="45" customHeight="1" thickBot="1">
      <c r="A110" s="197"/>
      <c r="B110" s="969"/>
      <c r="C110" s="974"/>
      <c r="D110" s="971"/>
      <c r="E110" s="972"/>
      <c r="F110" s="204" t="s">
        <v>662</v>
      </c>
      <c r="G110" s="205" t="str">
        <f>IF($B$106="Лікар загальної практики - сімейний лікар",AVERAGE(G106:G108),IF($B$106="Лікар-педіатр",AVERAGE(G106:G108),IF($B$106="Лікар-терапевт","х",0)))</f>
        <v>х</v>
      </c>
      <c r="H110" s="205" t="str">
        <f>IF($B$106="Лікар загальної практики - сімейний лікар",AVERAGE(H106:H108),IF($B$106="Лікар-педіатр",AVERAGE(H106:H108),IF($B$106="Лікар-терапевт","х",0)))</f>
        <v>х</v>
      </c>
      <c r="I110" s="205">
        <f>IF($B$106="Лікар загальної практики - сімейний лікар",AVERAGE(I106:I108),IF($B$106="Лікар-педіатр","x",IF($B$106="Лікар-терапевт",AVERAGE(I106:I108),0)))</f>
        <v>530</v>
      </c>
      <c r="J110" s="205">
        <f>IF($B$106="Лікар загальної практики - сімейний лікар",AVERAGE(J106:J108),IF($B$106="Лікар-педіатр","x",IF($B$106="Лікар-терапевт",AVERAGE(J106:J108),0)))</f>
        <v>862</v>
      </c>
      <c r="K110" s="205">
        <f>IF($B$106="Лікар загальної практики - сімейний лікар",AVERAGE(K106:K108),IF($B$106="Лікар-педіатр","x",IF($B$106="Лікар-терапевт",AVERAGE(K106:K108),0)))</f>
        <v>391</v>
      </c>
      <c r="L110" s="206">
        <f>SUM(G110:K110)</f>
        <v>1783</v>
      </c>
      <c r="M110" s="973"/>
      <c r="N110" s="205" t="str">
        <f>IF($B$106="Лікар загальної практики - сімейний лікар",AVERAGE(N106:N108),IF($B$106="Лікар-педіатр",AVERAGE(N106:N108),IF($B$106="Лікар-терапевт","х",0)))</f>
        <v>х</v>
      </c>
      <c r="O110" s="205" t="str">
        <f>IF($B$106="Лікар загальної практики - сімейний лікар",AVERAGE(O106:O108),IF($B$106="Лікар-педіатр",AVERAGE(O106:O108),IF($B$106="Лікар-терапевт","х",0)))</f>
        <v>х</v>
      </c>
      <c r="P110" s="205">
        <f>IF($B$106="Лікар загальної практики - сімейний лікар",AVERAGE(P106:P108),IF($B$106="Лікар-педіатр","x",IF($B$106="Лікар-терапевт",AVERAGE(P106:P108),0)))</f>
        <v>530</v>
      </c>
      <c r="Q110" s="205">
        <f>IF($B$106="Лікар загальної практики - сімейний лікар",AVERAGE(Q106:Q108),IF($B$106="Лікар-педіатр","x",IF($B$106="Лікар-терапевт",AVERAGE(Q106:Q108),0)))</f>
        <v>862</v>
      </c>
      <c r="R110" s="205">
        <f>IF($B$106="Лікар загальної практики - сімейний лікар",AVERAGE(R106:R108),IF($B$106="Лікар-педіатр","x",IF($B$106="Лікар-терапевт",AVERAGE(R106:R108),0)))</f>
        <v>391</v>
      </c>
      <c r="S110" s="206">
        <f>SUM(N110:R110)</f>
        <v>1783</v>
      </c>
      <c r="T110" s="973"/>
      <c r="U110" s="205" t="str">
        <f>IF($B$106="Лікар загальної практики - сімейний лікар",AVERAGE(U106:U108),IF($B$106="Лікар-педіатр",AVERAGE(U106:U108),IF($B$106="Лікар-терапевт","х",0)))</f>
        <v>х</v>
      </c>
      <c r="V110" s="205" t="str">
        <f>IF($B$106="Лікар загальної практики - сімейний лікар",AVERAGE(V106:V108),IF($B$106="Лікар-педіатр",AVERAGE(V106:V108),IF($B$106="Лікар-терапевт","х",0)))</f>
        <v>х</v>
      </c>
      <c r="W110" s="205">
        <f>IF($B$106="Лікар загальної практики - сімейний лікар",AVERAGE(W106:W108),IF($B$106="Лікар-педіатр","x",IF($B$106="Лікар-терапевт",AVERAGE(W106:W108),0)))</f>
        <v>530</v>
      </c>
      <c r="X110" s="205">
        <f>IF($B$106="Лікар загальної практики - сімейний лікар",AVERAGE(X106:X108),IF($B$106="Лікар-педіатр","x",IF($B$106="Лікар-терапевт",AVERAGE(X106:X108),0)))</f>
        <v>862</v>
      </c>
      <c r="Y110" s="205">
        <f>IF($B$106="Лікар загальної практики - сімейний лікар",AVERAGE(Y106:Y108),IF($B$106="Лікар-педіатр","x",IF($B$106="Лікар-терапевт",AVERAGE(Y106:Y108),0)))</f>
        <v>391</v>
      </c>
      <c r="Z110" s="206">
        <f>SUM(U110:Y110)</f>
        <v>1783</v>
      </c>
      <c r="AA110" s="973"/>
      <c r="AB110" s="205" t="str">
        <f>IF($B$106="Лікар загальної практики - сімейний лікар",AVERAGE(AB106:AB108),IF($B$106="Лікар-педіатр",AVERAGE(AB106:AB108),IF($B$106="Лікар-терапевт","х",0)))</f>
        <v>х</v>
      </c>
      <c r="AC110" s="205" t="str">
        <f>IF($B$106="Лікар загальної практики - сімейний лікар",AVERAGE(AC106:AC108),IF($B$106="Лікар-педіатр",AVERAGE(AC106:AC108),IF($B$106="Лікар-терапевт","х",0)))</f>
        <v>х</v>
      </c>
      <c r="AD110" s="205">
        <f>IF($B$106="Лікар загальної практики - сімейний лікар",AVERAGE(AD106:AD108),IF($B$106="Лікар-педіатр","x",IF($B$106="Лікар-терапевт",AVERAGE(AD106:AD108),0)))</f>
        <v>530</v>
      </c>
      <c r="AE110" s="205">
        <f>IF($B$106="Лікар загальної практики - сімейний лікар",AVERAGE(AE106:AE108),IF($B$106="Лікар-педіатр","x",IF($B$106="Лікар-терапевт",AVERAGE(AE106:AE108),0)))</f>
        <v>862</v>
      </c>
      <c r="AF110" s="205">
        <f>IF($B$106="Лікар загальної практики - сімейний лікар",AVERAGE(AF106:AF108),IF($B$106="Лікар-педіатр","x",IF($B$106="Лікар-терапевт",AVERAGE(AF106:AF108),0)))</f>
        <v>391</v>
      </c>
      <c r="AG110" s="206">
        <f>SUM(AB110:AF110)</f>
        <v>1783</v>
      </c>
      <c r="AH110" s="967"/>
      <c r="AI110" s="201"/>
      <c r="AJ110" s="945"/>
      <c r="AK110" s="960"/>
      <c r="AL110" s="960"/>
      <c r="AM110" s="931"/>
      <c r="AN110" s="949"/>
      <c r="AO110" s="949"/>
      <c r="AP110" s="949"/>
      <c r="AQ110" s="949"/>
      <c r="AR110" s="964"/>
    </row>
    <row r="111" spans="1:44" s="50" customFormat="1" ht="40.5">
      <c r="A111" s="197"/>
      <c r="B111" s="969"/>
      <c r="C111" s="974"/>
      <c r="D111" s="971"/>
      <c r="E111" s="971"/>
      <c r="F111" s="237" t="str">
        <f ca="1">IF(B106="Лікар-педіатр",Законод!$C$17,IF(B106="Лікар загальної практики - сімейний лікар",Законод!$C$21,IF(B106="Лікар-терапевт",Законод!$C$25,"х")))</f>
        <v>ліміт (до 2000)</v>
      </c>
      <c r="G111" s="208" t="str">
        <f ca="1">IF($B$106="Лікар загальної практики - сімейний лікар",IF(L110&lt;=Законод!$C$22,G110,Законод!$C$22*'01_Доходи'!G109),IF($B$106="Лікар-педіатр",IF(L110&lt;=Законод!$C$18,G110,Законод!$C$18*'01_Доходи'!G109),IF($B$106="Лікар-терапевт","x",0)))</f>
        <v>x</v>
      </c>
      <c r="H111" s="208" t="str">
        <f ca="1">IF($B$106="Лікар загальної практики - сімейний лікар",IF(L110&lt;=Законод!$C$22,H110,Законод!$C$22*'01_Доходи'!H109),IF($B$106="Лікар-педіатр",IF(L110&lt;=Законод!$C$18,H110,Законод!$C$18*'01_Доходи'!H109),IF($B$106="Лікар-терапевт","x",0)))</f>
        <v>x</v>
      </c>
      <c r="I111" s="208">
        <f ca="1">IF($B$106="Лікар загальної практики - сімейний лікар",IF(L110&lt;=Законод!$C$22,I110,Законод!$C$22*'01_Доходи'!I109),IF($B$106="Лікар-педіатр","x",IF($B$106="Лікар-терапевт",IF(L110&lt;=Законод!$C$26,I110,Законод!$C$26*'01_Доходи'!I109),0)))</f>
        <v>530</v>
      </c>
      <c r="J111" s="208">
        <f ca="1">IF($B$106="Лікар загальної практики - сімейний лікар",IF(L110&lt;=Законод!$C$22,J110,Законод!$C$22*'01_Доходи'!J109),IF($B$106="Лікар-педіатр","x",IF($B$106="Лікар-терапевт",IF(L110&lt;=Законод!$C$26,J110,Законод!$C$26*'01_Доходи'!J109),0)))</f>
        <v>862</v>
      </c>
      <c r="K111" s="208">
        <f ca="1">IF($B$106="Лікар загальної практики - сімейний лікар",IF(L110&lt;=Законод!$C$22,K110,Законод!$C$22*'01_Доходи'!K109),IF($B$106="Лікар-педіатр","x",IF($B$106="Лікар-терапевт",IF(L110&lt;=Законод!$C$26,K110,Законод!$C$26*'01_Доходи'!K109),0)))</f>
        <v>391</v>
      </c>
      <c r="L111" s="209">
        <f ca="1">SUM(G111:K111)</f>
        <v>1783</v>
      </c>
      <c r="M111" s="966"/>
      <c r="N111" s="208" t="str">
        <f ca="1">IF($B$106="Лікар загальної практики - сімейний лікар",IF(S110&lt;=Законод!$C$22,N110,Законод!$C$22*'01_Доходи'!N109),IF($B$106="Лікар-педіатр",IF(S110&lt;=Законод!$C$18,N110,Законод!$C$18*'01_Доходи'!N109),IF($B$106="Лікар-терапевт","x",0)))</f>
        <v>x</v>
      </c>
      <c r="O111" s="208" t="str">
        <f ca="1">IF($B$106="Лікар загальної практики - сімейний лікар",IF(S110&lt;=Законод!$C$22,O110,Законод!$C$22*'01_Доходи'!O109),IF($B$106="Лікар-педіатр",IF(S110&lt;=Законод!$C$18,O110,Законод!$C$18*'01_Доходи'!O109),IF($B$106="Лікар-терапевт","x",0)))</f>
        <v>x</v>
      </c>
      <c r="P111" s="208">
        <f ca="1">IF($B$106="Лікар загальної практики - сімейний лікар",IF(S110&lt;=Законод!$C$22,P110,Законод!$C$22*'01_Доходи'!P109),IF($B$106="Лікар-педіатр","x",IF($B$106="Лікар-терапевт",IF(S110&lt;=Законод!$C$26,P110,Законод!$C$26*'01_Доходи'!P109),0)))</f>
        <v>530</v>
      </c>
      <c r="Q111" s="208">
        <f ca="1">IF($B$106="Лікар загальної практики - сімейний лікар",IF(S110&lt;=Законод!$C$22,Q110,Законод!$C$22*'01_Доходи'!Q109),IF($B$106="Лікар-педіатр","x",IF($B$106="Лікар-терапевт",IF(S110&lt;=Законод!$C$26,Q110,Законод!$C$26*'01_Доходи'!Q109),0)))</f>
        <v>862</v>
      </c>
      <c r="R111" s="208">
        <f ca="1">IF($B$106="Лікар загальної практики - сімейний лікар",IF(S110&lt;=Законод!$C$22,R110,Законод!$C$22*'01_Доходи'!R109),IF($B$106="Лікар-педіатр","x",IF($B$106="Лікар-терапевт",IF(S110&lt;=Законод!$C$26,R110,Законод!$C$26*'01_Доходи'!R109),0)))</f>
        <v>391</v>
      </c>
      <c r="S111" s="209">
        <f ca="1">SUM(N111:R111)</f>
        <v>1783</v>
      </c>
      <c r="T111" s="966"/>
      <c r="U111" s="208" t="str">
        <f ca="1">IF($B$106="Лікар загальної практики - сімейний лікар",IF(Z110&lt;=Законод!$C$22,U110,Законод!$C$22*'01_Доходи'!U109),IF($B$106="Лікар-педіатр",IF(Z110&lt;=Законод!$C$18,U110,Законод!$C$18*'01_Доходи'!U109),IF($B$106="Лікар-терапевт","x",0)))</f>
        <v>x</v>
      </c>
      <c r="V111" s="208" t="str">
        <f ca="1">IF($B$106="Лікар загальної практики - сімейний лікар",IF(Z110&lt;=Законод!$C$22,V110,Законод!$C$22*'01_Доходи'!V109),IF($B$106="Лікар-педіатр",IF(Z110&lt;=Законод!$C$18,V110,Законод!$C$18*'01_Доходи'!V109),IF($B$106="Лікар-терапевт","x",0)))</f>
        <v>x</v>
      </c>
      <c r="W111" s="208">
        <f ca="1">IF($B$106="Лікар загальної практики - сімейний лікар",IF(Z110&lt;=Законод!$C$22,W110,Законод!$C$22*'01_Доходи'!W109),IF($B$106="Лікар-педіатр","x",IF($B$106="Лікар-терапевт",IF(Z110&lt;=Законод!$C$26,W110,Законод!$C$26*'01_Доходи'!W109),0)))</f>
        <v>530</v>
      </c>
      <c r="X111" s="208">
        <f ca="1">IF($B$106="Лікар загальної практики - сімейний лікар",IF(Z110&lt;=Законод!$C$22,X110,Законод!$C$22*'01_Доходи'!X109),IF($B$106="Лікар-педіатр","x",IF($B$106="Лікар-терапевт",IF(Z110&lt;=Законод!$C$26,X110,Законод!$C$26*'01_Доходи'!X109),0)))</f>
        <v>862</v>
      </c>
      <c r="Y111" s="208">
        <f ca="1">IF($B$106="Лікар загальної практики - сімейний лікар",IF(Z110&lt;=Законод!$C$22,Y110,Законод!$C$22*'01_Доходи'!Y109),IF($B$106="Лікар-педіатр","x",IF($B$106="Лікар-терапевт",IF(Z110&lt;=Законод!$C$26,Y110,Законод!$C$26*'01_Доходи'!Y109),0)))</f>
        <v>391</v>
      </c>
      <c r="Z111" s="209">
        <f ca="1">SUM(U111:Y111)</f>
        <v>1783</v>
      </c>
      <c r="AA111" s="966"/>
      <c r="AB111" s="208" t="str">
        <f ca="1">IF($B$106="Лікар загальної практики - сімейний лікар",IF(AG110&lt;=Законод!$C$22,AB110,Законод!$C$22*'01_Доходи'!AB109),IF($B$106="Лікар-педіатр",IF(AG110&lt;=Законод!$C$18,AB110,Законод!$C$18*'01_Доходи'!AB109),IF($B$106="Лікар-терапевт","x",0)))</f>
        <v>x</v>
      </c>
      <c r="AC111" s="208" t="str">
        <f ca="1">IF($B$106="Лікар загальної практики - сімейний лікар",IF(AG110&lt;=Законод!$C$22,AC110,Законод!$C$22*'01_Доходи'!AC109),IF($B$106="Лікар-педіатр",IF(AG110&lt;=Законод!$C$18,AC110,Законод!$C$18*'01_Доходи'!AC109),IF($B$106="Лікар-терапевт","x",0)))</f>
        <v>x</v>
      </c>
      <c r="AD111" s="208">
        <f ca="1">IF($B$106="Лікар загальної практики - сімейний лікар",IF(AG110&lt;=Законод!$C$22,AD110,Законод!$C$22*'01_Доходи'!AD109),IF($B$106="Лікар-педіатр","x",IF($B$106="Лікар-терапевт",IF(AG110&lt;=Законод!$C$26,AD110,Законод!$C$26*'01_Доходи'!AD109),0)))</f>
        <v>530</v>
      </c>
      <c r="AE111" s="208">
        <f ca="1">IF($B$106="Лікар загальної практики - сімейний лікар",IF(AG110&lt;=Законод!$C$22,AE110,Законод!$C$22*'01_Доходи'!AE109),IF($B$106="Лікар-педіатр","x",IF($B$106="Лікар-терапевт",IF(AG110&lt;=Законод!$C$26,AE110,Законод!$C$26*'01_Доходи'!AE109),0)))</f>
        <v>862</v>
      </c>
      <c r="AF111" s="208">
        <f ca="1">IF($B$106="Лікар загальної практики - сімейний лікар",IF(AG110&lt;=Законод!$C$22,AF110,Законод!$C$22*'01_Доходи'!AF109),IF($B$106="Лікар-педіатр","x",IF($B$106="Лікар-терапевт",IF(AG110&lt;=Законод!$C$26,AF110,Законод!$C$26*'01_Доходи'!AF109),0)))</f>
        <v>391</v>
      </c>
      <c r="AG111" s="209">
        <f ca="1">SUM(AB111:AF111)</f>
        <v>1783</v>
      </c>
      <c r="AH111" s="966"/>
      <c r="AI111" s="201"/>
      <c r="AJ111" s="945"/>
      <c r="AK111" s="960"/>
      <c r="AL111" s="960"/>
      <c r="AM111" s="348" t="s">
        <v>451</v>
      </c>
      <c r="AN111" s="210">
        <f ca="1">IF(B106="Лікар загальної практики - сімейний лікар",G111*Законод!$C$11+'01_Доходи'!H111*Законод!$D$11+'01_Доходи'!I111*Законод!$E$11+'01_Доходи'!J111*Законод!$F$11+'01_Доходи'!K111*Законод!$G$11,IF(B106="Лікар-педіатр",G111*Законод!$C$11+'01_Доходи'!H111*Законод!$D$11,IF(B106="Лікар-терапевт",'01_Доходи'!I111*Законод!$E$11+'01_Доходи'!J111*Законод!$F$11+'01_Доходи'!K111*Законод!$G$11,0)))</f>
        <v>284218.61162500002</v>
      </c>
      <c r="AO111" s="210">
        <f ca="1">IF(B106="Лікар загальної практики - сімейний лікар",N111*Законод!$C$11+'01_Доходи'!O111*Законод!$D$11+'01_Доходи'!P111*Законод!$E$11+'01_Доходи'!Q111*Законод!$F$11+'01_Доходи'!R111*Законод!$G$11,IF(B106="Лікар-педіатр",N111*Законод!$C$11+'01_Доходи'!O111*Законод!$D$11,IF(B106="Лікар-терапевт",'01_Доходи'!P111*Законод!$E$11+'01_Доходи'!Q111*Законод!$F$11+'01_Доходи'!R111*Законод!$G$11,0)))</f>
        <v>284218.61162500002</v>
      </c>
      <c r="AP111" s="210">
        <f ca="1">IF(B106="Лікар загальної практики - сімейний лікар",U111*Законод!$C$11+'01_Доходи'!V111*Законод!$D$11+'01_Доходи'!W111*Законод!$E$11+'01_Доходи'!X111*Законод!$F$11+'01_Доходи'!Y111*Законод!$G$11,IF(B106="Лікар-педіатр",U111*Законод!$C$11+'01_Доходи'!V111*Законод!$D$11,IF(B106="Лікар-терапевт",'01_Доходи'!W111*Законод!$E$11+'01_Доходи'!X111*Законод!$F$11+'01_Доходи'!Y111*Законод!$G$11,0)))</f>
        <v>284218.61162500002</v>
      </c>
      <c r="AQ111" s="210">
        <f ca="1">IF(B106="Лікар загальної практики - сімейний лікар",AB111*Законод!$C$11+'01_Доходи'!AC111*Законод!$D$11+'01_Доходи'!AD111*Законод!$E$11+'01_Доходи'!AE111*Законод!$F$11+'01_Доходи'!AF111*Законод!$G$11,IF(B106="Лікар-педіатр",AB111*Законод!$C$11+'01_Доходи'!AC111*Законод!$D$11,IF(B106="Лікар-терапевт",'01_Доходи'!AD111*Законод!$E$11+'01_Доходи'!AE111*Законод!$F$11+'01_Доходи'!AF111*Законод!$G$11,0)))</f>
        <v>284218.61162500002</v>
      </c>
      <c r="AR111" s="211">
        <f t="shared" ref="AR111:AR117" si="12">SUM(AN111:AQ111)</f>
        <v>1136874.4465000001</v>
      </c>
    </row>
    <row r="112" spans="1:44" s="50" customFormat="1" ht="31.9" customHeight="1">
      <c r="A112" s="197"/>
      <c r="B112" s="969"/>
      <c r="C112" s="974"/>
      <c r="D112" s="971"/>
      <c r="E112" s="971"/>
      <c r="F112" s="238" t="str">
        <f ca="1">IF(B106="Лікар-педіатр",Законод!$E$17,IF(B106="Лікар загальної практики - сімейний лікар",Законод!$E$21,IF(B106="Лікар-терапевт",Законод!$E$25,"х")))</f>
        <v>понад ліміт (2001-2200)</v>
      </c>
      <c r="G112" s="965" t="s">
        <v>423</v>
      </c>
      <c r="H112" s="965"/>
      <c r="I112" s="965"/>
      <c r="J112" s="965"/>
      <c r="K112" s="965"/>
      <c r="L112" s="196">
        <f ca="1">IF($B$106="Лікар загальної практики - сімейний лікар",IF(L110&lt;Законод!$C$22,0,(IF(AND(L110&gt;=Законод!$E$22,L110&lt;=Законод!$E$23),L110-Законод!$C$22,IF('01_Доходи'!L110&gt;=Законод!$F$22,Законод!$E$24,0)))),IF($B$106="Лікар-педіатр",IF(L110&lt;Законод!$C$18,0,(IF(AND(L110&gt;=Законод!$E$18,L110&lt;=Законод!$E$19),L110-Законод!$C$18,IF('01_Доходи'!L110&gt;=Законод!$F$18,Законод!$E$20,0)))),IF($B$106="Лікар-терапевт",IF(L110&lt;Законод!$C$26,0,(IF(AND(L110&gt;=Законод!$E$26,L110&lt;=Законод!$E$27),L110-Законод!$C$26,IF('01_Доходи'!L110&gt;=Законод!$F$26,Законод!$E$28,0)))),0)))</f>
        <v>0</v>
      </c>
      <c r="M112" s="966"/>
      <c r="N112" s="965" t="s">
        <v>423</v>
      </c>
      <c r="O112" s="965"/>
      <c r="P112" s="965"/>
      <c r="Q112" s="965"/>
      <c r="R112" s="965"/>
      <c r="S112" s="196">
        <f ca="1">IF($B$106="Лікар загальної практики - сімейний лікар",IF(S110&lt;Законод!$C$22,0,(IF(AND(S110&gt;=Законод!$E$22,S110&lt;=Законод!$E$23),S110-Законод!$C$22,IF('01_Доходи'!S110&gt;=Законод!$F$22,Законод!$E$24,0)))),IF($B$106="Лікар-педіатр",IF(S110&lt;Законод!$C$18,0,(IF(AND(S110&gt;=Законод!$E$18,S110&lt;=Законод!$E$19),S110-Законод!$C$18,IF('01_Доходи'!S110&gt;=Законод!$F$18,Законод!$E$20,0)))),IF($B$106="Лікар-терапевт",IF(S110&lt;Законод!$C$26,0,(IF(AND(S110&gt;=Законод!$E$26,S110&lt;=Законод!$E$27),S110-Законод!$C$26,IF('01_Доходи'!S110&gt;=Законод!$F$26,Законод!$E$28,0)))),0)))</f>
        <v>0</v>
      </c>
      <c r="T112" s="966"/>
      <c r="U112" s="965" t="s">
        <v>423</v>
      </c>
      <c r="V112" s="965"/>
      <c r="W112" s="965"/>
      <c r="X112" s="965"/>
      <c r="Y112" s="965"/>
      <c r="Z112" s="196">
        <f ca="1">IF($B$106="Лікар загальної практики - сімейний лікар",IF(Z110&lt;Законод!$C$22,0,(IF(AND(Z110&gt;=Законод!$E$22,Z110&lt;=Законод!$E$23),Z110-Законод!$C$22,IF('01_Доходи'!Z110&gt;=Законод!$F$22,Законод!$E$24,0)))),IF($B$106="Лікар-педіатр",IF(Z110&lt;Законод!$C$18,0,(IF(AND(Z110&gt;=Законод!$E$18,Z110&lt;=Законод!$E$19),Z110-Законод!$C$18,IF('01_Доходи'!Z110&gt;=Законод!$F$18,Законод!$E$20,0)))),IF($B$106="Лікар-терапевт",IF(Z110&lt;Законод!$C$26,0,(IF(AND(Z110&gt;=Законод!$E$26,Z110&lt;=Законод!$E$27),Z110-Законод!$C$26,IF('01_Доходи'!Z110&gt;=Законод!$F$26,Законод!$E$28,0)))),0)))</f>
        <v>0</v>
      </c>
      <c r="AA112" s="966"/>
      <c r="AB112" s="965" t="s">
        <v>423</v>
      </c>
      <c r="AC112" s="965"/>
      <c r="AD112" s="965"/>
      <c r="AE112" s="965"/>
      <c r="AF112" s="965"/>
      <c r="AG112" s="196">
        <f ca="1">IF($B$106="Лікар загальної практики - сімейний лікар",IF(AG110&lt;Законод!$C$22,0,(IF(AND(AG110&gt;=Законод!$E$22,AG110&lt;=Законод!$E$23),AG110-Законод!$C$22,IF('01_Доходи'!AG110&gt;=Законод!$F$22,Законод!$E$24,0)))),IF($B$106="Лікар-педіатр",IF(AG110&lt;Законод!$C$18,0,(IF(AND(AG110&gt;=Законод!$E$18,AG110&lt;=Законод!$E$19),AG110-Законод!$C$18,IF('01_Доходи'!AG110&gt;=Законод!$F$18,Законод!$E$20,0)))),IF($B$106="Лікар-терапевт",IF(AG110&lt;Законод!$C$26,0,(IF(AND(AG110&gt;=Законод!$E$26,AG110&lt;=Законод!$E$27),AG110-Законод!$C$26,IF('01_Доходи'!AG110&gt;=Законод!$F$26,Законод!$E$28,0)))),0)))</f>
        <v>0</v>
      </c>
      <c r="AH112" s="966"/>
      <c r="AI112" s="201"/>
      <c r="AJ112" s="945"/>
      <c r="AK112" s="960"/>
      <c r="AL112" s="960"/>
      <c r="AM112" s="926" t="s">
        <v>452</v>
      </c>
      <c r="AN112" s="210">
        <f ca="1">IF(B106="Лікар загальної практики - сімейний лікар",L112*Законод!$C$9/4*Законод!$E$16,IF(B106="Лікар-педіатр",L112*Законод!$C$9/4*Законод!$E$16,IF(B106="Лікар-терапевт",L112*Законод!$C$9/4*Законод!$E$16,0)))</f>
        <v>0</v>
      </c>
      <c r="AO112" s="210">
        <f ca="1">IF(B106="Лікар загальної практики - сімейний лікар",S112*Законод!$C$9/4*Законод!$E$16,IF(B106="Лікар-педіатр",S112*Законод!$C$9/4*Законод!$E$16,IF(B106="Лікар-терапевт",S112*Законод!$C$9/4*Законод!$E$16,0)))</f>
        <v>0</v>
      </c>
      <c r="AP112" s="210">
        <f ca="1">IF(B106="Лікар загальної практики - сімейний лікар",Z112*Законод!$C$9/4*Законод!$E$16,IF(B106="Лікар-педіатр",Z112*Законод!$C$9/4*Законод!$E$16,IF(B106="Лікар-терапевт",Z112*Законод!$C$9/4*Законод!$E$16,0)))</f>
        <v>0</v>
      </c>
      <c r="AQ112" s="210">
        <f ca="1">IF(B106="Лікар загальної практики - сімейний лікар",AG112*Законод!$C$9/4*Законод!$E$16,IF(B106="Лікар-педіатр",AG112*Законод!$C$9/4*Законод!$E$16,IF(B106="Лікар-терапевт",AG112*Законод!$C$9/4*Законод!$E$16,0)))</f>
        <v>0</v>
      </c>
      <c r="AR112" s="211">
        <f t="shared" si="12"/>
        <v>0</v>
      </c>
    </row>
    <row r="113" spans="1:44" s="50" customFormat="1" ht="31.9" customHeight="1">
      <c r="A113" s="197"/>
      <c r="B113" s="969"/>
      <c r="C113" s="974"/>
      <c r="D113" s="971"/>
      <c r="E113" s="971"/>
      <c r="F113" s="238" t="str">
        <f ca="1">IF(B106="Лікар-педіатр",Законод!$F$17,IF(B106="Лікар загальної практики - сімейний лікар",Законод!$F$21,IF(B106="Лікар-терапевт",Законод!$F$25,"х")))</f>
        <v>понад ліміт (2201-2400)</v>
      </c>
      <c r="G113" s="965" t="s">
        <v>423</v>
      </c>
      <c r="H113" s="965"/>
      <c r="I113" s="965"/>
      <c r="J113" s="965"/>
      <c r="K113" s="965"/>
      <c r="L113" s="196">
        <f ca="1">IF($B$106="Лікар загальної практики - сімейний лікар",IF(L110&lt;Законод!$C$22,0,(IF(AND(L110&gt;=Законод!$F$22,L110&lt;=Законод!$F$23),L110-Законод!$E$23,IF('01_Доходи'!L110&gt;=Законод!$G$22,Законод!$F$24,0)))),IF($B$106="Лікар-педіатр",IF(L110&lt;Законод!$C$18,0,(IF(AND(L110&gt;=Законод!$F$18,L110&lt;=Законод!$F$19),L110-Законод!$E$19,IF('01_Доходи'!L110&gt;=Законод!$G$18,Законод!$F$20,0)))),IF($B$106="Лікар-терапевт",IF(L110&lt;Законод!$C$26,0,(IF(AND(L110&gt;=Законод!$F$26,L110&lt;=Законод!$F$27),L110-Законод!$E$27,IF('01_Доходи'!L110&gt;=Законод!$G$26,Законод!$F$28,0)))),0)))</f>
        <v>0</v>
      </c>
      <c r="M113" s="966"/>
      <c r="N113" s="965" t="s">
        <v>423</v>
      </c>
      <c r="O113" s="965"/>
      <c r="P113" s="965"/>
      <c r="Q113" s="965"/>
      <c r="R113" s="965"/>
      <c r="S113" s="196">
        <f ca="1">IF($B$106="Лікар загальної практики - сімейний лікар",IF(S110&lt;Законод!$C$22,0,(IF(AND(S110&gt;=Законод!$F$22,S110&lt;=Законод!$F$23),S110-Законод!$E$23,IF('01_Доходи'!S110&gt;=Законод!$G$22,Законод!$F$24,0)))),IF($B$106="Лікар-педіатр",IF(S110&lt;Законод!$C$18,0,(IF(AND(S110&gt;=Законод!$F$18,S110&lt;=Законод!$F$19),S110-Законод!$E$19,IF('01_Доходи'!S110&gt;=Законод!$G$18,Законод!$F$20,0)))),IF($B$106="Лікар-терапевт",IF(S110&lt;Законод!$C$26,0,(IF(AND(S110&gt;=Законод!$F$26,S110&lt;=Законод!$F$27),S110-Законод!$E$27,IF('01_Доходи'!S110&gt;=Законод!$G$26,Законод!$F$28,0)))),0)))</f>
        <v>0</v>
      </c>
      <c r="T113" s="966"/>
      <c r="U113" s="965" t="s">
        <v>423</v>
      </c>
      <c r="V113" s="965"/>
      <c r="W113" s="965"/>
      <c r="X113" s="965"/>
      <c r="Y113" s="965"/>
      <c r="Z113" s="196">
        <f ca="1">IF($B$106="Лікар загальної практики - сімейний лікар",IF(Z110&lt;Законод!$C$22,0,(IF(AND(Z110&gt;=Законод!$F$22,Z110&lt;=Законод!$F$23),Z110-Законод!$E$23,IF('01_Доходи'!Z110&gt;=Законод!$G$22,Законод!$F$24,0)))),IF($B$106="Лікар-педіатр",IF(Z110&lt;Законод!$C$18,0,(IF(AND(Z110&gt;=Законод!$F$18,Z110&lt;=Законод!$F$19),Z110-Законод!$E$19,IF('01_Доходи'!Z110&gt;=Законод!$G$18,Законод!$F$20,0)))),IF($B$106="Лікар-терапевт",IF(Z110&lt;Законод!$C$26,0,(IF(AND(Z110&gt;=Законод!$F$26,Z110&lt;=Законод!$F$27),Z110-Законод!$E$27,IF('01_Доходи'!Z110&gt;=Законод!$G$26,Законод!$F$28,0)))),0)))</f>
        <v>0</v>
      </c>
      <c r="AA113" s="966"/>
      <c r="AB113" s="965" t="s">
        <v>423</v>
      </c>
      <c r="AC113" s="965"/>
      <c r="AD113" s="965"/>
      <c r="AE113" s="965"/>
      <c r="AF113" s="965"/>
      <c r="AG113" s="196">
        <f ca="1">IF($B$106="Лікар загальної практики - сімейний лікар",IF(AG110&lt;Законод!$C$22,0,(IF(AND(AG110&gt;=Законод!$F$22,AG110&lt;=Законод!$F$23),AG110-Законод!$E$23,IF('01_Доходи'!AG110&gt;=Законод!$G$22,Законод!$F$24,0)))),IF($B$106="Лікар-педіатр",IF(AG110&lt;Законод!$C$18,0,(IF(AND(AG110&gt;=Законод!$F$18,AG110&lt;=Законод!$F$19),AG110-Законод!$E$19,IF('01_Доходи'!AG110&gt;=Законод!$G$18,Законод!$F$20,0)))),IF($B$106="Лікар-терапевт",IF(AG110&lt;Законод!$C$26,0,(IF(AND(AG110&gt;=Законод!$F$26,AG110&lt;=Законод!$F$27),AG110-Законод!$E$27,IF('01_Доходи'!AG110&gt;=Законод!$G$26,Законод!$F$28,0)))),0)))</f>
        <v>0</v>
      </c>
      <c r="AH113" s="966"/>
      <c r="AI113" s="201"/>
      <c r="AJ113" s="945"/>
      <c r="AK113" s="960"/>
      <c r="AL113" s="960"/>
      <c r="AM113" s="927"/>
      <c r="AN113" s="210">
        <f ca="1">IF(B106="Лікар загальної практики - сімейний лікар",L113*Законод!$C$9/4*Законод!$F$16,IF(B106="Лікар-педіатр",L113*Законод!$C$9/4*Законод!$F$16,IF(B106="Лікар-терапевт",L113*Законод!$C$9/4*Законод!$F$16,0)))</f>
        <v>0</v>
      </c>
      <c r="AO113" s="210">
        <f ca="1">IF(B106="Лікар загальної практики - сімейний лікар",S113*Законод!$C$9/4*Законод!$F$16,IF(B106="Лікар-педіатр",S113*Законод!$C$9/4*Законод!$F$16,IF(B106="Лікар-терапевт",S113*Законод!$C$9/4*Законод!$F$16,0)))</f>
        <v>0</v>
      </c>
      <c r="AP113" s="210">
        <f ca="1">IF(B106="Лікар загальної практики - сімейний лікар",Z113*Законод!$C$9/4*Законод!$F$16,IF(B106="Лікар-педіатр",Z113*Законод!$C$9/4*Законод!$F$16,IF(B106="Лікар-терапевт",Z113*Законод!$C$9/4*Законод!$F$16,0)))</f>
        <v>0</v>
      </c>
      <c r="AQ113" s="210">
        <f ca="1">IF(B106="Лікар загальної практики - сімейний лікар",AG113*Законод!$C$9/4*Законод!$F$16,IF(B106="Лікар-педіатр",AG113*Законод!$C$9/4*Законод!$F$16,IF(B106="Лікар-терапевт",AG113*Законод!$C$9/4*Законод!$F$16,0)))</f>
        <v>0</v>
      </c>
      <c r="AR113" s="211">
        <f t="shared" si="12"/>
        <v>0</v>
      </c>
    </row>
    <row r="114" spans="1:44" s="50" customFormat="1" ht="31.9" customHeight="1">
      <c r="A114" s="197"/>
      <c r="B114" s="969"/>
      <c r="C114" s="974"/>
      <c r="D114" s="971"/>
      <c r="E114" s="971"/>
      <c r="F114" s="238" t="str">
        <f ca="1">IF(B106="Лікар-педіатр",Законод!$G$17,IF(B106="Лікар загальної практики - сімейний лікар",Законод!$G$21,IF(B106="Лікар-терапевт",Законод!$G$25,"х")))</f>
        <v>понад ліміт (2401-2600)</v>
      </c>
      <c r="G114" s="965" t="s">
        <v>423</v>
      </c>
      <c r="H114" s="965"/>
      <c r="I114" s="965"/>
      <c r="J114" s="965"/>
      <c r="K114" s="965"/>
      <c r="L114" s="196">
        <f ca="1">IF($B$106="Лікар загальної практики - сімейний лікар",IF(L110&lt;Законод!$C$22,0,(IF(AND(L110&gt;=Законод!$G$22,L110&lt;=Законод!$G$23),L110-Законод!$F$23,IF('01_Доходи'!L110&gt;=Законод!$H$22,Законод!$G$24,0)))),IF($B$106="Лікар-педіатр",IF(L110&lt;Законод!$C$18,0,(IF(AND(L110&gt;=Законод!$G$18,L110&lt;=Законод!$G$19),L110-Законод!$F$19,IF('01_Доходи'!L110&gt;=Законод!$H$18,Законод!$G$20,0)))),IF($B$106="Лікар-терапевт",IF(L110&lt;Законод!$C$26,0,(IF(AND(L110&gt;=Законод!$G$26,L110&lt;=Законод!$G$27),L110-Законод!$F$27,IF('01_Доходи'!L110&gt;=Законод!$H$26,Законод!$G$28,0)))),0)))</f>
        <v>0</v>
      </c>
      <c r="M114" s="966"/>
      <c r="N114" s="965" t="s">
        <v>423</v>
      </c>
      <c r="O114" s="965"/>
      <c r="P114" s="965"/>
      <c r="Q114" s="965"/>
      <c r="R114" s="965"/>
      <c r="S114" s="196">
        <f ca="1">IF($B$106="Лікар загальної практики - сімейний лікар",IF(S110&lt;Законод!$C$22,0,(IF(AND(S110&gt;=Законод!$G$22,S110&lt;=Законод!$G$23),S110-Законод!$F$23,IF('01_Доходи'!S110&gt;=Законод!$H$22,Законод!$G$24,0)))),IF($B$106="Лікар-педіатр",IF(S110&lt;Законод!$C$18,0,(IF(AND(S110&gt;=Законод!$G$18,S110&lt;=Законод!$G$19),S110-Законод!$F$19,IF('01_Доходи'!S110&gt;=Законод!$H$18,Законод!$G$20,0)))),IF($B$106="Лікар-терапевт",IF(S110&lt;Законод!$C$26,0,(IF(AND(S110&gt;=Законод!$G$26,S110&lt;=Законод!$G$27),S110-Законод!$F$27,IF('01_Доходи'!S110&gt;=Законод!$H$26,Законод!$G$28,0)))),0)))</f>
        <v>0</v>
      </c>
      <c r="T114" s="966"/>
      <c r="U114" s="965" t="s">
        <v>423</v>
      </c>
      <c r="V114" s="965"/>
      <c r="W114" s="965"/>
      <c r="X114" s="965"/>
      <c r="Y114" s="965"/>
      <c r="Z114" s="196">
        <f ca="1">IF($B$106="Лікар загальної практики - сімейний лікар",IF(Z110&lt;Законод!$C$22,0,(IF(AND(Z110&gt;=Законод!$G$22,Z110&lt;=Законод!$G$23),Z110-Законод!$F$23,IF('01_Доходи'!Z110&gt;=Законод!$H$22,Законод!$G$24,0)))),IF($B$106="Лікар-педіатр",IF(Z110&lt;Законод!$C$18,0,(IF(AND(Z110&gt;=Законод!$G$18,Z110&lt;=Законод!$G$19),Z110-Законод!$F$19,IF('01_Доходи'!Z110&gt;=Законод!$H$18,Законод!$G$20,0)))),IF($B$106="Лікар-терапевт",IF(Z110&lt;Законод!$C$26,0,(IF(AND(Z110&gt;=Законод!$G$26,Z110&lt;=Законод!$G$27),Z110-Законод!$F$27,IF('01_Доходи'!Z110&gt;=Законод!$H$26,Законод!$G$28,0)))),0)))</f>
        <v>0</v>
      </c>
      <c r="AA114" s="966"/>
      <c r="AB114" s="965" t="s">
        <v>423</v>
      </c>
      <c r="AC114" s="965"/>
      <c r="AD114" s="965"/>
      <c r="AE114" s="965"/>
      <c r="AF114" s="965"/>
      <c r="AG114" s="196">
        <f ca="1">IF($B$106="Лікар загальної практики - сімейний лікар",IF(AG110&lt;Законод!$C$22,0,(IF(AND(AG110&gt;=Законод!$G$22,AG110&lt;=Законод!$G$23),AG110-Законод!$F$23,IF('01_Доходи'!AG110&gt;=Законод!$H$22,Законод!$G$24,0)))),IF($B$106="Лікар-педіатр",IF(AG110&lt;Законод!$C$18,0,(IF(AND(AG110&gt;=Законод!$G$18,AG110&lt;=Законод!$G$19),AG110-Законод!$F$19,IF('01_Доходи'!AG110&gt;=Законод!$H$18,Законод!$G$20,0)))),IF($B$106="Лікар-терапевт",IF(AG110&lt;Законод!$C$26,0,(IF(AND(AG110&gt;=Законод!$G$26,AG110&lt;=Законод!$G$27),AG110-Законод!$F$27,IF('01_Доходи'!AG110&gt;=Законод!$H$26,Законод!$G$28,0)))),0)))</f>
        <v>0</v>
      </c>
      <c r="AH114" s="966"/>
      <c r="AI114" s="201"/>
      <c r="AJ114" s="945"/>
      <c r="AK114" s="960"/>
      <c r="AL114" s="960"/>
      <c r="AM114" s="927"/>
      <c r="AN114" s="210">
        <f ca="1">IF(B106="Лікар загальної практики - сімейний лікар",L114*Законод!$C$9/4*Законод!$G$16,IF(B106="Лікар-педіатр",L114*Законод!$C$9/4*Законод!$G$16,IF(B106="Лікар-терапевт",L114*Законод!$C$9/4*Законод!$G$16,0)))</f>
        <v>0</v>
      </c>
      <c r="AO114" s="210">
        <f ca="1">IF(B106="Лікар загальної практики - сімейний лікар",S114*Законод!$C$9/4*Законод!$G$16,IF(B106="Лікар-педіатр",S114*Законод!$C$9/4*Законод!$G$16,IF(B106="Лікар-терапевт",S114*Законод!$C$9/4*Законод!$G$16,0)))</f>
        <v>0</v>
      </c>
      <c r="AP114" s="210">
        <f ca="1">IF(B106="Лікар загальної практики - сімейний лікар",Z114*Законод!$C$9/4*Законод!$G$16,IF(B106="Лікар-педіатр",Z114*Законод!$C$9/4*Законод!$G$16,IF(B106="Лікар-терапевт",Z114*Законод!$C$9/4*Законод!$G$16,0)))</f>
        <v>0</v>
      </c>
      <c r="AQ114" s="210">
        <f ca="1">IF(B106="Лікар загальної практики - сімейний лікар",AG114*Законод!$C$9/4*Законод!$G$16,IF(B106="Лікар-педіатр",AG114*Законод!$C$9/4*Законод!$G$16,IF(B106="Лікар-терапевт",AG114*Законод!$C$9/4*Законод!$G$16,0)))</f>
        <v>0</v>
      </c>
      <c r="AR114" s="211">
        <f t="shared" si="12"/>
        <v>0</v>
      </c>
    </row>
    <row r="115" spans="1:44" s="50" customFormat="1" ht="31.9" customHeight="1">
      <c r="A115" s="197"/>
      <c r="B115" s="969"/>
      <c r="C115" s="974"/>
      <c r="D115" s="971"/>
      <c r="E115" s="971"/>
      <c r="F115" s="238" t="str">
        <f ca="1">IF(B106="Лікар-педіатр",Законод!$H$17,IF(B106="Лікар загальної практики - сімейний лікар",Законод!$H$21,IF(B106="Лікар-терапевт",Законод!$H$25,"х")))</f>
        <v>понад ліміт (2601-2800)</v>
      </c>
      <c r="G115" s="965" t="s">
        <v>423</v>
      </c>
      <c r="H115" s="965"/>
      <c r="I115" s="965"/>
      <c r="J115" s="965"/>
      <c r="K115" s="965"/>
      <c r="L115" s="196">
        <f ca="1">IF($B$106="Лікар загальної практики - сімейний лікар",IF(L110&lt;Законод!$C$22,0,(IF(AND(L110&gt;=Законод!$H$22,L110&lt;=Законод!$H$23),L110-Законод!$G$23,IF('01_Доходи'!L110&gt;=Законод!$I$22,Законод!$H$24,0)))),IF($B$106="Лікар-педіатр",IF(L110&lt;Законод!$C$18,0,(IF(AND(L110&gt;=Законод!$H$18,L110&lt;=Законод!$H$19),L110-Законод!$G$19,IF('01_Доходи'!L110&gt;=Законод!$I$18,Законод!$H$20,0)))),IF($B$106="Лікар-терапевт",IF(L110&lt;Законод!$C$26,0,(IF(AND(L110&gt;=Законод!$H$26,L110&lt;=Законод!$H$27),L110-Законод!$G$27,IF(L110&gt;=Законод!$I$26,Законод!$H$28,0)))),0)))</f>
        <v>0</v>
      </c>
      <c r="M115" s="966"/>
      <c r="N115" s="965" t="s">
        <v>423</v>
      </c>
      <c r="O115" s="965"/>
      <c r="P115" s="965"/>
      <c r="Q115" s="965"/>
      <c r="R115" s="965"/>
      <c r="S115" s="196">
        <f ca="1">IF($B$106="Лікар загальної практики - сімейний лікар",IF(S110&lt;Законод!$C$22,0,(IF(AND(S110&gt;=Законод!$H$22,S110&lt;=Законод!$H$23),S110-Законод!$G$23,IF('01_Доходи'!S110&gt;=Законод!$I$22,Законод!$H$24,0)))),IF($B$106="Лікар-педіатр",IF(S110&lt;Законод!$C$18,0,(IF(AND(S110&gt;=Законод!$H$18,S110&lt;=Законод!$H$19),S110-Законод!$G$19,IF('01_Доходи'!S110&gt;=Законод!$I$18,Законод!$H$20,0)))),IF($B$106="Лікар-терапевт",IF(S110&lt;Законод!$C$26,0,(IF(AND(S110&gt;=Законод!$H$26,S110&lt;=Законод!$H$27),S110-Законод!$G$27,IF(S110&gt;=Законод!$I$26,Законод!$H$28,0)))),0)))</f>
        <v>0</v>
      </c>
      <c r="T115" s="966"/>
      <c r="U115" s="965" t="s">
        <v>423</v>
      </c>
      <c r="V115" s="965"/>
      <c r="W115" s="965"/>
      <c r="X115" s="965"/>
      <c r="Y115" s="965"/>
      <c r="Z115" s="196">
        <f ca="1">IF($B$106="Лікар загальної практики - сімейний лікар",IF(Z110&lt;Законод!$C$22,0,(IF(AND(Z110&gt;=Законод!$H$22,Z110&lt;=Законод!$H$23),Z110-Законод!$G$23,IF('01_Доходи'!Z110&gt;=Законод!$I$22,Законод!$H$24,0)))),IF($B$106="Лікар-педіатр",IF(Z110&lt;Законод!$C$18,0,(IF(AND(Z110&gt;=Законод!$H$18,Z110&lt;=Законод!$H$19),Z110-Законод!$G$19,IF('01_Доходи'!Z110&gt;=Законод!$I$18,Законод!$H$20,0)))),IF($B$106="Лікар-терапевт",IF(Z110&lt;Законод!$C$26,0,(IF(AND(Z110&gt;=Законод!$H$26,Z110&lt;=Законод!$H$27),Z110-Законод!$G$27,IF(Z110&gt;=Законод!$I$26,Законод!$H$28,0)))),0)))</f>
        <v>0</v>
      </c>
      <c r="AA115" s="966"/>
      <c r="AB115" s="965" t="s">
        <v>423</v>
      </c>
      <c r="AC115" s="965"/>
      <c r="AD115" s="965"/>
      <c r="AE115" s="965"/>
      <c r="AF115" s="965"/>
      <c r="AG115" s="196">
        <f ca="1">IF($B$106="Лікар загальної практики - сімейний лікар",IF(AG110&lt;Законод!$C$22,0,(IF(AND(AG110&gt;=Законод!$H$22,AG110&lt;=Законод!$H$23),AG110-Законод!$G$23,IF('01_Доходи'!AG110&gt;=Законод!$I$22,Законод!$H$24,0)))),IF($B$106="Лікар-педіатр",IF(AG110&lt;Законод!$C$18,0,(IF(AND(AG110&gt;=Законод!$H$18,AG110&lt;=Законод!$H$19),AG110-Законод!$G$19,IF('01_Доходи'!AG110&gt;=Законод!$I$18,Законод!$H$20,0)))),IF($B$106="Лікар-терапевт",IF(AG110&lt;Законод!$C$26,0,(IF(AND(AG110&gt;=Законод!$H$26,AG110&lt;=Законод!$H$27),AG110-Законод!$G$27,IF(AG110&gt;=Законод!$I$26,Законод!$H$28,0)))),0)))</f>
        <v>0</v>
      </c>
      <c r="AH115" s="966"/>
      <c r="AI115" s="201"/>
      <c r="AJ115" s="945"/>
      <c r="AK115" s="960"/>
      <c r="AL115" s="960"/>
      <c r="AM115" s="927"/>
      <c r="AN115" s="210">
        <f ca="1">IF(B106="Лікар загальної практики - сімейний лікар",L115*Законод!$C$9/4*Законод!$H$16,IF(B106="Лікар-педіатр",L115*Законод!$C$9/4*Законод!$H$16,IF(B106="Лікар-терапевт",L115*Законод!$C$9/4*Законод!$H$16,0)))</f>
        <v>0</v>
      </c>
      <c r="AO115" s="210">
        <f ca="1">IF(B106="Лікар загальної практики - сімейний лікар",S115*Законод!$C$9/4*Законод!$H$16,IF(B106="Лікар-педіатр",S115*Законод!$C$9/4*Законод!$H$16,IF(B106="Лікар-терапевт",S115*Законод!$C$9/4*Законод!$H$16,0)))</f>
        <v>0</v>
      </c>
      <c r="AP115" s="210">
        <f ca="1">IF(B106="Лікар загальної практики - сімейний лікар",Z115*Законод!$C$9/4*Законод!$H$16,IF(B106="Лікар-педіатр",Z115*Законод!$C$9/4*Законод!$H$16,IF(B106="Лікар-терапевт",Z115*Законод!$C$9/4*Законод!$H$16,0)))</f>
        <v>0</v>
      </c>
      <c r="AQ115" s="210">
        <f ca="1">IF(B106="Лікар загальної практики - сімейний лікар",AG115*Законод!$C$9/4*Законод!$H$16,IF(B106="Лікар-педіатр",AG115*Законод!$C$9/4*Законод!$H$16,IF(B106="Лікар-терапевт",AG115*Законод!$C$9/4*Законод!$H$16,0)))</f>
        <v>0</v>
      </c>
      <c r="AR115" s="211">
        <f t="shared" si="12"/>
        <v>0</v>
      </c>
    </row>
    <row r="116" spans="1:44" s="50" customFormat="1" ht="31.9" customHeight="1">
      <c r="A116" s="197"/>
      <c r="B116" s="969"/>
      <c r="C116" s="974"/>
      <c r="D116" s="971"/>
      <c r="E116" s="971"/>
      <c r="F116" s="238" t="str">
        <f ca="1">IF(B106="Лікар-педіатр",Законод!$I$17,IF(B106="Лікар загальної практики - сімейний лікар",Законод!$I$21,IF(B106="Лікар-терапевт",Законод!$I$25,"х")))</f>
        <v>понад ліміт (2801-3000)</v>
      </c>
      <c r="G116" s="965" t="s">
        <v>423</v>
      </c>
      <c r="H116" s="965"/>
      <c r="I116" s="965"/>
      <c r="J116" s="965"/>
      <c r="K116" s="965"/>
      <c r="L116" s="196">
        <f ca="1">IF($B$106="Лікар загальної практики - сімейний лікар",IF(L110&lt;Законод!$C$22,0,(IF(AND(L110&gt;=Законод!$I$22,L110&lt;=Законод!$I$23),L110-Законод!$H$23,IF('01_Доходи'!L110&gt;=Законод!$I$22,Законод!$I$24,0)))),IF($B$106="Лікар-педіатр",IF(L110&lt;Законод!$C$18,0,(IF(AND(L110&gt;=Законод!$I$18,L110&lt;=Законод!$I$19),L110-Законод!$H$19,IF('01_Доходи'!L110&gt;=Законод!$I$18,Законод!$H$20,0)))),IF($B$106="Лікар-терапевт",IF(L110&lt;Законод!$C$26,0,(IF(AND(L110&gt;=Законод!$I$26,L110&lt;=Законод!$I$27),L110-Законод!$H$27,IF('01_Доходи'!L110&gt;=Законод!$I$26,Законод!$H$28,0)))),0)))</f>
        <v>0</v>
      </c>
      <c r="M116" s="966"/>
      <c r="N116" s="965" t="s">
        <v>423</v>
      </c>
      <c r="O116" s="965"/>
      <c r="P116" s="965"/>
      <c r="Q116" s="965"/>
      <c r="R116" s="965"/>
      <c r="S116" s="196">
        <f ca="1">IF($B$106="Лікар загальної практики - сімейний лікар",IF(S110&lt;Законод!$C$22,0,(IF(AND(S110&gt;=Законод!$I$22,S110&lt;=Законод!$I$23),S110-Законод!$H$23,IF('01_Доходи'!S110&gt;=Законод!$I$22,Законод!$I$24,0)))),IF($B$106="Лікар-педіатр",IF(S110&lt;Законод!$C$18,0,(IF(AND(S110&gt;=Законод!$I$18,S110&lt;=Законод!$I$19),S110-Законод!$H$19,IF('01_Доходи'!S110&gt;=Законод!$I$18,Законод!$H$20,0)))),IF($B$106="Лікар-терапевт",IF(S110&lt;Законод!$C$26,0,(IF(AND(S110&gt;=Законод!$I$26,S110&lt;=Законод!$I$27),S110-Законод!$H$27,IF('01_Доходи'!S110&gt;=Законод!$I$26,Законод!$H$28,0)))),0)))</f>
        <v>0</v>
      </c>
      <c r="T116" s="966"/>
      <c r="U116" s="965" t="s">
        <v>423</v>
      </c>
      <c r="V116" s="965"/>
      <c r="W116" s="965"/>
      <c r="X116" s="965"/>
      <c r="Y116" s="965"/>
      <c r="Z116" s="196">
        <f ca="1">IF($B$106="Лікар загальної практики - сімейний лікар",IF(Z110&lt;Законод!$C$22,0,(IF(AND(Z110&gt;=Законод!$I$22,Z110&lt;=Законод!$I$23),Z110-Законод!$H$23,IF('01_Доходи'!Z110&gt;=Законод!$I$22,Законод!$I$24,0)))),IF($B$106="Лікар-педіатр",IF(Z110&lt;Законод!$C$18,0,(IF(AND(Z110&gt;=Законод!$I$18,Z110&lt;=Законод!$I$19),Z110-Законод!$H$19,IF('01_Доходи'!Z110&gt;=Законод!$I$18,Законод!$H$20,0)))),IF($B$106="Лікар-терапевт",IF(Z110&lt;Законод!$C$26,0,(IF(AND(Z110&gt;=Законод!$I$26,Z110&lt;=Законод!$I$27),Z110-Законод!$H$27,IF('01_Доходи'!Z110&gt;=Законод!$I$26,Законод!$H$28,0)))),0)))</f>
        <v>0</v>
      </c>
      <c r="AA116" s="966"/>
      <c r="AB116" s="965" t="s">
        <v>423</v>
      </c>
      <c r="AC116" s="965"/>
      <c r="AD116" s="965"/>
      <c r="AE116" s="965"/>
      <c r="AF116" s="965"/>
      <c r="AG116" s="196">
        <f ca="1">IF($B$106="Лікар загальної практики - сімейний лікар",IF(AG110&lt;Законод!$C$22,0,(IF(AND(AG110&gt;=Законод!$I$22,AG110&lt;=Законод!$I$23),AG110-Законод!$H$23,IF('01_Доходи'!AG110&gt;=Законод!$I$22,Законод!$I$24,0)))),IF($B$106="Лікар-педіатр",IF(AG110&lt;Законод!$C$18,0,(IF(AND(AG110&gt;=Законод!$I$18,AG110&lt;=Законод!$I$19),AG110-Законод!$H$19,IF('01_Доходи'!AG110&gt;=Законод!$I$18,Законод!$H$20,0)))),IF($B$106="Лікар-терапевт",IF(AG110&lt;Законод!$C$26,0,(IF(AND(AG110&gt;=Законод!$I$26,AG110&lt;=Законод!$I$27),AG110-Законод!$H$27,IF('01_Доходи'!AG110&gt;=Законод!$I$26,Законод!$H$28,0)))),0)))</f>
        <v>0</v>
      </c>
      <c r="AH116" s="966"/>
      <c r="AI116" s="201"/>
      <c r="AJ116" s="945"/>
      <c r="AK116" s="960"/>
      <c r="AL116" s="960"/>
      <c r="AM116" s="927"/>
      <c r="AN116" s="210">
        <f ca="1">IF(B106="Лікар загальної практики - сімейний лікар",L116*Законод!$C$9/4*Законод!$I$16,IF(B106="Лікар-педіатр",L116*Законод!$C$9/4*Законод!$I$16,IF(B106="Лікар-терапевт",L116*Законод!$C$9/4*Законод!$I$16,0)))</f>
        <v>0</v>
      </c>
      <c r="AO116" s="210">
        <f ca="1">IF(B106="Лікар загальної практики - сімейний лікар",S116*Законод!$C$9/4*Законод!$I$16,IF(B106="Лікар-педіатр",S116*Законод!$C$9/4*Законод!$I$16,IF(B106="Лікар-терапевт",S116*Законод!$C$9/4*Законод!$I$16,0)))</f>
        <v>0</v>
      </c>
      <c r="AP116" s="210">
        <f ca="1">IF(B106="Лікар загальної практики - сімейний лікар",Z116*Законод!$C$9/4*Законод!$I$16,IF(B106="Лікар-педіатр",Z116*Законод!$C$9/4*Законод!$I$16,IF(B106="Лікар-терапевт",Z116*Законод!$C$9/4*Законод!$I$16,0)))</f>
        <v>0</v>
      </c>
      <c r="AQ116" s="210">
        <f ca="1">IF(B106="Лікар загальної практики - сімейний лікар",AG116*Законод!$C$9/4*Законод!$I$16,IF(B106="Лікар-педіатр",AG116*Законод!$C$9/4*Законод!$I$16,IF(B106="Лікар-терапевт",AG116*Законод!$C$9/4*Законод!$I$16,0)))</f>
        <v>0</v>
      </c>
      <c r="AR116" s="211">
        <f t="shared" si="12"/>
        <v>0</v>
      </c>
    </row>
    <row r="117" spans="1:44" s="218" customFormat="1" ht="31.9" customHeight="1" thickBot="1">
      <c r="A117" s="213"/>
      <c r="B117" s="969"/>
      <c r="C117" s="974"/>
      <c r="D117" s="971"/>
      <c r="E117" s="971"/>
      <c r="F117" s="239" t="str">
        <f ca="1">IF(B106="Лікар-педіатр",Законод!$J$17,IF(B106="Лікар загальної практики - сімейний лікар",Законод!$J$21,IF(B106="Лікар-терапевт",Законод!$J$25,"х")))</f>
        <v>понад ліміт (&gt;=3001)</v>
      </c>
      <c r="G117" s="968" t="s">
        <v>423</v>
      </c>
      <c r="H117" s="968"/>
      <c r="I117" s="968"/>
      <c r="J117" s="968"/>
      <c r="K117" s="968"/>
      <c r="L117" s="196">
        <f ca="1">IF($B$106="Лікар загальної практики - сімейний лікар",IF(L110&gt;=Законод!$J$22,'01_Доходи'!L110-('01_Доходи'!L111+'01_Доходи'!L112+'01_Доходи'!L113+'01_Доходи'!L114+'01_Доходи'!L115+'01_Доходи'!L116),0),IF($B$106="Лікар-педіатр",IF(L110&gt;=Законод!$J$18,'01_Доходи'!L110-('01_Доходи'!L111+'01_Доходи'!L112+'01_Доходи'!L113+'01_Доходи'!L114+'01_Доходи'!L115+'01_Доходи'!L116),0),IF($B$106="Лікар-терапевт",IF('01_Доходи'!L110&gt;=Законод!$J$26,L110-Законод!$I$27,0),0)))</f>
        <v>0</v>
      </c>
      <c r="M117" s="966"/>
      <c r="N117" s="968" t="s">
        <v>423</v>
      </c>
      <c r="O117" s="968"/>
      <c r="P117" s="968"/>
      <c r="Q117" s="968"/>
      <c r="R117" s="968"/>
      <c r="S117" s="196">
        <f ca="1">IF($B$106="Лікар загальної практики - сімейний лікар",IF(S110&gt;=Законод!$J$22,'01_Доходи'!S110-('01_Доходи'!S111+'01_Доходи'!S112+'01_Доходи'!S113+'01_Доходи'!S114+'01_Доходи'!S115+'01_Доходи'!S116),0),IF($B$106="Лікар-педіатр",IF(S110&gt;=Законод!$J$18,'01_Доходи'!S110-('01_Доходи'!S111+'01_Доходи'!S112+'01_Доходи'!S113+'01_Доходи'!S114+'01_Доходи'!S115+'01_Доходи'!S116),0),IF($B$106="Лікар-терапевт",IF('01_Доходи'!S110&gt;=Законод!$J$26,S110-Законод!$I$27,0),0)))</f>
        <v>0</v>
      </c>
      <c r="T117" s="966"/>
      <c r="U117" s="968" t="s">
        <v>423</v>
      </c>
      <c r="V117" s="968"/>
      <c r="W117" s="968"/>
      <c r="X117" s="968"/>
      <c r="Y117" s="968"/>
      <c r="Z117" s="196">
        <f ca="1">IF($B$106="Лікар загальної практики - сімейний лікар",IF(Z110&gt;=Законод!$J$22,'01_Доходи'!Z110-('01_Доходи'!Z111+'01_Доходи'!Z112+'01_Доходи'!Z113+'01_Доходи'!Z114+'01_Доходи'!Z115+'01_Доходи'!Z116),0),IF($B$106="Лікар-педіатр",IF(Z110&gt;=Законод!$J$18,'01_Доходи'!Z110-('01_Доходи'!Z111+'01_Доходи'!Z112+'01_Доходи'!Z113+'01_Доходи'!Z114+'01_Доходи'!Z115+'01_Доходи'!Z116),0),IF($B$106="Лікар-терапевт",IF('01_Доходи'!Z110&gt;=Законод!$J$26,Z110-Законод!$I$27,0),0)))</f>
        <v>0</v>
      </c>
      <c r="AA117" s="966"/>
      <c r="AB117" s="968" t="s">
        <v>423</v>
      </c>
      <c r="AC117" s="968"/>
      <c r="AD117" s="968"/>
      <c r="AE117" s="968"/>
      <c r="AF117" s="968"/>
      <c r="AG117" s="196">
        <f ca="1">IF($B$106="Лікар загальної практики - сімейний лікар",IF(AG110&gt;=Законод!$J$22,'01_Доходи'!AG110-('01_Доходи'!AG111+'01_Доходи'!AG112+'01_Доходи'!AG113+'01_Доходи'!AG114+'01_Доходи'!AG115+'01_Доходи'!AG116),0),IF($B$106="Лікар-педіатр",IF(AG110&gt;=Законод!$J$18,'01_Доходи'!AG110-('01_Доходи'!AG111+'01_Доходи'!AG112+'01_Доходи'!AG113+'01_Доходи'!AG114+'01_Доходи'!AG115+'01_Доходи'!AG116),0),IF($B$106="Лікар-терапевт",IF('01_Доходи'!AG110&gt;=Законод!$J$26,AG110-Законод!$I$27,0),0)))</f>
        <v>0</v>
      </c>
      <c r="AH117" s="966"/>
      <c r="AI117" s="215"/>
      <c r="AJ117" s="946"/>
      <c r="AK117" s="961"/>
      <c r="AL117" s="961"/>
      <c r="AM117" s="928"/>
      <c r="AN117" s="216">
        <f ca="1">IF(B106="Лікар загальної практики - сімейний лікар",L117*Законод!$C$9/4*Законод!$J$16,IF(B106="Лікар-педіатр",L117*Законод!$C$9/4*Законод!$J$16,IF(B106="Лікар-терапевт",L117*Законод!$C$9/4*Законод!$J$16,0)))</f>
        <v>0</v>
      </c>
      <c r="AO117" s="216">
        <f ca="1">IF(B106="Лікар загальної практики - сімейний лікар",S117*Законод!$C$9/4*Законод!$J$16,IF(B106="Лікар-педіатр",S117*Законод!$C$9/4*Законод!$J$16,IF(B106="Лікар-терапевт",S117*Законод!$C$9/4*Законод!$J$16,0)))</f>
        <v>0</v>
      </c>
      <c r="AP117" s="216">
        <f ca="1">IF(B106="Лікар загальної практики - сімейний лікар",S117*Законод!$C$9/4*Законод!$J$16,IF(B106="Лікар-педіатр",S117*Законод!$C$9/4*Законод!$J$16,IF(B106="Лікар-терапевт",S117*Законод!$C$9/4*Законод!$J$16,0)))</f>
        <v>0</v>
      </c>
      <c r="AQ117" s="216">
        <f ca="1">IF(B106="Лікар загальної практики - сімейний лікар",AG117*Законод!$C$9/4*Законод!$J$16,IF(B106="Лікар-педіатр",AG117*Законод!$C$9/4*Законод!$J$16,IF(B106="Лікар-терапевт",AG117*Законод!$C$9/4*Законод!$J$16,0)))</f>
        <v>0</v>
      </c>
      <c r="AR117" s="217">
        <f t="shared" si="12"/>
        <v>0</v>
      </c>
    </row>
    <row r="118" spans="1:44" s="233" customFormat="1" ht="18" customHeight="1" thickBot="1">
      <c r="A118" s="219"/>
      <c r="B118" s="220"/>
      <c r="C118" s="221"/>
      <c r="D118" s="222"/>
      <c r="E118" s="222"/>
      <c r="F118" s="223"/>
      <c r="G118" s="224"/>
      <c r="H118" s="224"/>
      <c r="I118" s="224"/>
      <c r="J118" s="224"/>
      <c r="K118" s="224"/>
      <c r="L118" s="225"/>
      <c r="M118" s="226"/>
      <c r="N118" s="224"/>
      <c r="O118" s="224"/>
      <c r="P118" s="224"/>
      <c r="Q118" s="224"/>
      <c r="R118" s="224"/>
      <c r="S118" s="225"/>
      <c r="T118" s="226"/>
      <c r="U118" s="224"/>
      <c r="V118" s="224"/>
      <c r="W118" s="224"/>
      <c r="X118" s="224"/>
      <c r="Y118" s="224"/>
      <c r="Z118" s="227"/>
      <c r="AA118" s="226"/>
      <c r="AB118" s="224"/>
      <c r="AC118" s="224"/>
      <c r="AD118" s="224"/>
      <c r="AE118" s="224"/>
      <c r="AF118" s="224"/>
      <c r="AG118" s="227"/>
      <c r="AH118" s="226"/>
      <c r="AI118" s="228"/>
      <c r="AJ118" s="229"/>
      <c r="AK118" s="229"/>
      <c r="AL118" s="229"/>
      <c r="AM118" s="230"/>
      <c r="AN118" s="231"/>
      <c r="AO118" s="231"/>
      <c r="AP118" s="231"/>
      <c r="AQ118" s="231"/>
      <c r="AR118" s="232"/>
    </row>
    <row r="119" spans="1:44" s="191" customFormat="1" ht="30" customHeight="1">
      <c r="A119" s="194">
        <f>A106+1</f>
        <v>7</v>
      </c>
      <c r="B119" s="969" t="s">
        <v>312</v>
      </c>
      <c r="C119" s="974" t="s">
        <v>165</v>
      </c>
      <c r="D119" s="971"/>
      <c r="E119" s="971" t="s">
        <v>158</v>
      </c>
      <c r="F119" s="234" t="s">
        <v>659</v>
      </c>
      <c r="G119" s="196">
        <v>3</v>
      </c>
      <c r="H119" s="196">
        <f>113+12</f>
        <v>125</v>
      </c>
      <c r="I119" s="196">
        <f>578+56</f>
        <v>634</v>
      </c>
      <c r="J119" s="196">
        <f>761+61</f>
        <v>822</v>
      </c>
      <c r="K119" s="196">
        <f>345+42</f>
        <v>387</v>
      </c>
      <c r="L119" s="557">
        <f t="shared" ref="L119:L124" si="13">SUM(G119:K119)</f>
        <v>1971</v>
      </c>
      <c r="M119" s="966">
        <v>1</v>
      </c>
      <c r="N119" s="196">
        <v>3</v>
      </c>
      <c r="O119" s="196">
        <f>113+12</f>
        <v>125</v>
      </c>
      <c r="P119" s="196">
        <f>578+56</f>
        <v>634</v>
      </c>
      <c r="Q119" s="196">
        <f>761+61</f>
        <v>822</v>
      </c>
      <c r="R119" s="196">
        <f>345+42</f>
        <v>387</v>
      </c>
      <c r="S119" s="557">
        <f>N119+O119+P119+Q119+R119</f>
        <v>1971</v>
      </c>
      <c r="T119" s="966">
        <v>1</v>
      </c>
      <c r="U119" s="196">
        <v>3</v>
      </c>
      <c r="V119" s="196">
        <f>113+12</f>
        <v>125</v>
      </c>
      <c r="W119" s="196">
        <f>578+56</f>
        <v>634</v>
      </c>
      <c r="X119" s="196">
        <f>761+61</f>
        <v>822</v>
      </c>
      <c r="Y119" s="196">
        <f>345+42</f>
        <v>387</v>
      </c>
      <c r="Z119" s="557">
        <f>U119+V119+W119+X119+Y119</f>
        <v>1971</v>
      </c>
      <c r="AA119" s="966">
        <v>1</v>
      </c>
      <c r="AB119" s="196">
        <v>3</v>
      </c>
      <c r="AC119" s="196">
        <f>113+12</f>
        <v>125</v>
      </c>
      <c r="AD119" s="196">
        <f>578+56</f>
        <v>634</v>
      </c>
      <c r="AE119" s="196">
        <f>761+61</f>
        <v>822</v>
      </c>
      <c r="AF119" s="196">
        <f>345+42</f>
        <v>387</v>
      </c>
      <c r="AG119" s="557">
        <f>AB119+AC119+AD119+AE119+AF119</f>
        <v>1971</v>
      </c>
      <c r="AH119" s="966">
        <v>1</v>
      </c>
      <c r="AI119" s="540">
        <f>A119</f>
        <v>7</v>
      </c>
      <c r="AJ119" s="944" t="str">
        <f>B119</f>
        <v>Лікар загальної практики - сімейний лікар</v>
      </c>
      <c r="AK119" s="959" t="str">
        <f>C119</f>
        <v>Гнатюк Людмила Миколаївна</v>
      </c>
      <c r="AL119" s="959">
        <f>D119</f>
        <v>0</v>
      </c>
      <c r="AM119" s="929" t="s">
        <v>79</v>
      </c>
      <c r="AN119" s="947">
        <f>SUM(AN124:AN130)</f>
        <v>317358.30289223744</v>
      </c>
      <c r="AO119" s="947">
        <f>SUM(AO124:AO130)</f>
        <v>317358.30289223744</v>
      </c>
      <c r="AP119" s="947">
        <f>SUM(AP124:AP130)</f>
        <v>317358.30289223744</v>
      </c>
      <c r="AQ119" s="947">
        <f>SUM(AQ124:AQ130)</f>
        <v>317358.30289223744</v>
      </c>
      <c r="AR119" s="962">
        <f>SUM(AN119:AQ123)</f>
        <v>1269433.2115689497</v>
      </c>
    </row>
    <row r="120" spans="1:44" s="50" customFormat="1" ht="28.15" customHeight="1">
      <c r="A120" s="197"/>
      <c r="B120" s="969"/>
      <c r="C120" s="974"/>
      <c r="D120" s="971"/>
      <c r="E120" s="971"/>
      <c r="F120" s="234" t="s">
        <v>660</v>
      </c>
      <c r="G120" s="196">
        <v>3</v>
      </c>
      <c r="H120" s="196">
        <f>113+12</f>
        <v>125</v>
      </c>
      <c r="I120" s="196">
        <f>578+56</f>
        <v>634</v>
      </c>
      <c r="J120" s="196">
        <f>761+61</f>
        <v>822</v>
      </c>
      <c r="K120" s="196">
        <f>345+42</f>
        <v>387</v>
      </c>
      <c r="L120" s="557">
        <f t="shared" si="13"/>
        <v>1971</v>
      </c>
      <c r="M120" s="966"/>
      <c r="N120" s="196">
        <v>3</v>
      </c>
      <c r="O120" s="196">
        <f>113+12</f>
        <v>125</v>
      </c>
      <c r="P120" s="196">
        <f>578+56</f>
        <v>634</v>
      </c>
      <c r="Q120" s="196">
        <f>761+61</f>
        <v>822</v>
      </c>
      <c r="R120" s="196">
        <f>345+42</f>
        <v>387</v>
      </c>
      <c r="S120" s="557">
        <f>N120+O120+P120+Q120+R120</f>
        <v>1971</v>
      </c>
      <c r="T120" s="966"/>
      <c r="U120" s="196">
        <v>3</v>
      </c>
      <c r="V120" s="196">
        <f>113+12</f>
        <v>125</v>
      </c>
      <c r="W120" s="196">
        <f>578+56</f>
        <v>634</v>
      </c>
      <c r="X120" s="196">
        <f>761+61</f>
        <v>822</v>
      </c>
      <c r="Y120" s="196">
        <f>345+42</f>
        <v>387</v>
      </c>
      <c r="Z120" s="557">
        <f>U120+V120+W120+X120+Y120</f>
        <v>1971</v>
      </c>
      <c r="AA120" s="966"/>
      <c r="AB120" s="196">
        <v>3</v>
      </c>
      <c r="AC120" s="196">
        <f>113+12</f>
        <v>125</v>
      </c>
      <c r="AD120" s="196">
        <f>578+56</f>
        <v>634</v>
      </c>
      <c r="AE120" s="196">
        <f>761+61</f>
        <v>822</v>
      </c>
      <c r="AF120" s="196">
        <f>345+42</f>
        <v>387</v>
      </c>
      <c r="AG120" s="557">
        <f>AB120+AC120+AD120+AE120+AF120</f>
        <v>1971</v>
      </c>
      <c r="AH120" s="966"/>
      <c r="AI120" s="198"/>
      <c r="AJ120" s="945"/>
      <c r="AK120" s="960"/>
      <c r="AL120" s="960"/>
      <c r="AM120" s="930"/>
      <c r="AN120" s="948"/>
      <c r="AO120" s="948"/>
      <c r="AP120" s="948"/>
      <c r="AQ120" s="948"/>
      <c r="AR120" s="963"/>
    </row>
    <row r="121" spans="1:44" s="90" customFormat="1" ht="31.15" customHeight="1">
      <c r="A121" s="240"/>
      <c r="B121" s="969"/>
      <c r="C121" s="974"/>
      <c r="D121" s="971"/>
      <c r="E121" s="971"/>
      <c r="F121" s="241" t="s">
        <v>661</v>
      </c>
      <c r="G121" s="196">
        <v>3</v>
      </c>
      <c r="H121" s="196">
        <f>113+12</f>
        <v>125</v>
      </c>
      <c r="I121" s="196">
        <f>578+56</f>
        <v>634</v>
      </c>
      <c r="J121" s="196">
        <f>761+61</f>
        <v>822</v>
      </c>
      <c r="K121" s="196">
        <f>345+42</f>
        <v>387</v>
      </c>
      <c r="L121" s="557">
        <f t="shared" si="13"/>
        <v>1971</v>
      </c>
      <c r="M121" s="966"/>
      <c r="N121" s="196">
        <v>3</v>
      </c>
      <c r="O121" s="196">
        <f>113+12</f>
        <v>125</v>
      </c>
      <c r="P121" s="196">
        <f>578+56</f>
        <v>634</v>
      </c>
      <c r="Q121" s="196">
        <f>761+61</f>
        <v>822</v>
      </c>
      <c r="R121" s="196">
        <f>345+42</f>
        <v>387</v>
      </c>
      <c r="S121" s="200">
        <f>SUM(N121:R121)</f>
        <v>1971</v>
      </c>
      <c r="T121" s="966"/>
      <c r="U121" s="196">
        <v>3</v>
      </c>
      <c r="V121" s="196">
        <f>113+12</f>
        <v>125</v>
      </c>
      <c r="W121" s="196">
        <f>578+56</f>
        <v>634</v>
      </c>
      <c r="X121" s="196">
        <f>761+61</f>
        <v>822</v>
      </c>
      <c r="Y121" s="196">
        <f>345+42</f>
        <v>387</v>
      </c>
      <c r="Z121" s="557">
        <f>U121+V121+W121+X121+Y121</f>
        <v>1971</v>
      </c>
      <c r="AA121" s="966"/>
      <c r="AB121" s="196">
        <v>3</v>
      </c>
      <c r="AC121" s="196">
        <f>113+12</f>
        <v>125</v>
      </c>
      <c r="AD121" s="196">
        <f>578+56</f>
        <v>634</v>
      </c>
      <c r="AE121" s="196">
        <f>761+61</f>
        <v>822</v>
      </c>
      <c r="AF121" s="196">
        <f>345+42</f>
        <v>387</v>
      </c>
      <c r="AG121" s="557">
        <f>AB121+AC121+AD121+AE121+AF121</f>
        <v>1971</v>
      </c>
      <c r="AH121" s="966"/>
      <c r="AI121" s="242"/>
      <c r="AJ121" s="945"/>
      <c r="AK121" s="960"/>
      <c r="AL121" s="960"/>
      <c r="AM121" s="930"/>
      <c r="AN121" s="948"/>
      <c r="AO121" s="948"/>
      <c r="AP121" s="948"/>
      <c r="AQ121" s="948"/>
      <c r="AR121" s="963"/>
    </row>
    <row r="122" spans="1:44" s="50" customFormat="1" ht="31.9" customHeight="1" thickBot="1">
      <c r="A122" s="197"/>
      <c r="B122" s="969"/>
      <c r="C122" s="974"/>
      <c r="D122" s="971"/>
      <c r="E122" s="971"/>
      <c r="F122" s="236" t="s">
        <v>426</v>
      </c>
      <c r="G122" s="203">
        <f>IF($B$119="Лікар-педіатр",G121/L121,IF($B$119="Лікар-терапевт","х",IF($B$119="Лікар загальної практики - сімейний лікар",G121/L121,0)))</f>
        <v>1.5220700152207001E-3</v>
      </c>
      <c r="H122" s="203">
        <f>IF($B$119="Лікар-педіатр",H121/L121,IF($B$119="Лікар-терапевт","х",IF($B$119="Лікар загальної практики - сімейний лікар",H121/L121,0)))</f>
        <v>6.3419583967529169E-2</v>
      </c>
      <c r="I122" s="203">
        <f>IF($B$119="Лікар-педіатр","x",IF($B$119="Лікар-терапевт",I121/L121,IF($B$119="Лікар загальної практики - сімейний лікар",I121/L121,0)))</f>
        <v>0.32166412988330795</v>
      </c>
      <c r="J122" s="203">
        <f>IF($B$119="Лікар-педіатр","x",IF($B$119="Лікар-терапевт",J121/L121,IF($B$119="Лікар загальної практики - сімейний лікар",J121/L121,0)))</f>
        <v>0.41704718417047182</v>
      </c>
      <c r="K122" s="203">
        <f>IF($B$119="Лікар-педіатр","x",IF($B$119="Лікар-терапевт",K121/L121,IF($B$119="Лікар загальної практики - сімейний лікар",K121/L121,0)))</f>
        <v>0.19634703196347031</v>
      </c>
      <c r="L122" s="203">
        <f t="shared" si="13"/>
        <v>1</v>
      </c>
      <c r="M122" s="966"/>
      <c r="N122" s="203">
        <f>IF($B$119="Лікар-педіатр",N121/S121,IF($B$119="Лікар-терапевт","х",IF($B$119="Лікар загальної практики - сімейний лікар",N121/S121,0)))</f>
        <v>1.5220700152207001E-3</v>
      </c>
      <c r="O122" s="203">
        <f>IF($B$119="Лікар-педіатр",O121/S121,IF($B$119="Лікар-терапевт","х",IF($B$119="Лікар загальної практики - сімейний лікар",O121/S121,0)))</f>
        <v>6.3419583967529169E-2</v>
      </c>
      <c r="P122" s="203">
        <f>IF($B$119="Лікар-педіатр","x",IF($B$119="Лікар-терапевт",P121/S121,IF($B$119="Лікар загальної практики - сімейний лікар",P121/S121,0)))</f>
        <v>0.32166412988330795</v>
      </c>
      <c r="Q122" s="203">
        <f>IF($B$119="Лікар-педіатр","x",IF($B$119="Лікар-терапевт",Q121/S121,IF($B$119="Лікар загальної практики - сімейний лікар",Q121/S121,0)))</f>
        <v>0.41704718417047182</v>
      </c>
      <c r="R122" s="203">
        <f>IF($B$119="Лікар-педіатр","x",IF($B$119="Лікар-терапевт",R121/S121,IF($B$119="Лікар загальної практики - сімейний лікар",R121/S121,0)))</f>
        <v>0.19634703196347031</v>
      </c>
      <c r="S122" s="203">
        <f>SUM(N122:R122)</f>
        <v>1</v>
      </c>
      <c r="T122" s="966"/>
      <c r="U122" s="203">
        <f>IF($B$119="Лікар-педіатр",U121/Z121,IF($B$119="Лікар-терапевт","х",IF($B$119="Лікар загальної практики - сімейний лікар",U121/Z121,0)))</f>
        <v>1.5220700152207001E-3</v>
      </c>
      <c r="V122" s="203">
        <f>IF($B$119="Лікар-педіатр",V121/Z121,IF($B$119="Лікар-терапевт","х",IF($B$119="Лікар загальної практики - сімейний лікар",V121/Z121,0)))</f>
        <v>6.3419583967529169E-2</v>
      </c>
      <c r="W122" s="203">
        <f>IF($B$119="Лікар-педіатр","x",IF($B$119="Лікар-терапевт",W121/Z121,IF($B$119="Лікар загальної практики - сімейний лікар",W121/Z121,0)))</f>
        <v>0.32166412988330795</v>
      </c>
      <c r="X122" s="203">
        <f>IF($B$119="Лікар-педіатр","x",IF($B$119="Лікар-терапевт",X121/Z121,IF($B$119="Лікар загальної практики - сімейний лікар",X121/Z121,0)))</f>
        <v>0.41704718417047182</v>
      </c>
      <c r="Y122" s="203">
        <f>IF($B$119="Лікар-педіатр","x",IF($B$119="Лікар-терапевт",Y121/Z121,IF($B$119="Лікар загальної практики - сімейний лікар",Y121/Z121,0)))</f>
        <v>0.19634703196347031</v>
      </c>
      <c r="Z122" s="203">
        <f>SUM(U122:Y122)</f>
        <v>1</v>
      </c>
      <c r="AA122" s="966"/>
      <c r="AB122" s="203">
        <f>IF($B$119="Лікар-педіатр",AB121/AG121,IF($B$119="Лікар-терапевт","х",IF($B$119="Лікар загальної практики - сімейний лікар",AB121/AG121,0)))</f>
        <v>1.5220700152207001E-3</v>
      </c>
      <c r="AC122" s="203">
        <f>IF($B$119="Лікар-педіатр",AC121/AG121,IF($B$119="Лікар-терапевт","х",IF($B$119="Лікар загальної практики - сімейний лікар",AC121/AG121,0)))</f>
        <v>6.3419583967529169E-2</v>
      </c>
      <c r="AD122" s="203">
        <f>IF($B$119="Лікар-педіатр","x",IF($B$119="Лікар-терапевт",AD121/AG121,IF($B$119="Лікар загальної практики - сімейний лікар",AD121/AG121,0)))</f>
        <v>0.32166412988330795</v>
      </c>
      <c r="AE122" s="203">
        <f>IF($B$119="Лікар-педіатр","x",IF($B$119="Лікар-терапевт",AE121/AG121,IF($B$119="Лікар загальної практики - сімейний лікар",AE121/AG121,0)))</f>
        <v>0.41704718417047182</v>
      </c>
      <c r="AF122" s="203">
        <f>IF($B$119="Лікар-педіатр","x",IF($B$119="Лікар-терапевт",AF121/AG121,IF($B$119="Лікар загальної практики - сімейний лікар",AF121/AG121,0)))</f>
        <v>0.19634703196347031</v>
      </c>
      <c r="AG122" s="203">
        <f>SUM(AB122:AF122)</f>
        <v>1</v>
      </c>
      <c r="AH122" s="966"/>
      <c r="AI122" s="201"/>
      <c r="AJ122" s="945"/>
      <c r="AK122" s="960"/>
      <c r="AL122" s="960"/>
      <c r="AM122" s="930"/>
      <c r="AN122" s="948"/>
      <c r="AO122" s="948"/>
      <c r="AP122" s="948"/>
      <c r="AQ122" s="948"/>
      <c r="AR122" s="963"/>
    </row>
    <row r="123" spans="1:44" s="50" customFormat="1" ht="45" customHeight="1" thickBot="1">
      <c r="A123" s="197"/>
      <c r="B123" s="969"/>
      <c r="C123" s="974"/>
      <c r="D123" s="971"/>
      <c r="E123" s="972"/>
      <c r="F123" s="204" t="s">
        <v>662</v>
      </c>
      <c r="G123" s="205">
        <f>IF($B$119="Лікар загальної практики - сімейний лікар",AVERAGE(G119:G121),IF($B$119="Лікар-педіатр",AVERAGE(G119:G121),IF($B$119="Лікар-терапевт","х",0)))</f>
        <v>3</v>
      </c>
      <c r="H123" s="205">
        <f>IF($B$119="Лікар загальної практики - сімейний лікар",AVERAGE(H119:H121),IF($B$119="Лікар-педіатр",AVERAGE(H119:H121),IF($B$119="Лікар-терапевт","х",0)))</f>
        <v>125</v>
      </c>
      <c r="I123" s="205">
        <f>IF($B$119="Лікар загальної практики - сімейний лікар",AVERAGE(I119:I121),IF($B$119="Лікар-педіатр","x",IF($B$119="Лікар-терапевт",AVERAGE(I119:I121),0)))</f>
        <v>634</v>
      </c>
      <c r="J123" s="205">
        <f>IF($B$119="Лікар загальної практики - сімейний лікар",AVERAGE(J119:J121),IF($B$119="Лікар-педіатр","x",IF($B$119="Лікар-терапевт",AVERAGE(J119:J121),0)))</f>
        <v>822</v>
      </c>
      <c r="K123" s="205">
        <f>IF($B$119="Лікар загальної практики - сімейний лікар",AVERAGE(K119:K121),IF($B$119="Лікар-педіатр","x",IF($B$119="Лікар-терапевт",AVERAGE(K119:K121),0)))</f>
        <v>387</v>
      </c>
      <c r="L123" s="206">
        <f t="shared" si="13"/>
        <v>1971</v>
      </c>
      <c r="M123" s="973"/>
      <c r="N123" s="205">
        <f>IF($B$119="Лікар загальної практики - сімейний лікар",AVERAGE(N119:N121),IF($B$119="Лікар-педіатр",AVERAGE(N119:N121),IF($B$119="Лікар-терапевт","х",0)))</f>
        <v>3</v>
      </c>
      <c r="O123" s="205">
        <f>IF($B$119="Лікар загальної практики - сімейний лікар",AVERAGE(O119:O121),IF($B$119="Лікар-педіатр",AVERAGE(O119:O121),IF($B$119="Лікар-терапевт","х",0)))</f>
        <v>125</v>
      </c>
      <c r="P123" s="205">
        <f>IF($B$119="Лікар загальної практики - сімейний лікар",AVERAGE(P119:P121),IF($B$119="Лікар-педіатр","x",IF($B$119="Лікар-терапевт",AVERAGE(P119:P121),0)))</f>
        <v>634</v>
      </c>
      <c r="Q123" s="205">
        <f>IF($B$119="Лікар загальної практики - сімейний лікар",AVERAGE(Q119:Q121),IF($B$119="Лікар-педіатр","x",IF($B$119="Лікар-терапевт",AVERAGE(Q119:Q121),0)))</f>
        <v>822</v>
      </c>
      <c r="R123" s="205">
        <f>IF($B$119="Лікар загальної практики - сімейний лікар",AVERAGE(R119:R121),IF($B$119="Лікар-педіатр","x",IF($B$119="Лікар-терапевт",AVERAGE(R119:R121),0)))</f>
        <v>387</v>
      </c>
      <c r="S123" s="206">
        <f>SUM(N123:R123)</f>
        <v>1971</v>
      </c>
      <c r="T123" s="973"/>
      <c r="U123" s="205">
        <f>IF($B$119="Лікар загальної практики - сімейний лікар",AVERAGE(U119:U121),IF($B$119="Лікар-педіатр",AVERAGE(U119:U121),IF($B$119="Лікар-терапевт","х",0)))</f>
        <v>3</v>
      </c>
      <c r="V123" s="205">
        <f>IF($B$119="Лікар загальної практики - сімейний лікар",AVERAGE(V119:V121),IF($B$119="Лікар-педіатр",AVERAGE(V119:V121),IF($B$119="Лікар-терапевт","х",0)))</f>
        <v>125</v>
      </c>
      <c r="W123" s="205">
        <f>IF($B$119="Лікар загальної практики - сімейний лікар",AVERAGE(W119:W121),IF($B$119="Лікар-педіатр","x",IF($B$119="Лікар-терапевт",AVERAGE(W119:W121),0)))</f>
        <v>634</v>
      </c>
      <c r="X123" s="205">
        <f>IF($B$119="Лікар загальної практики - сімейний лікар",AVERAGE(X119:X121),IF($B$119="Лікар-педіатр","x",IF($B$119="Лікар-терапевт",AVERAGE(X119:X121),0)))</f>
        <v>822</v>
      </c>
      <c r="Y123" s="205">
        <f>IF($B$119="Лікар загальної практики - сімейний лікар",AVERAGE(Y119:Y121),IF($B$119="Лікар-педіатр","x",IF($B$119="Лікар-терапевт",AVERAGE(Y119:Y121),0)))</f>
        <v>387</v>
      </c>
      <c r="Z123" s="206">
        <f>SUM(U123:Y123)</f>
        <v>1971</v>
      </c>
      <c r="AA123" s="973"/>
      <c r="AB123" s="205">
        <f>IF($B$119="Лікар загальної практики - сімейний лікар",AVERAGE(AB119:AB121),IF($B$119="Лікар-педіатр",AVERAGE(AB119:AB121),IF($B$119="Лікар-терапевт","х",0)))</f>
        <v>3</v>
      </c>
      <c r="AC123" s="205">
        <f>IF($B$119="Лікар загальної практики - сімейний лікар",AVERAGE(AC119:AC121),IF($B$119="Лікар-педіатр",AVERAGE(AC119:AC121),IF($B$119="Лікар-терапевт","х",0)))</f>
        <v>125</v>
      </c>
      <c r="AD123" s="205">
        <f>IF($B$119="Лікар загальної практики - сімейний лікар",AVERAGE(AD119:AD121),IF($B$119="Лікар-педіатр","x",IF($B$119="Лікар-терапевт",AVERAGE(AD119:AD121),0)))</f>
        <v>634</v>
      </c>
      <c r="AE123" s="205">
        <f>IF($B$119="Лікар загальної практики - сімейний лікар",AVERAGE(AE119:AE121),IF($B$119="Лікар-педіатр","x",IF($B$119="Лікар-терапевт",AVERAGE(AE119:AE121),0)))</f>
        <v>822</v>
      </c>
      <c r="AF123" s="205">
        <f>IF($B$119="Лікар загальної практики - сімейний лікар",AVERAGE(AF119:AF121),IF($B$119="Лікар-педіатр","x",IF($B$119="Лікар-терапевт",AVERAGE(AF119:AF121),0)))</f>
        <v>387</v>
      </c>
      <c r="AG123" s="206">
        <f>SUM(AB123:AF123)</f>
        <v>1971</v>
      </c>
      <c r="AH123" s="967"/>
      <c r="AI123" s="201"/>
      <c r="AJ123" s="945"/>
      <c r="AK123" s="960"/>
      <c r="AL123" s="960"/>
      <c r="AM123" s="931"/>
      <c r="AN123" s="949"/>
      <c r="AO123" s="949"/>
      <c r="AP123" s="949"/>
      <c r="AQ123" s="949"/>
      <c r="AR123" s="964"/>
    </row>
    <row r="124" spans="1:44" s="50" customFormat="1" ht="40.5">
      <c r="A124" s="197"/>
      <c r="B124" s="969"/>
      <c r="C124" s="974"/>
      <c r="D124" s="971"/>
      <c r="E124" s="971"/>
      <c r="F124" s="237" t="str">
        <f ca="1">IF(B119="Лікар-педіатр",Законод!$C$17,IF(B119="Лікар загальної практики - сімейний лікар",Законод!$C$21,IF(B119="Лікар-терапевт",Законод!$C$25,"х")))</f>
        <v>ліміт (до 1800)</v>
      </c>
      <c r="G124" s="208">
        <f ca="1">IF($B$119="Лікар загальної практики - сімейний лікар",IF(L123&lt;=Законод!$C$22,G123,Законод!$C$22*'01_Доходи'!G122),IF($B$119="Лікар-педіатр",IF(L123&lt;=Законод!$C$18,G123,Законод!$C$18*'01_Доходи'!G122),IF($B$119="Лікар-терапевт","x",0)))</f>
        <v>2.7397260273972601</v>
      </c>
      <c r="H124" s="208">
        <f ca="1">IF($B$119="Лікар загальної практики - сімейний лікар",IF(L123&lt;=Законод!$C$22,H123,Законод!$C$22*'01_Доходи'!H122),IF($B$119="Лікар-педіатр",IF(L123&lt;=Законод!$C$18,H123,Законод!$C$18*'01_Доходи'!H122),IF($B$119="Лікар-терапевт","x",0)))</f>
        <v>114.15525114155251</v>
      </c>
      <c r="I124" s="208">
        <f ca="1">IF($B$119="Лікар загальної практики - сімейний лікар",IF(L123&lt;=Законод!$C$22,I123,Законод!$C$22*'01_Доходи'!I122),IF($B$119="Лікар-педіатр","x",IF($B$119="Лікар-терапевт",IF(L123&lt;=Законод!$C$26,I123,Законод!$C$26*'01_Доходи'!I122),0)))</f>
        <v>578.99543378995429</v>
      </c>
      <c r="J124" s="208">
        <f ca="1">IF($B$119="Лікар загальної практики - сімейний лікар",IF(L123&lt;=Законод!$C$22,J123,Законод!$C$22*'01_Доходи'!J122),IF($B$119="Лікар-педіатр","x",IF($B$119="Лікар-терапевт",IF(L123&lt;=Законод!$C$26,J123,Законод!$C$26*'01_Доходи'!J122),0)))</f>
        <v>750.68493150684924</v>
      </c>
      <c r="K124" s="208">
        <f ca="1">IF($B$119="Лікар загальної практики - сімейний лікар",IF(L123&lt;=Законод!$C$22,K123,Законод!$C$22*'01_Доходи'!K122),IF($B$119="Лікар-педіатр","x",IF($B$119="Лікар-терапевт",IF(L123&lt;=Законод!$C$26,K123,Законод!$C$26*'01_Доходи'!K122),0)))</f>
        <v>353.42465753424653</v>
      </c>
      <c r="L124" s="209">
        <f t="shared" si="13"/>
        <v>1799.9999999999998</v>
      </c>
      <c r="M124" s="966"/>
      <c r="N124" s="208">
        <f ca="1">IF($B$119="Лікар загальної практики - сімейний лікар",IF(S123&lt;=Законод!$C$22,N123,Законод!$C$22*'01_Доходи'!N122),IF($B$119="Лікар-педіатр",IF(S123&lt;=Законод!$C$18,N123,Законод!$C$18*'01_Доходи'!N122),IF($B$119="Лікар-терапевт","x",0)))</f>
        <v>2.7397260273972601</v>
      </c>
      <c r="O124" s="208">
        <f ca="1">IF($B$119="Лікар загальної практики - сімейний лікар",IF(S123&lt;=Законод!$C$22,O123,Законод!$C$22*'01_Доходи'!O122),IF($B$119="Лікар-педіатр",IF(S123&lt;=Законод!$C$18,O123,Законод!$C$18*'01_Доходи'!O122),IF($B$119="Лікар-терапевт","x",0)))</f>
        <v>114.15525114155251</v>
      </c>
      <c r="P124" s="208">
        <f ca="1">IF($B$119="Лікар загальної практики - сімейний лікар",IF(S123&lt;=Законод!$C$22,P123,Законод!$C$22*'01_Доходи'!P122),IF($B$119="Лікар-педіатр","x",IF($B$119="Лікар-терапевт",IF(S123&lt;=Законод!$C$26,P123,Законод!$C$26*'01_Доходи'!P122),0)))</f>
        <v>578.99543378995429</v>
      </c>
      <c r="Q124" s="208">
        <f ca="1">IF($B$119="Лікар загальної практики - сімейний лікар",IF(S123&lt;=Законод!$C$22,Q123,Законод!$C$22*'01_Доходи'!Q122),IF($B$119="Лікар-педіатр","x",IF($B$119="Лікар-терапевт",IF(S123&lt;=Законод!$C$26,Q123,Законод!$C$26*'01_Доходи'!Q122),0)))</f>
        <v>750.68493150684924</v>
      </c>
      <c r="R124" s="208">
        <f ca="1">IF($B$119="Лікар загальної практики - сімейний лікар",IF(S123&lt;=Законод!$C$22,R123,Законод!$C$22*'01_Доходи'!R122),IF($B$119="Лікар-педіатр","x",IF($B$119="Лікар-терапевт",IF(S123&lt;=Законод!$C$26,R123,Законод!$C$26*'01_Доходи'!R122),0)))</f>
        <v>353.42465753424653</v>
      </c>
      <c r="S124" s="209">
        <f ca="1">SUM(N124:R124)</f>
        <v>1799.9999999999998</v>
      </c>
      <c r="T124" s="966"/>
      <c r="U124" s="208">
        <f ca="1">IF($B$119="Лікар загальної практики - сімейний лікар",IF(Z123&lt;=Законод!$C$22,U123,Законод!$C$22*'01_Доходи'!U122),IF($B$119="Лікар-педіатр",IF(Z123&lt;=Законод!$C$18,U123,Законод!$C$18*'01_Доходи'!U122),IF($B$119="Лікар-терапевт","x",0)))</f>
        <v>2.7397260273972601</v>
      </c>
      <c r="V124" s="208">
        <f ca="1">IF($B$119="Лікар загальної практики - сімейний лікар",IF(Z123&lt;=Законод!$C$22,V123,Законод!$C$22*'01_Доходи'!V122),IF($B$119="Лікар-педіатр",IF(Z123&lt;=Законод!$C$18,V123,Законод!$C$18*'01_Доходи'!V122),IF($B$119="Лікар-терапевт","x",0)))</f>
        <v>114.15525114155251</v>
      </c>
      <c r="W124" s="208">
        <f ca="1">IF($B$119="Лікар загальної практики - сімейний лікар",IF(Z123&lt;=Законод!$C$22,W123,Законод!$C$22*'01_Доходи'!W122),IF($B$119="Лікар-педіатр","x",IF($B$119="Лікар-терапевт",IF(Z123&lt;=Законод!$C$26,W123,Законод!$C$26*'01_Доходи'!W122),0)))</f>
        <v>578.99543378995429</v>
      </c>
      <c r="X124" s="208">
        <f ca="1">IF($B$119="Лікар загальної практики - сімейний лікар",IF(Z123&lt;=Законод!$C$22,X123,Законод!$C$22*'01_Доходи'!X122),IF($B$119="Лікар-педіатр","x",IF($B$119="Лікар-терапевт",IF(Z123&lt;=Законод!$C$26,X123,Законод!$C$26*'01_Доходи'!X122),0)))</f>
        <v>750.68493150684924</v>
      </c>
      <c r="Y124" s="208">
        <f ca="1">IF($B$119="Лікар загальної практики - сімейний лікар",IF(Z123&lt;=Законод!$C$22,Y123,Законод!$C$22*'01_Доходи'!Y122),IF($B$119="Лікар-педіатр","x",IF($B$119="Лікар-терапевт",IF(Z123&lt;=Законод!$C$26,Y123,Законод!$C$26*'01_Доходи'!Y122),0)))</f>
        <v>353.42465753424653</v>
      </c>
      <c r="Z124" s="209">
        <f ca="1">SUM(U124:Y124)</f>
        <v>1799.9999999999998</v>
      </c>
      <c r="AA124" s="966"/>
      <c r="AB124" s="208">
        <f ca="1">IF($B$119="Лікар загальної практики - сімейний лікар",IF(AG123&lt;=Законод!$C$22,AB123,Законод!$C$22*'01_Доходи'!AB122),IF($B$119="Лікар-педіатр",IF(AG123&lt;=Законод!$C$18,AB123,Законод!$C$18*'01_Доходи'!AB122),IF($B$119="Лікар-терапевт","x",0)))</f>
        <v>2.7397260273972601</v>
      </c>
      <c r="AC124" s="208">
        <f ca="1">IF($B$119="Лікар загальної практики - сімейний лікар",IF(AG123&lt;=Законод!$C$22,AC123,Законод!$C$22*'01_Доходи'!AC122),IF($B$119="Лікар-педіатр",IF(AG123&lt;=Законод!$C$18,AC123,Законод!$C$18*'01_Доходи'!AC122),IF($B$119="Лікар-терапевт","x",0)))</f>
        <v>114.15525114155251</v>
      </c>
      <c r="AD124" s="208">
        <f ca="1">IF($B$119="Лікар загальної практики - сімейний лікар",IF(AG123&lt;=Законод!$C$22,AD123,Законод!$C$22*'01_Доходи'!AD122),IF($B$119="Лікар-педіатр","x",IF($B$119="Лікар-терапевт",IF(AG123&lt;=Законод!$C$26,AD123,Законод!$C$26*'01_Доходи'!AD122),0)))</f>
        <v>578.99543378995429</v>
      </c>
      <c r="AE124" s="208">
        <f ca="1">IF($B$119="Лікар загальної практики - сімейний лікар",IF(AG123&lt;=Законод!$C$22,AE123,Законод!$C$22*'01_Доходи'!AE122),IF($B$119="Лікар-педіатр","x",IF($B$119="Лікар-терапевт",IF(AG123&lt;=Законод!$C$26,AE123,Законод!$C$26*'01_Доходи'!AE122),0)))</f>
        <v>750.68493150684924</v>
      </c>
      <c r="AF124" s="208">
        <f ca="1">IF($B$119="Лікар загальної практики - сімейний лікар",IF(AG123&lt;=Законод!$C$22,AF123,Законод!$C$22*'01_Доходи'!AF122),IF($B$119="Лікар-педіатр","x",IF($B$119="Лікар-терапевт",IF(AG123&lt;=Законод!$C$26,AF123,Законод!$C$26*'01_Доходи'!AF122),0)))</f>
        <v>353.42465753424653</v>
      </c>
      <c r="AG124" s="209">
        <f ca="1">SUM(AB124:AF124)</f>
        <v>1799.9999999999998</v>
      </c>
      <c r="AH124" s="966"/>
      <c r="AI124" s="201"/>
      <c r="AJ124" s="945"/>
      <c r="AK124" s="960"/>
      <c r="AL124" s="960"/>
      <c r="AM124" s="348" t="s">
        <v>451</v>
      </c>
      <c r="AN124" s="210">
        <f ca="1">IF(B119="Лікар загальної практики - сімейний лікар",G124*Законод!$C$11+'01_Доходи'!H124*Законод!$D$11+'01_Доходи'!I124*Законод!$E$11+'01_Доходи'!J124*Законод!$F$11+'01_Доходи'!K124*Законод!$G$11,IF(B119="Лікар-педіатр",G124*Законод!$C$11+'01_Доходи'!H124*Законод!$D$11,IF(B119="Лікар-терапевт",'01_Доходи'!I124*Законод!$E$11+'01_Доходи'!J124*Законод!$F$11+'01_Доходи'!K124*Законод!$G$11,0)))</f>
        <v>296642.66179223743</v>
      </c>
      <c r="AO124" s="210">
        <f ca="1">IF(B119="Лікар загальної практики - сімейний лікар",N124*Законод!$C$11+'01_Доходи'!O124*Законод!$D$11+'01_Доходи'!P124*Законод!$E$11+'01_Доходи'!Q124*Законод!$F$11+'01_Доходи'!R124*Законод!$G$11,IF(B119="Лікар-педіатр",N124*Законод!$C$11+'01_Доходи'!O124*Законод!$D$11,IF(B119="Лікар-терапевт",'01_Доходи'!P124*Законод!$E$11+'01_Доходи'!Q124*Законод!$F$11+'01_Доходи'!R124*Законод!$G$11,0)))</f>
        <v>296642.66179223743</v>
      </c>
      <c r="AP124" s="210">
        <f ca="1">IF(B119="Лікар загальної практики - сімейний лікар",U124*Законод!$C$11+'01_Доходи'!V124*Законод!$D$11+'01_Доходи'!W124*Законод!$E$11+'01_Доходи'!X124*Законод!$F$11+'01_Доходи'!Y124*Законод!$G$11,IF(B119="Лікар-педіатр",U124*Законод!$C$11+'01_Доходи'!V124*Законод!$D$11,IF(B119="Лікар-терапевт",'01_Доходи'!W124*Законод!$E$11+'01_Доходи'!X124*Законод!$F$11+'01_Доходи'!Y124*Законод!$G$11,0)))</f>
        <v>296642.66179223743</v>
      </c>
      <c r="AQ124" s="210">
        <f ca="1">IF(B119="Лікар загальної практики - сімейний лікар",AB124*Законод!$C$11+'01_Доходи'!AC124*Законод!$D$11+'01_Доходи'!AD124*Законод!$E$11+'01_Доходи'!AE124*Законод!$F$11+'01_Доходи'!AF124*Законод!$G$11,IF(B119="Лікар-педіатр",AB124*Законод!$C$11+'01_Доходи'!AC124*Законод!$D$11,IF(B119="Лікар-терапевт",'01_Доходи'!AD124*Законод!$E$11+'01_Доходи'!AE124*Законод!$F$11+'01_Доходи'!AF124*Законод!$G$11,0)))</f>
        <v>296642.66179223743</v>
      </c>
      <c r="AR124" s="211">
        <f t="shared" ref="AR124:AR130" si="14">SUM(AN124:AQ124)</f>
        <v>1186570.6471689497</v>
      </c>
    </row>
    <row r="125" spans="1:44" s="50" customFormat="1" ht="31.9" customHeight="1">
      <c r="A125" s="197"/>
      <c r="B125" s="969"/>
      <c r="C125" s="974"/>
      <c r="D125" s="971"/>
      <c r="E125" s="971"/>
      <c r="F125" s="238" t="str">
        <f ca="1">IF(B119="Лікар-педіатр",Законод!$E$17,IF(B119="Лікар загальної практики - сімейний лікар",Законод!$E$21,IF(B119="Лікар-терапевт",Законод!$E$25,"х")))</f>
        <v>понад ліміт (1801-1980)</v>
      </c>
      <c r="G125" s="965" t="s">
        <v>423</v>
      </c>
      <c r="H125" s="965"/>
      <c r="I125" s="965"/>
      <c r="J125" s="965"/>
      <c r="K125" s="965"/>
      <c r="L125" s="196">
        <f ca="1">IF($B$119="Лікар загальної практики - сімейний лікар",IF(L123&lt;Законод!$C$22,0,(IF(AND(L123&gt;=Законод!$E$22,L123&lt;=Законод!$E$23),L123-Законод!$C$22,IF('01_Доходи'!L123&gt;=Законод!$F$22,Законод!$E$24,0)))),IF($B$119="Лікар-педіатр",IF(L123&lt;Законод!$C$18,0,(IF(AND(L123&gt;=Законод!$E$18,L123&lt;=Законод!$E$19),L123-Законод!$C$18,IF('01_Доходи'!L123&gt;=Законод!$F$18,Законод!$E$20,0)))),IF($B$119="Лікар-терапевт",IF(L123&lt;Законод!$C$26,0,(IF(AND(L123&gt;=Законод!$E$26,L123&lt;=Законод!$E$27),L123-Законод!$C$26,IF('01_Доходи'!L123&gt;=Законод!$F$26,Законод!$E$28,0)))),0)))</f>
        <v>171</v>
      </c>
      <c r="M125" s="966"/>
      <c r="N125" s="965" t="s">
        <v>423</v>
      </c>
      <c r="O125" s="965"/>
      <c r="P125" s="965"/>
      <c r="Q125" s="965"/>
      <c r="R125" s="965"/>
      <c r="S125" s="196">
        <f ca="1">IF($B$119="Лікар загальної практики - сімейний лікар",IF(S123&lt;Законод!$C$22,0,(IF(AND(S123&gt;=Законод!$E$22,S123&lt;=Законод!$E$23),S123-Законод!$C$22,IF('01_Доходи'!S123&gt;=Законод!$F$22,Законод!$E$24,0)))),IF($B$119="Лікар-педіатр",IF(S123&lt;Законод!$C$18,0,(IF(AND(S123&gt;=Законод!$E$18,S123&lt;=Законод!$E$19),S123-Законод!$C$18,IF('01_Доходи'!S123&gt;=Законод!$F$18,Законод!$E$20,0)))),IF($B$119="Лікар-терапевт",IF(S123&lt;Законод!$C$26,0,(IF(AND(S123&gt;=Законод!$E$26,S123&lt;=Законод!$E$27),S123-Законод!$C$26,IF('01_Доходи'!S123&gt;=Законод!$F$26,Законод!$E$28,0)))),0)))</f>
        <v>171</v>
      </c>
      <c r="T125" s="966"/>
      <c r="U125" s="965" t="s">
        <v>423</v>
      </c>
      <c r="V125" s="965"/>
      <c r="W125" s="965"/>
      <c r="X125" s="965"/>
      <c r="Y125" s="965"/>
      <c r="Z125" s="196">
        <f ca="1">IF($B$119="Лікар загальної практики - сімейний лікар",IF(Z123&lt;Законод!$C$22,0,(IF(AND(Z123&gt;=Законод!$E$22,Z123&lt;=Законод!$E$23),Z123-Законод!$C$22,IF('01_Доходи'!Z123&gt;=Законод!$F$22,Законод!$E$24,0)))),IF($B$119="Лікар-педіатр",IF(Z123&lt;Законод!$C$18,0,(IF(AND(Z123&gt;=Законод!$E$18,Z123&lt;=Законод!$E$19),Z123-Законод!$C$18,IF('01_Доходи'!Z123&gt;=Законод!$F$18,Законод!$E$20,0)))),IF($B$119="Лікар-терапевт",IF(Z123&lt;Законод!$C$26,0,(IF(AND(Z123&gt;=Законод!$E$26,Z123&lt;=Законод!$E$27),Z123-Законод!$C$26,IF('01_Доходи'!Z123&gt;=Законод!$F$26,Законод!$E$28,0)))),0)))</f>
        <v>171</v>
      </c>
      <c r="AA125" s="966"/>
      <c r="AB125" s="965" t="s">
        <v>423</v>
      </c>
      <c r="AC125" s="965"/>
      <c r="AD125" s="965"/>
      <c r="AE125" s="965"/>
      <c r="AF125" s="965"/>
      <c r="AG125" s="196">
        <f ca="1">IF($B$119="Лікар загальної практики - сімейний лікар",IF(AG123&lt;Законод!$C$22,0,(IF(AND(AG123&gt;=Законод!$E$22,AG123&lt;=Законод!$E$23),AG123-Законод!$C$22,IF('01_Доходи'!AG123&gt;=Законод!$F$22,Законод!$E$24,0)))),IF($B$119="Лікар-педіатр",IF(AG123&lt;Законод!$C$18,0,(IF(AND(AG123&gt;=Законод!$E$18,AG123&lt;=Законод!$E$19),AG123-Законод!$C$18,IF('01_Доходи'!AG123&gt;=Законод!$F$18,Законод!$E$20,0)))),IF($B$119="Лікар-терапевт",IF(AG123&lt;Законод!$C$26,0,(IF(AND(AG123&gt;=Законод!$E$26,AG123&lt;=Законод!$E$27),AG123-Законод!$C$26,IF('01_Доходи'!AG123&gt;=Законод!$F$26,Законод!$E$28,0)))),0)))</f>
        <v>171</v>
      </c>
      <c r="AH125" s="966"/>
      <c r="AI125" s="201"/>
      <c r="AJ125" s="945"/>
      <c r="AK125" s="960"/>
      <c r="AL125" s="960"/>
      <c r="AM125" s="926" t="s">
        <v>452</v>
      </c>
      <c r="AN125" s="210">
        <f ca="1">IF(B119="Лікар загальної практики - сімейний лікар",L125*Законод!$C$9/4*Законод!$E$16,IF(B119="Лікар-педіатр",L125*Законод!$C$9/4*Законод!$E$16,IF(B119="Лікар-терапевт",L125*Законод!$C$9/4*Законод!$E$16,0)))</f>
        <v>20715.641099999997</v>
      </c>
      <c r="AO125" s="210">
        <f ca="1">IF(B119="Лікар загальної практики - сімейний лікар",S125*Законод!$C$9/4*Законод!$E$16,IF(B119="Лікар-педіатр",S125*Законод!$C$9/4*Законод!$E$16,IF(B119="Лікар-терапевт",S125*Законод!$C$9/4*Законод!$E$16,0)))</f>
        <v>20715.641099999997</v>
      </c>
      <c r="AP125" s="210">
        <f ca="1">IF(B119="Лікар загальної практики - сімейний лікар",Z125*Законод!$C$9/4*Законод!$E$16,IF(B119="Лікар-педіатр",Z125*Законод!$C$9/4*Законод!$E$16,IF(B119="Лікар-терапевт",Z125*Законод!$C$9/4*Законод!$E$16,0)))</f>
        <v>20715.641099999997</v>
      </c>
      <c r="AQ125" s="210">
        <f ca="1">IF(B119="Лікар загальної практики - сімейний лікар",AG125*Законод!$C$9/4*Законод!$E$16,IF(B119="Лікар-педіатр",AG125*Законод!$C$9/4*Законод!$E$16,IF(B119="Лікар-терапевт",AG125*Законод!$C$9/4*Законод!$E$16,0)))</f>
        <v>20715.641099999997</v>
      </c>
      <c r="AR125" s="211">
        <f t="shared" si="14"/>
        <v>82862.564399999988</v>
      </c>
    </row>
    <row r="126" spans="1:44" s="50" customFormat="1" ht="31.9" customHeight="1">
      <c r="A126" s="197"/>
      <c r="B126" s="969"/>
      <c r="C126" s="974"/>
      <c r="D126" s="971"/>
      <c r="E126" s="971"/>
      <c r="F126" s="238" t="str">
        <f ca="1">IF(B119="Лікар-педіатр",Законод!$F$17,IF(B119="Лікар загальної практики - сімейний лікар",Законод!$F$21,IF(B119="Лікар-терапевт",Законод!$F$25,"х")))</f>
        <v>понад ліміт (1981-2160)</v>
      </c>
      <c r="G126" s="965" t="s">
        <v>423</v>
      </c>
      <c r="H126" s="965"/>
      <c r="I126" s="965"/>
      <c r="J126" s="965"/>
      <c r="K126" s="965"/>
      <c r="L126" s="196">
        <f ca="1">IF($B$119="Лікар загальної практики - сімейний лікар",IF(L123&lt;Законод!$C$22,0,(IF(AND(L123&gt;=Законод!$F$22,L123&lt;=Законод!$F$23),L123-Законод!$E$23,IF('01_Доходи'!L123&gt;=Законод!$G$22,Законод!$F$24,0)))),IF($B$119="Лікар-педіатр",IF(L123&lt;Законод!$C$18,0,(IF(AND(L123&gt;=Законод!$F$18,L123&lt;=Законод!$F$19),L123-Законод!$E$19,IF('01_Доходи'!L123&gt;=Законод!$G$18,Законод!$F$20,0)))),IF($B$119="Лікар-терапевт",IF(L123&lt;Законод!$C$26,0,(IF(AND(L123&gt;=Законод!$F$26,L123&lt;=Законод!$F$27),L123-Законод!$E$27,IF('01_Доходи'!L123&gt;=Законод!$G$26,Законод!$F$28,0)))),0)))</f>
        <v>0</v>
      </c>
      <c r="M126" s="966"/>
      <c r="N126" s="965" t="s">
        <v>423</v>
      </c>
      <c r="O126" s="965"/>
      <c r="P126" s="965"/>
      <c r="Q126" s="965"/>
      <c r="R126" s="965"/>
      <c r="S126" s="196">
        <f ca="1">IF($B$119="Лікар загальної практики - сімейний лікар",IF(S123&lt;Законод!$C$22,0,(IF(AND(S123&gt;=Законод!$F$22,S123&lt;=Законод!$F$23),S123-Законод!$E$23,IF('01_Доходи'!S123&gt;=Законод!$G$22,Законод!$F$24,0)))),IF($B$119="Лікар-педіатр",IF(S123&lt;Законод!$C$18,0,(IF(AND(S123&gt;=Законод!$F$18,S123&lt;=Законод!$F$19),S123-Законод!$E$19,IF('01_Доходи'!S123&gt;=Законод!$G$18,Законод!$F$20,0)))),IF($B$119="Лікар-терапевт",IF(S123&lt;Законод!$C$26,0,(IF(AND(S123&gt;=Законод!$F$26,S123&lt;=Законод!$F$27),S123-Законод!$E$27,IF('01_Доходи'!S123&gt;=Законод!$G$26,Законод!$F$28,0)))),0)))</f>
        <v>0</v>
      </c>
      <c r="T126" s="966"/>
      <c r="U126" s="965" t="s">
        <v>423</v>
      </c>
      <c r="V126" s="965"/>
      <c r="W126" s="965"/>
      <c r="X126" s="965"/>
      <c r="Y126" s="965"/>
      <c r="Z126" s="196">
        <f ca="1">IF($B$119="Лікар загальної практики - сімейний лікар",IF(Z123&lt;Законод!$C$22,0,(IF(AND(Z123&gt;=Законод!$F$22,Z123&lt;=Законод!$F$23),Z123-Законод!$E$23,IF('01_Доходи'!Z123&gt;=Законод!$G$22,Законод!$F$24,0)))),IF($B$119="Лікар-педіатр",IF(Z123&lt;Законод!$C$18,0,(IF(AND(Z123&gt;=Законод!$F$18,Z123&lt;=Законод!$F$19),Z123-Законод!$E$19,IF('01_Доходи'!Z123&gt;=Законод!$G$18,Законод!$F$20,0)))),IF($B$119="Лікар-терапевт",IF(Z123&lt;Законод!$C$26,0,(IF(AND(Z123&gt;=Законод!$F$26,Z123&lt;=Законод!$F$27),Z123-Законод!$E$27,IF('01_Доходи'!Z123&gt;=Законод!$G$26,Законод!$F$28,0)))),0)))</f>
        <v>0</v>
      </c>
      <c r="AA126" s="966"/>
      <c r="AB126" s="965" t="s">
        <v>423</v>
      </c>
      <c r="AC126" s="965"/>
      <c r="AD126" s="965"/>
      <c r="AE126" s="965"/>
      <c r="AF126" s="965"/>
      <c r="AG126" s="196">
        <f ca="1">IF($B$119="Лікар загальної практики - сімейний лікар",IF(AG123&lt;Законод!$C$22,0,(IF(AND(AG123&gt;=Законод!$F$22,AG123&lt;=Законод!$F$23),AG123-Законод!$E$23,IF('01_Доходи'!AG123&gt;=Законод!$G$22,Законод!$F$24,0)))),IF($B$119="Лікар-педіатр",IF(AG123&lt;Законод!$C$18,0,(IF(AND(AG123&gt;=Законод!$F$18,AG123&lt;=Законод!$F$19),AG123-Законод!$E$19,IF('01_Доходи'!AG123&gt;=Законод!$G$18,Законод!$F$20,0)))),IF($B$119="Лікар-терапевт",IF(AG123&lt;Законод!$C$26,0,(IF(AND(AG123&gt;=Законод!$F$26,AG123&lt;=Законод!$F$27),AG123-Законод!$E$27,IF('01_Доходи'!AG123&gt;=Законод!$G$26,Законод!$F$28,0)))),0)))</f>
        <v>0</v>
      </c>
      <c r="AH126" s="966"/>
      <c r="AI126" s="201"/>
      <c r="AJ126" s="945"/>
      <c r="AK126" s="960"/>
      <c r="AL126" s="960"/>
      <c r="AM126" s="927"/>
      <c r="AN126" s="210">
        <f ca="1">IF(B119="Лікар загальної практики - сімейний лікар",L126*Законод!$C$9/4*Законод!$F$16,IF(B119="Лікар-педіатр",L126*Законод!$C$9/4*Законод!$F$16,IF(B119="Лікар-терапевт",L126*Законод!$C$9/4*Законод!$F$16,0)))</f>
        <v>0</v>
      </c>
      <c r="AO126" s="210">
        <f ca="1">IF(B119="Лікар загальної практики - сімейний лікар",S126*Законод!$C$9/4*Законод!$F$16,IF(B119="Лікар-педіатр",S126*Законод!$C$9/4*Законод!$F$16,IF(B119="Лікар-терапевт",S126*Законод!$C$9/4*Законод!$F$16,0)))</f>
        <v>0</v>
      </c>
      <c r="AP126" s="210">
        <f ca="1">IF(B119="Лікар загальної практики - сімейний лікар",Z126*Законод!$C$9/4*Законод!$F$16,IF(B119="Лікар-педіатр",Z126*Законод!$C$9/4*Законод!$F$16,IF(B119="Лікар-терапевт",Z126*Законод!$C$9/4*Законод!$F$16,0)))</f>
        <v>0</v>
      </c>
      <c r="AQ126" s="210">
        <f ca="1">IF(B119="Лікар загальної практики - сімейний лікар",AG126*Законод!$C$9/4*Законод!$F$16,IF(B119="Лікар-педіатр",AG126*Законод!$C$9/4*Законод!$F$16,IF(B119="Лікар-терапевт",AG126*Законод!$C$9/4*Законод!$F$16,0)))</f>
        <v>0</v>
      </c>
      <c r="AR126" s="211">
        <f t="shared" si="14"/>
        <v>0</v>
      </c>
    </row>
    <row r="127" spans="1:44" s="50" customFormat="1" ht="31.9" customHeight="1">
      <c r="A127" s="197"/>
      <c r="B127" s="969"/>
      <c r="C127" s="974"/>
      <c r="D127" s="971"/>
      <c r="E127" s="971"/>
      <c r="F127" s="238" t="str">
        <f ca="1">IF(B119="Лікар-педіатр",Законод!$G$17,IF(B119="Лікар загальної практики - сімейний лікар",Законод!$G$21,IF(B119="Лікар-терапевт",Законод!$G$25,"х")))</f>
        <v>понад ліміт (2161-2340)</v>
      </c>
      <c r="G127" s="965" t="s">
        <v>423</v>
      </c>
      <c r="H127" s="965"/>
      <c r="I127" s="965"/>
      <c r="J127" s="965"/>
      <c r="K127" s="965"/>
      <c r="L127" s="196">
        <f ca="1">IF($B$119="Лікар загальної практики - сімейний лікар",IF(L123&lt;Законод!$C$22,0,(IF(AND(L123&gt;=Законод!$G$22,L123&lt;=Законод!$G$23),L123-Законод!$F$23,IF('01_Доходи'!L123&gt;=Законод!$H$22,Законод!$G$24,0)))),IF($B$119="Лікар-педіатр",IF(L123&lt;Законод!$C$18,0,(IF(AND(L123&gt;=Законод!$G$18,L123&lt;=Законод!$G$19),L123-Законод!$F$19,IF('01_Доходи'!L123&gt;=Законод!$H$18,Законод!$G$20,0)))),IF($B$119="Лікар-терапевт",IF(L123&lt;Законод!$C$26,0,(IF(AND(L123&gt;=Законод!$G$26,L123&lt;=Законод!$G$27),L123-Законод!$F$27,IF('01_Доходи'!L123&gt;=Законод!$H$26,Законод!$G$28,0)))),0)))</f>
        <v>0</v>
      </c>
      <c r="M127" s="966"/>
      <c r="N127" s="965" t="s">
        <v>423</v>
      </c>
      <c r="O127" s="965"/>
      <c r="P127" s="965"/>
      <c r="Q127" s="965"/>
      <c r="R127" s="965"/>
      <c r="S127" s="196">
        <f ca="1">IF($B$119="Лікар загальної практики - сімейний лікар",IF(S123&lt;Законод!$C$22,0,(IF(AND(S123&gt;=Законод!$G$22,S123&lt;=Законод!$G$23),S123-Законод!$F$23,IF('01_Доходи'!S123&gt;=Законод!$H$22,Законод!$G$24,0)))),IF($B$119="Лікар-педіатр",IF(S123&lt;Законод!$C$18,0,(IF(AND(S123&gt;=Законод!$G$18,S123&lt;=Законод!$G$19),S123-Законод!$F$19,IF('01_Доходи'!S123&gt;=Законод!$H$18,Законод!$G$20,0)))),IF($B$119="Лікар-терапевт",IF(S123&lt;Законод!$C$26,0,(IF(AND(S123&gt;=Законод!$G$26,S123&lt;=Законод!$G$27),S123-Законод!$F$27,IF('01_Доходи'!S123&gt;=Законод!$H$26,Законод!$G$28,0)))),0)))</f>
        <v>0</v>
      </c>
      <c r="T127" s="966"/>
      <c r="U127" s="965" t="s">
        <v>423</v>
      </c>
      <c r="V127" s="965"/>
      <c r="W127" s="965"/>
      <c r="X127" s="965"/>
      <c r="Y127" s="965"/>
      <c r="Z127" s="196">
        <f ca="1">IF($B$119="Лікар загальної практики - сімейний лікар",IF(Z123&lt;Законод!$C$22,0,(IF(AND(Z123&gt;=Законод!$G$22,Z123&lt;=Законод!$G$23),Z123-Законод!$F$23,IF('01_Доходи'!Z123&gt;=Законод!$H$22,Законод!$G$24,0)))),IF($B$119="Лікар-педіатр",IF(Z123&lt;Законод!$C$18,0,(IF(AND(Z123&gt;=Законод!$G$18,Z123&lt;=Законод!$G$19),Z123-Законод!$F$19,IF('01_Доходи'!Z123&gt;=Законод!$H$18,Законод!$G$20,0)))),IF($B$119="Лікар-терапевт",IF(Z123&lt;Законод!$C$26,0,(IF(AND(Z123&gt;=Законод!$G$26,Z123&lt;=Законод!$G$27),Z123-Законод!$F$27,IF('01_Доходи'!Z123&gt;=Законод!$H$26,Законод!$G$28,0)))),0)))</f>
        <v>0</v>
      </c>
      <c r="AA127" s="966"/>
      <c r="AB127" s="965" t="s">
        <v>423</v>
      </c>
      <c r="AC127" s="965"/>
      <c r="AD127" s="965"/>
      <c r="AE127" s="965"/>
      <c r="AF127" s="965"/>
      <c r="AG127" s="196">
        <f ca="1">IF($B$119="Лікар загальної практики - сімейний лікар",IF(AG123&lt;Законод!$C$22,0,(IF(AND(AG123&gt;=Законод!$G$22,AG123&lt;=Законод!$G$23),AG123-Законод!$F$23,IF('01_Доходи'!AG123&gt;=Законод!$H$22,Законод!$G$24,0)))),IF($B$119="Лікар-педіатр",IF(AG123&lt;Законод!$C$18,0,(IF(AND(AG123&gt;=Законод!$G$18,AG123&lt;=Законод!$G$19),AG123-Законод!$F$19,IF('01_Доходи'!AG123&gt;=Законод!$H$18,Законод!$G$20,0)))),IF($B$119="Лікар-терапевт",IF(AG123&lt;Законод!$C$26,0,(IF(AND(AG123&gt;=Законод!$G$26,AG123&lt;=Законод!$G$27),AG123-Законод!$F$27,IF('01_Доходи'!AG123&gt;=Законод!$H$26,Законод!$G$28,0)))),0)))</f>
        <v>0</v>
      </c>
      <c r="AH127" s="966"/>
      <c r="AI127" s="201"/>
      <c r="AJ127" s="945"/>
      <c r="AK127" s="960"/>
      <c r="AL127" s="960"/>
      <c r="AM127" s="927"/>
      <c r="AN127" s="210">
        <f ca="1">IF(B119="Лікар загальної практики - сімейний лікар",L127*Законод!$C$9/4*Законод!$G$16,IF(B119="Лікар-педіатр",L127*Законод!$C$9/4*Законод!$G$16,IF(B119="Лікар-терапевт",L127*Законод!$C$9/4*Законод!$G$16,0)))</f>
        <v>0</v>
      </c>
      <c r="AO127" s="210">
        <f ca="1">IF(B119="Лікар загальної практики - сімейний лікар",S127*Законод!$C$9/4*Законод!$G$16,IF(B119="Лікар-педіатр",S127*Законод!$C$9/4*Законод!$G$16,IF(B119="Лікар-терапевт",S127*Законод!$C$9/4*Законод!$G$16,0)))</f>
        <v>0</v>
      </c>
      <c r="AP127" s="210">
        <f ca="1">IF(B119="Лікар загальної практики - сімейний лікар",Z127*Законод!$C$9/4*Законод!$G$16,IF(B119="Лікар-педіатр",Z127*Законод!$C$9/4*Законод!$G$16,IF(B119="Лікар-терапевт",Z127*Законод!$C$9/4*Законод!$G$16,0)))</f>
        <v>0</v>
      </c>
      <c r="AQ127" s="210">
        <f ca="1">IF(B119="Лікар загальної практики - сімейний лікар",AG127*Законод!$C$9/4*Законод!$G$16,IF(B119="Лікар-педіатр",AG127*Законод!$C$9/4*Законод!$G$16,IF(B119="Лікар-терапевт",AG127*Законод!$C$9/4*Законод!$G$16,0)))</f>
        <v>0</v>
      </c>
      <c r="AR127" s="211">
        <f t="shared" si="14"/>
        <v>0</v>
      </c>
    </row>
    <row r="128" spans="1:44" s="50" customFormat="1" ht="31.9" customHeight="1">
      <c r="A128" s="197"/>
      <c r="B128" s="969"/>
      <c r="C128" s="974"/>
      <c r="D128" s="971"/>
      <c r="E128" s="971"/>
      <c r="F128" s="238" t="str">
        <f ca="1">IF(B119="Лікар-педіатр",Законод!$H$17,IF(B119="Лікар загальної практики - сімейний лікар",Законод!$H$21,IF(B119="Лікар-терапевт",Законод!$H$25,"х")))</f>
        <v>понад ліміт (2341-2520)</v>
      </c>
      <c r="G128" s="965" t="s">
        <v>423</v>
      </c>
      <c r="H128" s="965"/>
      <c r="I128" s="965"/>
      <c r="J128" s="965"/>
      <c r="K128" s="965"/>
      <c r="L128" s="196">
        <f ca="1">IF($B$119="Лікар загальної практики - сімейний лікар",IF(L123&lt;Законод!$C$22,0,(IF(AND(L123&gt;=Законод!$H$22,L123&lt;=Законод!$H$23),L123-Законод!$G$23,IF('01_Доходи'!L123&gt;=Законод!$I$22,Законод!$H$24,0)))),IF($B$119="Лікар-педіатр",IF(L123&lt;Законод!$C$18,0,(IF(AND(L123&gt;=Законод!$H$18,L123&lt;=Законод!$H$19),L123-Законод!$G$19,IF('01_Доходи'!L123&gt;=Законод!$I$18,Законод!$H$20,0)))),IF($B$119="Лікар-терапевт",IF(L123&lt;Законод!$C$26,0,(IF(AND(L123&gt;=Законод!$H$26,L123&lt;=Законод!$H$27),L123-Законод!$G$27,IF(L123&gt;=Законод!$I$26,Законод!$H$28,0)))),0)))</f>
        <v>0</v>
      </c>
      <c r="M128" s="966"/>
      <c r="N128" s="965" t="s">
        <v>423</v>
      </c>
      <c r="O128" s="965"/>
      <c r="P128" s="965"/>
      <c r="Q128" s="965"/>
      <c r="R128" s="965"/>
      <c r="S128" s="196">
        <f ca="1">IF($B$119="Лікар загальної практики - сімейний лікар",IF(S123&lt;Законод!$C$22,0,(IF(AND(S123&gt;=Законод!$H$22,S123&lt;=Законод!$H$23),S123-Законод!$G$23,IF('01_Доходи'!S123&gt;=Законод!$I$22,Законод!$H$24,0)))),IF($B$119="Лікар-педіатр",IF(S123&lt;Законод!$C$18,0,(IF(AND(S123&gt;=Законод!$H$18,S123&lt;=Законод!$H$19),S123-Законод!$G$19,IF('01_Доходи'!S123&gt;=Законод!$I$18,Законод!$H$20,0)))),IF($B$119="Лікар-терапевт",IF(S123&lt;Законод!$C$26,0,(IF(AND(S123&gt;=Законод!$H$26,S123&lt;=Законод!$H$27),S123-Законод!$G$27,IF(S123&gt;=Законод!$I$26,Законод!$H$28,0)))),0)))</f>
        <v>0</v>
      </c>
      <c r="T128" s="966"/>
      <c r="U128" s="965" t="s">
        <v>423</v>
      </c>
      <c r="V128" s="965"/>
      <c r="W128" s="965"/>
      <c r="X128" s="965"/>
      <c r="Y128" s="965"/>
      <c r="Z128" s="196">
        <f ca="1">IF($B$119="Лікар загальної практики - сімейний лікар",IF(Z123&lt;Законод!$C$22,0,(IF(AND(Z123&gt;=Законод!$H$22,Z123&lt;=Законод!$H$23),Z123-Законод!$G$23,IF('01_Доходи'!Z123&gt;=Законод!$I$22,Законод!$H$24,0)))),IF($B$119="Лікар-педіатр",IF(Z123&lt;Законод!$C$18,0,(IF(AND(Z123&gt;=Законод!$H$18,Z123&lt;=Законод!$H$19),Z123-Законод!$G$19,IF('01_Доходи'!Z123&gt;=Законод!$I$18,Законод!$H$20,0)))),IF($B$119="Лікар-терапевт",IF(Z123&lt;Законод!$C$26,0,(IF(AND(Z123&gt;=Законод!$H$26,Z123&lt;=Законод!$H$27),Z123-Законод!$G$27,IF(Z123&gt;=Законод!$I$26,Законод!$H$28,0)))),0)))</f>
        <v>0</v>
      </c>
      <c r="AA128" s="966"/>
      <c r="AB128" s="965" t="s">
        <v>423</v>
      </c>
      <c r="AC128" s="965"/>
      <c r="AD128" s="965"/>
      <c r="AE128" s="965"/>
      <c r="AF128" s="965"/>
      <c r="AG128" s="196">
        <f ca="1">IF($B$119="Лікар загальної практики - сімейний лікар",IF(AG123&lt;Законод!$C$22,0,(IF(AND(AG123&gt;=Законод!$H$22,AG123&lt;=Законод!$H$23),AG123-Законод!$G$23,IF('01_Доходи'!AG123&gt;=Законод!$I$22,Законод!$H$24,0)))),IF($B$119="Лікар-педіатр",IF(AG123&lt;Законод!$C$18,0,(IF(AND(AG123&gt;=Законод!$H$18,AG123&lt;=Законод!$H$19),AG123-Законод!$G$19,IF('01_Доходи'!AG123&gt;=Законод!$I$18,Законод!$H$20,0)))),IF($B$119="Лікар-терапевт",IF(AG123&lt;Законод!$C$26,0,(IF(AND(AG123&gt;=Законод!$H$26,AG123&lt;=Законод!$H$27),AG123-Законод!$G$27,IF(AG123&gt;=Законод!$I$26,Законод!$H$28,0)))),0)))</f>
        <v>0</v>
      </c>
      <c r="AH128" s="966"/>
      <c r="AI128" s="201"/>
      <c r="AJ128" s="945"/>
      <c r="AK128" s="960"/>
      <c r="AL128" s="960"/>
      <c r="AM128" s="927"/>
      <c r="AN128" s="210">
        <f ca="1">IF(B119="Лікар загальної практики - сімейний лікар",L128*Законод!$C$9/4*Законод!$H$16,IF(B119="Лікар-педіатр",L128*Законод!$C$9/4*Законод!$H$16,IF(B119="Лікар-терапевт",L128*Законод!$C$9/4*Законод!$H$16,0)))</f>
        <v>0</v>
      </c>
      <c r="AO128" s="210">
        <f ca="1">IF(B119="Лікар загальної практики - сімейний лікар",S128*Законод!$C$9/4*Законод!$H$16,IF(B119="Лікар-педіатр",S128*Законод!$C$9/4*Законод!$H$16,IF(B119="Лікар-терапевт",S128*Законод!$C$9/4*Законод!$H$16,0)))</f>
        <v>0</v>
      </c>
      <c r="AP128" s="210">
        <f ca="1">IF(B119="Лікар загальної практики - сімейний лікар",Z128*Законод!$C$9/4*Законод!$H$16,IF(B119="Лікар-педіатр",Z128*Законод!$C$9/4*Законод!$H$16,IF(B119="Лікар-терапевт",Z128*Законод!$C$9/4*Законод!$H$16,0)))</f>
        <v>0</v>
      </c>
      <c r="AQ128" s="210">
        <f ca="1">IF(B119="Лікар загальної практики - сімейний лікар",AG128*Законод!$C$9/4*Законод!$H$16,IF(B119="Лікар-педіатр",AG128*Законод!$C$9/4*Законод!$H$16,IF(B119="Лікар-терапевт",AG128*Законод!$C$9/4*Законод!$H$16,0)))</f>
        <v>0</v>
      </c>
      <c r="AR128" s="211">
        <f t="shared" si="14"/>
        <v>0</v>
      </c>
    </row>
    <row r="129" spans="1:44" s="50" customFormat="1" ht="31.9" customHeight="1">
      <c r="A129" s="197"/>
      <c r="B129" s="969"/>
      <c r="C129" s="974"/>
      <c r="D129" s="971"/>
      <c r="E129" s="971"/>
      <c r="F129" s="238" t="str">
        <f ca="1">IF(B119="Лікар-педіатр",Законод!$I$17,IF(B119="Лікар загальної практики - сімейний лікар",Законод!$I$21,IF(B119="Лікар-терапевт",Законод!$I$25,"х")))</f>
        <v>понад ліміт (2521-2700)</v>
      </c>
      <c r="G129" s="965" t="s">
        <v>423</v>
      </c>
      <c r="H129" s="965"/>
      <c r="I129" s="965"/>
      <c r="J129" s="965"/>
      <c r="K129" s="965"/>
      <c r="L129" s="196">
        <f ca="1">IF($B$119="Лікар загальної практики - сімейний лікар",IF(L123&lt;Законод!$C$22,0,(IF(AND(L123&gt;=Законод!$I$22,L123&lt;=Законод!$I$23),L123-Законод!$H$23,IF('01_Доходи'!L123&gt;=Законод!$I$22,Законод!$I$24,0)))),IF($B$119="Лікар-педіатр",IF(L123&lt;Законод!$C$18,0,(IF(AND(L123&gt;=Законод!$I$18,L123&lt;=Законод!$I$19),L123-Законод!$H$19,IF('01_Доходи'!L123&gt;=Законод!$I$18,Законод!$H$20,0)))),IF($B$119="Лікар-терапевт",IF(L123&lt;Законод!$C$26,0,(IF(AND(L123&gt;=Законод!$I$26,L123&lt;=Законод!$I$27),L123-Законод!$H$27,IF('01_Доходи'!L123&gt;=Законод!$I$26,Законод!$H$28,0)))),0)))</f>
        <v>0</v>
      </c>
      <c r="M129" s="966"/>
      <c r="N129" s="965" t="s">
        <v>423</v>
      </c>
      <c r="O129" s="965"/>
      <c r="P129" s="965"/>
      <c r="Q129" s="965"/>
      <c r="R129" s="965"/>
      <c r="S129" s="196">
        <f ca="1">IF($B$119="Лікар загальної практики - сімейний лікар",IF(S123&lt;Законод!$C$22,0,(IF(AND(S123&gt;=Законод!$I$22,S123&lt;=Законод!$I$23),S123-Законод!$H$23,IF('01_Доходи'!S123&gt;=Законод!$I$22,Законод!$I$24,0)))),IF($B$119="Лікар-педіатр",IF(S123&lt;Законод!$C$18,0,(IF(AND(S123&gt;=Законод!$I$18,S123&lt;=Законод!$I$19),S123-Законод!$H$19,IF('01_Доходи'!S123&gt;=Законод!$I$18,Законод!$H$20,0)))),IF($B$119="Лікар-терапевт",IF(S123&lt;Законод!$C$26,0,(IF(AND(S123&gt;=Законод!$I$26,S123&lt;=Законод!$I$27),S123-Законод!$H$27,IF('01_Доходи'!S123&gt;=Законод!$I$26,Законод!$H$28,0)))),0)))</f>
        <v>0</v>
      </c>
      <c r="T129" s="966"/>
      <c r="U129" s="965" t="s">
        <v>423</v>
      </c>
      <c r="V129" s="965"/>
      <c r="W129" s="965"/>
      <c r="X129" s="965"/>
      <c r="Y129" s="965"/>
      <c r="Z129" s="196">
        <f ca="1">IF($B$119="Лікар загальної практики - сімейний лікар",IF(Z123&lt;Законод!$C$22,0,(IF(AND(Z123&gt;=Законод!$I$22,Z123&lt;=Законод!$I$23),Z123-Законод!$H$23,IF('01_Доходи'!Z123&gt;=Законод!$I$22,Законод!$I$24,0)))),IF($B$119="Лікар-педіатр",IF(Z123&lt;Законод!$C$18,0,(IF(AND(Z123&gt;=Законод!$I$18,Z123&lt;=Законод!$I$19),Z123-Законод!$H$19,IF('01_Доходи'!Z123&gt;=Законод!$I$18,Законод!$H$20,0)))),IF($B$119="Лікар-терапевт",IF(Z123&lt;Законод!$C$26,0,(IF(AND(Z123&gt;=Законод!$I$26,Z123&lt;=Законод!$I$27),Z123-Законод!$H$27,IF('01_Доходи'!Z123&gt;=Законод!$I$26,Законод!$H$28,0)))),0)))</f>
        <v>0</v>
      </c>
      <c r="AA129" s="966"/>
      <c r="AB129" s="965" t="s">
        <v>423</v>
      </c>
      <c r="AC129" s="965"/>
      <c r="AD129" s="965"/>
      <c r="AE129" s="965"/>
      <c r="AF129" s="965"/>
      <c r="AG129" s="196">
        <f ca="1">IF($B$119="Лікар загальної практики - сімейний лікар",IF(AG123&lt;Законод!$C$22,0,(IF(AND(AG123&gt;=Законод!$I$22,AG123&lt;=Законод!$I$23),AG123-Законод!$H$23,IF('01_Доходи'!AG123&gt;=Законод!$I$22,Законод!$I$24,0)))),IF($B$119="Лікар-педіатр",IF(AG123&lt;Законод!$C$18,0,(IF(AND(AG123&gt;=Законод!$I$18,AG123&lt;=Законод!$I$19),AG123-Законод!$H$19,IF('01_Доходи'!AG123&gt;=Законод!$I$18,Законод!$H$20,0)))),IF($B$119="Лікар-терапевт",IF(AG123&lt;Законод!$C$26,0,(IF(AND(AG123&gt;=Законод!$I$26,AG123&lt;=Законод!$I$27),AG123-Законод!$H$27,IF('01_Доходи'!AG123&gt;=Законод!$I$26,Законод!$H$28,0)))),0)))</f>
        <v>0</v>
      </c>
      <c r="AH129" s="966"/>
      <c r="AI129" s="201"/>
      <c r="AJ129" s="945"/>
      <c r="AK129" s="960"/>
      <c r="AL129" s="960"/>
      <c r="AM129" s="927"/>
      <c r="AN129" s="210">
        <f ca="1">IF(B119="Лікар загальної практики - сімейний лікар",L129*Законод!$C$9/4*Законод!$I$16,IF(B119="Лікар-педіатр",L129*Законод!$C$9/4*Законод!$I$16,IF(B119="Лікар-терапевт",L129*Законод!$C$9/4*Законод!$I$16,0)))</f>
        <v>0</v>
      </c>
      <c r="AO129" s="210">
        <f ca="1">IF(B119="Лікар загальної практики - сімейний лікар",S129*Законод!$C$9/4*Законод!$I$16,IF(B119="Лікар-педіатр",S129*Законод!$C$9/4*Законод!$I$16,IF(B119="Лікар-терапевт",S129*Законод!$C$9/4*Законод!$I$16,0)))</f>
        <v>0</v>
      </c>
      <c r="AP129" s="210">
        <f ca="1">IF(B119="Лікар загальної практики - сімейний лікар",Z129*Законод!$C$9/4*Законод!$I$16,IF(B119="Лікар-педіатр",Z129*Законод!$C$9/4*Законод!$I$16,IF(B119="Лікар-терапевт",Z129*Законод!$C$9/4*Законод!$I$16,0)))</f>
        <v>0</v>
      </c>
      <c r="AQ129" s="210">
        <f ca="1">IF(B119="Лікар загальної практики - сімейний лікар",AG129*Законод!$C$9/4*Законод!$I$16,IF(B119="Лікар-педіатр",AG129*Законод!$C$9/4*Законод!$I$16,IF(B119="Лікар-терапевт",AG129*Законод!$C$9/4*Законод!$I$16,0)))</f>
        <v>0</v>
      </c>
      <c r="AR129" s="211">
        <f t="shared" si="14"/>
        <v>0</v>
      </c>
    </row>
    <row r="130" spans="1:44" s="218" customFormat="1" ht="31.9" customHeight="1" thickBot="1">
      <c r="A130" s="213"/>
      <c r="B130" s="969"/>
      <c r="C130" s="974"/>
      <c r="D130" s="971"/>
      <c r="E130" s="971"/>
      <c r="F130" s="239" t="str">
        <f ca="1">IF(B119="Лікар-педіатр",Законод!$J$17,IF(B119="Лікар загальної практики - сімейний лікар",Законод!$J$21,IF(B119="Лікар-терапевт",Законод!$J$25,"х")))</f>
        <v>понад ліміт (&gt;=2701)</v>
      </c>
      <c r="G130" s="968" t="s">
        <v>423</v>
      </c>
      <c r="H130" s="968"/>
      <c r="I130" s="968"/>
      <c r="J130" s="968"/>
      <c r="K130" s="968"/>
      <c r="L130" s="196">
        <f ca="1">IF($B$119="Лікар загальної практики - сімейний лікар",IF(L123&gt;=Законод!$J$22,'01_Доходи'!L123-('01_Доходи'!L124+'01_Доходи'!L125+'01_Доходи'!L126+'01_Доходи'!L127+'01_Доходи'!L128+'01_Доходи'!L129),0),IF($B$119="Лікар-педіатр",IF(L123&gt;=Законод!$J$18,'01_Доходи'!L123-('01_Доходи'!L124+'01_Доходи'!L125+'01_Доходи'!L126+'01_Доходи'!L127+'01_Доходи'!L128+'01_Доходи'!L129),0),IF($B$119="Лікар-терапевт",IF('01_Доходи'!L123&gt;=Законод!$J$26,L123-Законод!$I$27,0),0)))</f>
        <v>0</v>
      </c>
      <c r="M130" s="966"/>
      <c r="N130" s="968" t="s">
        <v>423</v>
      </c>
      <c r="O130" s="968"/>
      <c r="P130" s="968"/>
      <c r="Q130" s="968"/>
      <c r="R130" s="968"/>
      <c r="S130" s="196">
        <f ca="1">IF($B$119="Лікар загальної практики - сімейний лікар",IF(S123&gt;=Законод!$J$22,'01_Доходи'!S123-('01_Доходи'!S124+'01_Доходи'!S125+'01_Доходи'!S126+'01_Доходи'!S127+'01_Доходи'!S128+'01_Доходи'!S129),0),IF($B$119="Лікар-педіатр",IF(S123&gt;=Законод!$J$18,'01_Доходи'!S123-('01_Доходи'!S124+'01_Доходи'!S125+'01_Доходи'!S126+'01_Доходи'!S127+'01_Доходи'!S128+'01_Доходи'!S129),0),IF($B$119="Лікар-терапевт",IF('01_Доходи'!S123&gt;=Законод!$J$26,S123-Законод!$I$27,0),0)))</f>
        <v>0</v>
      </c>
      <c r="T130" s="966"/>
      <c r="U130" s="968" t="s">
        <v>423</v>
      </c>
      <c r="V130" s="968"/>
      <c r="W130" s="968"/>
      <c r="X130" s="968"/>
      <c r="Y130" s="968"/>
      <c r="Z130" s="196">
        <f ca="1">IF($B$119="Лікар загальної практики - сімейний лікар",IF(Z123&gt;=Законод!$J$22,'01_Доходи'!Z123-('01_Доходи'!Z124+'01_Доходи'!Z125+'01_Доходи'!Z126+'01_Доходи'!Z127+'01_Доходи'!Z128+'01_Доходи'!Z129),0),IF($B$119="Лікар-педіатр",IF(Z123&gt;=Законод!$J$18,'01_Доходи'!Z123-('01_Доходи'!Z124+'01_Доходи'!Z125+'01_Доходи'!Z126+'01_Доходи'!Z127+'01_Доходи'!Z128+'01_Доходи'!Z129),0),IF($B$119="Лікар-терапевт",IF('01_Доходи'!Z123&gt;=Законод!$J$26,Z123-Законод!$I$27,0),0)))</f>
        <v>0</v>
      </c>
      <c r="AA130" s="966"/>
      <c r="AB130" s="968" t="s">
        <v>423</v>
      </c>
      <c r="AC130" s="968"/>
      <c r="AD130" s="968"/>
      <c r="AE130" s="968"/>
      <c r="AF130" s="968"/>
      <c r="AG130" s="196">
        <f ca="1">IF($B$119="Лікар загальної практики - сімейний лікар",IF(AG123&gt;=Законод!$J$22,'01_Доходи'!AG123-('01_Доходи'!AG124+'01_Доходи'!AG125+'01_Доходи'!AG126+'01_Доходи'!AG127+'01_Доходи'!AG128+'01_Доходи'!AG129),0),IF($B$119="Лікар-педіатр",IF(AG123&gt;=Законод!$J$18,'01_Доходи'!AG123-('01_Доходи'!AG124+'01_Доходи'!AG125+'01_Доходи'!AG126+'01_Доходи'!AG127+'01_Доходи'!AG128+'01_Доходи'!AG129),0),IF($B$119="Лікар-терапевт",IF('01_Доходи'!AG123&gt;=Законод!$J$26,AG123-Законод!$I$27,0),0)))</f>
        <v>0</v>
      </c>
      <c r="AH130" s="966"/>
      <c r="AI130" s="215"/>
      <c r="AJ130" s="946"/>
      <c r="AK130" s="961"/>
      <c r="AL130" s="961"/>
      <c r="AM130" s="928"/>
      <c r="AN130" s="216">
        <f ca="1">IF(B119="Лікар загальної практики - сімейний лікар",L130*Законод!$C$9/4*Законод!$J$16,IF(B119="Лікар-педіатр",L130*Законод!$C$9/4*Законод!$J$16,IF(B119="Лікар-терапевт",L130*Законод!$C$9/4*Законод!$J$16,0)))</f>
        <v>0</v>
      </c>
      <c r="AO130" s="216">
        <f ca="1">IF(B119="Лікар загальної практики - сімейний лікар",S130*Законод!$C$9/4*Законод!$J$16,IF(B119="Лікар-педіатр",S130*Законод!$C$9/4*Законод!$J$16,IF(B119="Лікар-терапевт",S130*Законод!$C$9/4*Законод!$J$16,0)))</f>
        <v>0</v>
      </c>
      <c r="AP130" s="216">
        <f ca="1">IF(B119="Лікар загальної практики - сімейний лікар",S130*Законод!$C$9/4*Законод!$J$16,IF(B119="Лікар-педіатр",S130*Законод!$C$9/4*Законод!$J$16,IF(B119="Лікар-терапевт",S130*Законод!$C$9/4*Законод!$J$16,0)))</f>
        <v>0</v>
      </c>
      <c r="AQ130" s="216">
        <f ca="1">IF(B119="Лікар загальної практики - сімейний лікар",AG130*Законод!$C$9/4*Законод!$J$16,IF(B119="Лікар-педіатр",AG130*Законод!$C$9/4*Законод!$J$16,IF(B119="Лікар-терапевт",AG130*Законод!$C$9/4*Законод!$J$16,0)))</f>
        <v>0</v>
      </c>
      <c r="AR130" s="217">
        <f t="shared" si="14"/>
        <v>0</v>
      </c>
    </row>
    <row r="131" spans="1:44" s="233" customFormat="1" ht="20.45" customHeight="1" thickBot="1">
      <c r="A131" s="219"/>
      <c r="B131" s="220"/>
      <c r="C131" s="221"/>
      <c r="D131" s="222"/>
      <c r="E131" s="222"/>
      <c r="F131" s="223"/>
      <c r="G131" s="224"/>
      <c r="H131" s="224"/>
      <c r="I131" s="224"/>
      <c r="J131" s="224"/>
      <c r="K131" s="224"/>
      <c r="L131" s="225"/>
      <c r="M131" s="226"/>
      <c r="N131" s="224"/>
      <c r="O131" s="224"/>
      <c r="P131" s="224"/>
      <c r="Q131" s="224"/>
      <c r="R131" s="224"/>
      <c r="S131" s="225"/>
      <c r="T131" s="226"/>
      <c r="U131" s="224"/>
      <c r="V131" s="224"/>
      <c r="W131" s="224"/>
      <c r="X131" s="224"/>
      <c r="Y131" s="224"/>
      <c r="Z131" s="227"/>
      <c r="AA131" s="226"/>
      <c r="AB131" s="224"/>
      <c r="AC131" s="224"/>
      <c r="AD131" s="224"/>
      <c r="AE131" s="224"/>
      <c r="AF131" s="224"/>
      <c r="AG131" s="227"/>
      <c r="AH131" s="226"/>
      <c r="AI131" s="228"/>
      <c r="AJ131" s="229"/>
      <c r="AK131" s="229"/>
      <c r="AL131" s="229"/>
      <c r="AM131" s="230"/>
      <c r="AN131" s="231"/>
      <c r="AO131" s="231"/>
      <c r="AP131" s="231"/>
      <c r="AQ131" s="231"/>
      <c r="AR131" s="232"/>
    </row>
    <row r="132" spans="1:44" s="191" customFormat="1" ht="30" customHeight="1">
      <c r="A132" s="194">
        <f>A119+1</f>
        <v>8</v>
      </c>
      <c r="B132" s="1119" t="s">
        <v>312</v>
      </c>
      <c r="C132" s="974" t="s">
        <v>166</v>
      </c>
      <c r="D132" s="971"/>
      <c r="E132" s="971" t="s">
        <v>90</v>
      </c>
      <c r="F132" s="234" t="s">
        <v>659</v>
      </c>
      <c r="G132" s="196">
        <v>29</v>
      </c>
      <c r="H132" s="196">
        <v>140</v>
      </c>
      <c r="I132" s="196">
        <v>531</v>
      </c>
      <c r="J132" s="196">
        <v>568</v>
      </c>
      <c r="K132" s="196">
        <v>226</v>
      </c>
      <c r="L132" s="557">
        <f>G132+H132+I132+J132+K132</f>
        <v>1494</v>
      </c>
      <c r="M132" s="966">
        <v>1</v>
      </c>
      <c r="N132" s="196">
        <v>29</v>
      </c>
      <c r="O132" s="196">
        <v>140</v>
      </c>
      <c r="P132" s="196">
        <v>531</v>
      </c>
      <c r="Q132" s="196">
        <v>568</v>
      </c>
      <c r="R132" s="196">
        <v>226</v>
      </c>
      <c r="S132" s="557">
        <f>N132+O132+P132+Q132+R132</f>
        <v>1494</v>
      </c>
      <c r="T132" s="966">
        <v>1</v>
      </c>
      <c r="U132" s="196">
        <v>29</v>
      </c>
      <c r="V132" s="196">
        <v>140</v>
      </c>
      <c r="W132" s="196">
        <v>531</v>
      </c>
      <c r="X132" s="196">
        <v>568</v>
      </c>
      <c r="Y132" s="196">
        <v>226</v>
      </c>
      <c r="Z132" s="557">
        <f>U132+V132+W132+X132+Y132</f>
        <v>1494</v>
      </c>
      <c r="AA132" s="966">
        <v>1</v>
      </c>
      <c r="AB132" s="196">
        <v>29</v>
      </c>
      <c r="AC132" s="196">
        <v>140</v>
      </c>
      <c r="AD132" s="196">
        <v>531</v>
      </c>
      <c r="AE132" s="196">
        <v>568</v>
      </c>
      <c r="AF132" s="196">
        <v>226</v>
      </c>
      <c r="AG132" s="557">
        <f>AB132+AC132+AD132+AE132+AF132</f>
        <v>1494</v>
      </c>
      <c r="AH132" s="966">
        <v>1</v>
      </c>
      <c r="AI132" s="540">
        <f>A132</f>
        <v>8</v>
      </c>
      <c r="AJ132" s="944" t="str">
        <f>B132</f>
        <v>Лікар загальної практики - сімейний лікар</v>
      </c>
      <c r="AK132" s="959" t="str">
        <f>C132</f>
        <v>Гошко Людмила Іванівна</v>
      </c>
      <c r="AL132" s="959">
        <f>D132</f>
        <v>0</v>
      </c>
      <c r="AM132" s="929" t="s">
        <v>79</v>
      </c>
      <c r="AN132" s="947">
        <f>SUM(AN137:AN143)</f>
        <v>253026.95581249997</v>
      </c>
      <c r="AO132" s="947">
        <f>SUM(AO137:AO143)</f>
        <v>253026.95581249997</v>
      </c>
      <c r="AP132" s="947">
        <f>SUM(AP137:AP143)</f>
        <v>253026.95581249997</v>
      </c>
      <c r="AQ132" s="947">
        <f>SUM(AQ137:AQ143)</f>
        <v>253026.95581249997</v>
      </c>
      <c r="AR132" s="962">
        <f>SUM(AN132:AQ136)</f>
        <v>1012107.8232499999</v>
      </c>
    </row>
    <row r="133" spans="1:44" s="50" customFormat="1" ht="28.15" customHeight="1">
      <c r="A133" s="197"/>
      <c r="B133" s="1119"/>
      <c r="C133" s="974"/>
      <c r="D133" s="971"/>
      <c r="E133" s="971"/>
      <c r="F133" s="234" t="s">
        <v>660</v>
      </c>
      <c r="G133" s="196">
        <v>29</v>
      </c>
      <c r="H133" s="196">
        <v>140</v>
      </c>
      <c r="I133" s="196">
        <v>531</v>
      </c>
      <c r="J133" s="196">
        <v>568</v>
      </c>
      <c r="K133" s="196">
        <v>226</v>
      </c>
      <c r="L133" s="557">
        <f>G133+H133+I133+J133+K133</f>
        <v>1494</v>
      </c>
      <c r="M133" s="966"/>
      <c r="N133" s="196">
        <v>29</v>
      </c>
      <c r="O133" s="196">
        <v>140</v>
      </c>
      <c r="P133" s="196">
        <v>531</v>
      </c>
      <c r="Q133" s="196">
        <v>568</v>
      </c>
      <c r="R133" s="196">
        <v>226</v>
      </c>
      <c r="S133" s="557">
        <f>N133+O133+P133+Q133+R133</f>
        <v>1494</v>
      </c>
      <c r="T133" s="966"/>
      <c r="U133" s="196">
        <v>29</v>
      </c>
      <c r="V133" s="196">
        <v>140</v>
      </c>
      <c r="W133" s="196">
        <v>531</v>
      </c>
      <c r="X133" s="196">
        <v>568</v>
      </c>
      <c r="Y133" s="196">
        <v>226</v>
      </c>
      <c r="Z133" s="557">
        <f>U133+V133+W133+X133+Y133</f>
        <v>1494</v>
      </c>
      <c r="AA133" s="966"/>
      <c r="AB133" s="196">
        <v>29</v>
      </c>
      <c r="AC133" s="196">
        <v>140</v>
      </c>
      <c r="AD133" s="196">
        <v>531</v>
      </c>
      <c r="AE133" s="196">
        <v>568</v>
      </c>
      <c r="AF133" s="196">
        <v>226</v>
      </c>
      <c r="AG133" s="557">
        <f>AB133+AC133+AD133+AE133+AF133</f>
        <v>1494</v>
      </c>
      <c r="AH133" s="966"/>
      <c r="AI133" s="198"/>
      <c r="AJ133" s="945"/>
      <c r="AK133" s="960"/>
      <c r="AL133" s="960"/>
      <c r="AM133" s="930"/>
      <c r="AN133" s="948"/>
      <c r="AO133" s="948"/>
      <c r="AP133" s="948"/>
      <c r="AQ133" s="948"/>
      <c r="AR133" s="963"/>
    </row>
    <row r="134" spans="1:44" s="90" customFormat="1" ht="31.15" customHeight="1">
      <c r="A134" s="240"/>
      <c r="B134" s="1119"/>
      <c r="C134" s="974"/>
      <c r="D134" s="971"/>
      <c r="E134" s="971"/>
      <c r="F134" s="241" t="s">
        <v>661</v>
      </c>
      <c r="G134" s="196">
        <v>29</v>
      </c>
      <c r="H134" s="196">
        <v>140</v>
      </c>
      <c r="I134" s="196">
        <v>531</v>
      </c>
      <c r="J134" s="196">
        <v>568</v>
      </c>
      <c r="K134" s="196">
        <v>226</v>
      </c>
      <c r="L134" s="200">
        <f>SUM(G134:K134)</f>
        <v>1494</v>
      </c>
      <c r="M134" s="966"/>
      <c r="N134" s="196">
        <v>29</v>
      </c>
      <c r="O134" s="196">
        <v>140</v>
      </c>
      <c r="P134" s="196">
        <v>531</v>
      </c>
      <c r="Q134" s="196">
        <v>568</v>
      </c>
      <c r="R134" s="196">
        <v>226</v>
      </c>
      <c r="S134" s="557">
        <f>N134+O134+P134+Q134+R134</f>
        <v>1494</v>
      </c>
      <c r="T134" s="966"/>
      <c r="U134" s="196">
        <v>29</v>
      </c>
      <c r="V134" s="196">
        <v>140</v>
      </c>
      <c r="W134" s="196">
        <v>531</v>
      </c>
      <c r="X134" s="196">
        <v>568</v>
      </c>
      <c r="Y134" s="196">
        <v>226</v>
      </c>
      <c r="Z134" s="557">
        <f>U134+V134+W134+X134+Y134</f>
        <v>1494</v>
      </c>
      <c r="AA134" s="966"/>
      <c r="AB134" s="196">
        <v>29</v>
      </c>
      <c r="AC134" s="196">
        <v>140</v>
      </c>
      <c r="AD134" s="196">
        <v>531</v>
      </c>
      <c r="AE134" s="196">
        <v>568</v>
      </c>
      <c r="AF134" s="196">
        <v>226</v>
      </c>
      <c r="AG134" s="557">
        <f>AB134+AC134+AD134+AE134+AF134</f>
        <v>1494</v>
      </c>
      <c r="AH134" s="966"/>
      <c r="AI134" s="242"/>
      <c r="AJ134" s="945"/>
      <c r="AK134" s="960"/>
      <c r="AL134" s="960"/>
      <c r="AM134" s="930"/>
      <c r="AN134" s="948"/>
      <c r="AO134" s="948"/>
      <c r="AP134" s="948"/>
      <c r="AQ134" s="948"/>
      <c r="AR134" s="963"/>
    </row>
    <row r="135" spans="1:44" s="50" customFormat="1" ht="31.9" customHeight="1" thickBot="1">
      <c r="A135" s="197"/>
      <c r="B135" s="1119"/>
      <c r="C135" s="974"/>
      <c r="D135" s="971"/>
      <c r="E135" s="971"/>
      <c r="F135" s="236" t="s">
        <v>426</v>
      </c>
      <c r="G135" s="203">
        <f>IF($B$132="Лікар-педіатр",G134/L134,IF($B$132="Лікар-терапевт","х",IF($B$132="Лікар загальної практики - сімейний лікар",G134/L134,0)))</f>
        <v>1.9410977242302542E-2</v>
      </c>
      <c r="H135" s="203">
        <f>IF($B$132="Лікар-педіатр",H134/L134,IF($B$132="Лікар-терапевт","х",IF($B$132="Лікар загальної практики - сімейний лікар",H134/L134,0)))</f>
        <v>9.3708165997322623E-2</v>
      </c>
      <c r="I135" s="203">
        <f>IF($B$132="Лікар-педіатр","x",IF($B$132="Лікар-терапевт",I134/L134,IF($B$132="Лікар загальної практики - сімейний лікар",I134/L134,0)))</f>
        <v>0.35542168674698793</v>
      </c>
      <c r="J135" s="203">
        <f>IF($B$132="Лікар-педіатр","x",IF($B$132="Лікар-терапевт",J134/L134,IF($B$132="Лікар загальної практики - сімейний лікар",J134/L134,0)))</f>
        <v>0.38018741633199465</v>
      </c>
      <c r="K135" s="203">
        <f>IF($B$132="Лікар-педіатр","x",IF($B$132="Лікар-терапевт",K134/L134,IF($B$132="Лікар загальної практики - сімейний лікар",K134/L134,0)))</f>
        <v>0.15127175368139223</v>
      </c>
      <c r="L135" s="203">
        <f>SUM(G135:K135)</f>
        <v>0.99999999999999989</v>
      </c>
      <c r="M135" s="966"/>
      <c r="N135" s="203">
        <f>IF($B$132="Лікар-педіатр",N134/S134,IF($B$132="Лікар-терапевт","х",IF($B$132="Лікар загальної практики - сімейний лікар",N134/S134,0)))</f>
        <v>1.9410977242302542E-2</v>
      </c>
      <c r="O135" s="203">
        <f>IF($B$132="Лікар-педіатр",O134/S134,IF($B$132="Лікар-терапевт","х",IF($B$132="Лікар загальної практики - сімейний лікар",O134/S134,0)))</f>
        <v>9.3708165997322623E-2</v>
      </c>
      <c r="P135" s="203">
        <f>IF($B$132="Лікар-педіатр","x",IF($B$132="Лікар-терапевт",P134/S134,IF($B$132="Лікар загальної практики - сімейний лікар",P134/S134,0)))</f>
        <v>0.35542168674698793</v>
      </c>
      <c r="Q135" s="203">
        <f>IF($B$132="Лікар-педіатр","x",IF($B$132="Лікар-терапевт",Q134/S134,IF($B$132="Лікар загальної практики - сімейний лікар",Q134/S134,0)))</f>
        <v>0.38018741633199465</v>
      </c>
      <c r="R135" s="203">
        <f>IF($B$132="Лікар-педіатр","x",IF($B$132="Лікар-терапевт",R134/S134,IF($B$132="Лікар загальної практики - сімейний лікар",R134/S134,0)))</f>
        <v>0.15127175368139223</v>
      </c>
      <c r="S135" s="203">
        <f>SUM(N135:R135)</f>
        <v>0.99999999999999989</v>
      </c>
      <c r="T135" s="966"/>
      <c r="U135" s="203">
        <f>IF($B$132="Лікар-педіатр",U134/Z134,IF($B$132="Лікар-терапевт","х",IF($B$132="Лікар загальної практики - сімейний лікар",U134/Z134,0)))</f>
        <v>1.9410977242302542E-2</v>
      </c>
      <c r="V135" s="203">
        <f>IF($B$132="Лікар-педіатр",V134/Z134,IF($B$132="Лікар-терапевт","х",IF($B$132="Лікар загальної практики - сімейний лікар",V134/Z134,0)))</f>
        <v>9.3708165997322623E-2</v>
      </c>
      <c r="W135" s="203">
        <f>IF($B$132="Лікар-педіатр","x",IF($B$132="Лікар-терапевт",W134/Z134,IF($B$132="Лікар загальної практики - сімейний лікар",W134/Z134,0)))</f>
        <v>0.35542168674698793</v>
      </c>
      <c r="X135" s="203">
        <f>IF($B$132="Лікар-педіатр","x",IF($B$132="Лікар-терапевт",X134/Z134,IF($B$132="Лікар загальної практики - сімейний лікар",X134/Z134,0)))</f>
        <v>0.38018741633199465</v>
      </c>
      <c r="Y135" s="203">
        <f>IF($B$132="Лікар-педіатр","x",IF($B$132="Лікар-терапевт",Y134/Z134,IF($B$132="Лікар загальної практики - сімейний лікар",Y134/Z134,0)))</f>
        <v>0.15127175368139223</v>
      </c>
      <c r="Z135" s="203">
        <f>SUM(U135:Y135)</f>
        <v>0.99999999999999989</v>
      </c>
      <c r="AA135" s="966"/>
      <c r="AB135" s="203">
        <f>IF($B$132="Лікар-педіатр",AB134/AG134,IF($B$132="Лікар-терапевт","х",IF($B$132="Лікар загальної практики - сімейний лікар",AB134/AG134,0)))</f>
        <v>1.9410977242302542E-2</v>
      </c>
      <c r="AC135" s="203">
        <f>IF($B$132="Лікар-педіатр",AC134/AG134,IF($B$132="Лікар-терапевт","х",IF($B$132="Лікар загальної практики - сімейний лікар",AC134/AG134,0)))</f>
        <v>9.3708165997322623E-2</v>
      </c>
      <c r="AD135" s="203">
        <f>IF($B$132="Лікар-педіатр","x",IF($B$132="Лікар-терапевт",AD134/AG134,IF($B$132="Лікар загальної практики - сімейний лікар",AD134/AG134,0)))</f>
        <v>0.35542168674698793</v>
      </c>
      <c r="AE135" s="203">
        <f>IF($B$132="Лікар-педіатр","x",IF($B$132="Лікар-терапевт",AE134/AG134,IF($B$132="Лікар загальної практики - сімейний лікар",AE134/AG134,0)))</f>
        <v>0.38018741633199465</v>
      </c>
      <c r="AF135" s="203">
        <f>IF($B$132="Лікар-педіатр","x",IF($B$132="Лікар-терапевт",AF134/AG134,IF($B$132="Лікар загальної практики - сімейний лікар",AF134/AG134,0)))</f>
        <v>0.15127175368139223</v>
      </c>
      <c r="AG135" s="203">
        <f>SUM(AB135:AF135)</f>
        <v>0.99999999999999989</v>
      </c>
      <c r="AH135" s="966"/>
      <c r="AI135" s="201"/>
      <c r="AJ135" s="945"/>
      <c r="AK135" s="960"/>
      <c r="AL135" s="960"/>
      <c r="AM135" s="930"/>
      <c r="AN135" s="948"/>
      <c r="AO135" s="948"/>
      <c r="AP135" s="948"/>
      <c r="AQ135" s="948"/>
      <c r="AR135" s="963"/>
    </row>
    <row r="136" spans="1:44" s="50" customFormat="1" ht="45" customHeight="1" thickBot="1">
      <c r="A136" s="197"/>
      <c r="B136" s="1119"/>
      <c r="C136" s="974"/>
      <c r="D136" s="971"/>
      <c r="E136" s="972"/>
      <c r="F136" s="204" t="s">
        <v>662</v>
      </c>
      <c r="G136" s="205">
        <f>IF($B$132="Лікар загальної практики - сімейний лікар",AVERAGE(G132:G134),IF($B$132="Лікар-педіатр",AVERAGE(G132:G134),IF($B$132="Лікар-терапевт","х",0)))</f>
        <v>29</v>
      </c>
      <c r="H136" s="205">
        <f>IF($B$132="Лікар загальної практики - сімейний лікар",AVERAGE(H132:H134),IF($B$132="Лікар-педіатр",AVERAGE(H132:H134),IF($B$132="Лікар-терапевт","х",0)))</f>
        <v>140</v>
      </c>
      <c r="I136" s="205">
        <f>IF($B$132="Лікар загальної практики - сімейний лікар",AVERAGE(I132:I134),IF($B$132="Лікар-педіатр","x",IF($B$132="Лікар-терапевт",AVERAGE(I132:I134),0)))</f>
        <v>531</v>
      </c>
      <c r="J136" s="205">
        <f>IF($B$132="Лікар загальної практики - сімейний лікар",AVERAGE(J132:J134),IF($B$132="Лікар-педіатр","x",IF($B$132="Лікар-терапевт",AVERAGE(J132:J134),0)))</f>
        <v>568</v>
      </c>
      <c r="K136" s="205">
        <f>IF($B$132="Лікар загальної практики - сімейний лікар",AVERAGE(K132:K134),IF($B$132="Лікар-педіатр","x",IF($B$132="Лікар-терапевт",AVERAGE(K132:K134),0)))</f>
        <v>226</v>
      </c>
      <c r="L136" s="206">
        <f>SUM(G136:K136)</f>
        <v>1494</v>
      </c>
      <c r="M136" s="973"/>
      <c r="N136" s="205">
        <f>IF($B$132="Лікар загальної практики - сімейний лікар",AVERAGE(N132:N134),IF($B$132="Лікар-педіатр",AVERAGE(N132:N134),IF($B$132="Лікар-терапевт","х",0)))</f>
        <v>29</v>
      </c>
      <c r="O136" s="205">
        <f>IF($B$132="Лікар загальної практики - сімейний лікар",AVERAGE(O132:O134),IF($B$132="Лікар-педіатр",AVERAGE(O132:O134),IF($B$132="Лікар-терапевт","х",0)))</f>
        <v>140</v>
      </c>
      <c r="P136" s="205">
        <f>IF($B$132="Лікар загальної практики - сімейний лікар",AVERAGE(P132:P134),IF($B$132="Лікар-педіатр","x",IF($B$132="Лікар-терапевт",AVERAGE(P132:P134),0)))</f>
        <v>531</v>
      </c>
      <c r="Q136" s="205">
        <f>IF($B$132="Лікар загальної практики - сімейний лікар",AVERAGE(Q132:Q134),IF($B$132="Лікар-педіатр","x",IF($B$132="Лікар-терапевт",AVERAGE(Q132:Q134),0)))</f>
        <v>568</v>
      </c>
      <c r="R136" s="205">
        <f>IF($B$132="Лікар загальної практики - сімейний лікар",AVERAGE(R132:R134),IF($B$132="Лікар-педіатр","x",IF($B$132="Лікар-терапевт",AVERAGE(R132:R134),0)))</f>
        <v>226</v>
      </c>
      <c r="S136" s="206">
        <f>SUM(N136:R136)</f>
        <v>1494</v>
      </c>
      <c r="T136" s="973"/>
      <c r="U136" s="205">
        <f>IF($B$132="Лікар загальної практики - сімейний лікар",AVERAGE(U132:U134),IF($B$132="Лікар-педіатр",AVERAGE(U132:U134),IF($B$132="Лікар-терапевт","х",0)))</f>
        <v>29</v>
      </c>
      <c r="V136" s="205">
        <f>IF($B$132="Лікар загальної практики - сімейний лікар",AVERAGE(V132:V134),IF($B$132="Лікар-педіатр",AVERAGE(V132:V134),IF($B$132="Лікар-терапевт","х",0)))</f>
        <v>140</v>
      </c>
      <c r="W136" s="205">
        <f>IF($B$132="Лікар загальної практики - сімейний лікар",AVERAGE(W132:W134),IF($B$132="Лікар-педіатр","x",IF($B$132="Лікар-терапевт",AVERAGE(W132:W134),0)))</f>
        <v>531</v>
      </c>
      <c r="X136" s="205">
        <f>IF($B$132="Лікар загальної практики - сімейний лікар",AVERAGE(X132:X134),IF($B$132="Лікар-педіатр","x",IF($B$132="Лікар-терапевт",AVERAGE(X132:X134),0)))</f>
        <v>568</v>
      </c>
      <c r="Y136" s="205">
        <f>IF($B$132="Лікар загальної практики - сімейний лікар",AVERAGE(Y132:Y134),IF($B$132="Лікар-педіатр","x",IF($B$132="Лікар-терапевт",AVERAGE(Y132:Y134),0)))</f>
        <v>226</v>
      </c>
      <c r="Z136" s="206">
        <f>SUM(U136:Y136)</f>
        <v>1494</v>
      </c>
      <c r="AA136" s="973"/>
      <c r="AB136" s="205">
        <f>IF($B$132="Лікар загальної практики - сімейний лікар",AVERAGE(AB132:AB134),IF($B$132="Лікар-педіатр",AVERAGE(AB132:AB134),IF($B$132="Лікар-терапевт","х",0)))</f>
        <v>29</v>
      </c>
      <c r="AC136" s="205">
        <f>IF($B$132="Лікар загальної практики - сімейний лікар",AVERAGE(AC132:AC134),IF($B$132="Лікар-педіатр",AVERAGE(AC132:AC134),IF($B$132="Лікар-терапевт","х",0)))</f>
        <v>140</v>
      </c>
      <c r="AD136" s="205">
        <f>IF($B$132="Лікар загальної практики - сімейний лікар",AVERAGE(AD132:AD134),IF($B$132="Лікар-педіатр","x",IF($B$132="Лікар-терапевт",AVERAGE(AD132:AD134),0)))</f>
        <v>531</v>
      </c>
      <c r="AE136" s="205">
        <f>IF($B$132="Лікар загальної практики - сімейний лікар",AVERAGE(AE132:AE134),IF($B$132="Лікар-педіатр","x",IF($B$132="Лікар-терапевт",AVERAGE(AE132:AE134),0)))</f>
        <v>568</v>
      </c>
      <c r="AF136" s="205">
        <f>IF($B$132="Лікар загальної практики - сімейний лікар",AVERAGE(AF132:AF134),IF($B$132="Лікар-педіатр","x",IF($B$132="Лікар-терапевт",AVERAGE(AF132:AF134),0)))</f>
        <v>226</v>
      </c>
      <c r="AG136" s="206">
        <f>SUM(AB136:AF136)</f>
        <v>1494</v>
      </c>
      <c r="AH136" s="967"/>
      <c r="AI136" s="201"/>
      <c r="AJ136" s="945"/>
      <c r="AK136" s="960"/>
      <c r="AL136" s="960"/>
      <c r="AM136" s="931"/>
      <c r="AN136" s="949"/>
      <c r="AO136" s="949"/>
      <c r="AP136" s="949"/>
      <c r="AQ136" s="949"/>
      <c r="AR136" s="964"/>
    </row>
    <row r="137" spans="1:44" s="50" customFormat="1" ht="40.5">
      <c r="A137" s="197"/>
      <c r="B137" s="1119"/>
      <c r="C137" s="974"/>
      <c r="D137" s="971"/>
      <c r="E137" s="971"/>
      <c r="F137" s="237" t="str">
        <f ca="1">IF(B132="Лікар-педіатр",Законод!$C$17,IF(B132="Лікар загальної практики - сімейний лікар",Законод!$C$21,IF(B132="Лікар-терапевт",Законод!$C$25,"х")))</f>
        <v>ліміт (до 1800)</v>
      </c>
      <c r="G137" s="208">
        <f ca="1">IF($B$132="Лікар загальної практики - сімейний лікар",IF(L136&lt;=Законод!$C$22,G136,Законод!$C$22*'01_Доходи'!G135),IF($B$132="Лікар-педіатр",IF(L136&lt;=Законод!$C$18,G136,Законод!$C$18*'01_Доходи'!G135),IF($B$132="Лікар-терапевт","x",0)))</f>
        <v>29</v>
      </c>
      <c r="H137" s="208">
        <f ca="1">IF($B$132="Лікар загальної практики - сімейний лікар",IF(L136&lt;=Законод!$C$22,H136,Законод!$C$22*'01_Доходи'!H135),IF($B$132="Лікар-педіатр",IF(L136&lt;=Законод!$C$18,H136,Законод!$C$18*'01_Доходи'!H135),IF($B$132="Лікар-терапевт","x",0)))</f>
        <v>140</v>
      </c>
      <c r="I137" s="208">
        <f ca="1">IF($B$132="Лікар загальної практики - сімейний лікар",IF(L136&lt;=Законод!$C$22,I136,Законод!$C$22*'01_Доходи'!I135),IF($B$132="Лікар-педіатр","x",IF($B$132="Лікар-терапевт",IF(L136&lt;=Законод!$C$26,I136,Законод!$C$26*'01_Доходи'!I135),0)))</f>
        <v>531</v>
      </c>
      <c r="J137" s="208">
        <f ca="1">IF($B$132="Лікар загальної практики - сімейний лікар",IF(L136&lt;=Законод!$C$22,J136,Законод!$C$22*'01_Доходи'!J135),IF($B$132="Лікар-педіатр","x",IF($B$132="Лікар-терапевт",IF(L136&lt;=Законод!$C$26,J136,Законод!$C$26*'01_Доходи'!J135),0)))</f>
        <v>568</v>
      </c>
      <c r="K137" s="208">
        <f ca="1">IF($B$132="Лікар загальної практики - сімейний лікар",IF(L136&lt;=Законод!$C$22,K136,Законод!$C$22*'01_Доходи'!K135),IF($B$132="Лікар-педіатр","x",IF($B$132="Лікар-терапевт",IF(L136&lt;=Законод!$C$26,K136,Законод!$C$26*'01_Доходи'!K135),0)))</f>
        <v>226</v>
      </c>
      <c r="L137" s="209">
        <f ca="1">SUM(G137:K137)</f>
        <v>1494</v>
      </c>
      <c r="M137" s="966"/>
      <c r="N137" s="208">
        <f ca="1">IF($B$132="Лікар загальної практики - сімейний лікар",IF(S136&lt;=Законод!$C$22,N136,Законод!$C$22*'01_Доходи'!N135),IF($B$132="Лікар-педіатр",IF(S136&lt;=Законод!$C$18,N136,Законод!$C$18*'01_Доходи'!N135),IF($B$132="Лікар-терапевт","x",0)))</f>
        <v>29</v>
      </c>
      <c r="O137" s="208">
        <f ca="1">IF($B$132="Лікар загальної практики - сімейний лікар",IF(S136&lt;=Законод!$C$22,O136,Законод!$C$22*'01_Доходи'!O135),IF($B$132="Лікар-педіатр",IF(S136&lt;=Законод!$C$18,O136,Законод!$C$18*'01_Доходи'!O135),IF($B$132="Лікар-терапевт","x",0)))</f>
        <v>140</v>
      </c>
      <c r="P137" s="208">
        <f ca="1">IF($B$132="Лікар загальної практики - сімейний лікар",IF(S136&lt;=Законод!$C$22,P136,Законод!$C$22*'01_Доходи'!P135),IF($B$132="Лікар-педіатр","x",IF($B$132="Лікар-терапевт",IF(S136&lt;=Законод!$C$26,P136,Законод!$C$26*'01_Доходи'!P135),0)))</f>
        <v>531</v>
      </c>
      <c r="Q137" s="208">
        <f ca="1">IF($B$132="Лікар загальної практики - сімейний лікар",IF(S136&lt;=Законод!$C$22,Q136,Законод!$C$22*'01_Доходи'!Q135),IF($B$132="Лікар-педіатр","x",IF($B$132="Лікар-терапевт",IF(S136&lt;=Законод!$C$26,Q136,Законод!$C$26*'01_Доходи'!Q135),0)))</f>
        <v>568</v>
      </c>
      <c r="R137" s="208">
        <f ca="1">IF($B$132="Лікар загальної практики - сімейний лікар",IF(S136&lt;=Законод!$C$22,R136,Законод!$C$22*'01_Доходи'!R135),IF($B$132="Лікар-педіатр","x",IF($B$132="Лікар-терапевт",IF(S136&lt;=Законод!$C$26,R136,Законод!$C$26*'01_Доходи'!R135),0)))</f>
        <v>226</v>
      </c>
      <c r="S137" s="209">
        <f ca="1">SUM(N137:R137)</f>
        <v>1494</v>
      </c>
      <c r="T137" s="966"/>
      <c r="U137" s="208">
        <f ca="1">IF($B$132="Лікар загальної практики - сімейний лікар",IF(Z136&lt;=Законод!$C$22,U136,Законод!$C$22*'01_Доходи'!U135),IF($B$132="Лікар-педіатр",IF(Z136&lt;=Законод!$C$18,U136,Законод!$C$18*'01_Доходи'!U135),IF($B$132="Лікар-терапевт","x",0)))</f>
        <v>29</v>
      </c>
      <c r="V137" s="208">
        <f ca="1">IF($B$132="Лікар загальної практики - сімейний лікар",IF(Z136&lt;=Законод!$C$22,V136,Законод!$C$22*'01_Доходи'!V135),IF($B$132="Лікар-педіатр",IF(Z136&lt;=Законод!$C$18,V136,Законод!$C$18*'01_Доходи'!V135),IF($B$132="Лікар-терапевт","x",0)))</f>
        <v>140</v>
      </c>
      <c r="W137" s="208">
        <f ca="1">IF($B$132="Лікар загальної практики - сімейний лікар",IF(Z136&lt;=Законод!$C$22,W136,Законод!$C$22*'01_Доходи'!W135),IF($B$132="Лікар-педіатр","x",IF($B$132="Лікар-терапевт",IF(Z136&lt;=Законод!$C$26,W136,Законод!$C$26*'01_Доходи'!W135),0)))</f>
        <v>531</v>
      </c>
      <c r="X137" s="208">
        <f ca="1">IF($B$132="Лікар загальної практики - сімейний лікар",IF(Z136&lt;=Законод!$C$22,X136,Законод!$C$22*'01_Доходи'!X135),IF($B$132="Лікар-педіатр","x",IF($B$132="Лікар-терапевт",IF(Z136&lt;=Законод!$C$26,X136,Законод!$C$26*'01_Доходи'!X135),0)))</f>
        <v>568</v>
      </c>
      <c r="Y137" s="208">
        <f ca="1">IF($B$132="Лікар загальної практики - сімейний лікар",IF(Z136&lt;=Законод!$C$22,Y136,Законод!$C$22*'01_Доходи'!Y135),IF($B$132="Лікар-педіатр","x",IF($B$132="Лікар-терапевт",IF(Z136&lt;=Законод!$C$26,Y136,Законод!$C$26*'01_Доходи'!Y135),0)))</f>
        <v>226</v>
      </c>
      <c r="Z137" s="209">
        <f ca="1">SUM(U137:Y137)</f>
        <v>1494</v>
      </c>
      <c r="AA137" s="966"/>
      <c r="AB137" s="208">
        <f ca="1">IF($B$132="Лікар загальної практики - сімейний лікар",IF(AG136&lt;=Законод!$C$22,AB136,Законод!$C$22*'01_Доходи'!AB135),IF($B$132="Лікар-педіатр",IF(AG136&lt;=Законод!$C$18,AB136,Законод!$C$18*'01_Доходи'!AB135),IF($B$132="Лікар-терапевт","x",0)))</f>
        <v>29</v>
      </c>
      <c r="AC137" s="208">
        <f ca="1">IF($B$132="Лікар загальної практики - сімейний лікар",IF(AG136&lt;=Законод!$C$22,AC136,Законод!$C$22*'01_Доходи'!AC135),IF($B$132="Лікар-педіатр",IF(AG136&lt;=Законод!$C$18,AC136,Законод!$C$18*'01_Доходи'!AC135),IF($B$132="Лікар-терапевт","x",0)))</f>
        <v>140</v>
      </c>
      <c r="AD137" s="208">
        <f ca="1">IF($B$132="Лікар загальної практики - сімейний лікар",IF(AG136&lt;=Законод!$C$22,AD136,Законод!$C$22*'01_Доходи'!AD135),IF($B$132="Лікар-педіатр","x",IF($B$132="Лікар-терапевт",IF(AG136&lt;=Законод!$C$26,AD136,Законод!$C$26*'01_Доходи'!AD135),0)))</f>
        <v>531</v>
      </c>
      <c r="AE137" s="208">
        <f ca="1">IF($B$132="Лікар загальної практики - сімейний лікар",IF(AG136&lt;=Законод!$C$22,AE136,Законод!$C$22*'01_Доходи'!AE135),IF($B$132="Лікар-педіатр","x",IF($B$132="Лікар-терапевт",IF(AG136&lt;=Законод!$C$26,AE136,Законод!$C$26*'01_Доходи'!AE135),0)))</f>
        <v>568</v>
      </c>
      <c r="AF137" s="208">
        <f ca="1">IF($B$132="Лікар загальної практики - сімейний лікар",IF(AG136&lt;=Законод!$C$22,AF136,Законод!$C$22*'01_Доходи'!AF135),IF($B$132="Лікар-педіатр","x",IF($B$132="Лікар-терапевт",IF(AG136&lt;=Законод!$C$26,AF136,Законод!$C$26*'01_Доходи'!AF135),0)))</f>
        <v>226</v>
      </c>
      <c r="AG137" s="209">
        <f ca="1">SUM(AB137:AF137)</f>
        <v>1494</v>
      </c>
      <c r="AH137" s="966"/>
      <c r="AI137" s="201"/>
      <c r="AJ137" s="945"/>
      <c r="AK137" s="960"/>
      <c r="AL137" s="960"/>
      <c r="AM137" s="348" t="s">
        <v>451</v>
      </c>
      <c r="AN137" s="210">
        <f ca="1">IF(B132="Лікар загальної практики - сімейний лікар",G137*Законод!$C$11+'01_Доходи'!H137*Законод!$D$11+'01_Доходи'!I137*Законод!$E$11+'01_Доходи'!J137*Законод!$F$11+'01_Доходи'!K137*Законод!$G$11,IF(B132="Лікар-педіатр",G137*Законод!$C$11+'01_Доходи'!H137*Законод!$D$11,IF(B132="Лікар-терапевт",'01_Доходи'!I137*Законод!$E$11+'01_Доходи'!J137*Законод!$F$11+'01_Доходи'!K137*Законод!$G$11,0)))</f>
        <v>253026.95581249997</v>
      </c>
      <c r="AO137" s="210">
        <f ca="1">IF(B132="Лікар загальної практики - сімейний лікар",N137*Законод!$C$11+'01_Доходи'!O137*Законод!$D$11+'01_Доходи'!P137*Законод!$E$11+'01_Доходи'!Q137*Законод!$F$11+'01_Доходи'!R137*Законод!$G$11,IF(B132="Лікар-педіатр",N137*Законод!$C$11+'01_Доходи'!O137*Законод!$D$11,IF(B132="Лікар-терапевт",'01_Доходи'!P137*Законод!$E$11+'01_Доходи'!Q137*Законод!$F$11+'01_Доходи'!R137*Законод!$G$11,0)))</f>
        <v>253026.95581249997</v>
      </c>
      <c r="AP137" s="210">
        <f ca="1">IF(B132="Лікар загальної практики - сімейний лікар",U137*Законод!$C$11+'01_Доходи'!V137*Законод!$D$11+'01_Доходи'!W137*Законод!$E$11+'01_Доходи'!X137*Законод!$F$11+'01_Доходи'!Y137*Законод!$G$11,IF(B132="Лікар-педіатр",U137*Законод!$C$11+'01_Доходи'!V137*Законод!$D$11,IF(B132="Лікар-терапевт",'01_Доходи'!W137*Законод!$E$11+'01_Доходи'!X137*Законод!$F$11+'01_Доходи'!Y137*Законод!$G$11,0)))</f>
        <v>253026.95581249997</v>
      </c>
      <c r="AQ137" s="210">
        <f ca="1">IF(B132="Лікар загальної практики - сімейний лікар",AB137*Законод!$C$11+'01_Доходи'!AC137*Законод!$D$11+'01_Доходи'!AD137*Законод!$E$11+'01_Доходи'!AE137*Законод!$F$11+'01_Доходи'!AF137*Законод!$G$11,IF(B132="Лікар-педіатр",AB137*Законод!$C$11+'01_Доходи'!AC137*Законод!$D$11,IF(B132="Лікар-терапевт",'01_Доходи'!AD137*Законод!$E$11+'01_Доходи'!AE137*Законод!$F$11+'01_Доходи'!AF137*Законод!$G$11,0)))</f>
        <v>253026.95581249997</v>
      </c>
      <c r="AR137" s="211">
        <f t="shared" ref="AR137:AR143" si="15">SUM(AN137:AQ137)</f>
        <v>1012107.8232499999</v>
      </c>
    </row>
    <row r="138" spans="1:44" s="50" customFormat="1" ht="31.9" customHeight="1">
      <c r="A138" s="197"/>
      <c r="B138" s="1119"/>
      <c r="C138" s="974"/>
      <c r="D138" s="971"/>
      <c r="E138" s="971"/>
      <c r="F138" s="238" t="str">
        <f ca="1">IF(B132="Лікар-педіатр",Законод!$E$17,IF(B132="Лікар загальної практики - сімейний лікар",Законод!$E$21,IF(B132="Лікар-терапевт",Законод!$E$25,"х")))</f>
        <v>понад ліміт (1801-1980)</v>
      </c>
      <c r="G138" s="965" t="s">
        <v>423</v>
      </c>
      <c r="H138" s="965"/>
      <c r="I138" s="965"/>
      <c r="J138" s="965"/>
      <c r="K138" s="965"/>
      <c r="L138" s="196">
        <f ca="1">IF($B$132="Лікар загальної практики - сімейний лікар",IF(L136&lt;Законод!$C$22,0,(IF(AND(L136&gt;=Законод!$E$22,L136&lt;=Законод!$E$23),L136-Законод!$C$22,IF('01_Доходи'!L136&gt;=Законод!$F$22,Законод!$E$24,0)))),IF($B$132="Лікар-педіатр",IF(L136&lt;Законод!$C$18,0,(IF(AND(L136&gt;=Законод!$E$18,L136&lt;=Законод!$E$19),L136-Законод!$C$18,IF('01_Доходи'!L136&gt;=Законод!$F$18,Законод!$E$20,0)))),IF($B$132="Лікар-терапевт",IF(L136&lt;Законод!$C$26,0,(IF(AND(L136&gt;=Законод!$E$26,L136&lt;=Законод!$E$27),L136-Законод!$C$26,IF('01_Доходи'!L136&gt;=Законод!$F$26,Законод!$E$28,0)))),0)))</f>
        <v>0</v>
      </c>
      <c r="M138" s="966"/>
      <c r="N138" s="965" t="s">
        <v>423</v>
      </c>
      <c r="O138" s="965"/>
      <c r="P138" s="965"/>
      <c r="Q138" s="965"/>
      <c r="R138" s="965"/>
      <c r="S138" s="196">
        <f ca="1">IF($B$132="Лікар загальної практики - сімейний лікар",IF(S136&lt;Законод!$C$22,0,(IF(AND(S136&gt;=Законод!$E$22,S136&lt;=Законод!$E$23),S136-Законод!$C$22,IF('01_Доходи'!S136&gt;=Законод!$F$22,Законод!$E$24,0)))),IF($B$132="Лікар-педіатр",IF(S136&lt;Законод!$C$18,0,(IF(AND(S136&gt;=Законод!$E$18,S136&lt;=Законод!$E$19),S136-Законод!$C$18,IF('01_Доходи'!S136&gt;=Законод!$F$18,Законод!$E$20,0)))),IF($B$132="Лікар-терапевт",IF(S136&lt;Законод!$C$26,0,(IF(AND(S136&gt;=Законод!$E$26,S136&lt;=Законод!$E$27),S136-Законод!$C$26,IF('01_Доходи'!S136&gt;=Законод!$F$26,Законод!$E$28,0)))),0)))</f>
        <v>0</v>
      </c>
      <c r="T138" s="966"/>
      <c r="U138" s="965" t="s">
        <v>423</v>
      </c>
      <c r="V138" s="965"/>
      <c r="W138" s="965"/>
      <c r="X138" s="965"/>
      <c r="Y138" s="965"/>
      <c r="Z138" s="196">
        <f ca="1">IF($B$132="Лікар загальної практики - сімейний лікар",IF(Z136&lt;Законод!$C$22,0,(IF(AND(Z136&gt;=Законод!$E$22,Z136&lt;=Законод!$E$23),Z136-Законод!$C$22,IF('01_Доходи'!Z136&gt;=Законод!$F$22,Законод!$E$24,0)))),IF($B$132="Лікар-педіатр",IF(Z136&lt;Законод!$C$18,0,(IF(AND(Z136&gt;=Законод!$E$18,Z136&lt;=Законод!$E$19),Z136-Законод!$C$18,IF('01_Доходи'!Z136&gt;=Законод!$F$18,Законод!$E$20,0)))),IF($B$132="Лікар-терапевт",IF(Z136&lt;Законод!$C$26,0,(IF(AND(Z136&gt;=Законод!$E$26,Z136&lt;=Законод!$E$27),Z136-Законод!$C$26,IF('01_Доходи'!Z136&gt;=Законод!$F$26,Законод!$E$28,0)))),0)))</f>
        <v>0</v>
      </c>
      <c r="AA138" s="966"/>
      <c r="AB138" s="965" t="s">
        <v>423</v>
      </c>
      <c r="AC138" s="965"/>
      <c r="AD138" s="965"/>
      <c r="AE138" s="965"/>
      <c r="AF138" s="965"/>
      <c r="AG138" s="196">
        <f ca="1">IF($B$132="Лікар загальної практики - сімейний лікар",IF(AG136&lt;Законод!$C$22,0,(IF(AND(AG136&gt;=Законод!$E$22,AG136&lt;=Законод!$E$23),AG136-Законод!$C$22,IF('01_Доходи'!AG136&gt;=Законод!$F$22,Законод!$E$24,0)))),IF($B$132="Лікар-педіатр",IF(AG136&lt;Законод!$C$18,0,(IF(AND(AG136&gt;=Законод!$E$18,AG136&lt;=Законод!$E$19),AG136-Законод!$C$18,IF('01_Доходи'!AG136&gt;=Законод!$F$18,Законод!$E$20,0)))),IF($B$132="Лікар-терапевт",IF(AG136&lt;Законод!$C$26,0,(IF(AND(AG136&gt;=Законод!$E$26,AG136&lt;=Законод!$E$27),AG136-Законод!$C$26,IF('01_Доходи'!AG136&gt;=Законод!$F$26,Законод!$E$28,0)))),0)))</f>
        <v>0</v>
      </c>
      <c r="AH138" s="966"/>
      <c r="AI138" s="201"/>
      <c r="AJ138" s="945"/>
      <c r="AK138" s="960"/>
      <c r="AL138" s="960"/>
      <c r="AM138" s="926" t="s">
        <v>452</v>
      </c>
      <c r="AN138" s="210">
        <f ca="1">IF(B132="Лікар загальної практики - сімейний лікар",L138*Законод!$C$9/4*Законод!$E$16,IF(B132="Лікар-педіатр",L138*Законод!$C$9/4*Законод!$E$16,IF(B132="Лікар-терапевт",L138*Законод!$C$9/4*Законод!$E$16,0)))</f>
        <v>0</v>
      </c>
      <c r="AO138" s="210">
        <f ca="1">IF(B132="Лікар загальної практики - сімейний лікар",S138*Законод!$C$9/4*Законод!$E$16,IF(B132="Лікар-педіатр",S138*Законод!$C$9/4*Законод!$E$16,IF(B132="Лікар-терапевт",S138*Законод!$C$9/4*Законод!$E$16,0)))</f>
        <v>0</v>
      </c>
      <c r="AP138" s="210">
        <f ca="1">IF(B132="Лікар загальної практики - сімейний лікар",Z138*Законод!$C$9/4*Законод!$E$16,IF(B132="Лікар-педіатр",Z138*Законод!$C$9/4*Законод!$E$16,IF(B132="Лікар-терапевт",Z138*Законод!$C$9/4*Законод!$E$16,0)))</f>
        <v>0</v>
      </c>
      <c r="AQ138" s="210">
        <f ca="1">IF(B132="Лікар загальної практики - сімейний лікар",AG138*Законод!$C$9/4*Законод!$E$16,IF(B132="Лікар-педіатр",AG138*Законод!$C$9/4*Законод!$E$16,IF(B132="Лікар-терапевт",AG138*Законод!$C$9/4*Законод!$E$16,0)))</f>
        <v>0</v>
      </c>
      <c r="AR138" s="211">
        <f t="shared" si="15"/>
        <v>0</v>
      </c>
    </row>
    <row r="139" spans="1:44" s="50" customFormat="1" ht="31.9" customHeight="1">
      <c r="A139" s="197"/>
      <c r="B139" s="1119"/>
      <c r="C139" s="974"/>
      <c r="D139" s="971"/>
      <c r="E139" s="971"/>
      <c r="F139" s="238" t="str">
        <f ca="1">IF(B132="Лікар-педіатр",Законод!$F$17,IF(B132="Лікар загальної практики - сімейний лікар",Законод!$F$21,IF(B132="Лікар-терапевт",Законод!$F$25,"х")))</f>
        <v>понад ліміт (1981-2160)</v>
      </c>
      <c r="G139" s="965" t="s">
        <v>423</v>
      </c>
      <c r="H139" s="965"/>
      <c r="I139" s="965"/>
      <c r="J139" s="965"/>
      <c r="K139" s="965"/>
      <c r="L139" s="196">
        <f ca="1">IF($B$132="Лікар загальної практики - сімейний лікар",IF(L136&lt;Законод!$C$22,0,(IF(AND(L136&gt;=Законод!$F$22,L136&lt;=Законод!$F$23),L136-Законод!$E$23,IF('01_Доходи'!L136&gt;=Законод!$G$22,Законод!$F$24,0)))),IF($B$132="Лікар-педіатр",IF(L136&lt;Законод!$C$18,0,(IF(AND(L136&gt;=Законод!$F$18,L136&lt;=Законод!$F$19),L136-Законод!$E$19,IF('01_Доходи'!L136&gt;=Законод!$G$18,Законод!$F$20,0)))),IF($B$132="Лікар-терапевт",IF(L136&lt;Законод!$C$26,0,(IF(AND(L136&gt;=Законод!$F$26,L136&lt;=Законод!$F$27),L136-Законод!$E$27,IF('01_Доходи'!L136&gt;=Законод!$G$26,Законод!$F$28,0)))),0)))</f>
        <v>0</v>
      </c>
      <c r="M139" s="966"/>
      <c r="N139" s="965" t="s">
        <v>423</v>
      </c>
      <c r="O139" s="965"/>
      <c r="P139" s="965"/>
      <c r="Q139" s="965"/>
      <c r="R139" s="965"/>
      <c r="S139" s="196">
        <f ca="1">IF($B$132="Лікар загальної практики - сімейний лікар",IF(S136&lt;Законод!$C$22,0,(IF(AND(S136&gt;=Законод!$F$22,S136&lt;=Законод!$F$23),S136-Законод!$E$23,IF('01_Доходи'!S136&gt;=Законод!$G$22,Законод!$F$24,0)))),IF($B$132="Лікар-педіатр",IF(S136&lt;Законод!$C$18,0,(IF(AND(S136&gt;=Законод!$F$18,S136&lt;=Законод!$F$19),S136-Законод!$E$19,IF('01_Доходи'!S136&gt;=Законод!$G$18,Законод!$F$20,0)))),IF($B$132="Лікар-терапевт",IF(S136&lt;Законод!$C$26,0,(IF(AND(S136&gt;=Законод!$F$26,S136&lt;=Законод!$F$27),S136-Законод!$E$27,IF('01_Доходи'!S136&gt;=Законод!$G$26,Законод!$F$28,0)))),0)))</f>
        <v>0</v>
      </c>
      <c r="T139" s="966"/>
      <c r="U139" s="965" t="s">
        <v>423</v>
      </c>
      <c r="V139" s="965"/>
      <c r="W139" s="965"/>
      <c r="X139" s="965"/>
      <c r="Y139" s="965"/>
      <c r="Z139" s="196">
        <f ca="1">IF($B$132="Лікар загальної практики - сімейний лікар",IF(Z136&lt;Законод!$C$22,0,(IF(AND(Z136&gt;=Законод!$F$22,Z136&lt;=Законод!$F$23),Z136-Законод!$E$23,IF('01_Доходи'!Z136&gt;=Законод!$G$22,Законод!$F$24,0)))),IF($B$132="Лікар-педіатр",IF(Z136&lt;Законод!$C$18,0,(IF(AND(Z136&gt;=Законод!$F$18,Z136&lt;=Законод!$F$19),Z136-Законод!$E$19,IF('01_Доходи'!Z136&gt;=Законод!$G$18,Законод!$F$20,0)))),IF($B$132="Лікар-терапевт",IF(Z136&lt;Законод!$C$26,0,(IF(AND(Z136&gt;=Законод!$F$26,Z136&lt;=Законод!$F$27),Z136-Законод!$E$27,IF('01_Доходи'!Z136&gt;=Законод!$G$26,Законод!$F$28,0)))),0)))</f>
        <v>0</v>
      </c>
      <c r="AA139" s="966"/>
      <c r="AB139" s="965" t="s">
        <v>423</v>
      </c>
      <c r="AC139" s="965"/>
      <c r="AD139" s="965"/>
      <c r="AE139" s="965"/>
      <c r="AF139" s="965"/>
      <c r="AG139" s="196">
        <f ca="1">IF($B$132="Лікар загальної практики - сімейний лікар",IF(AG136&lt;Законод!$C$22,0,(IF(AND(AG136&gt;=Законод!$F$22,AG136&lt;=Законод!$F$23),AG136-Законод!$E$23,IF('01_Доходи'!AG136&gt;=Законод!$G$22,Законод!$F$24,0)))),IF($B$132="Лікар-педіатр",IF(AG136&lt;Законод!$C$18,0,(IF(AND(AG136&gt;=Законод!$F$18,AG136&lt;=Законод!$F$19),AG136-Законод!$E$19,IF('01_Доходи'!AG136&gt;=Законод!$G$18,Законод!$F$20,0)))),IF($B$132="Лікар-терапевт",IF(AG136&lt;Законод!$C$26,0,(IF(AND(AG136&gt;=Законод!$F$26,AG136&lt;=Законод!$F$27),AG136-Законод!$E$27,IF('01_Доходи'!AG136&gt;=Законод!$G$26,Законод!$F$28,0)))),0)))</f>
        <v>0</v>
      </c>
      <c r="AH139" s="966"/>
      <c r="AI139" s="201"/>
      <c r="AJ139" s="945"/>
      <c r="AK139" s="960"/>
      <c r="AL139" s="960"/>
      <c r="AM139" s="927"/>
      <c r="AN139" s="210">
        <f ca="1">IF(B132="Лікар загальної практики - сімейний лікар",L139*Законод!$C$9/4*Законод!$F$16,IF(B132="Лікар-педіатр",L139*Законод!$C$9/4*Законод!$F$16,IF(B132="Лікар-терапевт",L139*Законод!$C$9/4*Законод!$F$16,0)))</f>
        <v>0</v>
      </c>
      <c r="AO139" s="210">
        <f ca="1">IF(B132="Лікар загальної практики - сімейний лікар",S139*Законод!$C$9/4*Законод!$F$16,IF(B132="Лікар-педіатр",S139*Законод!$C$9/4*Законод!$F$16,IF(B132="Лікар-терапевт",S139*Законод!$C$9/4*Законод!$F$16,0)))</f>
        <v>0</v>
      </c>
      <c r="AP139" s="210">
        <f ca="1">IF(B132="Лікар загальної практики - сімейний лікар",Z139*Законод!$C$9/4*Законод!$F$16,IF(B132="Лікар-педіатр",Z139*Законод!$C$9/4*Законод!$F$16,IF(B132="Лікар-терапевт",Z139*Законод!$C$9/4*Законод!$F$16,0)))</f>
        <v>0</v>
      </c>
      <c r="AQ139" s="210">
        <f ca="1">IF(B132="Лікар загальної практики - сімейний лікар",AG139*Законод!$C$9/4*Законод!$F$16,IF(B132="Лікар-педіатр",AG139*Законод!$C$9/4*Законод!$F$16,IF(B132="Лікар-терапевт",AG139*Законод!$C$9/4*Законод!$F$16,0)))</f>
        <v>0</v>
      </c>
      <c r="AR139" s="211">
        <f t="shared" si="15"/>
        <v>0</v>
      </c>
    </row>
    <row r="140" spans="1:44" s="50" customFormat="1" ht="31.9" customHeight="1">
      <c r="A140" s="197"/>
      <c r="B140" s="1119"/>
      <c r="C140" s="974"/>
      <c r="D140" s="971"/>
      <c r="E140" s="971"/>
      <c r="F140" s="238" t="str">
        <f ca="1">IF(B132="Лікар-педіатр",Законод!$G$17,IF(B132="Лікар загальної практики - сімейний лікар",Законод!$G$21,IF(B132="Лікар-терапевт",Законод!$G$25,"х")))</f>
        <v>понад ліміт (2161-2340)</v>
      </c>
      <c r="G140" s="965" t="s">
        <v>423</v>
      </c>
      <c r="H140" s="965"/>
      <c r="I140" s="965"/>
      <c r="J140" s="965"/>
      <c r="K140" s="965"/>
      <c r="L140" s="196">
        <f ca="1">IF($B$132="Лікар загальної практики - сімейний лікар",IF(L136&lt;Законод!$C$22,0,(IF(AND(L136&gt;=Законод!$G$22,L136&lt;=Законод!$G$23),L136-Законод!$F$23,IF('01_Доходи'!L136&gt;=Законод!$H$22,Законод!$G$24,0)))),IF($B$132="Лікар-педіатр",IF(L136&lt;Законод!$C$18,0,(IF(AND(L136&gt;=Законод!$G$18,L136&lt;=Законод!$G$19),L136-Законод!$F$19,IF('01_Доходи'!L136&gt;=Законод!$H$18,Законод!$G$20,0)))),IF($B$132="Лікар-терапевт",IF(L136&lt;Законод!$C$26,0,(IF(AND(L136&gt;=Законод!$G$26,L136&lt;=Законод!$G$27),L136-Законод!$F$27,IF('01_Доходи'!L136&gt;=Законод!$H$26,Законод!$G$28,0)))),0)))</f>
        <v>0</v>
      </c>
      <c r="M140" s="966"/>
      <c r="N140" s="965" t="s">
        <v>423</v>
      </c>
      <c r="O140" s="965"/>
      <c r="P140" s="965"/>
      <c r="Q140" s="965"/>
      <c r="R140" s="965"/>
      <c r="S140" s="196">
        <f ca="1">IF($B$132="Лікар загальної практики - сімейний лікар",IF(S136&lt;Законод!$C$22,0,(IF(AND(S136&gt;=Законод!$G$22,S136&lt;=Законод!$G$23),S136-Законод!$F$23,IF('01_Доходи'!S136&gt;=Законод!$H$22,Законод!$G$24,0)))),IF($B$132="Лікар-педіатр",IF(S136&lt;Законод!$C$18,0,(IF(AND(S136&gt;=Законод!$G$18,S136&lt;=Законод!$G$19),S136-Законод!$F$19,IF('01_Доходи'!S136&gt;=Законод!$H$18,Законод!$G$20,0)))),IF($B$132="Лікар-терапевт",IF(S136&lt;Законод!$C$26,0,(IF(AND(S136&gt;=Законод!$G$26,S136&lt;=Законод!$G$27),S136-Законод!$F$27,IF('01_Доходи'!S136&gt;=Законод!$H$26,Законод!$G$28,0)))),0)))</f>
        <v>0</v>
      </c>
      <c r="T140" s="966"/>
      <c r="U140" s="965" t="s">
        <v>423</v>
      </c>
      <c r="V140" s="965"/>
      <c r="W140" s="965"/>
      <c r="X140" s="965"/>
      <c r="Y140" s="965"/>
      <c r="Z140" s="196">
        <f ca="1">IF($B$132="Лікар загальної практики - сімейний лікар",IF(Z136&lt;Законод!$C$22,0,(IF(AND(Z136&gt;=Законод!$G$22,Z136&lt;=Законод!$G$23),Z136-Законод!$F$23,IF('01_Доходи'!Z136&gt;=Законод!$H$22,Законод!$G$24,0)))),IF($B$132="Лікар-педіатр",IF(Z136&lt;Законод!$C$18,0,(IF(AND(Z136&gt;=Законод!$G$18,Z136&lt;=Законод!$G$19),Z136-Законод!$F$19,IF('01_Доходи'!Z136&gt;=Законод!$H$18,Законод!$G$20,0)))),IF($B$132="Лікар-терапевт",IF(Z136&lt;Законод!$C$26,0,(IF(AND(Z136&gt;=Законод!$G$26,Z136&lt;=Законод!$G$27),Z136-Законод!$F$27,IF('01_Доходи'!Z136&gt;=Законод!$H$26,Законод!$G$28,0)))),0)))</f>
        <v>0</v>
      </c>
      <c r="AA140" s="966"/>
      <c r="AB140" s="965" t="s">
        <v>423</v>
      </c>
      <c r="AC140" s="965"/>
      <c r="AD140" s="965"/>
      <c r="AE140" s="965"/>
      <c r="AF140" s="965"/>
      <c r="AG140" s="196">
        <f ca="1">IF($B$132="Лікар загальної практики - сімейний лікар",IF(AG136&lt;Законод!$C$22,0,(IF(AND(AG136&gt;=Законод!$G$22,AG136&lt;=Законод!$G$23),AG136-Законод!$F$23,IF('01_Доходи'!AG136&gt;=Законод!$H$22,Законод!$G$24,0)))),IF($B$132="Лікар-педіатр",IF(AG136&lt;Законод!$C$18,0,(IF(AND(AG136&gt;=Законод!$G$18,AG136&lt;=Законод!$G$19),AG136-Законод!$F$19,IF('01_Доходи'!AG136&gt;=Законод!$H$18,Законод!$G$20,0)))),IF($B$132="Лікар-терапевт",IF(AG136&lt;Законод!$C$26,0,(IF(AND(AG136&gt;=Законод!$G$26,AG136&lt;=Законод!$G$27),AG136-Законод!$F$27,IF('01_Доходи'!AG136&gt;=Законод!$H$26,Законод!$G$28,0)))),0)))</f>
        <v>0</v>
      </c>
      <c r="AH140" s="966"/>
      <c r="AI140" s="201"/>
      <c r="AJ140" s="945"/>
      <c r="AK140" s="960"/>
      <c r="AL140" s="960"/>
      <c r="AM140" s="927"/>
      <c r="AN140" s="210">
        <f ca="1">IF(B132="Лікар загальної практики - сімейний лікар",L140*Законод!$C$9/4*Законод!$G$16,IF(B132="Лікар-педіатр",L140*Законод!$C$9/4*Законод!$G$16,IF(B132="Лікар-терапевт",L140*Законод!$C$9/4*Законод!$G$16,0)))</f>
        <v>0</v>
      </c>
      <c r="AO140" s="210">
        <f ca="1">IF(B132="Лікар загальної практики - сімейний лікар",S140*Законод!$C$9/4*Законод!$G$16,IF(B132="Лікар-педіатр",S140*Законод!$C$9/4*Законод!$G$16,IF(B132="Лікар-терапевт",S140*Законод!$C$9/4*Законод!$G$16,0)))</f>
        <v>0</v>
      </c>
      <c r="AP140" s="210">
        <f ca="1">IF(B132="Лікар загальної практики - сімейний лікар",Z140*Законод!$C$9/4*Законод!$G$16,IF(B132="Лікар-педіатр",Z140*Законод!$C$9/4*Законод!$G$16,IF(B132="Лікар-терапевт",Z140*Законод!$C$9/4*Законод!$G$16,0)))</f>
        <v>0</v>
      </c>
      <c r="AQ140" s="210">
        <f ca="1">IF(B132="Лікар загальної практики - сімейний лікар",AG140*Законод!$C$9/4*Законод!$G$16,IF(B132="Лікар-педіатр",AG140*Законод!$C$9/4*Законод!$G$16,IF(B132="Лікар-терапевт",AG140*Законод!$C$9/4*Законод!$G$16,0)))</f>
        <v>0</v>
      </c>
      <c r="AR140" s="211">
        <f t="shared" si="15"/>
        <v>0</v>
      </c>
    </row>
    <row r="141" spans="1:44" s="50" customFormat="1" ht="31.9" customHeight="1">
      <c r="A141" s="197"/>
      <c r="B141" s="1119"/>
      <c r="C141" s="974"/>
      <c r="D141" s="971"/>
      <c r="E141" s="971"/>
      <c r="F141" s="238" t="str">
        <f ca="1">IF(B132="Лікар-педіатр",Законод!$H$17,IF(B132="Лікар загальної практики - сімейний лікар",Законод!$H$21,IF(B132="Лікар-терапевт",Законод!$H$25,"х")))</f>
        <v>понад ліміт (2341-2520)</v>
      </c>
      <c r="G141" s="965" t="s">
        <v>423</v>
      </c>
      <c r="H141" s="965"/>
      <c r="I141" s="965"/>
      <c r="J141" s="965"/>
      <c r="K141" s="965"/>
      <c r="L141" s="196">
        <f ca="1">IF($B$132="Лікар загальної практики - сімейний лікар",IF(L136&lt;Законод!$C$22,0,(IF(AND(L136&gt;=Законод!$H$22,L136&lt;=Законод!$H$23),L136-Законод!$G$23,IF('01_Доходи'!L136&gt;=Законод!$I$22,Законод!$H$24,0)))),IF($B$132="Лікар-педіатр",IF(L136&lt;Законод!$C$18,0,(IF(AND(L136&gt;=Законод!$H$18,L136&lt;=Законод!$H$19),L136-Законод!$G$19,IF('01_Доходи'!L136&gt;=Законод!$I$18,Законод!$H$20,0)))),IF($B$132="Лікар-терапевт",IF(L136&lt;Законод!$C$26,0,(IF(AND(L136&gt;=Законод!$H$26,L136&lt;=Законод!$H$27),L136-Законод!$G$27,IF(L136&gt;=Законод!$I$26,Законод!$H$28,0)))),0)))</f>
        <v>0</v>
      </c>
      <c r="M141" s="966"/>
      <c r="N141" s="965" t="s">
        <v>423</v>
      </c>
      <c r="O141" s="965"/>
      <c r="P141" s="965"/>
      <c r="Q141" s="965"/>
      <c r="R141" s="965"/>
      <c r="S141" s="196">
        <f ca="1">IF($B$132="Лікар загальної практики - сімейний лікар",IF(S136&lt;Законод!$C$22,0,(IF(AND(S136&gt;=Законод!$H$22,S136&lt;=Законод!$H$23),S136-Законод!$G$23,IF('01_Доходи'!S136&gt;=Законод!$I$22,Законод!$H$24,0)))),IF($B$132="Лікар-педіатр",IF(S136&lt;Законод!$C$18,0,(IF(AND(S136&gt;=Законод!$H$18,S136&lt;=Законод!$H$19),S136-Законод!$G$19,IF('01_Доходи'!S136&gt;=Законод!$I$18,Законод!$H$20,0)))),IF($B$132="Лікар-терапевт",IF(S136&lt;Законод!$C$26,0,(IF(AND(S136&gt;=Законод!$H$26,S136&lt;=Законод!$H$27),S136-Законод!$G$27,IF(S136&gt;=Законод!$I$26,Законод!$H$28,0)))),0)))</f>
        <v>0</v>
      </c>
      <c r="T141" s="966"/>
      <c r="U141" s="965" t="s">
        <v>423</v>
      </c>
      <c r="V141" s="965"/>
      <c r="W141" s="965"/>
      <c r="X141" s="965"/>
      <c r="Y141" s="965"/>
      <c r="Z141" s="196">
        <f ca="1">IF($B$132="Лікар загальної практики - сімейний лікар",IF(Z136&lt;Законод!$C$22,0,(IF(AND(Z136&gt;=Законод!$H$22,Z136&lt;=Законод!$H$23),Z136-Законод!$G$23,IF('01_Доходи'!Z136&gt;=Законод!$I$22,Законод!$H$24,0)))),IF($B$132="Лікар-педіатр",IF(Z136&lt;Законод!$C$18,0,(IF(AND(Z136&gt;=Законод!$H$18,Z136&lt;=Законод!$H$19),Z136-Законод!$G$19,IF('01_Доходи'!Z136&gt;=Законод!$I$18,Законод!$H$20,0)))),IF($B$132="Лікар-терапевт",IF(Z136&lt;Законод!$C$26,0,(IF(AND(Z136&gt;=Законод!$H$26,Z136&lt;=Законод!$H$27),Z136-Законод!$G$27,IF(Z136&gt;=Законод!$I$26,Законод!$H$28,0)))),0)))</f>
        <v>0</v>
      </c>
      <c r="AA141" s="966"/>
      <c r="AB141" s="965" t="s">
        <v>423</v>
      </c>
      <c r="AC141" s="965"/>
      <c r="AD141" s="965"/>
      <c r="AE141" s="965"/>
      <c r="AF141" s="965"/>
      <c r="AG141" s="196">
        <f ca="1">IF($B$132="Лікар загальної практики - сімейний лікар",IF(AG136&lt;Законод!$C$22,0,(IF(AND(AG136&gt;=Законод!$H$22,AG136&lt;=Законод!$H$23),AG136-Законод!$G$23,IF('01_Доходи'!AG136&gt;=Законод!$I$22,Законод!$H$24,0)))),IF($B$132="Лікар-педіатр",IF(AG136&lt;Законод!$C$18,0,(IF(AND(AG136&gt;=Законод!$H$18,AG136&lt;=Законод!$H$19),AG136-Законод!$G$19,IF('01_Доходи'!AG136&gt;=Законод!$I$18,Законод!$H$20,0)))),IF($B$132="Лікар-терапевт",IF(AG136&lt;Законод!$C$26,0,(IF(AND(AG136&gt;=Законод!$H$26,AG136&lt;=Законод!$H$27),AG136-Законод!$G$27,IF(AG136&gt;=Законод!$I$26,Законод!$H$28,0)))),0)))</f>
        <v>0</v>
      </c>
      <c r="AH141" s="966"/>
      <c r="AI141" s="201"/>
      <c r="AJ141" s="945"/>
      <c r="AK141" s="960"/>
      <c r="AL141" s="960"/>
      <c r="AM141" s="927"/>
      <c r="AN141" s="210">
        <f ca="1">IF(B132="Лікар загальної практики - сімейний лікар",L141*Законод!$C$9/4*Законод!$H$16,IF(B132="Лікар-педіатр",L141*Законод!$C$9/4*Законод!$H$16,IF(B132="Лікар-терапевт",L141*Законод!$C$9/4*Законод!$H$16,0)))</f>
        <v>0</v>
      </c>
      <c r="AO141" s="210">
        <f ca="1">IF(B132="Лікар загальної практики - сімейний лікар",S141*Законод!$C$9/4*Законод!$H$16,IF(B132="Лікар-педіатр",S141*Законод!$C$9/4*Законод!$H$16,IF(B132="Лікар-терапевт",S141*Законод!$C$9/4*Законод!$H$16,0)))</f>
        <v>0</v>
      </c>
      <c r="AP141" s="210">
        <f ca="1">IF(B132="Лікар загальної практики - сімейний лікар",Z141*Законод!$C$9/4*Законод!$H$16,IF(B132="Лікар-педіатр",Z141*Законод!$C$9/4*Законод!$H$16,IF(B132="Лікар-терапевт",Z141*Законод!$C$9/4*Законод!$H$16,0)))</f>
        <v>0</v>
      </c>
      <c r="AQ141" s="210">
        <f ca="1">IF(B132="Лікар загальної практики - сімейний лікар",AG141*Законод!$C$9/4*Законод!$H$16,IF(B132="Лікар-педіатр",AG141*Законод!$C$9/4*Законод!$H$16,IF(B132="Лікар-терапевт",AG141*Законод!$C$9/4*Законод!$H$16,0)))</f>
        <v>0</v>
      </c>
      <c r="AR141" s="211">
        <f t="shared" si="15"/>
        <v>0</v>
      </c>
    </row>
    <row r="142" spans="1:44" s="50" customFormat="1" ht="31.9" customHeight="1">
      <c r="A142" s="197"/>
      <c r="B142" s="1119"/>
      <c r="C142" s="974"/>
      <c r="D142" s="971"/>
      <c r="E142" s="971"/>
      <c r="F142" s="238" t="str">
        <f ca="1">IF(B132="Лікар-педіатр",Законод!$I$17,IF(B132="Лікар загальної практики - сімейний лікар",Законод!$I$21,IF(B132="Лікар-терапевт",Законод!$I$25,"х")))</f>
        <v>понад ліміт (2521-2700)</v>
      </c>
      <c r="G142" s="965" t="s">
        <v>423</v>
      </c>
      <c r="H142" s="965"/>
      <c r="I142" s="965"/>
      <c r="J142" s="965"/>
      <c r="K142" s="965"/>
      <c r="L142" s="196">
        <f ca="1">IF($B$132="Лікар загальної практики - сімейний лікар",IF(L136&lt;Законод!$C$22,0,(IF(AND(L136&gt;=Законод!$I$22,L136&lt;=Законод!$I$23),L136-Законод!$H$23,IF('01_Доходи'!L136&gt;=Законод!$I$22,Законод!$I$24,0)))),IF($B$132="Лікар-педіатр",IF(L136&lt;Законод!$C$18,0,(IF(AND(L136&gt;=Законод!$I$18,L136&lt;=Законод!$I$19),L136-Законод!$H$19,IF('01_Доходи'!L136&gt;=Законод!$I$18,Законод!$H$20,0)))),IF($B$132="Лікар-терапевт",IF(L136&lt;Законод!$C$26,0,(IF(AND(L136&gt;=Законод!$I$26,L136&lt;=Законод!$I$27),L136-Законод!$H$27,IF('01_Доходи'!L136&gt;=Законод!$I$26,Законод!$H$28,0)))),0)))</f>
        <v>0</v>
      </c>
      <c r="M142" s="966"/>
      <c r="N142" s="965" t="s">
        <v>423</v>
      </c>
      <c r="O142" s="965"/>
      <c r="P142" s="965"/>
      <c r="Q142" s="965"/>
      <c r="R142" s="965"/>
      <c r="S142" s="196">
        <f ca="1">IF($B$132="Лікар загальної практики - сімейний лікар",IF(S136&lt;Законод!$C$22,0,(IF(AND(S136&gt;=Законод!$I$22,S136&lt;=Законод!$I$23),S136-Законод!$H$23,IF('01_Доходи'!S136&gt;=Законод!$I$22,Законод!$I$24,0)))),IF($B$132="Лікар-педіатр",IF(S136&lt;Законод!$C$18,0,(IF(AND(S136&gt;=Законод!$I$18,S136&lt;=Законод!$I$19),S136-Законод!$H$19,IF('01_Доходи'!S136&gt;=Законод!$I$18,Законод!$H$20,0)))),IF($B$132="Лікар-терапевт",IF(S136&lt;Законод!$C$26,0,(IF(AND(S136&gt;=Законод!$I$26,S136&lt;=Законод!$I$27),S136-Законод!$H$27,IF('01_Доходи'!S136&gt;=Законод!$I$26,Законод!$H$28,0)))),0)))</f>
        <v>0</v>
      </c>
      <c r="T142" s="966"/>
      <c r="U142" s="965" t="s">
        <v>423</v>
      </c>
      <c r="V142" s="965"/>
      <c r="W142" s="965"/>
      <c r="X142" s="965"/>
      <c r="Y142" s="965"/>
      <c r="Z142" s="196">
        <f ca="1">IF($B$132="Лікар загальної практики - сімейний лікар",IF(Z136&lt;Законод!$C$22,0,(IF(AND(Z136&gt;=Законод!$I$22,Z136&lt;=Законод!$I$23),Z136-Законод!$H$23,IF('01_Доходи'!Z136&gt;=Законод!$I$22,Законод!$I$24,0)))),IF($B$132="Лікар-педіатр",IF(Z136&lt;Законод!$C$18,0,(IF(AND(Z136&gt;=Законод!$I$18,Z136&lt;=Законод!$I$19),Z136-Законод!$H$19,IF('01_Доходи'!Z136&gt;=Законод!$I$18,Законод!$H$20,0)))),IF($B$132="Лікар-терапевт",IF(Z136&lt;Законод!$C$26,0,(IF(AND(Z136&gt;=Законод!$I$26,Z136&lt;=Законод!$I$27),Z136-Законод!$H$27,IF('01_Доходи'!Z136&gt;=Законод!$I$26,Законод!$H$28,0)))),0)))</f>
        <v>0</v>
      </c>
      <c r="AA142" s="966"/>
      <c r="AB142" s="965" t="s">
        <v>423</v>
      </c>
      <c r="AC142" s="965"/>
      <c r="AD142" s="965"/>
      <c r="AE142" s="965"/>
      <c r="AF142" s="965"/>
      <c r="AG142" s="196">
        <f ca="1">IF($B$132="Лікар загальної практики - сімейний лікар",IF(AG136&lt;Законод!$C$22,0,(IF(AND(AG136&gt;=Законод!$I$22,AG136&lt;=Законод!$I$23),AG136-Законод!$H$23,IF('01_Доходи'!AG136&gt;=Законод!$I$22,Законод!$I$24,0)))),IF($B$132="Лікар-педіатр",IF(AG136&lt;Законод!$C$18,0,(IF(AND(AG136&gt;=Законод!$I$18,AG136&lt;=Законод!$I$19),AG136-Законод!$H$19,IF('01_Доходи'!AG136&gt;=Законод!$I$18,Законод!$H$20,0)))),IF($B$132="Лікар-терапевт",IF(AG136&lt;Законод!$C$26,0,(IF(AND(AG136&gt;=Законод!$I$26,AG136&lt;=Законод!$I$27),AG136-Законод!$H$27,IF('01_Доходи'!AG136&gt;=Законод!$I$26,Законод!$H$28,0)))),0)))</f>
        <v>0</v>
      </c>
      <c r="AH142" s="966"/>
      <c r="AI142" s="201"/>
      <c r="AJ142" s="945"/>
      <c r="AK142" s="960"/>
      <c r="AL142" s="960"/>
      <c r="AM142" s="927"/>
      <c r="AN142" s="210">
        <f ca="1">IF(B132="Лікар загальної практики - сімейний лікар",L142*Законод!$C$9/4*Законод!$I$16,IF(B132="Лікар-педіатр",L142*Законод!$C$9/4*Законод!$I$16,IF(B132="Лікар-терапевт",L142*Законод!$C$9/4*Законод!$I$16,0)))</f>
        <v>0</v>
      </c>
      <c r="AO142" s="210">
        <f ca="1">IF(B132="Лікар загальної практики - сімейний лікар",S142*Законод!$C$9/4*Законод!$I$16,IF(B132="Лікар-педіатр",S142*Законод!$C$9/4*Законод!$I$16,IF(B132="Лікар-терапевт",S142*Законод!$C$9/4*Законод!$I$16,0)))</f>
        <v>0</v>
      </c>
      <c r="AP142" s="210">
        <f ca="1">IF(B132="Лікар загальної практики - сімейний лікар",Z142*Законод!$C$9/4*Законод!$I$16,IF(B132="Лікар-педіатр",Z142*Законод!$C$9/4*Законод!$I$16,IF(B132="Лікар-терапевт",Z142*Законод!$C$9/4*Законод!$I$16,0)))</f>
        <v>0</v>
      </c>
      <c r="AQ142" s="210">
        <f ca="1">IF(B132="Лікар загальної практики - сімейний лікар",AG142*Законод!$C$9/4*Законод!$I$16,IF(B132="Лікар-педіатр",AG142*Законод!$C$9/4*Законод!$I$16,IF(B132="Лікар-терапевт",AG142*Законод!$C$9/4*Законод!$I$16,0)))</f>
        <v>0</v>
      </c>
      <c r="AR142" s="211">
        <f t="shared" si="15"/>
        <v>0</v>
      </c>
    </row>
    <row r="143" spans="1:44" s="218" customFormat="1" ht="31.9" customHeight="1" thickBot="1">
      <c r="A143" s="213"/>
      <c r="B143" s="1119"/>
      <c r="C143" s="974"/>
      <c r="D143" s="971"/>
      <c r="E143" s="971"/>
      <c r="F143" s="239" t="str">
        <f ca="1">IF(B132="Лікар-педіатр",Законод!$J$17,IF(B132="Лікар загальної практики - сімейний лікар",Законод!$J$21,IF(B132="Лікар-терапевт",Законод!$J$25,"х")))</f>
        <v>понад ліміт (&gt;=2701)</v>
      </c>
      <c r="G143" s="968" t="s">
        <v>423</v>
      </c>
      <c r="H143" s="968"/>
      <c r="I143" s="968"/>
      <c r="J143" s="968"/>
      <c r="K143" s="968"/>
      <c r="L143" s="196">
        <f ca="1">IF($B$132="Лікар загальної практики - сімейний лікар",IF(L136&gt;=Законод!$J$22,'01_Доходи'!L136-('01_Доходи'!L137+'01_Доходи'!L138+'01_Доходи'!L139+'01_Доходи'!L140+'01_Доходи'!L141+'01_Доходи'!L142),0),IF($B$132="Лікар-педіатр",IF(L136&gt;=Законод!$J$18,'01_Доходи'!L136-('01_Доходи'!L137+'01_Доходи'!L138+'01_Доходи'!L139+'01_Доходи'!L140+'01_Доходи'!L141+'01_Доходи'!L142),0),IF($B$132="Лікар-терапевт",IF('01_Доходи'!L136&gt;=Законод!$J$26,L136-Законод!$I$27,0),0)))</f>
        <v>0</v>
      </c>
      <c r="M143" s="966"/>
      <c r="N143" s="968" t="s">
        <v>423</v>
      </c>
      <c r="O143" s="968"/>
      <c r="P143" s="968"/>
      <c r="Q143" s="968"/>
      <c r="R143" s="968"/>
      <c r="S143" s="196">
        <f ca="1">IF($B$132="Лікар загальної практики - сімейний лікар",IF(S136&gt;=Законод!$J$22,'01_Доходи'!S136-('01_Доходи'!S137+'01_Доходи'!S138+'01_Доходи'!S139+'01_Доходи'!S140+'01_Доходи'!S141+'01_Доходи'!S142),0),IF($B$132="Лікар-педіатр",IF(S136&gt;=Законод!$J$18,'01_Доходи'!S136-('01_Доходи'!S137+'01_Доходи'!S138+'01_Доходи'!S139+'01_Доходи'!S140+'01_Доходи'!S141+'01_Доходи'!S142),0),IF($B$132="Лікар-терапевт",IF('01_Доходи'!S136&gt;=Законод!$J$26,S136-Законод!$I$27,0),0)))</f>
        <v>0</v>
      </c>
      <c r="T143" s="966"/>
      <c r="U143" s="968" t="s">
        <v>423</v>
      </c>
      <c r="V143" s="968"/>
      <c r="W143" s="968"/>
      <c r="X143" s="968"/>
      <c r="Y143" s="968"/>
      <c r="Z143" s="196">
        <f ca="1">IF($B$132="Лікар загальної практики - сімейний лікар",IF(Z136&gt;=Законод!$J$22,'01_Доходи'!Z136-('01_Доходи'!Z137+'01_Доходи'!Z138+'01_Доходи'!Z139+'01_Доходи'!Z140+'01_Доходи'!Z141+'01_Доходи'!Z142),0),IF($B$132="Лікар-педіатр",IF(Z136&gt;=Законод!$J$18,'01_Доходи'!Z136-('01_Доходи'!Z137+'01_Доходи'!Z138+'01_Доходи'!Z139+'01_Доходи'!Z140+'01_Доходи'!Z141+'01_Доходи'!Z142),0),IF($B$132="Лікар-терапевт",IF('01_Доходи'!Z136&gt;=Законод!$J$26,Z136-Законод!$I$27,0),0)))</f>
        <v>0</v>
      </c>
      <c r="AA143" s="966"/>
      <c r="AB143" s="968" t="s">
        <v>423</v>
      </c>
      <c r="AC143" s="968"/>
      <c r="AD143" s="968"/>
      <c r="AE143" s="968"/>
      <c r="AF143" s="968"/>
      <c r="AG143" s="196">
        <f ca="1">IF($B$132="Лікар загальної практики - сімейний лікар",IF(AG136&gt;=Законод!$J$22,'01_Доходи'!AG136-('01_Доходи'!AG137+'01_Доходи'!AG138+'01_Доходи'!AG139+'01_Доходи'!AG140+'01_Доходи'!AG141+'01_Доходи'!AG142),0),IF($B$132="Лікар-педіатр",IF(AG136&gt;=Законод!$J$18,'01_Доходи'!AG136-('01_Доходи'!AG137+'01_Доходи'!AG138+'01_Доходи'!AG139+'01_Доходи'!AG140+'01_Доходи'!AG141+'01_Доходи'!AG142),0),IF($B$132="Лікар-терапевт",IF('01_Доходи'!AG136&gt;=Законод!$J$26,AG136-Законод!$I$27,0),0)))</f>
        <v>0</v>
      </c>
      <c r="AH143" s="966"/>
      <c r="AI143" s="215"/>
      <c r="AJ143" s="946"/>
      <c r="AK143" s="961"/>
      <c r="AL143" s="961"/>
      <c r="AM143" s="928"/>
      <c r="AN143" s="216">
        <f ca="1">IF(B132="Лікар загальної практики - сімейний лікар",L143*Законод!$C$9/4*Законод!$J$16,IF(B132="Лікар-педіатр",L143*Законод!$C$9/4*Законод!$J$16,IF(B132="Лікар-терапевт",L143*Законод!$C$9/4*Законод!$J$16,0)))</f>
        <v>0</v>
      </c>
      <c r="AO143" s="216">
        <f ca="1">IF(B132="Лікар загальної практики - сімейний лікар",S143*Законод!$C$9/4*Законод!$J$16,IF(B132="Лікар-педіатр",S143*Законод!$C$9/4*Законод!$J$16,IF(B132="Лікар-терапевт",S143*Законод!$C$9/4*Законод!$J$16,0)))</f>
        <v>0</v>
      </c>
      <c r="AP143" s="216">
        <f ca="1">IF(B132="Лікар загальної практики - сімейний лікар",S143*Законод!$C$9/4*Законод!$J$16,IF(B132="Лікар-педіатр",S143*Законод!$C$9/4*Законод!$J$16,IF(B132="Лікар-терапевт",S143*Законод!$C$9/4*Законод!$J$16,0)))</f>
        <v>0</v>
      </c>
      <c r="AQ143" s="216">
        <f ca="1">IF(B132="Лікар загальної практики - сімейний лікар",AG143*Законод!$C$9/4*Законод!$J$16,IF(B132="Лікар-педіатр",AG143*Законод!$C$9/4*Законод!$J$16,IF(B132="Лікар-терапевт",AG143*Законод!$C$9/4*Законод!$J$16,0)))</f>
        <v>0</v>
      </c>
      <c r="AR143" s="217">
        <f t="shared" si="15"/>
        <v>0</v>
      </c>
    </row>
    <row r="144" spans="1:44" s="233" customFormat="1" ht="18" customHeight="1" thickBot="1">
      <c r="A144" s="219"/>
      <c r="B144" s="220"/>
      <c r="C144" s="221"/>
      <c r="D144" s="222"/>
      <c r="E144" s="222"/>
      <c r="F144" s="223"/>
      <c r="G144" s="224"/>
      <c r="H144" s="224"/>
      <c r="I144" s="224"/>
      <c r="J144" s="224"/>
      <c r="K144" s="224"/>
      <c r="L144" s="225"/>
      <c r="M144" s="226"/>
      <c r="N144" s="224"/>
      <c r="O144" s="224"/>
      <c r="P144" s="224"/>
      <c r="Q144" s="224"/>
      <c r="R144" s="224"/>
      <c r="S144" s="225"/>
      <c r="T144" s="226"/>
      <c r="U144" s="224"/>
      <c r="V144" s="224"/>
      <c r="W144" s="224"/>
      <c r="X144" s="224"/>
      <c r="Y144" s="224"/>
      <c r="Z144" s="227"/>
      <c r="AA144" s="226"/>
      <c r="AB144" s="224"/>
      <c r="AC144" s="224"/>
      <c r="AD144" s="224"/>
      <c r="AE144" s="224"/>
      <c r="AF144" s="224"/>
      <c r="AG144" s="227"/>
      <c r="AH144" s="226"/>
      <c r="AI144" s="228"/>
      <c r="AJ144" s="229"/>
      <c r="AK144" s="229"/>
      <c r="AL144" s="229"/>
      <c r="AM144" s="230"/>
      <c r="AN144" s="231"/>
      <c r="AO144" s="231"/>
      <c r="AP144" s="231"/>
      <c r="AQ144" s="231"/>
      <c r="AR144" s="232"/>
    </row>
    <row r="145" spans="1:44" s="191" customFormat="1" ht="30" customHeight="1">
      <c r="A145" s="194">
        <f>A132+1</f>
        <v>9</v>
      </c>
      <c r="B145" s="969" t="s">
        <v>312</v>
      </c>
      <c r="C145" s="974" t="s">
        <v>167</v>
      </c>
      <c r="D145" s="971"/>
      <c r="E145" s="971" t="str">
        <f>E119</f>
        <v>Рожищенська АЗПСМ №1</v>
      </c>
      <c r="F145" s="234" t="s">
        <v>659</v>
      </c>
      <c r="G145" s="196">
        <f>3+2</f>
        <v>5</v>
      </c>
      <c r="H145" s="196">
        <f>176+21</f>
        <v>197</v>
      </c>
      <c r="I145" s="196">
        <f>514+84</f>
        <v>598</v>
      </c>
      <c r="J145" s="196">
        <f>780+60</f>
        <v>840</v>
      </c>
      <c r="K145" s="196">
        <f>327+18</f>
        <v>345</v>
      </c>
      <c r="L145" s="557">
        <f>G145+H145+I145+J145+K145</f>
        <v>1985</v>
      </c>
      <c r="M145" s="966">
        <v>1</v>
      </c>
      <c r="N145" s="196">
        <f>3+2</f>
        <v>5</v>
      </c>
      <c r="O145" s="196">
        <f>176+21</f>
        <v>197</v>
      </c>
      <c r="P145" s="196">
        <f>514+84</f>
        <v>598</v>
      </c>
      <c r="Q145" s="196">
        <f>780+60</f>
        <v>840</v>
      </c>
      <c r="R145" s="196">
        <f>327+18</f>
        <v>345</v>
      </c>
      <c r="S145" s="557">
        <f>N145+O145+P145+Q145+R145</f>
        <v>1985</v>
      </c>
      <c r="T145" s="966">
        <v>1</v>
      </c>
      <c r="U145" s="196">
        <f>3+2</f>
        <v>5</v>
      </c>
      <c r="V145" s="196">
        <f>176+21</f>
        <v>197</v>
      </c>
      <c r="W145" s="196">
        <f>514+84</f>
        <v>598</v>
      </c>
      <c r="X145" s="196">
        <f>780+60</f>
        <v>840</v>
      </c>
      <c r="Y145" s="196">
        <f>327+18</f>
        <v>345</v>
      </c>
      <c r="Z145" s="557">
        <f>U145+V145+W145+X145+Y145</f>
        <v>1985</v>
      </c>
      <c r="AA145" s="966">
        <v>1</v>
      </c>
      <c r="AB145" s="196">
        <f>3+2</f>
        <v>5</v>
      </c>
      <c r="AC145" s="196">
        <f>176+21</f>
        <v>197</v>
      </c>
      <c r="AD145" s="196">
        <f>514+84</f>
        <v>598</v>
      </c>
      <c r="AE145" s="196">
        <f>780+60</f>
        <v>840</v>
      </c>
      <c r="AF145" s="196">
        <f>327+18</f>
        <v>345</v>
      </c>
      <c r="AG145" s="557">
        <f>AB145+AC145+AD145+AE145+AF145</f>
        <v>1985</v>
      </c>
      <c r="AH145" s="966">
        <v>1</v>
      </c>
      <c r="AI145" s="540">
        <f>A145</f>
        <v>9</v>
      </c>
      <c r="AJ145" s="944" t="str">
        <f>B145</f>
        <v>Лікар загальної практики - сімейний лікар</v>
      </c>
      <c r="AK145" s="959" t="str">
        <f>C145</f>
        <v>Кметюк Орест Михайлович</v>
      </c>
      <c r="AL145" s="959">
        <f>D145</f>
        <v>0</v>
      </c>
      <c r="AM145" s="929" t="s">
        <v>79</v>
      </c>
      <c r="AN145" s="947">
        <f>SUM(AN150:AN156)</f>
        <v>324321.21373882244</v>
      </c>
      <c r="AO145" s="947">
        <f>SUM(AO150:AO156)</f>
        <v>324321.21373882244</v>
      </c>
      <c r="AP145" s="947">
        <f>SUM(AP150:AP156)</f>
        <v>324321.21373882244</v>
      </c>
      <c r="AQ145" s="947">
        <f>SUM(AQ150:AQ156)</f>
        <v>324321.21373882244</v>
      </c>
      <c r="AR145" s="962">
        <f>SUM(AN145:AQ149)</f>
        <v>1297284.8549552897</v>
      </c>
    </row>
    <row r="146" spans="1:44" s="50" customFormat="1" ht="28.15" customHeight="1">
      <c r="A146" s="197"/>
      <c r="B146" s="969"/>
      <c r="C146" s="974"/>
      <c r="D146" s="971"/>
      <c r="E146" s="971"/>
      <c r="F146" s="234" t="s">
        <v>660</v>
      </c>
      <c r="G146" s="196">
        <f>3+2</f>
        <v>5</v>
      </c>
      <c r="H146" s="196">
        <f>176+21</f>
        <v>197</v>
      </c>
      <c r="I146" s="196">
        <f>514+84</f>
        <v>598</v>
      </c>
      <c r="J146" s="196">
        <f>780+60</f>
        <v>840</v>
      </c>
      <c r="K146" s="196">
        <f>327+18</f>
        <v>345</v>
      </c>
      <c r="L146" s="557">
        <f>G146+H146+I146+J146+K146</f>
        <v>1985</v>
      </c>
      <c r="M146" s="966"/>
      <c r="N146" s="196">
        <f>3+2</f>
        <v>5</v>
      </c>
      <c r="O146" s="196">
        <f>176+21</f>
        <v>197</v>
      </c>
      <c r="P146" s="196">
        <f>514+84</f>
        <v>598</v>
      </c>
      <c r="Q146" s="196">
        <f>780+60</f>
        <v>840</v>
      </c>
      <c r="R146" s="196">
        <f>327+18</f>
        <v>345</v>
      </c>
      <c r="S146" s="557">
        <f>N146+O146+P146+Q146+R146</f>
        <v>1985</v>
      </c>
      <c r="T146" s="966"/>
      <c r="U146" s="196">
        <f>3+2</f>
        <v>5</v>
      </c>
      <c r="V146" s="196">
        <f>176+21</f>
        <v>197</v>
      </c>
      <c r="W146" s="196">
        <f>514+84</f>
        <v>598</v>
      </c>
      <c r="X146" s="196">
        <f>780+60</f>
        <v>840</v>
      </c>
      <c r="Y146" s="196">
        <f>327+18</f>
        <v>345</v>
      </c>
      <c r="Z146" s="557">
        <f>U146+V146+W146+X146+Y146</f>
        <v>1985</v>
      </c>
      <c r="AA146" s="966"/>
      <c r="AB146" s="196">
        <f>3+2</f>
        <v>5</v>
      </c>
      <c r="AC146" s="196">
        <f>176+21</f>
        <v>197</v>
      </c>
      <c r="AD146" s="196">
        <f>514+84</f>
        <v>598</v>
      </c>
      <c r="AE146" s="196">
        <f>780+60</f>
        <v>840</v>
      </c>
      <c r="AF146" s="196">
        <f>327+18</f>
        <v>345</v>
      </c>
      <c r="AG146" s="557">
        <f>AB146+AC146+AD146+AE146+AF146</f>
        <v>1985</v>
      </c>
      <c r="AH146" s="966"/>
      <c r="AI146" s="198"/>
      <c r="AJ146" s="945"/>
      <c r="AK146" s="960"/>
      <c r="AL146" s="960"/>
      <c r="AM146" s="930"/>
      <c r="AN146" s="948"/>
      <c r="AO146" s="948"/>
      <c r="AP146" s="948"/>
      <c r="AQ146" s="948"/>
      <c r="AR146" s="963"/>
    </row>
    <row r="147" spans="1:44" s="90" customFormat="1" ht="31.15" customHeight="1">
      <c r="A147" s="240"/>
      <c r="B147" s="969"/>
      <c r="C147" s="974"/>
      <c r="D147" s="971"/>
      <c r="E147" s="971"/>
      <c r="F147" s="241" t="s">
        <v>661</v>
      </c>
      <c r="G147" s="196">
        <f>3+2</f>
        <v>5</v>
      </c>
      <c r="H147" s="196">
        <f>176+21</f>
        <v>197</v>
      </c>
      <c r="I147" s="196">
        <f>514+84</f>
        <v>598</v>
      </c>
      <c r="J147" s="196">
        <f>780+60</f>
        <v>840</v>
      </c>
      <c r="K147" s="196">
        <f>327+18</f>
        <v>345</v>
      </c>
      <c r="L147" s="557">
        <f>G147+H147+I147+J147+K147</f>
        <v>1985</v>
      </c>
      <c r="M147" s="966"/>
      <c r="N147" s="196">
        <f>3+2</f>
        <v>5</v>
      </c>
      <c r="O147" s="196">
        <f>176+21</f>
        <v>197</v>
      </c>
      <c r="P147" s="196">
        <f>514+84</f>
        <v>598</v>
      </c>
      <c r="Q147" s="196">
        <f>780+60</f>
        <v>840</v>
      </c>
      <c r="R147" s="196">
        <f>327+18</f>
        <v>345</v>
      </c>
      <c r="S147" s="557">
        <f>N147+O147+P147+Q147+R147</f>
        <v>1985</v>
      </c>
      <c r="T147" s="966"/>
      <c r="U147" s="196">
        <f>3+2</f>
        <v>5</v>
      </c>
      <c r="V147" s="196">
        <f>176+21</f>
        <v>197</v>
      </c>
      <c r="W147" s="196">
        <f>514+84</f>
        <v>598</v>
      </c>
      <c r="X147" s="196">
        <f>780+60</f>
        <v>840</v>
      </c>
      <c r="Y147" s="196">
        <f>327+18</f>
        <v>345</v>
      </c>
      <c r="Z147" s="557">
        <f>U147+V147+W147+X147+Y147</f>
        <v>1985</v>
      </c>
      <c r="AA147" s="966"/>
      <c r="AB147" s="196">
        <f>3+2</f>
        <v>5</v>
      </c>
      <c r="AC147" s="196">
        <f>176+21</f>
        <v>197</v>
      </c>
      <c r="AD147" s="196">
        <f>514+84</f>
        <v>598</v>
      </c>
      <c r="AE147" s="196">
        <f>780+60</f>
        <v>840</v>
      </c>
      <c r="AF147" s="196">
        <f>327+18</f>
        <v>345</v>
      </c>
      <c r="AG147" s="557">
        <f>AB147+AC147+AD147+AE147+AF147</f>
        <v>1985</v>
      </c>
      <c r="AH147" s="966"/>
      <c r="AI147" s="242"/>
      <c r="AJ147" s="945"/>
      <c r="AK147" s="960"/>
      <c r="AL147" s="960"/>
      <c r="AM147" s="930"/>
      <c r="AN147" s="948"/>
      <c r="AO147" s="948"/>
      <c r="AP147" s="948"/>
      <c r="AQ147" s="948"/>
      <c r="AR147" s="963"/>
    </row>
    <row r="148" spans="1:44" s="50" customFormat="1" ht="31.9" customHeight="1" thickBot="1">
      <c r="A148" s="197"/>
      <c r="B148" s="969"/>
      <c r="C148" s="974"/>
      <c r="D148" s="971"/>
      <c r="E148" s="971"/>
      <c r="F148" s="236" t="s">
        <v>426</v>
      </c>
      <c r="G148" s="203">
        <f>IF($B$145="Лікар-педіатр",G147/L147,IF($B$145="Лікар-терапевт","х",IF($B$145="Лікар загальної практики - сімейний лікар",G147/L147,0)))</f>
        <v>2.5188916876574307E-3</v>
      </c>
      <c r="H148" s="203">
        <f>IF($B$145="Лікар-педіатр",H147/L147,IF($B$145="Лікар-терапевт","х",IF($B$145="Лікар загальної практики - сімейний лікар",H147/L147,0)))</f>
        <v>9.9244332493702778E-2</v>
      </c>
      <c r="I148" s="203">
        <f>IF($B$145="Лікар-педіатр","x",IF($B$145="Лікар-терапевт",I147/L147,IF($B$145="Лікар загальної практики - сімейний лікар",I147/L147,0)))</f>
        <v>0.30125944584382869</v>
      </c>
      <c r="J148" s="203">
        <f>IF($B$145="Лікар-педіатр","x",IF($B$145="Лікар-терапевт",J147/L147,IF($B$145="Лікар загальної практики - сімейний лікар",J147/L147,0)))</f>
        <v>0.42317380352644834</v>
      </c>
      <c r="K148" s="203">
        <f>IF($B$145="Лікар-педіатр","x",IF($B$145="Лікар-терапевт",K147/L147,IF($B$145="Лікар загальної практики - сімейний лікар",K147/L147,0)))</f>
        <v>0.17380352644836272</v>
      </c>
      <c r="L148" s="203">
        <f>SUM(G148:K148)</f>
        <v>0.99999999999999989</v>
      </c>
      <c r="M148" s="966"/>
      <c r="N148" s="203">
        <f>IF($B$145="Лікар-педіатр",N147/S147,IF($B$145="Лікар-терапевт","х",IF($B$145="Лікар загальної практики - сімейний лікар",N147/S147,0)))</f>
        <v>2.5188916876574307E-3</v>
      </c>
      <c r="O148" s="203">
        <f>IF($B$145="Лікар-педіатр",O147/S147,IF($B$145="Лікар-терапевт","х",IF($B$145="Лікар загальної практики - сімейний лікар",O147/S147,0)))</f>
        <v>9.9244332493702778E-2</v>
      </c>
      <c r="P148" s="203">
        <f>IF($B$145="Лікар-педіатр","x",IF($B$145="Лікар-терапевт",P147/S147,IF($B$145="Лікар загальної практики - сімейний лікар",P147/S147,0)))</f>
        <v>0.30125944584382869</v>
      </c>
      <c r="Q148" s="203">
        <f>IF($B$145="Лікар-педіатр","x",IF($B$145="Лікар-терапевт",Q147/S147,IF($B$145="Лікар загальної практики - сімейний лікар",Q147/S147,0)))</f>
        <v>0.42317380352644834</v>
      </c>
      <c r="R148" s="203">
        <f>IF($B$145="Лікар-педіатр","x",IF($B$145="Лікар-терапевт",R147/S147,IF($B$145="Лікар загальної практики - сімейний лікар",R147/S147,0)))</f>
        <v>0.17380352644836272</v>
      </c>
      <c r="S148" s="203">
        <f>SUM(N148:R148)</f>
        <v>0.99999999999999989</v>
      </c>
      <c r="T148" s="966"/>
      <c r="U148" s="203">
        <f>IF($B$145="Лікар-педіатр",U147/Z147,IF($B$145="Лікар-терапевт","х",IF($B$145="Лікар загальної практики - сімейний лікар",U147/Z147,0)))</f>
        <v>2.5188916876574307E-3</v>
      </c>
      <c r="V148" s="203">
        <f>IF($B$145="Лікар-педіатр",V147/Z147,IF($B$145="Лікар-терапевт","х",IF($B$145="Лікар загальної практики - сімейний лікар",V147/Z147,0)))</f>
        <v>9.9244332493702778E-2</v>
      </c>
      <c r="W148" s="203">
        <f>IF($B$145="Лікар-педіатр","x",IF($B$145="Лікар-терапевт",W147/Z147,IF($B$145="Лікар загальної практики - сімейний лікар",W147/Z147,0)))</f>
        <v>0.30125944584382869</v>
      </c>
      <c r="X148" s="203">
        <f>IF($B$145="Лікар-педіатр","x",IF($B$145="Лікар-терапевт",X147/Z147,IF($B$145="Лікар загальної практики - сімейний лікар",X147/Z147,0)))</f>
        <v>0.42317380352644834</v>
      </c>
      <c r="Y148" s="203">
        <f>IF($B$145="Лікар-педіатр","x",IF($B$145="Лікар-терапевт",Y147/Z147,IF($B$145="Лікар загальної практики - сімейний лікар",Y147/Z147,0)))</f>
        <v>0.17380352644836272</v>
      </c>
      <c r="Z148" s="203">
        <f>SUM(U148:Y148)</f>
        <v>0.99999999999999989</v>
      </c>
      <c r="AA148" s="966"/>
      <c r="AB148" s="203">
        <f>IF($B$145="Лікар-педіатр",AB147/AG147,IF($B$145="Лікар-терапевт","х",IF($B$145="Лікар загальної практики - сімейний лікар",AB147/AG147,0)))</f>
        <v>2.5188916876574307E-3</v>
      </c>
      <c r="AC148" s="203">
        <f>IF($B$145="Лікар-педіатр",AC147/AG147,IF($B$145="Лікар-терапевт","х",IF($B$145="Лікар загальної практики - сімейний лікар",AC147/AG147,0)))</f>
        <v>9.9244332493702778E-2</v>
      </c>
      <c r="AD148" s="203">
        <f>IF($B$145="Лікар-педіатр","x",IF($B$145="Лікар-терапевт",AD147/AG147,IF($B$145="Лікар загальної практики - сімейний лікар",AD147/AG147,0)))</f>
        <v>0.30125944584382869</v>
      </c>
      <c r="AE148" s="203">
        <f>IF($B$145="Лікар-педіатр","x",IF($B$145="Лікар-терапевт",AE147/AG147,IF($B$145="Лікар загальної практики - сімейний лікар",AE147/AG147,0)))</f>
        <v>0.42317380352644834</v>
      </c>
      <c r="AF148" s="203">
        <f>IF($B$145="Лікар-педіатр","x",IF($B$145="Лікар-терапевт",AF147/AG147,IF($B$145="Лікар загальної практики - сімейний лікар",AF147/AG147,0)))</f>
        <v>0.17380352644836272</v>
      </c>
      <c r="AG148" s="203">
        <f>SUM(AB148:AF148)</f>
        <v>0.99999999999999989</v>
      </c>
      <c r="AH148" s="966"/>
      <c r="AI148" s="201"/>
      <c r="AJ148" s="945"/>
      <c r="AK148" s="960"/>
      <c r="AL148" s="960"/>
      <c r="AM148" s="930"/>
      <c r="AN148" s="948"/>
      <c r="AO148" s="948"/>
      <c r="AP148" s="948"/>
      <c r="AQ148" s="948"/>
      <c r="AR148" s="963"/>
    </row>
    <row r="149" spans="1:44" s="50" customFormat="1" ht="45" customHeight="1" thickBot="1">
      <c r="A149" s="197"/>
      <c r="B149" s="969"/>
      <c r="C149" s="974"/>
      <c r="D149" s="971"/>
      <c r="E149" s="972"/>
      <c r="F149" s="204" t="s">
        <v>662</v>
      </c>
      <c r="G149" s="205">
        <f>IF($B$145="Лікар загальної практики - сімейний лікар",AVERAGE(G145:G147),IF($B$145="Лікар-педіатр",AVERAGE(G145:G147),IF($B$145="Лікар-терапевт","х",0)))</f>
        <v>5</v>
      </c>
      <c r="H149" s="205">
        <f>IF($B$145="Лікар загальної практики - сімейний лікар",AVERAGE(H145:H147),IF($B$145="Лікар-педіатр",AVERAGE(H145:H147),IF($B$145="Лікар-терапевт","х",0)))</f>
        <v>197</v>
      </c>
      <c r="I149" s="205">
        <f>IF($B$145="Лікар загальної практики - сімейний лікар",AVERAGE(I145:I147),IF($B$145="Лікар-педіатр","x",IF($B$145="Лікар-терапевт",AVERAGE(I145:I147),0)))</f>
        <v>598</v>
      </c>
      <c r="J149" s="205">
        <f>IF($B$145="Лікар загальної практики - сімейний лікар",AVERAGE(J145:J147),IF($B$145="Лікар-педіатр","x",IF($B$145="Лікар-терапевт",AVERAGE(J145:J147),0)))</f>
        <v>840</v>
      </c>
      <c r="K149" s="205">
        <f>IF($B$145="Лікар загальної практики - сімейний лікар",AVERAGE(K145:K147),IF($B$145="Лікар-педіатр","x",IF($B$145="Лікар-терапевт",AVERAGE(K145:K147),0)))</f>
        <v>345</v>
      </c>
      <c r="L149" s="206">
        <f>SUM(G149:K149)</f>
        <v>1985</v>
      </c>
      <c r="M149" s="973"/>
      <c r="N149" s="205">
        <f>IF($B$145="Лікар загальної практики - сімейний лікар",AVERAGE(N145:N147),IF($B$145="Лікар-педіатр",AVERAGE(N145:N147),IF($B$145="Лікар-терапевт","х",0)))</f>
        <v>5</v>
      </c>
      <c r="O149" s="205">
        <f>IF($B$145="Лікар загальної практики - сімейний лікар",AVERAGE(O145:O147),IF($B$145="Лікар-педіатр",AVERAGE(O145:O147),IF($B$145="Лікар-терапевт","х",0)))</f>
        <v>197</v>
      </c>
      <c r="P149" s="205">
        <f>IF($B$145="Лікар загальної практики - сімейний лікар",AVERAGE(P145:P147),IF($B$145="Лікар-педіатр","x",IF($B$145="Лікар-терапевт",AVERAGE(P145:P147),0)))</f>
        <v>598</v>
      </c>
      <c r="Q149" s="205">
        <f>IF($B$145="Лікар загальної практики - сімейний лікар",AVERAGE(Q145:Q147),IF($B$145="Лікар-педіатр","x",IF($B$145="Лікар-терапевт",AVERAGE(Q145:Q147),0)))</f>
        <v>840</v>
      </c>
      <c r="R149" s="205">
        <f>IF($B$145="Лікар загальної практики - сімейний лікар",AVERAGE(R145:R147),IF($B$145="Лікар-педіатр","x",IF($B$145="Лікар-терапевт",AVERAGE(R145:R147),0)))</f>
        <v>345</v>
      </c>
      <c r="S149" s="206">
        <f>SUM(N149:R149)</f>
        <v>1985</v>
      </c>
      <c r="T149" s="973"/>
      <c r="U149" s="205">
        <f>IF($B$145="Лікар загальної практики - сімейний лікар",AVERAGE(U145:U147),IF($B$145="Лікар-педіатр",AVERAGE(U145:U147),IF($B$145="Лікар-терапевт","х",0)))</f>
        <v>5</v>
      </c>
      <c r="V149" s="205">
        <f>IF($B$145="Лікар загальної практики - сімейний лікар",AVERAGE(V145:V147),IF($B$145="Лікар-педіатр",AVERAGE(V145:V147),IF($B$145="Лікар-терапевт","х",0)))</f>
        <v>197</v>
      </c>
      <c r="W149" s="205">
        <f>IF($B$145="Лікар загальної практики - сімейний лікар",AVERAGE(W145:W147),IF($B$145="Лікар-педіатр","x",IF($B$145="Лікар-терапевт",AVERAGE(W145:W147),0)))</f>
        <v>598</v>
      </c>
      <c r="X149" s="205">
        <f>IF($B$145="Лікар загальної практики - сімейний лікар",AVERAGE(X145:X147),IF($B$145="Лікар-педіатр","x",IF($B$145="Лікар-терапевт",AVERAGE(X145:X147),0)))</f>
        <v>840</v>
      </c>
      <c r="Y149" s="205">
        <f>IF($B$145="Лікар загальної практики - сімейний лікар",AVERAGE(Y145:Y147),IF($B$145="Лікар-педіатр","x",IF($B$145="Лікар-терапевт",AVERAGE(Y145:Y147),0)))</f>
        <v>345</v>
      </c>
      <c r="Z149" s="206">
        <f>SUM(U149:Y149)</f>
        <v>1985</v>
      </c>
      <c r="AA149" s="973"/>
      <c r="AB149" s="205">
        <f>IF($B$145="Лікар загальної практики - сімейний лікар",AVERAGE(AB145:AB147),IF($B$145="Лікар-педіатр",AVERAGE(AB145:AB147),IF($B$145="Лікар-терапевт","х",0)))</f>
        <v>5</v>
      </c>
      <c r="AC149" s="205">
        <f>IF($B$145="Лікар загальної практики - сімейний лікар",AVERAGE(AC145:AC147),IF($B$145="Лікар-педіатр",AVERAGE(AC145:AC147),IF($B$145="Лікар-терапевт","х",0)))</f>
        <v>197</v>
      </c>
      <c r="AD149" s="205">
        <f>IF($B$145="Лікар загальної практики - сімейний лікар",AVERAGE(AD145:AD147),IF($B$145="Лікар-педіатр","x",IF($B$145="Лікар-терапевт",AVERAGE(AD145:AD147),0)))</f>
        <v>598</v>
      </c>
      <c r="AE149" s="205">
        <f>IF($B$145="Лікар загальної практики - сімейний лікар",AVERAGE(AE145:AE147),IF($B$145="Лікар-педіатр","x",IF($B$145="Лікар-терапевт",AVERAGE(AE145:AE147),0)))</f>
        <v>840</v>
      </c>
      <c r="AF149" s="205">
        <f>IF($B$145="Лікар загальної практики - сімейний лікар",AVERAGE(AF145:AF147),IF($B$145="Лікар-педіатр","x",IF($B$145="Лікар-терапевт",AVERAGE(AF145:AF147),0)))</f>
        <v>345</v>
      </c>
      <c r="AG149" s="206">
        <f>SUM(AB149:AF149)</f>
        <v>1985</v>
      </c>
      <c r="AH149" s="967"/>
      <c r="AI149" s="201"/>
      <c r="AJ149" s="945"/>
      <c r="AK149" s="960"/>
      <c r="AL149" s="960"/>
      <c r="AM149" s="931"/>
      <c r="AN149" s="949"/>
      <c r="AO149" s="949"/>
      <c r="AP149" s="949"/>
      <c r="AQ149" s="949"/>
      <c r="AR149" s="964"/>
    </row>
    <row r="150" spans="1:44" s="50" customFormat="1" ht="40.5">
      <c r="A150" s="197"/>
      <c r="B150" s="969"/>
      <c r="C150" s="974"/>
      <c r="D150" s="971"/>
      <c r="E150" s="971"/>
      <c r="F150" s="237" t="str">
        <f ca="1">IF(B145="Лікар-педіатр",Законод!$C$17,IF(B145="Лікар загальної практики - сімейний лікар",Законод!$C$21,IF(B145="Лікар-терапевт",Законод!$C$25,"х")))</f>
        <v>ліміт (до 1800)</v>
      </c>
      <c r="G150" s="208">
        <f ca="1">IF($B$145="Лікар загальної практики - сімейний лікар",IF(L149&lt;=Законод!$C$22,G149,Законод!$C$22*'01_Доходи'!G148),IF($B$145="Лікар-педіатр",IF(L149&lt;=Законод!$C$18,G149,Законод!$C$18*'01_Доходи'!G148),IF($B$145="Лікар-терапевт","x",0)))</f>
        <v>4.5340050377833752</v>
      </c>
      <c r="H150" s="208">
        <f ca="1">IF($B$145="Лікар загальної практики - сімейний лікар",IF(L149&lt;=Законод!$C$22,H149,Законод!$C$22*'01_Доходи'!H148),IF($B$145="Лікар-педіатр",IF(L149&lt;=Законод!$C$18,H149,Законод!$C$18*'01_Доходи'!H148),IF($B$145="Лікар-терапевт","x",0)))</f>
        <v>178.63979848866501</v>
      </c>
      <c r="I150" s="208">
        <f ca="1">IF($B$145="Лікар загальної практики - сімейний лікар",IF(L149&lt;=Законод!$C$22,I149,Законод!$C$22*'01_Доходи'!I148),IF($B$145="Лікар-педіатр","x",IF($B$145="Лікар-терапевт",IF(L149&lt;=Законод!$C$26,I149,Законод!$C$26*'01_Доходи'!I148),0)))</f>
        <v>542.26700251889167</v>
      </c>
      <c r="J150" s="208">
        <f ca="1">IF($B$145="Лікар загальної практики - сімейний лікар",IF(L149&lt;=Законод!$C$22,J149,Законод!$C$22*'01_Доходи'!J148),IF($B$145="Лікар-педіатр","x",IF($B$145="Лікар-терапевт",IF(L149&lt;=Законод!$C$26,J149,Законод!$C$26*'01_Доходи'!J148),0)))</f>
        <v>761.71284634760707</v>
      </c>
      <c r="K150" s="208">
        <f ca="1">IF($B$145="Лікар загальної практики - сімейний лікар",IF(L149&lt;=Законод!$C$22,K149,Законод!$C$22*'01_Доходи'!K148),IF($B$145="Лікар-педіатр","x",IF($B$145="Лікар-терапевт",IF(L149&lt;=Законод!$C$26,K149,Законод!$C$26*'01_Доходи'!K148),0)))</f>
        <v>312.84634760705291</v>
      </c>
      <c r="L150" s="209">
        <f ca="1">SUM(G150:K150)</f>
        <v>1800</v>
      </c>
      <c r="M150" s="966"/>
      <c r="N150" s="208">
        <f ca="1">IF($B$145="Лікар загальної практики - сімейний лікар",IF(S149&lt;=Законод!$C$22,N149,Законод!$C$22*'01_Доходи'!N148),IF($B$145="Лікар-педіатр",IF(S149&lt;=Законод!$C$18,N149,Законод!$C$18*'01_Доходи'!N148),IF($B$145="Лікар-терапевт","x",0)))</f>
        <v>4.5340050377833752</v>
      </c>
      <c r="O150" s="208">
        <f ca="1">IF($B$145="Лікар загальної практики - сімейний лікар",IF(S149&lt;=Законод!$C$22,O149,Законод!$C$22*'01_Доходи'!O148),IF($B$145="Лікар-педіатр",IF(S149&lt;=Законод!$C$18,O149,Законод!$C$18*'01_Доходи'!O148),IF($B$145="Лікар-терапевт","x",0)))</f>
        <v>178.63979848866501</v>
      </c>
      <c r="P150" s="208">
        <f ca="1">IF($B$145="Лікар загальної практики - сімейний лікар",IF(S149&lt;=Законод!$C$22,P149,Законод!$C$22*'01_Доходи'!P148),IF($B$145="Лікар-педіатр","x",IF($B$145="Лікар-терапевт",IF(S149&lt;=Законод!$C$26,P149,Законод!$C$26*'01_Доходи'!P148),0)))</f>
        <v>542.26700251889167</v>
      </c>
      <c r="Q150" s="208">
        <f ca="1">IF($B$145="Лікар загальної практики - сімейний лікар",IF(S149&lt;=Законод!$C$22,Q149,Законод!$C$22*'01_Доходи'!Q148),IF($B$145="Лікар-педіатр","x",IF($B$145="Лікар-терапевт",IF(S149&lt;=Законод!$C$26,Q149,Законод!$C$26*'01_Доходи'!Q148),0)))</f>
        <v>761.71284634760707</v>
      </c>
      <c r="R150" s="208">
        <f ca="1">IF($B$145="Лікар загальної практики - сімейний лікар",IF(S149&lt;=Законод!$C$22,R149,Законод!$C$22*'01_Доходи'!R148),IF($B$145="Лікар-педіатр","x",IF($B$145="Лікар-терапевт",IF(S149&lt;=Законод!$C$26,R149,Законод!$C$26*'01_Доходи'!R148),0)))</f>
        <v>312.84634760705291</v>
      </c>
      <c r="S150" s="209">
        <f ca="1">SUM(N150:R150)</f>
        <v>1800</v>
      </c>
      <c r="T150" s="966"/>
      <c r="U150" s="208">
        <f ca="1">IF($B$145="Лікар загальної практики - сімейний лікар",IF(Z149&lt;=Законод!$C$22,U149,Законод!$C$22*'01_Доходи'!U148),IF($B$145="Лікар-педіатр",IF(Z149&lt;=Законод!$C$18,U149,Законод!$C$18*'01_Доходи'!U148),IF($B$145="Лікар-терапевт","x",0)))</f>
        <v>4.5340050377833752</v>
      </c>
      <c r="V150" s="208">
        <f ca="1">IF($B$145="Лікар загальної практики - сімейний лікар",IF(Z149&lt;=Законод!$C$22,V149,Законод!$C$22*'01_Доходи'!V148),IF($B$145="Лікар-педіатр",IF(Z149&lt;=Законод!$C$18,V149,Законод!$C$18*'01_Доходи'!V148),IF($B$145="Лікар-терапевт","x",0)))</f>
        <v>178.63979848866501</v>
      </c>
      <c r="W150" s="208">
        <f ca="1">IF($B$145="Лікар загальної практики - сімейний лікар",IF(Z149&lt;=Законод!$C$22,W149,Законод!$C$22*'01_Доходи'!W148),IF($B$145="Лікар-педіатр","x",IF($B$145="Лікар-терапевт",IF(Z149&lt;=Законод!$C$26,W149,Законод!$C$26*'01_Доходи'!W148),0)))</f>
        <v>542.26700251889167</v>
      </c>
      <c r="X150" s="208">
        <f ca="1">IF($B$145="Лікар загальної практики - сімейний лікар",IF(Z149&lt;=Законод!$C$22,X149,Законод!$C$22*'01_Доходи'!X148),IF($B$145="Лікар-педіатр","x",IF($B$145="Лікар-терапевт",IF(Z149&lt;=Законод!$C$26,X149,Законод!$C$26*'01_Доходи'!X148),0)))</f>
        <v>761.71284634760707</v>
      </c>
      <c r="Y150" s="208">
        <f ca="1">IF($B$145="Лікар загальної практики - сімейний лікар",IF(Z149&lt;=Законод!$C$22,Y149,Законод!$C$22*'01_Доходи'!Y148),IF($B$145="Лікар-педіатр","x",IF($B$145="Лікар-терапевт",IF(Z149&lt;=Законод!$C$26,Y149,Законод!$C$26*'01_Доходи'!Y148),0)))</f>
        <v>312.84634760705291</v>
      </c>
      <c r="Z150" s="209">
        <f ca="1">SUM(U150:Y150)</f>
        <v>1800</v>
      </c>
      <c r="AA150" s="966"/>
      <c r="AB150" s="208">
        <f ca="1">IF($B$145="Лікар загальної практики - сімейний лікар",IF(AG149&lt;=Законод!$C$22,AB149,Законод!$C$22*'01_Доходи'!AB148),IF($B$145="Лікар-педіатр",IF(AG149&lt;=Законод!$C$18,AB149,Законод!$C$18*'01_Доходи'!AB148),IF($B$145="Лікар-терапевт","x",0)))</f>
        <v>4.5340050377833752</v>
      </c>
      <c r="AC150" s="208">
        <f ca="1">IF($B$145="Лікар загальної практики - сімейний лікар",IF(AG149&lt;=Законод!$C$22,AC149,Законод!$C$22*'01_Доходи'!AC148),IF($B$145="Лікар-педіатр",IF(AG149&lt;=Законод!$C$18,AC149,Законод!$C$18*'01_Доходи'!AC148),IF($B$145="Лікар-терапевт","x",0)))</f>
        <v>178.63979848866501</v>
      </c>
      <c r="AD150" s="208">
        <f ca="1">IF($B$145="Лікар загальної практики - сімейний лікар",IF(AG149&lt;=Законод!$C$22,AD149,Законод!$C$22*'01_Доходи'!AD148),IF($B$145="Лікар-педіатр","x",IF($B$145="Лікар-терапевт",IF(AG149&lt;=Законод!$C$26,AD149,Законод!$C$26*'01_Доходи'!AD148),0)))</f>
        <v>542.26700251889167</v>
      </c>
      <c r="AE150" s="208">
        <f ca="1">IF($B$145="Лікар загальної практики - сімейний лікар",IF(AG149&lt;=Законод!$C$22,AE149,Законод!$C$22*'01_Доходи'!AE148),IF($B$145="Лікар-педіатр","x",IF($B$145="Лікар-терапевт",IF(AG149&lt;=Законод!$C$26,AE149,Законод!$C$26*'01_Доходи'!AE148),0)))</f>
        <v>761.71284634760707</v>
      </c>
      <c r="AF150" s="208">
        <f ca="1">IF($B$145="Лікар загальної практики - сімейний лікар",IF(AG149&lt;=Законод!$C$22,AF149,Законод!$C$22*'01_Доходи'!AF148),IF($B$145="Лікар-педіатр","x",IF($B$145="Лікар-терапевт",IF(AG149&lt;=Законод!$C$26,AF149,Законод!$C$26*'01_Доходи'!AF148),0)))</f>
        <v>312.84634760705291</v>
      </c>
      <c r="AG150" s="209">
        <f ca="1">SUM(AB150:AF150)</f>
        <v>1800</v>
      </c>
      <c r="AH150" s="966"/>
      <c r="AI150" s="201"/>
      <c r="AJ150" s="945"/>
      <c r="AK150" s="960"/>
      <c r="AL150" s="960"/>
      <c r="AM150" s="348" t="s">
        <v>451</v>
      </c>
      <c r="AN150" s="210">
        <f ca="1">IF(B145="Лікар загальної практики - сімейний лікар",G150*Законод!$C$11+'01_Доходи'!H150*Законод!$D$11+'01_Доходи'!I150*Законод!$E$11+'01_Доходи'!J150*Законод!$F$11+'01_Доходи'!K150*Законод!$G$11,IF(B145="Лікар-педіатр",G150*Законод!$C$11+'01_Доходи'!H150*Законод!$D$11,IF(B145="Лікар-терапевт",'01_Доходи'!I150*Законод!$E$11+'01_Доходи'!J150*Законод!$F$11+'01_Доходи'!K150*Законод!$G$11,0)))</f>
        <v>302030.50267632242</v>
      </c>
      <c r="AO150" s="210">
        <f ca="1">IF(B145="Лікар загальної практики - сімейний лікар",N150*Законод!$C$11+'01_Доходи'!O150*Законод!$D$11+'01_Доходи'!P150*Законод!$E$11+'01_Доходи'!Q150*Законод!$F$11+'01_Доходи'!R150*Законод!$G$11,IF(B145="Лікар-педіатр",N150*Законод!$C$11+'01_Доходи'!O150*Законод!$D$11,IF(B145="Лікар-терапевт",'01_Доходи'!P150*Законод!$E$11+'01_Доходи'!Q150*Законод!$F$11+'01_Доходи'!R150*Законод!$G$11,0)))</f>
        <v>302030.50267632242</v>
      </c>
      <c r="AP150" s="210">
        <f ca="1">IF(B145="Лікар загальної практики - сімейний лікар",U150*Законод!$C$11+'01_Доходи'!V150*Законод!$D$11+'01_Доходи'!W150*Законод!$E$11+'01_Доходи'!X150*Законод!$F$11+'01_Доходи'!Y150*Законод!$G$11,IF(B145="Лікар-педіатр",U150*Законод!$C$11+'01_Доходи'!V150*Законод!$D$11,IF(B145="Лікар-терапевт",'01_Доходи'!W150*Законод!$E$11+'01_Доходи'!X150*Законод!$F$11+'01_Доходи'!Y150*Законод!$G$11,0)))</f>
        <v>302030.50267632242</v>
      </c>
      <c r="AQ150" s="210">
        <f ca="1">IF(B145="Лікар загальної практики - сімейний лікар",AB150*Законод!$C$11+'01_Доходи'!AC150*Законод!$D$11+'01_Доходи'!AD150*Законод!$E$11+'01_Доходи'!AE150*Законод!$F$11+'01_Доходи'!AF150*Законод!$G$11,IF(B145="Лікар-педіатр",AB150*Законод!$C$11+'01_Доходи'!AC150*Законод!$D$11,IF(B145="Лікар-терапевт",'01_Доходи'!AD150*Законод!$E$11+'01_Доходи'!AE150*Законод!$F$11+'01_Доходи'!AF150*Законод!$G$11,0)))</f>
        <v>302030.50267632242</v>
      </c>
      <c r="AR150" s="211">
        <f t="shared" ref="AR150:AR156" si="16">SUM(AN150:AQ150)</f>
        <v>1208122.0107052897</v>
      </c>
    </row>
    <row r="151" spans="1:44" s="50" customFormat="1" ht="31.9" customHeight="1">
      <c r="A151" s="197"/>
      <c r="B151" s="969"/>
      <c r="C151" s="974"/>
      <c r="D151" s="971"/>
      <c r="E151" s="971"/>
      <c r="F151" s="238" t="str">
        <f ca="1">IF(B145="Лікар-педіатр",Законод!$E$17,IF(B145="Лікар загальної практики - сімейний лікар",Законод!$E$21,IF(B145="Лікар-терапевт",Законод!$E$25,"х")))</f>
        <v>понад ліміт (1801-1980)</v>
      </c>
      <c r="G151" s="965" t="s">
        <v>423</v>
      </c>
      <c r="H151" s="965"/>
      <c r="I151" s="965"/>
      <c r="J151" s="965"/>
      <c r="K151" s="965"/>
      <c r="L151" s="196">
        <f ca="1">IF($B$145="Лікар загальної практики - сімейний лікар",IF(L149&lt;Законод!$C$22,0,(IF(AND(L149&gt;=Законод!$E$22,L149&lt;=Законод!$E$23),L149-Законод!$C$22,IF('01_Доходи'!L149&gt;=Законод!$F$22,Законод!$E$24,0)))),IF($B$145="Лікар-педіатр",IF(L149&lt;Законод!$C$18,0,(IF(AND(L149&gt;=Законод!$E$18,L149&lt;=Законод!$E$19),L149-Законод!$C$18,IF('01_Доходи'!L149&gt;=Законод!$F$18,Законод!$E$20,0)))),IF($B$145="Лікар-терапевт",IF(L149&lt;Законод!$C$26,0,(IF(AND(L149&gt;=Законод!$E$26,L149&lt;=Законод!$E$27),L149-Законод!$C$26,IF('01_Доходи'!L149&gt;=Законод!$F$26,Законод!$E$28,0)))),0)))</f>
        <v>180.00000000000023</v>
      </c>
      <c r="M151" s="966"/>
      <c r="N151" s="965" t="s">
        <v>423</v>
      </c>
      <c r="O151" s="965"/>
      <c r="P151" s="965"/>
      <c r="Q151" s="965"/>
      <c r="R151" s="965"/>
      <c r="S151" s="196">
        <f ca="1">IF($B$145="Лікар загальної практики - сімейний лікар",IF(S149&lt;Законод!$C$22,0,(IF(AND(S149&gt;=Законод!$E$22,S149&lt;=Законод!$E$23),S149-Законод!$C$22,IF('01_Доходи'!S149&gt;=Законод!$F$22,Законод!$E$24,0)))),IF($B$145="Лікар-педіатр",IF(S149&lt;Законод!$C$18,0,(IF(AND(S149&gt;=Законод!$E$18,S149&lt;=Законод!$E$19),S149-Законод!$C$18,IF('01_Доходи'!S149&gt;=Законод!$F$18,Законод!$E$20,0)))),IF($B$145="Лікар-терапевт",IF(S149&lt;Законод!$C$26,0,(IF(AND(S149&gt;=Законод!$E$26,S149&lt;=Законод!$E$27),S149-Законод!$C$26,IF('01_Доходи'!S149&gt;=Законод!$F$26,Законод!$E$28,0)))),0)))</f>
        <v>180.00000000000023</v>
      </c>
      <c r="T151" s="966"/>
      <c r="U151" s="965" t="s">
        <v>423</v>
      </c>
      <c r="V151" s="965"/>
      <c r="W151" s="965"/>
      <c r="X151" s="965"/>
      <c r="Y151" s="965"/>
      <c r="Z151" s="196">
        <f ca="1">IF($B$145="Лікар загальної практики - сімейний лікар",IF(Z149&lt;Законод!$C$22,0,(IF(AND(Z149&gt;=Законод!$E$22,Z149&lt;=Законод!$E$23),Z149-Законод!$C$22,IF('01_Доходи'!Z149&gt;=Законод!$F$22,Законод!$E$24,0)))),IF($B$145="Лікар-педіатр",IF(Z149&lt;Законод!$C$18,0,(IF(AND(Z149&gt;=Законод!$E$18,Z149&lt;=Законод!$E$19),Z149-Законод!$C$18,IF('01_Доходи'!Z149&gt;=Законод!$F$18,Законод!$E$20,0)))),IF($B$145="Лікар-терапевт",IF(Z149&lt;Законод!$C$26,0,(IF(AND(Z149&gt;=Законод!$E$26,Z149&lt;=Законод!$E$27),Z149-Законод!$C$26,IF('01_Доходи'!Z149&gt;=Законод!$F$26,Законод!$E$28,0)))),0)))</f>
        <v>180.00000000000023</v>
      </c>
      <c r="AA151" s="966"/>
      <c r="AB151" s="965" t="s">
        <v>423</v>
      </c>
      <c r="AC151" s="965"/>
      <c r="AD151" s="965"/>
      <c r="AE151" s="965"/>
      <c r="AF151" s="965"/>
      <c r="AG151" s="196">
        <f ca="1">IF($B$145="Лікар загальної практики - сімейний лікар",IF(AG149&lt;Законод!$C$22,0,(IF(AND(AG149&gt;=Законод!$E$22,AG149&lt;=Законод!$E$23),AG149-Законод!$C$22,IF('01_Доходи'!AG149&gt;=Законод!$F$22,Законод!$E$24,0)))),IF($B$145="Лікар-педіатр",IF(AG149&lt;Законод!$C$18,0,(IF(AND(AG149&gt;=Законод!$E$18,AG149&lt;=Законод!$E$19),AG149-Законод!$C$18,IF('01_Доходи'!AG149&gt;=Законод!$F$18,Законод!$E$20,0)))),IF($B$145="Лікар-терапевт",IF(AG149&lt;Законод!$C$26,0,(IF(AND(AG149&gt;=Законод!$E$26,AG149&lt;=Законод!$E$27),AG149-Законод!$C$26,IF('01_Доходи'!AG149&gt;=Законод!$F$26,Законод!$E$28,0)))),0)))</f>
        <v>180.00000000000023</v>
      </c>
      <c r="AH151" s="966"/>
      <c r="AI151" s="201"/>
      <c r="AJ151" s="945"/>
      <c r="AK151" s="960"/>
      <c r="AL151" s="960"/>
      <c r="AM151" s="926" t="s">
        <v>452</v>
      </c>
      <c r="AN151" s="210">
        <f ca="1">IF(B145="Лікар загальної практики - сімейний лікар",L151*Законод!$C$9/4*Законод!$E$16,IF(B145="Лікар-педіатр",L151*Законод!$C$9/4*Законод!$E$16,IF(B145="Лікар-терапевт",L151*Законод!$C$9/4*Законод!$E$16,0)))</f>
        <v>21805.938000000027</v>
      </c>
      <c r="AO151" s="210">
        <f ca="1">IF(B145="Лікар загальної практики - сімейний лікар",S151*Законод!$C$9/4*Законод!$E$16,IF(B145="Лікар-педіатр",S151*Законод!$C$9/4*Законод!$E$16,IF(B145="Лікар-терапевт",S151*Законод!$C$9/4*Законод!$E$16,0)))</f>
        <v>21805.938000000027</v>
      </c>
      <c r="AP151" s="210">
        <f ca="1">IF(B145="Лікар загальної практики - сімейний лікар",Z151*Законод!$C$9/4*Законод!$E$16,IF(B145="Лікар-педіатр",Z151*Законод!$C$9/4*Законод!$E$16,IF(B145="Лікар-терапевт",Z151*Законод!$C$9/4*Законод!$E$16,0)))</f>
        <v>21805.938000000027</v>
      </c>
      <c r="AQ151" s="210">
        <f ca="1">IF(B145="Лікар загальної практики - сімейний лікар",AG151*Законод!$C$9/4*Законод!$E$16,IF(B145="Лікар-педіатр",AG151*Законод!$C$9/4*Законод!$E$16,IF(B145="Лікар-терапевт",AG151*Законод!$C$9/4*Законод!$E$16,0)))</f>
        <v>21805.938000000027</v>
      </c>
      <c r="AR151" s="211">
        <f t="shared" si="16"/>
        <v>87223.75200000011</v>
      </c>
    </row>
    <row r="152" spans="1:44" s="50" customFormat="1" ht="31.9" customHeight="1">
      <c r="A152" s="197"/>
      <c r="B152" s="969"/>
      <c r="C152" s="974"/>
      <c r="D152" s="971"/>
      <c r="E152" s="971"/>
      <c r="F152" s="238" t="str">
        <f ca="1">IF(B145="Лікар-педіатр",Законод!$F$17,IF(B145="Лікар загальної практики - сімейний лікар",Законод!$F$21,IF(B145="Лікар-терапевт",Законод!$F$25,"х")))</f>
        <v>понад ліміт (1981-2160)</v>
      </c>
      <c r="G152" s="965" t="s">
        <v>423</v>
      </c>
      <c r="H152" s="965"/>
      <c r="I152" s="965"/>
      <c r="J152" s="965"/>
      <c r="K152" s="965"/>
      <c r="L152" s="196">
        <f ca="1">IF($B$145="Лікар загальної практики - сімейний лікар",IF(L149&lt;Законод!$C$22,0,(IF(AND(L149&gt;=Законод!$F$22,L149&lt;=Законод!$F$23),L149-Законод!$E$23,IF('01_Доходи'!L149&gt;=Законод!$G$22,Законод!$F$24,0)))),IF($B$145="Лікар-педіатр",IF(L149&lt;Законод!$C$18,0,(IF(AND(L149&gt;=Законод!$F$18,L149&lt;=Законод!$F$19),L149-Законод!$E$19,IF('01_Доходи'!L149&gt;=Законод!$G$18,Законод!$F$20,0)))),IF($B$145="Лікар-терапевт",IF(L149&lt;Законод!$C$26,0,(IF(AND(L149&gt;=Законод!$F$26,L149&lt;=Законод!$F$27),L149-Законод!$E$27,IF('01_Доходи'!L149&gt;=Законод!$G$26,Законод!$F$28,0)))),0)))</f>
        <v>4.9999999999997726</v>
      </c>
      <c r="M152" s="966"/>
      <c r="N152" s="965" t="s">
        <v>423</v>
      </c>
      <c r="O152" s="965"/>
      <c r="P152" s="965"/>
      <c r="Q152" s="965"/>
      <c r="R152" s="965"/>
      <c r="S152" s="196">
        <f ca="1">IF($B$145="Лікар загальної практики - сімейний лікар",IF(S149&lt;Законод!$C$22,0,(IF(AND(S149&gt;=Законод!$F$22,S149&lt;=Законод!$F$23),S149-Законод!$E$23,IF('01_Доходи'!S149&gt;=Законод!$G$22,Законод!$F$24,0)))),IF($B$145="Лікар-педіатр",IF(S149&lt;Законод!$C$18,0,(IF(AND(S149&gt;=Законод!$F$18,S149&lt;=Законод!$F$19),S149-Законод!$E$19,IF('01_Доходи'!S149&gt;=Законод!$G$18,Законод!$F$20,0)))),IF($B$145="Лікар-терапевт",IF(S149&lt;Законод!$C$26,0,(IF(AND(S149&gt;=Законод!$F$26,S149&lt;=Законод!$F$27),S149-Законод!$E$27,IF('01_Доходи'!S149&gt;=Законод!$G$26,Законод!$F$28,0)))),0)))</f>
        <v>4.9999999999997726</v>
      </c>
      <c r="T152" s="966"/>
      <c r="U152" s="965" t="s">
        <v>423</v>
      </c>
      <c r="V152" s="965"/>
      <c r="W152" s="965"/>
      <c r="X152" s="965"/>
      <c r="Y152" s="965"/>
      <c r="Z152" s="196">
        <f ca="1">IF($B$145="Лікар загальної практики - сімейний лікар",IF(Z149&lt;Законод!$C$22,0,(IF(AND(Z149&gt;=Законод!$F$22,Z149&lt;=Законод!$F$23),Z149-Законод!$E$23,IF('01_Доходи'!Z149&gt;=Законод!$G$22,Законод!$F$24,0)))),IF($B$145="Лікар-педіатр",IF(Z149&lt;Законод!$C$18,0,(IF(AND(Z149&gt;=Законод!$F$18,Z149&lt;=Законод!$F$19),Z149-Законод!$E$19,IF('01_Доходи'!Z149&gt;=Законод!$G$18,Законод!$F$20,0)))),IF($B$145="Лікар-терапевт",IF(Z149&lt;Законод!$C$26,0,(IF(AND(Z149&gt;=Законод!$F$26,Z149&lt;=Законод!$F$27),Z149-Законод!$E$27,IF('01_Доходи'!Z149&gt;=Законод!$G$26,Законод!$F$28,0)))),0)))</f>
        <v>4.9999999999997726</v>
      </c>
      <c r="AA152" s="966"/>
      <c r="AB152" s="965" t="s">
        <v>423</v>
      </c>
      <c r="AC152" s="965"/>
      <c r="AD152" s="965"/>
      <c r="AE152" s="965"/>
      <c r="AF152" s="965"/>
      <c r="AG152" s="196">
        <f ca="1">IF($B$145="Лікар загальної практики - сімейний лікар",IF(AG149&lt;Законод!$C$22,0,(IF(AND(AG149&gt;=Законод!$F$22,AG149&lt;=Законод!$F$23),AG149-Законод!$E$23,IF('01_Доходи'!AG149&gt;=Законод!$G$22,Законод!$F$24,0)))),IF($B$145="Лікар-педіатр",IF(AG149&lt;Законод!$C$18,0,(IF(AND(AG149&gt;=Законод!$F$18,AG149&lt;=Законод!$F$19),AG149-Законод!$E$19,IF('01_Доходи'!AG149&gt;=Законод!$G$18,Законод!$F$20,0)))),IF($B$145="Лікар-терапевт",IF(AG149&lt;Законод!$C$26,0,(IF(AND(AG149&gt;=Законод!$F$26,AG149&lt;=Законод!$F$27),AG149-Законод!$E$27,IF('01_Доходи'!AG149&gt;=Законод!$G$26,Законод!$F$28,0)))),0)))</f>
        <v>4.9999999999997726</v>
      </c>
      <c r="AH152" s="966"/>
      <c r="AI152" s="201"/>
      <c r="AJ152" s="945"/>
      <c r="AK152" s="960"/>
      <c r="AL152" s="960"/>
      <c r="AM152" s="927"/>
      <c r="AN152" s="210">
        <f ca="1">IF(B145="Лікар загальної практики - сімейний лікар",L152*Законод!$C$9/4*Законод!$F$16,IF(B145="Лікар-педіатр",L152*Законод!$C$9/4*Законод!$F$16,IF(B145="Лікар-терапевт",L152*Законод!$C$9/4*Законод!$F$16,0)))</f>
        <v>484.77306249997793</v>
      </c>
      <c r="AO152" s="210">
        <f ca="1">IF(B145="Лікар загальної практики - сімейний лікар",S152*Законод!$C$9/4*Законод!$F$16,IF(B145="Лікар-педіатр",S152*Законод!$C$9/4*Законод!$F$16,IF(B145="Лікар-терапевт",S152*Законод!$C$9/4*Законод!$F$16,0)))</f>
        <v>484.77306249997793</v>
      </c>
      <c r="AP152" s="210">
        <f ca="1">IF(B145="Лікар загальної практики - сімейний лікар",Z152*Законод!$C$9/4*Законод!$F$16,IF(B145="Лікар-педіатр",Z152*Законод!$C$9/4*Законод!$F$16,IF(B145="Лікар-терапевт",Z152*Законод!$C$9/4*Законод!$F$16,0)))</f>
        <v>484.77306249997793</v>
      </c>
      <c r="AQ152" s="210">
        <f ca="1">IF(B145="Лікар загальної практики - сімейний лікар",AG152*Законод!$C$9/4*Законод!$F$16,IF(B145="Лікар-педіатр",AG152*Законод!$C$9/4*Законод!$F$16,IF(B145="Лікар-терапевт",AG152*Законод!$C$9/4*Законод!$F$16,0)))</f>
        <v>484.77306249997793</v>
      </c>
      <c r="AR152" s="211">
        <f t="shared" si="16"/>
        <v>1939.0922499999117</v>
      </c>
    </row>
    <row r="153" spans="1:44" s="50" customFormat="1" ht="31.9" customHeight="1">
      <c r="A153" s="197"/>
      <c r="B153" s="969"/>
      <c r="C153" s="974"/>
      <c r="D153" s="971"/>
      <c r="E153" s="971"/>
      <c r="F153" s="238" t="str">
        <f ca="1">IF(B145="Лікар-педіатр",Законод!$G$17,IF(B145="Лікар загальної практики - сімейний лікар",Законод!$G$21,IF(B145="Лікар-терапевт",Законод!$G$25,"х")))</f>
        <v>понад ліміт (2161-2340)</v>
      </c>
      <c r="G153" s="965" t="s">
        <v>423</v>
      </c>
      <c r="H153" s="965"/>
      <c r="I153" s="965"/>
      <c r="J153" s="965"/>
      <c r="K153" s="965"/>
      <c r="L153" s="196">
        <f ca="1">IF($B$145="Лікар загальної практики - сімейний лікар",IF(L149&lt;Законод!$C$22,0,(IF(AND(L149&gt;=Законод!$G$22,L149&lt;=Законод!$G$23),L149-Законод!$F$23,IF('01_Доходи'!L149&gt;=Законод!$H$22,Законод!$G$24,0)))),IF($B$145="Лікар-педіатр",IF(L149&lt;Законод!$C$18,0,(IF(AND(L149&gt;=Законод!$G$18,L149&lt;=Законод!$G$19),L149-Законод!$F$19,IF('01_Доходи'!L149&gt;=Законод!$H$18,Законод!$G$20,0)))),IF($B$145="Лікар-терапевт",IF(L149&lt;Законод!$C$26,0,(IF(AND(L149&gt;=Законод!$G$26,L149&lt;=Законод!$G$27),L149-Законод!$F$27,IF('01_Доходи'!L149&gt;=Законод!$H$26,Законод!$G$28,0)))),0)))</f>
        <v>0</v>
      </c>
      <c r="M153" s="966"/>
      <c r="N153" s="965" t="s">
        <v>423</v>
      </c>
      <c r="O153" s="965"/>
      <c r="P153" s="965"/>
      <c r="Q153" s="965"/>
      <c r="R153" s="965"/>
      <c r="S153" s="196">
        <f ca="1">IF($B$145="Лікар загальної практики - сімейний лікар",IF(S149&lt;Законод!$C$22,0,(IF(AND(S149&gt;=Законод!$G$22,S149&lt;=Законод!$G$23),S149-Законод!$F$23,IF('01_Доходи'!S149&gt;=Законод!$H$22,Законод!$G$24,0)))),IF($B$145="Лікар-педіатр",IF(S149&lt;Законод!$C$18,0,(IF(AND(S149&gt;=Законод!$G$18,S149&lt;=Законод!$G$19),S149-Законод!$F$19,IF('01_Доходи'!S149&gt;=Законод!$H$18,Законод!$G$20,0)))),IF($B$145="Лікар-терапевт",IF(S149&lt;Законод!$C$26,0,(IF(AND(S149&gt;=Законод!$G$26,S149&lt;=Законод!$G$27),S149-Законод!$F$27,IF('01_Доходи'!S149&gt;=Законод!$H$26,Законод!$G$28,0)))),0)))</f>
        <v>0</v>
      </c>
      <c r="T153" s="966"/>
      <c r="U153" s="965" t="s">
        <v>423</v>
      </c>
      <c r="V153" s="965"/>
      <c r="W153" s="965"/>
      <c r="X153" s="965"/>
      <c r="Y153" s="965"/>
      <c r="Z153" s="196">
        <f ca="1">IF($B$145="Лікар загальної практики - сімейний лікар",IF(Z149&lt;Законод!$C$22,0,(IF(AND(Z149&gt;=Законод!$G$22,Z149&lt;=Законод!$G$23),Z149-Законод!$F$23,IF('01_Доходи'!Z149&gt;=Законод!$H$22,Законод!$G$24,0)))),IF($B$145="Лікар-педіатр",IF(Z149&lt;Законод!$C$18,0,(IF(AND(Z149&gt;=Законод!$G$18,Z149&lt;=Законод!$G$19),Z149-Законод!$F$19,IF('01_Доходи'!Z149&gt;=Законод!$H$18,Законод!$G$20,0)))),IF($B$145="Лікар-терапевт",IF(Z149&lt;Законод!$C$26,0,(IF(AND(Z149&gt;=Законод!$G$26,Z149&lt;=Законод!$G$27),Z149-Законод!$F$27,IF('01_Доходи'!Z149&gt;=Законод!$H$26,Законод!$G$28,0)))),0)))</f>
        <v>0</v>
      </c>
      <c r="AA153" s="966"/>
      <c r="AB153" s="965" t="s">
        <v>423</v>
      </c>
      <c r="AC153" s="965"/>
      <c r="AD153" s="965"/>
      <c r="AE153" s="965"/>
      <c r="AF153" s="965"/>
      <c r="AG153" s="196">
        <f ca="1">IF($B$145="Лікар загальної практики - сімейний лікар",IF(AG149&lt;Законод!$C$22,0,(IF(AND(AG149&gt;=Законод!$G$22,AG149&lt;=Законод!$G$23),AG149-Законод!$F$23,IF('01_Доходи'!AG149&gt;=Законод!$H$22,Законод!$G$24,0)))),IF($B$145="Лікар-педіатр",IF(AG149&lt;Законод!$C$18,0,(IF(AND(AG149&gt;=Законод!$G$18,AG149&lt;=Законод!$G$19),AG149-Законод!$F$19,IF('01_Доходи'!AG149&gt;=Законод!$H$18,Законод!$G$20,0)))),IF($B$145="Лікар-терапевт",IF(AG149&lt;Законод!$C$26,0,(IF(AND(AG149&gt;=Законод!$G$26,AG149&lt;=Законод!$G$27),AG149-Законод!$F$27,IF('01_Доходи'!AG149&gt;=Законод!$H$26,Законод!$G$28,0)))),0)))</f>
        <v>0</v>
      </c>
      <c r="AH153" s="966"/>
      <c r="AI153" s="201"/>
      <c r="AJ153" s="945"/>
      <c r="AK153" s="960"/>
      <c r="AL153" s="960"/>
      <c r="AM153" s="927"/>
      <c r="AN153" s="210">
        <f ca="1">IF(B145="Лікар загальної практики - сімейний лікар",L153*Законод!$C$9/4*Законод!$G$16,IF(B145="Лікар-педіатр",L153*Законод!$C$9/4*Законод!$G$16,IF(B145="Лікар-терапевт",L153*Законод!$C$9/4*Законод!$G$16,0)))</f>
        <v>0</v>
      </c>
      <c r="AO153" s="210">
        <f ca="1">IF(B145="Лікар загальної практики - сімейний лікар",S153*Законод!$C$9/4*Законод!$G$16,IF(B145="Лікар-педіатр",S153*Законод!$C$9/4*Законод!$G$16,IF(B145="Лікар-терапевт",S153*Законод!$C$9/4*Законод!$G$16,0)))</f>
        <v>0</v>
      </c>
      <c r="AP153" s="210">
        <f ca="1">IF(B145="Лікар загальної практики - сімейний лікар",Z153*Законод!$C$9/4*Законод!$G$16,IF(B145="Лікар-педіатр",Z153*Законод!$C$9/4*Законод!$G$16,IF(B145="Лікар-терапевт",Z153*Законод!$C$9/4*Законод!$G$16,0)))</f>
        <v>0</v>
      </c>
      <c r="AQ153" s="210">
        <f ca="1">IF(B145="Лікар загальної практики - сімейний лікар",AG153*Законод!$C$9/4*Законод!$G$16,IF(B145="Лікар-педіатр",AG153*Законод!$C$9/4*Законод!$G$16,IF(B145="Лікар-терапевт",AG153*Законод!$C$9/4*Законод!$G$16,0)))</f>
        <v>0</v>
      </c>
      <c r="AR153" s="211">
        <f t="shared" si="16"/>
        <v>0</v>
      </c>
    </row>
    <row r="154" spans="1:44" s="50" customFormat="1" ht="31.9" customHeight="1">
      <c r="A154" s="197"/>
      <c r="B154" s="969"/>
      <c r="C154" s="974"/>
      <c r="D154" s="971"/>
      <c r="E154" s="971"/>
      <c r="F154" s="238" t="str">
        <f ca="1">IF(B145="Лікар-педіатр",Законод!$H$17,IF(B145="Лікар загальної практики - сімейний лікар",Законод!$H$21,IF(B145="Лікар-терапевт",Законод!$H$25,"х")))</f>
        <v>понад ліміт (2341-2520)</v>
      </c>
      <c r="G154" s="965" t="s">
        <v>423</v>
      </c>
      <c r="H154" s="965"/>
      <c r="I154" s="965"/>
      <c r="J154" s="965"/>
      <c r="K154" s="965"/>
      <c r="L154" s="196">
        <f ca="1">IF($B$145="Лікар загальної практики - сімейний лікар",IF(L149&lt;Законод!$C$22,0,(IF(AND(L149&gt;=Законод!$H$22,L149&lt;=Законод!$H$23),L149-Законод!$G$23,IF('01_Доходи'!L149&gt;=Законод!$I$22,Законод!$H$24,0)))),IF($B$145="Лікар-педіатр",IF(L149&lt;Законод!$C$18,0,(IF(AND(L149&gt;=Законод!$H$18,L149&lt;=Законод!$H$19),L149-Законод!$G$19,IF('01_Доходи'!L149&gt;=Законод!$I$18,Законод!$H$20,0)))),IF($B$145="Лікар-терапевт",IF(L149&lt;Законод!$C$26,0,(IF(AND(L149&gt;=Законод!$H$26,L149&lt;=Законод!$H$27),L149-Законод!$G$27,IF(L149&gt;=Законод!$I$26,Законод!$H$28,0)))),0)))</f>
        <v>0</v>
      </c>
      <c r="M154" s="966"/>
      <c r="N154" s="965" t="s">
        <v>423</v>
      </c>
      <c r="O154" s="965"/>
      <c r="P154" s="965"/>
      <c r="Q154" s="965"/>
      <c r="R154" s="965"/>
      <c r="S154" s="196">
        <f ca="1">IF($B$145="Лікар загальної практики - сімейний лікар",IF(S149&lt;Законод!$C$22,0,(IF(AND(S149&gt;=Законод!$H$22,S149&lt;=Законод!$H$23),S149-Законод!$G$23,IF('01_Доходи'!S149&gt;=Законод!$I$22,Законод!$H$24,0)))),IF($B$145="Лікар-педіатр",IF(S149&lt;Законод!$C$18,0,(IF(AND(S149&gt;=Законод!$H$18,S149&lt;=Законод!$H$19),S149-Законод!$G$19,IF('01_Доходи'!S149&gt;=Законод!$I$18,Законод!$H$20,0)))),IF($B$145="Лікар-терапевт",IF(S149&lt;Законод!$C$26,0,(IF(AND(S149&gt;=Законод!$H$26,S149&lt;=Законод!$H$27),S149-Законод!$G$27,IF(S149&gt;=Законод!$I$26,Законод!$H$28,0)))),0)))</f>
        <v>0</v>
      </c>
      <c r="T154" s="966"/>
      <c r="U154" s="965" t="s">
        <v>423</v>
      </c>
      <c r="V154" s="965"/>
      <c r="W154" s="965"/>
      <c r="X154" s="965"/>
      <c r="Y154" s="965"/>
      <c r="Z154" s="196">
        <f ca="1">IF($B$145="Лікар загальної практики - сімейний лікар",IF(Z149&lt;Законод!$C$22,0,(IF(AND(Z149&gt;=Законод!$H$22,Z149&lt;=Законод!$H$23),Z149-Законод!$G$23,IF('01_Доходи'!Z149&gt;=Законод!$I$22,Законод!$H$24,0)))),IF($B$145="Лікар-педіатр",IF(Z149&lt;Законод!$C$18,0,(IF(AND(Z149&gt;=Законод!$H$18,Z149&lt;=Законод!$H$19),Z149-Законод!$G$19,IF('01_Доходи'!Z149&gt;=Законод!$I$18,Законод!$H$20,0)))),IF($B$145="Лікар-терапевт",IF(Z149&lt;Законод!$C$26,0,(IF(AND(Z149&gt;=Законод!$H$26,Z149&lt;=Законод!$H$27),Z149-Законод!$G$27,IF(Z149&gt;=Законод!$I$26,Законод!$H$28,0)))),0)))</f>
        <v>0</v>
      </c>
      <c r="AA154" s="966"/>
      <c r="AB154" s="965" t="s">
        <v>423</v>
      </c>
      <c r="AC154" s="965"/>
      <c r="AD154" s="965"/>
      <c r="AE154" s="965"/>
      <c r="AF154" s="965"/>
      <c r="AG154" s="196">
        <f ca="1">IF($B$145="Лікар загальної практики - сімейний лікар",IF(AG149&lt;Законод!$C$22,0,(IF(AND(AG149&gt;=Законод!$H$22,AG149&lt;=Законод!$H$23),AG149-Законод!$G$23,IF('01_Доходи'!AG149&gt;=Законод!$I$22,Законод!$H$24,0)))),IF($B$145="Лікар-педіатр",IF(AG149&lt;Законод!$C$18,0,(IF(AND(AG149&gt;=Законод!$H$18,AG149&lt;=Законод!$H$19),AG149-Законод!$G$19,IF('01_Доходи'!AG149&gt;=Законод!$I$18,Законод!$H$20,0)))),IF($B$145="Лікар-терапевт",IF(AG149&lt;Законод!$C$26,0,(IF(AND(AG149&gt;=Законод!$H$26,AG149&lt;=Законод!$H$27),AG149-Законод!$G$27,IF(AG149&gt;=Законод!$I$26,Законод!$H$28,0)))),0)))</f>
        <v>0</v>
      </c>
      <c r="AH154" s="966"/>
      <c r="AI154" s="201"/>
      <c r="AJ154" s="945"/>
      <c r="AK154" s="960"/>
      <c r="AL154" s="960"/>
      <c r="AM154" s="927"/>
      <c r="AN154" s="210">
        <f ca="1">IF(B145="Лікар загальної практики - сімейний лікар",L154*Законод!$C$9/4*Законод!$H$16,IF(B145="Лікар-педіатр",L154*Законод!$C$9/4*Законод!$H$16,IF(B145="Лікар-терапевт",L154*Законод!$C$9/4*Законод!$H$16,0)))</f>
        <v>0</v>
      </c>
      <c r="AO154" s="210">
        <f ca="1">IF(B145="Лікар загальної практики - сімейний лікар",S154*Законод!$C$9/4*Законод!$H$16,IF(B145="Лікар-педіатр",S154*Законод!$C$9/4*Законод!$H$16,IF(B145="Лікар-терапевт",S154*Законод!$C$9/4*Законод!$H$16,0)))</f>
        <v>0</v>
      </c>
      <c r="AP154" s="210">
        <f ca="1">IF(B145="Лікар загальної практики - сімейний лікар",Z154*Законод!$C$9/4*Законод!$H$16,IF(B145="Лікар-педіатр",Z154*Законод!$C$9/4*Законод!$H$16,IF(B145="Лікар-терапевт",Z154*Законод!$C$9/4*Законод!$H$16,0)))</f>
        <v>0</v>
      </c>
      <c r="AQ154" s="210">
        <f ca="1">IF(B145="Лікар загальної практики - сімейний лікар",AG154*Законод!$C$9/4*Законод!$H$16,IF(B145="Лікар-педіатр",AG154*Законод!$C$9/4*Законод!$H$16,IF(B145="Лікар-терапевт",AG154*Законод!$C$9/4*Законод!$H$16,0)))</f>
        <v>0</v>
      </c>
      <c r="AR154" s="211">
        <f t="shared" si="16"/>
        <v>0</v>
      </c>
    </row>
    <row r="155" spans="1:44" s="50" customFormat="1" ht="31.9" customHeight="1">
      <c r="A155" s="197"/>
      <c r="B155" s="969"/>
      <c r="C155" s="974"/>
      <c r="D155" s="971"/>
      <c r="E155" s="971"/>
      <c r="F155" s="238" t="str">
        <f ca="1">IF(B145="Лікар-педіатр",Законод!$I$17,IF(B145="Лікар загальної практики - сімейний лікар",Законод!$I$21,IF(B145="Лікар-терапевт",Законод!$I$25,"х")))</f>
        <v>понад ліміт (2521-2700)</v>
      </c>
      <c r="G155" s="965" t="s">
        <v>423</v>
      </c>
      <c r="H155" s="965"/>
      <c r="I155" s="965"/>
      <c r="J155" s="965"/>
      <c r="K155" s="965"/>
      <c r="L155" s="196">
        <f ca="1">IF($B$145="Лікар загальної практики - сімейний лікар",IF(L149&lt;Законод!$C$22,0,(IF(AND(L149&gt;=Законод!$I$22,L149&lt;=Законод!$I$23),L149-Законод!$H$23,IF('01_Доходи'!L149&gt;=Законод!$I$22,Законод!$I$24,0)))),IF($B$145="Лікар-педіатр",IF(L149&lt;Законод!$C$18,0,(IF(AND(L149&gt;=Законод!$I$18,L149&lt;=Законод!$I$19),L149-Законод!$H$19,IF('01_Доходи'!L149&gt;=Законод!$I$18,Законод!$H$20,0)))),IF($B$145="Лікар-терапевт",IF(L149&lt;Законод!$C$26,0,(IF(AND(L149&gt;=Законод!$I$26,L149&lt;=Законод!$I$27),L149-Законод!$H$27,IF('01_Доходи'!L149&gt;=Законод!$I$26,Законод!$H$28,0)))),0)))</f>
        <v>0</v>
      </c>
      <c r="M155" s="966"/>
      <c r="N155" s="965" t="s">
        <v>423</v>
      </c>
      <c r="O155" s="965"/>
      <c r="P155" s="965"/>
      <c r="Q155" s="965"/>
      <c r="R155" s="965"/>
      <c r="S155" s="196">
        <f ca="1">IF($B$145="Лікар загальної практики - сімейний лікар",IF(S149&lt;Законод!$C$22,0,(IF(AND(S149&gt;=Законод!$I$22,S149&lt;=Законод!$I$23),S149-Законод!$H$23,IF('01_Доходи'!S149&gt;=Законод!$I$22,Законод!$I$24,0)))),IF($B$145="Лікар-педіатр",IF(S149&lt;Законод!$C$18,0,(IF(AND(S149&gt;=Законод!$I$18,S149&lt;=Законод!$I$19),S149-Законод!$H$19,IF('01_Доходи'!S149&gt;=Законод!$I$18,Законод!$H$20,0)))),IF($B$145="Лікар-терапевт",IF(S149&lt;Законод!$C$26,0,(IF(AND(S149&gt;=Законод!$I$26,S149&lt;=Законод!$I$27),S149-Законод!$H$27,IF('01_Доходи'!S149&gt;=Законод!$I$26,Законод!$H$28,0)))),0)))</f>
        <v>0</v>
      </c>
      <c r="T155" s="966"/>
      <c r="U155" s="965" t="s">
        <v>423</v>
      </c>
      <c r="V155" s="965"/>
      <c r="W155" s="965"/>
      <c r="X155" s="965"/>
      <c r="Y155" s="965"/>
      <c r="Z155" s="196">
        <f ca="1">IF($B$145="Лікар загальної практики - сімейний лікар",IF(Z149&lt;Законод!$C$22,0,(IF(AND(Z149&gt;=Законод!$I$22,Z149&lt;=Законод!$I$23),Z149-Законод!$H$23,IF('01_Доходи'!Z149&gt;=Законод!$I$22,Законод!$I$24,0)))),IF($B$145="Лікар-педіатр",IF(Z149&lt;Законод!$C$18,0,(IF(AND(Z149&gt;=Законод!$I$18,Z149&lt;=Законод!$I$19),Z149-Законод!$H$19,IF('01_Доходи'!Z149&gt;=Законод!$I$18,Законод!$H$20,0)))),IF($B$145="Лікар-терапевт",IF(Z149&lt;Законод!$C$26,0,(IF(AND(Z149&gt;=Законод!$I$26,Z149&lt;=Законод!$I$27),Z149-Законод!$H$27,IF('01_Доходи'!Z149&gt;=Законод!$I$26,Законод!$H$28,0)))),0)))</f>
        <v>0</v>
      </c>
      <c r="AA155" s="966"/>
      <c r="AB155" s="965" t="s">
        <v>423</v>
      </c>
      <c r="AC155" s="965"/>
      <c r="AD155" s="965"/>
      <c r="AE155" s="965"/>
      <c r="AF155" s="965"/>
      <c r="AG155" s="196">
        <f ca="1">IF($B$145="Лікар загальної практики - сімейний лікар",IF(AG149&lt;Законод!$C$22,0,(IF(AND(AG149&gt;=Законод!$I$22,AG149&lt;=Законод!$I$23),AG149-Законод!$H$23,IF('01_Доходи'!AG149&gt;=Законод!$I$22,Законод!$I$24,0)))),IF($B$145="Лікар-педіатр",IF(AG149&lt;Законод!$C$18,0,(IF(AND(AG149&gt;=Законод!$I$18,AG149&lt;=Законод!$I$19),AG149-Законод!$H$19,IF('01_Доходи'!AG149&gt;=Законод!$I$18,Законод!$H$20,0)))),IF($B$145="Лікар-терапевт",IF(AG149&lt;Законод!$C$26,0,(IF(AND(AG149&gt;=Законод!$I$26,AG149&lt;=Законод!$I$27),AG149-Законод!$H$27,IF('01_Доходи'!AG149&gt;=Законод!$I$26,Законод!$H$28,0)))),0)))</f>
        <v>0</v>
      </c>
      <c r="AH155" s="966"/>
      <c r="AI155" s="201"/>
      <c r="AJ155" s="945"/>
      <c r="AK155" s="960"/>
      <c r="AL155" s="960"/>
      <c r="AM155" s="927"/>
      <c r="AN155" s="210">
        <f ca="1">IF(B145="Лікар загальної практики - сімейний лікар",L155*Законод!$C$9/4*Законод!$I$16,IF(B145="Лікар-педіатр",L155*Законод!$C$9/4*Законод!$I$16,IF(B145="Лікар-терапевт",L155*Законод!$C$9/4*Законод!$I$16,0)))</f>
        <v>0</v>
      </c>
      <c r="AO155" s="210">
        <f ca="1">IF(B145="Лікар загальної практики - сімейний лікар",S155*Законод!$C$9/4*Законод!$I$16,IF(B145="Лікар-педіатр",S155*Законод!$C$9/4*Законод!$I$16,IF(B145="Лікар-терапевт",S155*Законод!$C$9/4*Законод!$I$16,0)))</f>
        <v>0</v>
      </c>
      <c r="AP155" s="210">
        <f ca="1">IF(B145="Лікар загальної практики - сімейний лікар",Z155*Законод!$C$9/4*Законод!$I$16,IF(B145="Лікар-педіатр",Z155*Законод!$C$9/4*Законод!$I$16,IF(B145="Лікар-терапевт",Z155*Законод!$C$9/4*Законод!$I$16,0)))</f>
        <v>0</v>
      </c>
      <c r="AQ155" s="210">
        <f ca="1">IF(B145="Лікар загальної практики - сімейний лікар",AG155*Законод!$C$9/4*Законод!$I$16,IF(B145="Лікар-педіатр",AG155*Законод!$C$9/4*Законод!$I$16,IF(B145="Лікар-терапевт",AG155*Законод!$C$9/4*Законод!$I$16,0)))</f>
        <v>0</v>
      </c>
      <c r="AR155" s="211">
        <f t="shared" si="16"/>
        <v>0</v>
      </c>
    </row>
    <row r="156" spans="1:44" s="218" customFormat="1" ht="31.9" customHeight="1" thickBot="1">
      <c r="A156" s="213"/>
      <c r="B156" s="969"/>
      <c r="C156" s="974"/>
      <c r="D156" s="971"/>
      <c r="E156" s="971"/>
      <c r="F156" s="239" t="str">
        <f ca="1">IF(B145="Лікар-педіатр",Законод!$J$17,IF(B145="Лікар загальної практики - сімейний лікар",Законод!$J$21,IF(B145="Лікар-терапевт",Законод!$J$25,"х")))</f>
        <v>понад ліміт (&gt;=2701)</v>
      </c>
      <c r="G156" s="968" t="s">
        <v>423</v>
      </c>
      <c r="H156" s="968"/>
      <c r="I156" s="968"/>
      <c r="J156" s="968"/>
      <c r="K156" s="968"/>
      <c r="L156" s="196">
        <f ca="1">IF($B$145="Лікар загальної практики - сімейний лікар",IF(L149&gt;=Законод!$J$22,'01_Доходи'!L149-('01_Доходи'!L150+'01_Доходи'!L151+'01_Доходи'!L152+'01_Доходи'!L153+'01_Доходи'!L154+'01_Доходи'!L155),0),IF($B$145="Лікар-педіатр",IF(L149&gt;=Законод!$J$18,'01_Доходи'!L149-('01_Доходи'!L150+'01_Доходи'!L151+'01_Доходи'!L152+'01_Доходи'!L153+'01_Доходи'!L154+'01_Доходи'!L155),0),IF($B$145="Лікар-терапевт",IF('01_Доходи'!L149&gt;=Законод!$J$26,L149-Законод!$I$27,0),0)))</f>
        <v>0</v>
      </c>
      <c r="M156" s="966"/>
      <c r="N156" s="968" t="s">
        <v>423</v>
      </c>
      <c r="O156" s="968"/>
      <c r="P156" s="968"/>
      <c r="Q156" s="968"/>
      <c r="R156" s="968"/>
      <c r="S156" s="196">
        <f ca="1">IF($B$145="Лікар загальної практики - сімейний лікар",IF(S149&gt;=Законод!$J$22,'01_Доходи'!S149-('01_Доходи'!S150+'01_Доходи'!S151+'01_Доходи'!S152+'01_Доходи'!S153+'01_Доходи'!S154+'01_Доходи'!S155),0),IF($B$145="Лікар-педіатр",IF(S149&gt;=Законод!$J$18,'01_Доходи'!S149-('01_Доходи'!S150+'01_Доходи'!S151+'01_Доходи'!S152+'01_Доходи'!S153+'01_Доходи'!S154+'01_Доходи'!S155),0),IF($B$145="Лікар-терапевт",IF('01_Доходи'!S149&gt;=Законод!$J$26,S149-Законод!$I$27,0),0)))</f>
        <v>0</v>
      </c>
      <c r="T156" s="966"/>
      <c r="U156" s="968" t="s">
        <v>423</v>
      </c>
      <c r="V156" s="968"/>
      <c r="W156" s="968"/>
      <c r="X156" s="968"/>
      <c r="Y156" s="968"/>
      <c r="Z156" s="196">
        <f ca="1">IF($B$145="Лікар загальної практики - сімейний лікар",IF(Z149&gt;=Законод!$J$22,'01_Доходи'!Z149-('01_Доходи'!Z150+'01_Доходи'!Z151+'01_Доходи'!Z152+'01_Доходи'!Z153+'01_Доходи'!Z154+'01_Доходи'!Z155),0),IF($B$145="Лікар-педіатр",IF(Z149&gt;=Законод!$J$18,'01_Доходи'!Z149-('01_Доходи'!Z150+'01_Доходи'!Z151+'01_Доходи'!Z152+'01_Доходи'!Z153+'01_Доходи'!Z154+'01_Доходи'!Z155),0),IF($B$145="Лікар-терапевт",IF('01_Доходи'!Z149&gt;=Законод!$J$26,Z149-Законод!$I$27,0),0)))</f>
        <v>0</v>
      </c>
      <c r="AA156" s="966"/>
      <c r="AB156" s="968" t="s">
        <v>423</v>
      </c>
      <c r="AC156" s="968"/>
      <c r="AD156" s="968"/>
      <c r="AE156" s="968"/>
      <c r="AF156" s="968"/>
      <c r="AG156" s="196">
        <f ca="1">IF($B$145="Лікар загальної практики - сімейний лікар",IF(AG149&gt;=Законод!$J$22,'01_Доходи'!AG149-('01_Доходи'!AG150+'01_Доходи'!AG151+'01_Доходи'!AG152+'01_Доходи'!AG153+'01_Доходи'!AG154+'01_Доходи'!AG155),0),IF($B$145="Лікар-педіатр",IF(AG149&gt;=Законод!$J$18,'01_Доходи'!AG149-('01_Доходи'!AG150+'01_Доходи'!AG151+'01_Доходи'!AG152+'01_Доходи'!AG153+'01_Доходи'!AG154+'01_Доходи'!AG155),0),IF($B$145="Лікар-терапевт",IF('01_Доходи'!AG149&gt;=Законод!$J$26,AG149-Законод!$I$27,0),0)))</f>
        <v>0</v>
      </c>
      <c r="AH156" s="966"/>
      <c r="AI156" s="215"/>
      <c r="AJ156" s="946"/>
      <c r="AK156" s="961"/>
      <c r="AL156" s="961"/>
      <c r="AM156" s="928"/>
      <c r="AN156" s="216">
        <f ca="1">IF(B145="Лікар загальної практики - сімейний лікар",L156*Законод!$C$9/4*Законод!$J$16,IF(B145="Лікар-педіатр",L156*Законод!$C$9/4*Законод!$J$16,IF(B145="Лікар-терапевт",L156*Законод!$C$9/4*Законод!$J$16,0)))</f>
        <v>0</v>
      </c>
      <c r="AO156" s="216">
        <f ca="1">IF(B145="Лікар загальної практики - сімейний лікар",S156*Законод!$C$9/4*Законод!$J$16,IF(B145="Лікар-педіатр",S156*Законод!$C$9/4*Законод!$J$16,IF(B145="Лікар-терапевт",S156*Законод!$C$9/4*Законод!$J$16,0)))</f>
        <v>0</v>
      </c>
      <c r="AP156" s="216">
        <f ca="1">IF(B145="Лікар загальної практики - сімейний лікар",S156*Законод!$C$9/4*Законод!$J$16,IF(B145="Лікар-педіатр",S156*Законод!$C$9/4*Законод!$J$16,IF(B145="Лікар-терапевт",S156*Законод!$C$9/4*Законод!$J$16,0)))</f>
        <v>0</v>
      </c>
      <c r="AQ156" s="216">
        <f ca="1">IF(B145="Лікар загальної практики - сімейний лікар",AG156*Законод!$C$9/4*Законод!$J$16,IF(B145="Лікар-педіатр",AG156*Законод!$C$9/4*Законод!$J$16,IF(B145="Лікар-терапевт",AG156*Законод!$C$9/4*Законод!$J$16,0)))</f>
        <v>0</v>
      </c>
      <c r="AR156" s="217">
        <f t="shared" si="16"/>
        <v>0</v>
      </c>
    </row>
    <row r="157" spans="1:44" s="233" customFormat="1" ht="19.149999999999999" customHeight="1" thickBot="1">
      <c r="A157" s="219"/>
      <c r="B157" s="220"/>
      <c r="C157" s="221"/>
      <c r="D157" s="222"/>
      <c r="E157" s="222"/>
      <c r="F157" s="223"/>
      <c r="G157" s="224"/>
      <c r="H157" s="224"/>
      <c r="I157" s="224"/>
      <c r="J157" s="224"/>
      <c r="K157" s="224"/>
      <c r="L157" s="225"/>
      <c r="M157" s="226"/>
      <c r="N157" s="224"/>
      <c r="O157" s="224"/>
      <c r="P157" s="224"/>
      <c r="Q157" s="224"/>
      <c r="R157" s="224"/>
      <c r="S157" s="225"/>
      <c r="T157" s="226"/>
      <c r="U157" s="224"/>
      <c r="V157" s="224"/>
      <c r="W157" s="224"/>
      <c r="X157" s="224"/>
      <c r="Y157" s="224"/>
      <c r="Z157" s="227"/>
      <c r="AA157" s="226"/>
      <c r="AB157" s="224"/>
      <c r="AC157" s="224"/>
      <c r="AD157" s="224"/>
      <c r="AE157" s="224"/>
      <c r="AF157" s="224"/>
      <c r="AG157" s="227"/>
      <c r="AH157" s="226"/>
      <c r="AI157" s="228"/>
      <c r="AJ157" s="229"/>
      <c r="AK157" s="229"/>
      <c r="AL157" s="229"/>
      <c r="AM157" s="230"/>
      <c r="AN157" s="231"/>
      <c r="AO157" s="231"/>
      <c r="AP157" s="231"/>
      <c r="AQ157" s="231"/>
      <c r="AR157" s="232"/>
    </row>
    <row r="158" spans="1:44" s="191" customFormat="1" ht="30" customHeight="1">
      <c r="A158" s="194">
        <f>A145+1</f>
        <v>10</v>
      </c>
      <c r="B158" s="969" t="s">
        <v>312</v>
      </c>
      <c r="C158" s="974" t="s">
        <v>89</v>
      </c>
      <c r="D158" s="971"/>
      <c r="E158" s="971" t="s">
        <v>168</v>
      </c>
      <c r="F158" s="234" t="s">
        <v>659</v>
      </c>
      <c r="G158" s="196">
        <v>22</v>
      </c>
      <c r="H158" s="196">
        <v>127</v>
      </c>
      <c r="I158" s="196">
        <v>158</v>
      </c>
      <c r="J158" s="196">
        <v>268</v>
      </c>
      <c r="K158" s="196">
        <v>172</v>
      </c>
      <c r="L158" s="557">
        <f>G158+H158+I158+J158+K158</f>
        <v>747</v>
      </c>
      <c r="M158" s="966">
        <v>1</v>
      </c>
      <c r="N158" s="196">
        <v>22</v>
      </c>
      <c r="O158" s="196">
        <v>127</v>
      </c>
      <c r="P158" s="196">
        <v>158</v>
      </c>
      <c r="Q158" s="196">
        <v>268</v>
      </c>
      <c r="R158" s="196">
        <v>172</v>
      </c>
      <c r="S158" s="557">
        <f>N158+O158+P158+Q158+R158</f>
        <v>747</v>
      </c>
      <c r="T158" s="966">
        <v>1</v>
      </c>
      <c r="U158" s="196">
        <v>22</v>
      </c>
      <c r="V158" s="196">
        <v>127</v>
      </c>
      <c r="W158" s="196">
        <v>158</v>
      </c>
      <c r="X158" s="196">
        <v>268</v>
      </c>
      <c r="Y158" s="196">
        <v>172</v>
      </c>
      <c r="Z158" s="557">
        <f>U158+V158+W158+X158+Y158</f>
        <v>747</v>
      </c>
      <c r="AA158" s="966">
        <v>1</v>
      </c>
      <c r="AB158" s="196">
        <v>22</v>
      </c>
      <c r="AC158" s="196">
        <v>127</v>
      </c>
      <c r="AD158" s="196">
        <v>158</v>
      </c>
      <c r="AE158" s="196">
        <v>268</v>
      </c>
      <c r="AF158" s="196">
        <v>172</v>
      </c>
      <c r="AG158" s="557">
        <f>AB158+AC158+AD158+AE158+AF158</f>
        <v>747</v>
      </c>
      <c r="AH158" s="966">
        <v>1</v>
      </c>
      <c r="AI158" s="540">
        <f>A158</f>
        <v>10</v>
      </c>
      <c r="AJ158" s="944" t="str">
        <f>B158</f>
        <v>Лікар загальної практики - сімейний лікар</v>
      </c>
      <c r="AK158" s="959" t="str">
        <f>C158</f>
        <v>Шептур Тетяна Володимирівна</v>
      </c>
      <c r="AL158" s="959">
        <f>D158</f>
        <v>0</v>
      </c>
      <c r="AM158" s="929" t="s">
        <v>79</v>
      </c>
      <c r="AN158" s="947">
        <f>SUM(AN163:AN169)</f>
        <v>144296.389475</v>
      </c>
      <c r="AO158" s="947">
        <f>SUM(AO163:AO169)</f>
        <v>144296.389475</v>
      </c>
      <c r="AP158" s="947">
        <f>SUM(AP163:AP169)</f>
        <v>144296.389475</v>
      </c>
      <c r="AQ158" s="947">
        <f>SUM(AQ163:AQ169)</f>
        <v>144296.389475</v>
      </c>
      <c r="AR158" s="962">
        <f>SUM(AN158:AQ162)</f>
        <v>577185.55790000001</v>
      </c>
    </row>
    <row r="159" spans="1:44" s="50" customFormat="1" ht="28.15" customHeight="1">
      <c r="A159" s="197"/>
      <c r="B159" s="969"/>
      <c r="C159" s="974"/>
      <c r="D159" s="971"/>
      <c r="E159" s="971"/>
      <c r="F159" s="234" t="s">
        <v>660</v>
      </c>
      <c r="G159" s="196">
        <v>22</v>
      </c>
      <c r="H159" s="196">
        <v>127</v>
      </c>
      <c r="I159" s="196">
        <v>158</v>
      </c>
      <c r="J159" s="196">
        <v>268</v>
      </c>
      <c r="K159" s="196">
        <v>172</v>
      </c>
      <c r="L159" s="557">
        <f>G159+H159+I159+J159+K159</f>
        <v>747</v>
      </c>
      <c r="M159" s="966"/>
      <c r="N159" s="196">
        <v>22</v>
      </c>
      <c r="O159" s="196">
        <v>127</v>
      </c>
      <c r="P159" s="196">
        <v>158</v>
      </c>
      <c r="Q159" s="196">
        <v>268</v>
      </c>
      <c r="R159" s="196">
        <v>172</v>
      </c>
      <c r="S159" s="557">
        <f>N159+O159+P159+Q159+R159</f>
        <v>747</v>
      </c>
      <c r="T159" s="966"/>
      <c r="U159" s="196">
        <v>22</v>
      </c>
      <c r="V159" s="196">
        <v>127</v>
      </c>
      <c r="W159" s="196">
        <v>158</v>
      </c>
      <c r="X159" s="196">
        <v>268</v>
      </c>
      <c r="Y159" s="196">
        <v>172</v>
      </c>
      <c r="Z159" s="557">
        <f>U159+V159+W159+X159+Y159</f>
        <v>747</v>
      </c>
      <c r="AA159" s="966"/>
      <c r="AB159" s="196">
        <v>22</v>
      </c>
      <c r="AC159" s="196">
        <v>127</v>
      </c>
      <c r="AD159" s="196">
        <v>158</v>
      </c>
      <c r="AE159" s="196">
        <v>268</v>
      </c>
      <c r="AF159" s="196">
        <v>172</v>
      </c>
      <c r="AG159" s="557">
        <f>AB159+AC159+AD159+AE159+AF159</f>
        <v>747</v>
      </c>
      <c r="AH159" s="966"/>
      <c r="AI159" s="198"/>
      <c r="AJ159" s="945"/>
      <c r="AK159" s="960"/>
      <c r="AL159" s="960"/>
      <c r="AM159" s="930"/>
      <c r="AN159" s="948"/>
      <c r="AO159" s="948"/>
      <c r="AP159" s="948"/>
      <c r="AQ159" s="948"/>
      <c r="AR159" s="963"/>
    </row>
    <row r="160" spans="1:44" s="90" customFormat="1" ht="31.15" customHeight="1">
      <c r="A160" s="240"/>
      <c r="B160" s="969"/>
      <c r="C160" s="974"/>
      <c r="D160" s="971"/>
      <c r="E160" s="971"/>
      <c r="F160" s="241" t="s">
        <v>661</v>
      </c>
      <c r="G160" s="196">
        <v>22</v>
      </c>
      <c r="H160" s="196">
        <v>127</v>
      </c>
      <c r="I160" s="196">
        <v>158</v>
      </c>
      <c r="J160" s="196">
        <v>268</v>
      </c>
      <c r="K160" s="196">
        <v>172</v>
      </c>
      <c r="L160" s="557">
        <f>G160+H160+I160+J160+K160</f>
        <v>747</v>
      </c>
      <c r="M160" s="966"/>
      <c r="N160" s="196">
        <v>22</v>
      </c>
      <c r="O160" s="196">
        <v>127</v>
      </c>
      <c r="P160" s="196">
        <v>158</v>
      </c>
      <c r="Q160" s="196">
        <v>268</v>
      </c>
      <c r="R160" s="196">
        <v>172</v>
      </c>
      <c r="S160" s="557">
        <f>N160+O160+P160+Q160+R160</f>
        <v>747</v>
      </c>
      <c r="T160" s="966"/>
      <c r="U160" s="196">
        <v>22</v>
      </c>
      <c r="V160" s="196">
        <v>127</v>
      </c>
      <c r="W160" s="196">
        <v>158</v>
      </c>
      <c r="X160" s="196">
        <v>268</v>
      </c>
      <c r="Y160" s="196">
        <v>172</v>
      </c>
      <c r="Z160" s="557">
        <f>U160+V160+W160+X160+Y160</f>
        <v>747</v>
      </c>
      <c r="AA160" s="966"/>
      <c r="AB160" s="196">
        <v>22</v>
      </c>
      <c r="AC160" s="196">
        <v>127</v>
      </c>
      <c r="AD160" s="196">
        <v>158</v>
      </c>
      <c r="AE160" s="196">
        <v>268</v>
      </c>
      <c r="AF160" s="196">
        <v>172</v>
      </c>
      <c r="AG160" s="557">
        <f>AB160+AC160+AD160+AE160+AF160</f>
        <v>747</v>
      </c>
      <c r="AH160" s="966"/>
      <c r="AI160" s="242"/>
      <c r="AJ160" s="945"/>
      <c r="AK160" s="960"/>
      <c r="AL160" s="960"/>
      <c r="AM160" s="930"/>
      <c r="AN160" s="948"/>
      <c r="AO160" s="948"/>
      <c r="AP160" s="948"/>
      <c r="AQ160" s="948"/>
      <c r="AR160" s="963"/>
    </row>
    <row r="161" spans="1:44" s="50" customFormat="1" ht="31.9" customHeight="1" thickBot="1">
      <c r="A161" s="197"/>
      <c r="B161" s="969"/>
      <c r="C161" s="974"/>
      <c r="D161" s="971"/>
      <c r="E161" s="971"/>
      <c r="F161" s="236" t="s">
        <v>426</v>
      </c>
      <c r="G161" s="203">
        <f>IF($B$158="Лікар-педіатр",G160/L160,IF($B$158="Лікар-терапевт","х",IF($B$158="Лікар загальної практики - сімейний лікар",G160/L160,0)))</f>
        <v>2.9451137884872823E-2</v>
      </c>
      <c r="H161" s="203">
        <f>IF($B$158="Лікар-педіатр",H160/L160,IF($B$158="Лікар-терапевт","х",IF($B$158="Лікар загальної практики - сімейний лікар",H160/L160,0)))</f>
        <v>0.17001338688085676</v>
      </c>
      <c r="I161" s="203">
        <f>IF($B$158="Лікар-педіатр","x",IF($B$158="Лікар-терапевт",I160/L160,IF($B$158="Лікар загальної практики - сімейний лікар",I160/L160,0)))</f>
        <v>0.21151271753681392</v>
      </c>
      <c r="J161" s="203">
        <f>IF($B$158="Лікар-педіатр","x",IF($B$158="Лікар-терапевт",J160/L160,IF($B$158="Лікар загальної практики - сімейний лікар",J160/L160,0)))</f>
        <v>0.35876840696117807</v>
      </c>
      <c r="K161" s="203">
        <f>IF($B$158="Лікар-педіатр","x",IF($B$158="Лікар-терапевт",K160/L160,IF($B$158="Лікар загальної практики - сімейний лікар",K160/L160,0)))</f>
        <v>0.23025435073627845</v>
      </c>
      <c r="L161" s="203">
        <f>SUM(G161:K161)</f>
        <v>1</v>
      </c>
      <c r="M161" s="966"/>
      <c r="N161" s="203">
        <f>IF($B$158="Лікар-педіатр",N160/S160,IF($B$158="Лікар-терапевт","х",IF($B$158="Лікар загальної практики - сімейний лікар",N160/S160,0)))</f>
        <v>2.9451137884872823E-2</v>
      </c>
      <c r="O161" s="203">
        <f>IF($B$158="Лікар-педіатр",O160/S160,IF($B$158="Лікар-терапевт","х",IF($B$158="Лікар загальної практики - сімейний лікар",O160/S160,0)))</f>
        <v>0.17001338688085676</v>
      </c>
      <c r="P161" s="203">
        <f>IF($B$158="Лікар-педіатр","x",IF($B$158="Лікар-терапевт",P160/S160,IF($B$158="Лікар загальної практики - сімейний лікар",P160/S160,0)))</f>
        <v>0.21151271753681392</v>
      </c>
      <c r="Q161" s="203">
        <f>IF($B$158="Лікар-педіатр","x",IF($B$158="Лікар-терапевт",Q160/S160,IF($B$158="Лікар загальної практики - сімейний лікар",Q160/S160,0)))</f>
        <v>0.35876840696117807</v>
      </c>
      <c r="R161" s="203">
        <f>IF($B$158="Лікар-педіатр","x",IF($B$158="Лікар-терапевт",R160/S160,IF($B$158="Лікар загальної практики - сімейний лікар",R160/S160,0)))</f>
        <v>0.23025435073627845</v>
      </c>
      <c r="S161" s="203">
        <f>SUM(N161:R161)</f>
        <v>1</v>
      </c>
      <c r="T161" s="966"/>
      <c r="U161" s="203">
        <f>IF($B$158="Лікар-педіатр",U160/Z160,IF($B$158="Лікар-терапевт","х",IF($B$158="Лікар загальної практики - сімейний лікар",U160/Z160,0)))</f>
        <v>2.9451137884872823E-2</v>
      </c>
      <c r="V161" s="203">
        <f>IF($B$158="Лікар-педіатр",V160/Z160,IF($B$158="Лікар-терапевт","х",IF($B$158="Лікар загальної практики - сімейний лікар",V160/Z160,0)))</f>
        <v>0.17001338688085676</v>
      </c>
      <c r="W161" s="203">
        <f>IF($B$158="Лікар-педіатр","x",IF($B$158="Лікар-терапевт",W160/Z160,IF($B$158="Лікар загальної практики - сімейний лікар",W160/Z160,0)))</f>
        <v>0.21151271753681392</v>
      </c>
      <c r="X161" s="203">
        <f>IF($B$158="Лікар-педіатр","x",IF($B$158="Лікар-терапевт",X160/Z160,IF($B$158="Лікар загальної практики - сімейний лікар",X160/Z160,0)))</f>
        <v>0.35876840696117807</v>
      </c>
      <c r="Y161" s="203">
        <f>IF($B$158="Лікар-педіатр","x",IF($B$158="Лікар-терапевт",Y160/Z160,IF($B$158="Лікар загальної практики - сімейний лікар",Y160/Z160,0)))</f>
        <v>0.23025435073627845</v>
      </c>
      <c r="Z161" s="203">
        <f>SUM(U161:Y161)</f>
        <v>1</v>
      </c>
      <c r="AA161" s="966"/>
      <c r="AB161" s="203">
        <f>IF($B$158="Лікар-педіатр",AB160/AG160,IF($B$158="Лікар-терапевт","х",IF($B$158="Лікар загальної практики - сімейний лікар",AB160/AG160,0)))</f>
        <v>2.9451137884872823E-2</v>
      </c>
      <c r="AC161" s="203">
        <f>IF($B$158="Лікар-педіатр",AC160/AG160,IF($B$158="Лікар-терапевт","х",IF($B$158="Лікар загальної практики - сімейний лікар",AC160/AG160,0)))</f>
        <v>0.17001338688085676</v>
      </c>
      <c r="AD161" s="203">
        <f>IF($B$158="Лікар-педіатр","x",IF($B$158="Лікар-терапевт",AD160/AG160,IF($B$158="Лікар загальної практики - сімейний лікар",AD160/AG160,0)))</f>
        <v>0.21151271753681392</v>
      </c>
      <c r="AE161" s="203">
        <f>IF($B$158="Лікар-педіатр","x",IF($B$158="Лікар-терапевт",AE160/AG160,IF($B$158="Лікар загальної практики - сімейний лікар",AE160/AG160,0)))</f>
        <v>0.35876840696117807</v>
      </c>
      <c r="AF161" s="203">
        <f>IF($B$158="Лікар-педіатр","x",IF($B$158="Лікар-терапевт",AF160/AG160,IF($B$158="Лікар загальної практики - сімейний лікар",AF160/AG160,0)))</f>
        <v>0.23025435073627845</v>
      </c>
      <c r="AG161" s="203">
        <f>SUM(AB161:AF161)</f>
        <v>1</v>
      </c>
      <c r="AH161" s="966"/>
      <c r="AI161" s="201"/>
      <c r="AJ161" s="945"/>
      <c r="AK161" s="960"/>
      <c r="AL161" s="960"/>
      <c r="AM161" s="930"/>
      <c r="AN161" s="948"/>
      <c r="AO161" s="948"/>
      <c r="AP161" s="948"/>
      <c r="AQ161" s="948"/>
      <c r="AR161" s="963"/>
    </row>
    <row r="162" spans="1:44" s="50" customFormat="1" ht="45" customHeight="1" thickBot="1">
      <c r="A162" s="197"/>
      <c r="B162" s="969"/>
      <c r="C162" s="974"/>
      <c r="D162" s="971"/>
      <c r="E162" s="972"/>
      <c r="F162" s="204" t="s">
        <v>662</v>
      </c>
      <c r="G162" s="205">
        <f>IF($B$158="Лікар загальної практики - сімейний лікар",AVERAGE(G158:G160),IF($B$158="Лікар-педіатр",AVERAGE(G158:G160),IF($B$158="Лікар-терапевт","х",0)))</f>
        <v>22</v>
      </c>
      <c r="H162" s="205">
        <f>IF($B$158="Лікар загальної практики - сімейний лікар",AVERAGE(H158:H160),IF($B$158="Лікар-педіатр",AVERAGE(H158:H160),IF($B$158="Лікар-терапевт","х",0)))</f>
        <v>127</v>
      </c>
      <c r="I162" s="205">
        <f>IF($B$158="Лікар загальної практики - сімейний лікар",AVERAGE(I158:I160),IF($B$158="Лікар-педіатр","x",IF($B$158="Лікар-терапевт",AVERAGE(I158:I160),0)))</f>
        <v>158</v>
      </c>
      <c r="J162" s="205">
        <f>IF($B$158="Лікар загальної практики - сімейний лікар",AVERAGE(J158:J160),IF($B$158="Лікар-педіатр","x",IF($B$158="Лікар-терапевт",AVERAGE(J158:J160),0)))</f>
        <v>268</v>
      </c>
      <c r="K162" s="205">
        <f>IF($B$158="Лікар загальної практики - сімейний лікар",AVERAGE(K158:K160),IF($B$158="Лікар-педіатр","x",IF($B$158="Лікар-терапевт",AVERAGE(K158:K160),0)))</f>
        <v>172</v>
      </c>
      <c r="L162" s="206">
        <f>SUM(G162:K162)</f>
        <v>747</v>
      </c>
      <c r="M162" s="973"/>
      <c r="N162" s="205">
        <f>IF($B$158="Лікар загальної практики - сімейний лікар",AVERAGE(N158:N160),IF($B$158="Лікар-педіатр",AVERAGE(N158:N160),IF($B$158="Лікар-терапевт","х",0)))</f>
        <v>22</v>
      </c>
      <c r="O162" s="205">
        <f>IF($B$158="Лікар загальної практики - сімейний лікар",AVERAGE(O158:O160),IF($B$158="Лікар-педіатр",AVERAGE(O158:O160),IF($B$158="Лікар-терапевт","х",0)))</f>
        <v>127</v>
      </c>
      <c r="P162" s="205">
        <f>IF($B$158="Лікар загальної практики - сімейний лікар",AVERAGE(P158:P160),IF($B$158="Лікар-педіатр","x",IF($B$158="Лікар-терапевт",AVERAGE(P158:P160),0)))</f>
        <v>158</v>
      </c>
      <c r="Q162" s="205">
        <f>IF($B$158="Лікар загальної практики - сімейний лікар",AVERAGE(Q158:Q160),IF($B$158="Лікар-педіатр","x",IF($B$158="Лікар-терапевт",AVERAGE(Q158:Q160),0)))</f>
        <v>268</v>
      </c>
      <c r="R162" s="205">
        <f>IF($B$158="Лікар загальної практики - сімейний лікар",AVERAGE(R158:R160),IF($B$158="Лікар-педіатр","x",IF($B$158="Лікар-терапевт",AVERAGE(R158:R160),0)))</f>
        <v>172</v>
      </c>
      <c r="S162" s="206">
        <f>SUM(N162:R162)</f>
        <v>747</v>
      </c>
      <c r="T162" s="973"/>
      <c r="U162" s="205">
        <f>IF($B$158="Лікар загальної практики - сімейний лікар",AVERAGE(U158:U160),IF($B$158="Лікар-педіатр",AVERAGE(U158:U160),IF($B$158="Лікар-терапевт","х",0)))</f>
        <v>22</v>
      </c>
      <c r="V162" s="205">
        <f>IF($B$158="Лікар загальної практики - сімейний лікар",AVERAGE(V158:V160),IF($B$158="Лікар-педіатр",AVERAGE(V158:V160),IF($B$158="Лікар-терапевт","х",0)))</f>
        <v>127</v>
      </c>
      <c r="W162" s="205">
        <f>IF($B$158="Лікар загальної практики - сімейний лікар",AVERAGE(W158:W160),IF($B$158="Лікар-педіатр","x",IF($B$158="Лікар-терапевт",AVERAGE(W158:W160),0)))</f>
        <v>158</v>
      </c>
      <c r="X162" s="205">
        <f>IF($B$158="Лікар загальної практики - сімейний лікар",AVERAGE(X158:X160),IF($B$158="Лікар-педіатр","x",IF($B$158="Лікар-терапевт",AVERAGE(X158:X160),0)))</f>
        <v>268</v>
      </c>
      <c r="Y162" s="205">
        <f>IF($B$158="Лікар загальної практики - сімейний лікар",AVERAGE(Y158:Y160),IF($B$158="Лікар-педіатр","x",IF($B$158="Лікар-терапевт",AVERAGE(Y158:Y160),0)))</f>
        <v>172</v>
      </c>
      <c r="Z162" s="206">
        <f>SUM(U162:Y162)</f>
        <v>747</v>
      </c>
      <c r="AA162" s="973"/>
      <c r="AB162" s="205">
        <f>IF($B$158="Лікар загальної практики - сімейний лікар",AVERAGE(AB158:AB160),IF($B$158="Лікар-педіатр",AVERAGE(AB158:AB160),IF($B$158="Лікар-терапевт","х",0)))</f>
        <v>22</v>
      </c>
      <c r="AC162" s="205">
        <f>IF($B$158="Лікар загальної практики - сімейний лікар",AVERAGE(AC158:AC160),IF($B$158="Лікар-педіатр",AVERAGE(AC158:AC160),IF($B$158="Лікар-терапевт","х",0)))</f>
        <v>127</v>
      </c>
      <c r="AD162" s="205">
        <f>IF($B$158="Лікар загальної практики - сімейний лікар",AVERAGE(AD158:AD160),IF($B$158="Лікар-педіатр","x",IF($B$158="Лікар-терапевт",AVERAGE(AD158:AD160),0)))</f>
        <v>158</v>
      </c>
      <c r="AE162" s="205">
        <f>IF($B$158="Лікар загальної практики - сімейний лікар",AVERAGE(AE158:AE160),IF($B$158="Лікар-педіатр","x",IF($B$158="Лікар-терапевт",AVERAGE(AE158:AE160),0)))</f>
        <v>268</v>
      </c>
      <c r="AF162" s="205">
        <f>IF($B$158="Лікар загальної практики - сімейний лікар",AVERAGE(AF158:AF160),IF($B$158="Лікар-педіатр","x",IF($B$158="Лікар-терапевт",AVERAGE(AF158:AF160),0)))</f>
        <v>172</v>
      </c>
      <c r="AG162" s="206">
        <f>SUM(AB162:AF162)</f>
        <v>747</v>
      </c>
      <c r="AH162" s="967"/>
      <c r="AI162" s="201"/>
      <c r="AJ162" s="945"/>
      <c r="AK162" s="960"/>
      <c r="AL162" s="960"/>
      <c r="AM162" s="931"/>
      <c r="AN162" s="949"/>
      <c r="AO162" s="949"/>
      <c r="AP162" s="949"/>
      <c r="AQ162" s="949"/>
      <c r="AR162" s="964"/>
    </row>
    <row r="163" spans="1:44" s="50" customFormat="1" ht="40.5">
      <c r="A163" s="197"/>
      <c r="B163" s="969"/>
      <c r="C163" s="974"/>
      <c r="D163" s="971"/>
      <c r="E163" s="971"/>
      <c r="F163" s="237" t="str">
        <f ca="1">IF(B158="Лікар-педіатр",Законод!$C$17,IF(B158="Лікар загальної практики - сімейний лікар",Законод!$C$21,IF(B158="Лікар-терапевт",Законод!$C$25,"х")))</f>
        <v>ліміт (до 1800)</v>
      </c>
      <c r="G163" s="208">
        <f ca="1">IF($B$158="Лікар загальної практики - сімейний лікар",IF(L162&lt;=Законод!$C$22,G162,Законод!$C$22*'01_Доходи'!G161),IF($B$158="Лікар-педіатр",IF(L162&lt;=Законод!$C$18,G162,Законод!$C$18*'01_Доходи'!G161),IF($B$158="Лікар-терапевт","x",0)))</f>
        <v>22</v>
      </c>
      <c r="H163" s="208">
        <f ca="1">IF($B$158="Лікар загальної практики - сімейний лікар",IF(L162&lt;=Законод!$C$22,H162,Законод!$C$22*'01_Доходи'!H161),IF($B$158="Лікар-педіатр",IF(L162&lt;=Законод!$C$18,H162,Законод!$C$18*'01_Доходи'!H161),IF($B$158="Лікар-терапевт","x",0)))</f>
        <v>127</v>
      </c>
      <c r="I163" s="208">
        <f ca="1">IF($B$158="Лікар загальної практики - сімейний лікар",IF(L162&lt;=Законод!$C$22,I162,Законод!$C$22*'01_Доходи'!I161),IF($B$158="Лікар-педіатр","x",IF($B$158="Лікар-терапевт",IF(L162&lt;=Законод!$C$26,I162,Законод!$C$26*'01_Доходи'!I161),0)))</f>
        <v>158</v>
      </c>
      <c r="J163" s="208">
        <f ca="1">IF($B$158="Лікар загальної практики - сімейний лікар",IF(L162&lt;=Законод!$C$22,J162,Законод!$C$22*'01_Доходи'!J161),IF($B$158="Лікар-педіатр","x",IF($B$158="Лікар-терапевт",IF(L162&lt;=Законод!$C$26,J162,Законод!$C$26*'01_Доходи'!J161),0)))</f>
        <v>268</v>
      </c>
      <c r="K163" s="208">
        <f ca="1">IF($B$158="Лікар загальної практики - сімейний лікар",IF(L162&lt;=Законод!$C$22,K162,Законод!$C$22*'01_Доходи'!K161),IF($B$158="Лікар-педіатр","x",IF($B$158="Лікар-терапевт",IF(L162&lt;=Законод!$C$26,K162,Законод!$C$26*'01_Доходи'!K161),0)))</f>
        <v>172</v>
      </c>
      <c r="L163" s="209">
        <f ca="1">SUM(G163:K163)</f>
        <v>747</v>
      </c>
      <c r="M163" s="966"/>
      <c r="N163" s="208">
        <f ca="1">IF($B$158="Лікар загальної практики - сімейний лікар",IF(S162&lt;=Законод!$C$22,N162,Законод!$C$22*'01_Доходи'!N161),IF($B$158="Лікар-педіатр",IF(S162&lt;=Законод!$C$18,N162,Законод!$C$18*'01_Доходи'!N161),IF($B$158="Лікар-терапевт","x",0)))</f>
        <v>22</v>
      </c>
      <c r="O163" s="208">
        <f ca="1">IF($B$158="Лікар загальної практики - сімейний лікар",IF(S162&lt;=Законод!$C$22,O162,Законод!$C$22*'01_Доходи'!O161),IF($B$158="Лікар-педіатр",IF(S162&lt;=Законод!$C$18,O162,Законод!$C$18*'01_Доходи'!O161),IF($B$158="Лікар-терапевт","x",0)))</f>
        <v>127</v>
      </c>
      <c r="P163" s="208">
        <f ca="1">IF($B$158="Лікар загальної практики - сімейний лікар",IF(S162&lt;=Законод!$C$22,P162,Законод!$C$22*'01_Доходи'!P161),IF($B$158="Лікар-педіатр","x",IF($B$158="Лікар-терапевт",IF(S162&lt;=Законод!$C$26,P162,Законод!$C$26*'01_Доходи'!P161),0)))</f>
        <v>158</v>
      </c>
      <c r="Q163" s="208">
        <f ca="1">IF($B$158="Лікар загальної практики - сімейний лікар",IF(S162&lt;=Законод!$C$22,Q162,Законод!$C$22*'01_Доходи'!Q161),IF($B$158="Лікар-педіатр","x",IF($B$158="Лікар-терапевт",IF(S162&lt;=Законод!$C$26,Q162,Законод!$C$26*'01_Доходи'!Q161),0)))</f>
        <v>268</v>
      </c>
      <c r="R163" s="208">
        <f ca="1">IF($B$158="Лікар загальної практики - сімейний лікар",IF(S162&lt;=Законод!$C$22,R162,Законод!$C$22*'01_Доходи'!R161),IF($B$158="Лікар-педіатр","x",IF($B$158="Лікар-терапевт",IF(S162&lt;=Законод!$C$26,R162,Законод!$C$26*'01_Доходи'!R161),0)))</f>
        <v>172</v>
      </c>
      <c r="S163" s="209">
        <f ca="1">SUM(N163:R163)</f>
        <v>747</v>
      </c>
      <c r="T163" s="966"/>
      <c r="U163" s="208">
        <f ca="1">IF($B$158="Лікар загальної практики - сімейний лікар",IF(Z162&lt;=Законод!$C$22,U162,Законод!$C$22*'01_Доходи'!U161),IF($B$158="Лікар-педіатр",IF(Z162&lt;=Законод!$C$18,U162,Законод!$C$18*'01_Доходи'!U161),IF($B$158="Лікар-терапевт","x",0)))</f>
        <v>22</v>
      </c>
      <c r="V163" s="208">
        <f ca="1">IF($B$158="Лікар загальної практики - сімейний лікар",IF(Z162&lt;=Законод!$C$22,V162,Законод!$C$22*'01_Доходи'!V161),IF($B$158="Лікар-педіатр",IF(Z162&lt;=Законод!$C$18,V162,Законод!$C$18*'01_Доходи'!V161),IF($B$158="Лікар-терапевт","x",0)))</f>
        <v>127</v>
      </c>
      <c r="W163" s="208">
        <f ca="1">IF($B$158="Лікар загальної практики - сімейний лікар",IF(Z162&lt;=Законод!$C$22,W162,Законод!$C$22*'01_Доходи'!W161),IF($B$158="Лікар-педіатр","x",IF($B$158="Лікар-терапевт",IF(Z162&lt;=Законод!$C$26,W162,Законод!$C$26*'01_Доходи'!W161),0)))</f>
        <v>158</v>
      </c>
      <c r="X163" s="208">
        <f ca="1">IF($B$158="Лікар загальної практики - сімейний лікар",IF(Z162&lt;=Законод!$C$22,X162,Законод!$C$22*'01_Доходи'!X161),IF($B$158="Лікар-педіатр","x",IF($B$158="Лікар-терапевт",IF(Z162&lt;=Законод!$C$26,X162,Законод!$C$26*'01_Доходи'!X161),0)))</f>
        <v>268</v>
      </c>
      <c r="Y163" s="208">
        <f ca="1">IF($B$158="Лікар загальної практики - сімейний лікар",IF(Z162&lt;=Законод!$C$22,Y162,Законод!$C$22*'01_Доходи'!Y161),IF($B$158="Лікар-педіатр","x",IF($B$158="Лікар-терапевт",IF(Z162&lt;=Законод!$C$26,Y162,Законод!$C$26*'01_Доходи'!Y161),0)))</f>
        <v>172</v>
      </c>
      <c r="Z163" s="209">
        <f ca="1">SUM(U163:Y163)</f>
        <v>747</v>
      </c>
      <c r="AA163" s="966"/>
      <c r="AB163" s="208">
        <f ca="1">IF($B$158="Лікар загальної практики - сімейний лікар",IF(AG162&lt;=Законод!$C$22,AB162,Законод!$C$22*'01_Доходи'!AB161),IF($B$158="Лікар-педіатр",IF(AG162&lt;=Законод!$C$18,AB162,Законод!$C$18*'01_Доходи'!AB161),IF($B$158="Лікар-терапевт","x",0)))</f>
        <v>22</v>
      </c>
      <c r="AC163" s="208">
        <f ca="1">IF($B$158="Лікар загальної практики - сімейний лікар",IF(AG162&lt;=Законод!$C$22,AC162,Законод!$C$22*'01_Доходи'!AC161),IF($B$158="Лікар-педіатр",IF(AG162&lt;=Законод!$C$18,AC162,Законод!$C$18*'01_Доходи'!AC161),IF($B$158="Лікар-терапевт","x",0)))</f>
        <v>127</v>
      </c>
      <c r="AD163" s="208">
        <f ca="1">IF($B$158="Лікар загальної практики - сімейний лікар",IF(AG162&lt;=Законод!$C$22,AD162,Законод!$C$22*'01_Доходи'!AD161),IF($B$158="Лікар-педіатр","x",IF($B$158="Лікар-терапевт",IF(AG162&lt;=Законод!$C$26,AD162,Законод!$C$26*'01_Доходи'!AD161),0)))</f>
        <v>158</v>
      </c>
      <c r="AE163" s="208">
        <f ca="1">IF($B$158="Лікар загальної практики - сімейний лікар",IF(AG162&lt;=Законод!$C$22,AE162,Законод!$C$22*'01_Доходи'!AE161),IF($B$158="Лікар-педіатр","x",IF($B$158="Лікар-терапевт",IF(AG162&lt;=Законод!$C$26,AE162,Законод!$C$26*'01_Доходи'!AE161),0)))</f>
        <v>268</v>
      </c>
      <c r="AF163" s="208">
        <f ca="1">IF($B$158="Лікар загальної практики - сімейний лікар",IF(AG162&lt;=Законод!$C$22,AF162,Законод!$C$22*'01_Доходи'!AF161),IF($B$158="Лікар-педіатр","x",IF($B$158="Лікар-терапевт",IF(AG162&lt;=Законод!$C$26,AF162,Законод!$C$26*'01_Доходи'!AF161),0)))</f>
        <v>172</v>
      </c>
      <c r="AG163" s="209">
        <f ca="1">SUM(AB163:AF163)</f>
        <v>747</v>
      </c>
      <c r="AH163" s="966"/>
      <c r="AI163" s="201"/>
      <c r="AJ163" s="945"/>
      <c r="AK163" s="960"/>
      <c r="AL163" s="960"/>
      <c r="AM163" s="348" t="s">
        <v>451</v>
      </c>
      <c r="AN163" s="210">
        <f ca="1">IF(B158="Лікар загальної практики - сімейний лікар",G163*Законод!$C$11+'01_Доходи'!H163*Законод!$D$11+'01_Доходи'!I163*Законод!$E$11+'01_Доходи'!J163*Законод!$F$11+'01_Доходи'!K163*Законод!$G$11,IF(B158="Лікар-педіатр",G163*Законод!$C$11+'01_Доходи'!H163*Законод!$D$11,IF(B158="Лікар-терапевт",'01_Доходи'!I163*Законод!$E$11+'01_Доходи'!J163*Законод!$F$11+'01_Доходи'!K163*Законод!$G$11,0)))</f>
        <v>144296.389475</v>
      </c>
      <c r="AO163" s="210">
        <f ca="1">IF(B158="Лікар загальної практики - сімейний лікар",N163*Законод!$C$11+'01_Доходи'!O163*Законод!$D$11+'01_Доходи'!P163*Законод!$E$11+'01_Доходи'!Q163*Законод!$F$11+'01_Доходи'!R163*Законод!$G$11,IF(B158="Лікар-педіатр",N163*Законод!$C$11+'01_Доходи'!O163*Законод!$D$11,IF(B158="Лікар-терапевт",'01_Доходи'!P163*Законод!$E$11+'01_Доходи'!Q163*Законод!$F$11+'01_Доходи'!R163*Законод!$G$11,0)))</f>
        <v>144296.389475</v>
      </c>
      <c r="AP163" s="210">
        <f ca="1">IF(B158="Лікар загальної практики - сімейний лікар",U163*Законод!$C$11+'01_Доходи'!V163*Законод!$D$11+'01_Доходи'!W163*Законод!$E$11+'01_Доходи'!X163*Законод!$F$11+'01_Доходи'!Y163*Законод!$G$11,IF(B158="Лікар-педіатр",U163*Законод!$C$11+'01_Доходи'!V163*Законод!$D$11,IF(B158="Лікар-терапевт",'01_Доходи'!W163*Законод!$E$11+'01_Доходи'!X163*Законод!$F$11+'01_Доходи'!Y163*Законод!$G$11,0)))</f>
        <v>144296.389475</v>
      </c>
      <c r="AQ163" s="210">
        <f ca="1">IF(B158="Лікар загальної практики - сімейний лікар",AB163*Законод!$C$11+'01_Доходи'!AC163*Законод!$D$11+'01_Доходи'!AD163*Законод!$E$11+'01_Доходи'!AE163*Законод!$F$11+'01_Доходи'!AF163*Законод!$G$11,IF(B158="Лікар-педіатр",AB163*Законод!$C$11+'01_Доходи'!AC163*Законод!$D$11,IF(B158="Лікар-терапевт",'01_Доходи'!AD163*Законод!$E$11+'01_Доходи'!AE163*Законод!$F$11+'01_Доходи'!AF163*Законод!$G$11,0)))</f>
        <v>144296.389475</v>
      </c>
      <c r="AR163" s="211">
        <f t="shared" ref="AR163:AR169" si="17">SUM(AN163:AQ163)</f>
        <v>577185.55790000001</v>
      </c>
    </row>
    <row r="164" spans="1:44" s="50" customFormat="1" ht="31.9" customHeight="1">
      <c r="A164" s="197"/>
      <c r="B164" s="969"/>
      <c r="C164" s="974"/>
      <c r="D164" s="971"/>
      <c r="E164" s="971"/>
      <c r="F164" s="238" t="str">
        <f ca="1">IF(B158="Лікар-педіатр",Законод!$E$17,IF(B158="Лікар загальної практики - сімейний лікар",Законод!$E$21,IF(B158="Лікар-терапевт",Законод!$E$25,"х")))</f>
        <v>понад ліміт (1801-1980)</v>
      </c>
      <c r="G164" s="965" t="s">
        <v>423</v>
      </c>
      <c r="H164" s="965"/>
      <c r="I164" s="965"/>
      <c r="J164" s="965"/>
      <c r="K164" s="965"/>
      <c r="L164" s="196">
        <f ca="1">IF($B$158="Лікар загальної практики - сімейний лікар",IF(L162&lt;Законод!$C$22,0,(IF(AND(L162&gt;=Законод!$E$22,L162&lt;=Законод!$E$23),L162-Законод!$C$22,IF('01_Доходи'!L162&gt;=Законод!$F$22,Законод!$E$24,0)))),IF($B$158="Лікар-педіатр",IF(L162&lt;Законод!$C$18,0,(IF(AND(L162&gt;=Законод!$E$18,L162&lt;=Законод!$E$19),L162-Законод!$C$18,IF('01_Доходи'!L162&gt;=Законод!$F$18,Законод!$E$20,0)))),IF($B$158="Лікар-терапевт",IF(L162&lt;Законод!$C$26,0,(IF(AND(L162&gt;=Законод!$E$26,L162&lt;=Законод!$E$27),L162-Законод!$C$26,IF('01_Доходи'!L162&gt;=Законод!$F$26,Законод!$E$28,0)))),0)))</f>
        <v>0</v>
      </c>
      <c r="M164" s="966"/>
      <c r="N164" s="965" t="s">
        <v>423</v>
      </c>
      <c r="O164" s="965"/>
      <c r="P164" s="965"/>
      <c r="Q164" s="965"/>
      <c r="R164" s="965"/>
      <c r="S164" s="196">
        <f ca="1">IF($B$158="Лікар загальної практики - сімейний лікар",IF(S162&lt;Законод!$C$22,0,(IF(AND(S162&gt;=Законод!$E$22,S162&lt;=Законод!$E$23),S162-Законод!$C$22,IF('01_Доходи'!S162&gt;=Законод!$F$22,Законод!$E$24,0)))),IF($B$158="Лікар-педіатр",IF(S162&lt;Законод!$C$18,0,(IF(AND(S162&gt;=Законод!$E$18,S162&lt;=Законод!$E$19),S162-Законод!$C$18,IF('01_Доходи'!S162&gt;=Законод!$F$18,Законод!$E$20,0)))),IF($B$158="Лікар-терапевт",IF(S162&lt;Законод!$C$26,0,(IF(AND(S162&gt;=Законод!$E$26,S162&lt;=Законод!$E$27),S162-Законод!$C$26,IF('01_Доходи'!S162&gt;=Законод!$F$26,Законод!$E$28,0)))),0)))</f>
        <v>0</v>
      </c>
      <c r="T164" s="966"/>
      <c r="U164" s="965" t="s">
        <v>423</v>
      </c>
      <c r="V164" s="965"/>
      <c r="W164" s="965"/>
      <c r="X164" s="965"/>
      <c r="Y164" s="965"/>
      <c r="Z164" s="196">
        <f ca="1">IF($B$158="Лікар загальної практики - сімейний лікар",IF(Z162&lt;Законод!$C$22,0,(IF(AND(Z162&gt;=Законод!$E$22,Z162&lt;=Законод!$E$23),Z162-Законод!$C$22,IF('01_Доходи'!Z162&gt;=Законод!$F$22,Законод!$E$24,0)))),IF($B$158="Лікар-педіатр",IF(Z162&lt;Законод!$C$18,0,(IF(AND(Z162&gt;=Законод!$E$18,Z162&lt;=Законод!$E$19),Z162-Законод!$C$18,IF('01_Доходи'!Z162&gt;=Законод!$F$18,Законод!$E$20,0)))),IF($B$158="Лікар-терапевт",IF(Z162&lt;Законод!$C$26,0,(IF(AND(Z162&gt;=Законод!$E$26,Z162&lt;=Законод!$E$27),Z162-Законод!$C$26,IF('01_Доходи'!Z162&gt;=Законод!$F$26,Законод!$E$28,0)))),0)))</f>
        <v>0</v>
      </c>
      <c r="AA164" s="966"/>
      <c r="AB164" s="965" t="s">
        <v>423</v>
      </c>
      <c r="AC164" s="965"/>
      <c r="AD164" s="965"/>
      <c r="AE164" s="965"/>
      <c r="AF164" s="965"/>
      <c r="AG164" s="196">
        <f ca="1">IF($B$158="Лікар загальної практики - сімейний лікар",IF(AG162&lt;Законод!$C$22,0,(IF(AND(AG162&gt;=Законод!$E$22,AG162&lt;=Законод!$E$23),AG162-Законод!$C$22,IF('01_Доходи'!AG162&gt;=Законод!$F$22,Законод!$E$24,0)))),IF($B$158="Лікар-педіатр",IF(AG162&lt;Законод!$C$18,0,(IF(AND(AG162&gt;=Законод!$E$18,AG162&lt;=Законод!$E$19),AG162-Законод!$C$18,IF('01_Доходи'!AG162&gt;=Законод!$F$18,Законод!$E$20,0)))),IF($B$158="Лікар-терапевт",IF(AG162&lt;Законод!$C$26,0,(IF(AND(AG162&gt;=Законод!$E$26,AG162&lt;=Законод!$E$27),AG162-Законод!$C$26,IF('01_Доходи'!AG162&gt;=Законод!$F$26,Законод!$E$28,0)))),0)))</f>
        <v>0</v>
      </c>
      <c r="AH164" s="966"/>
      <c r="AI164" s="201"/>
      <c r="AJ164" s="945"/>
      <c r="AK164" s="960"/>
      <c r="AL164" s="960"/>
      <c r="AM164" s="926" t="s">
        <v>452</v>
      </c>
      <c r="AN164" s="210">
        <f ca="1">IF(B158="Лікар загальної практики - сімейний лікар",L164*Законод!$C$9/4*Законод!$E$16,IF(B158="Лікар-педіатр",L164*Законод!$C$9/4*Законод!$E$16,IF(B158="Лікар-терапевт",L164*Законод!$C$9/4*Законод!$E$16,0)))</f>
        <v>0</v>
      </c>
      <c r="AO164" s="210">
        <f ca="1">IF(B158="Лікар загальної практики - сімейний лікар",S164*Законод!$C$9/4*Законод!$E$16,IF(B158="Лікар-педіатр",S164*Законод!$C$9/4*Законод!$E$16,IF(B158="Лікар-терапевт",S164*Законод!$C$9/4*Законод!$E$16,0)))</f>
        <v>0</v>
      </c>
      <c r="AP164" s="210">
        <f ca="1">IF(B158="Лікар загальної практики - сімейний лікар",Z164*Законод!$C$9/4*Законод!$E$16,IF(B158="Лікар-педіатр",Z164*Законод!$C$9/4*Законод!$E$16,IF(B158="Лікар-терапевт",Z164*Законод!$C$9/4*Законод!$E$16,0)))</f>
        <v>0</v>
      </c>
      <c r="AQ164" s="210">
        <f ca="1">IF(B158="Лікар загальної практики - сімейний лікар",AG164*Законод!$C$9/4*Законод!$E$16,IF(B158="Лікар-педіатр",AG164*Законод!$C$9/4*Законод!$E$16,IF(B158="Лікар-терапевт",AG164*Законод!$C$9/4*Законод!$E$16,0)))</f>
        <v>0</v>
      </c>
      <c r="AR164" s="211">
        <f t="shared" si="17"/>
        <v>0</v>
      </c>
    </row>
    <row r="165" spans="1:44" s="50" customFormat="1" ht="31.9" customHeight="1">
      <c r="A165" s="197"/>
      <c r="B165" s="969"/>
      <c r="C165" s="974"/>
      <c r="D165" s="971"/>
      <c r="E165" s="971"/>
      <c r="F165" s="238" t="str">
        <f ca="1">IF(B158="Лікар-педіатр",Законод!$F$17,IF(B158="Лікар загальної практики - сімейний лікар",Законод!$F$21,IF(B158="Лікар-терапевт",Законод!$F$25,"х")))</f>
        <v>понад ліміт (1981-2160)</v>
      </c>
      <c r="G165" s="965" t="s">
        <v>423</v>
      </c>
      <c r="H165" s="965"/>
      <c r="I165" s="965"/>
      <c r="J165" s="965"/>
      <c r="K165" s="965"/>
      <c r="L165" s="196">
        <f ca="1">IF($B$158="Лікар загальної практики - сімейний лікар",IF(L162&lt;Законод!$C$22,0,(IF(AND(L162&gt;=Законод!$F$22,L162&lt;=Законод!$F$23),L162-Законод!$E$23,IF('01_Доходи'!L162&gt;=Законод!$G$22,Законод!$F$24,0)))),IF($B$158="Лікар-педіатр",IF(L162&lt;Законод!$C$18,0,(IF(AND(L162&gt;=Законод!$F$18,L162&lt;=Законод!$F$19),L162-Законод!$E$19,IF('01_Доходи'!L162&gt;=Законод!$G$18,Законод!$F$20,0)))),IF($B$158="Лікар-терапевт",IF(L162&lt;Законод!$C$26,0,(IF(AND(L162&gt;=Законод!$F$26,L162&lt;=Законод!$F$27),L162-Законод!$E$27,IF('01_Доходи'!L162&gt;=Законод!$G$26,Законод!$F$28,0)))),0)))</f>
        <v>0</v>
      </c>
      <c r="M165" s="966"/>
      <c r="N165" s="965" t="s">
        <v>423</v>
      </c>
      <c r="O165" s="965"/>
      <c r="P165" s="965"/>
      <c r="Q165" s="965"/>
      <c r="R165" s="965"/>
      <c r="S165" s="196">
        <f ca="1">IF($B$158="Лікар загальної практики - сімейний лікар",IF(S162&lt;Законод!$C$22,0,(IF(AND(S162&gt;=Законод!$F$22,S162&lt;=Законод!$F$23),S162-Законод!$E$23,IF('01_Доходи'!S162&gt;=Законод!$G$22,Законод!$F$24,0)))),IF($B$158="Лікар-педіатр",IF(S162&lt;Законод!$C$18,0,(IF(AND(S162&gt;=Законод!$F$18,S162&lt;=Законод!$F$19),S162-Законод!$E$19,IF('01_Доходи'!S162&gt;=Законод!$G$18,Законод!$F$20,0)))),IF($B$158="Лікар-терапевт",IF(S162&lt;Законод!$C$26,0,(IF(AND(S162&gt;=Законод!$F$26,S162&lt;=Законод!$F$27),S162-Законод!$E$27,IF('01_Доходи'!S162&gt;=Законод!$G$26,Законод!$F$28,0)))),0)))</f>
        <v>0</v>
      </c>
      <c r="T165" s="966"/>
      <c r="U165" s="965" t="s">
        <v>423</v>
      </c>
      <c r="V165" s="965"/>
      <c r="W165" s="965"/>
      <c r="X165" s="965"/>
      <c r="Y165" s="965"/>
      <c r="Z165" s="196">
        <f ca="1">IF($B$158="Лікар загальної практики - сімейний лікар",IF(Z162&lt;Законод!$C$22,0,(IF(AND(Z162&gt;=Законод!$F$22,Z162&lt;=Законод!$F$23),Z162-Законод!$E$23,IF('01_Доходи'!Z162&gt;=Законод!$G$22,Законод!$F$24,0)))),IF($B$158="Лікар-педіатр",IF(Z162&lt;Законод!$C$18,0,(IF(AND(Z162&gt;=Законод!$F$18,Z162&lt;=Законод!$F$19),Z162-Законод!$E$19,IF('01_Доходи'!Z162&gt;=Законод!$G$18,Законод!$F$20,0)))),IF($B$158="Лікар-терапевт",IF(Z162&lt;Законод!$C$26,0,(IF(AND(Z162&gt;=Законод!$F$26,Z162&lt;=Законод!$F$27),Z162-Законод!$E$27,IF('01_Доходи'!Z162&gt;=Законод!$G$26,Законод!$F$28,0)))),0)))</f>
        <v>0</v>
      </c>
      <c r="AA165" s="966"/>
      <c r="AB165" s="965" t="s">
        <v>423</v>
      </c>
      <c r="AC165" s="965"/>
      <c r="AD165" s="965"/>
      <c r="AE165" s="965"/>
      <c r="AF165" s="965"/>
      <c r="AG165" s="196">
        <f ca="1">IF($B$158="Лікар загальної практики - сімейний лікар",IF(AG162&lt;Законод!$C$22,0,(IF(AND(AG162&gt;=Законод!$F$22,AG162&lt;=Законод!$F$23),AG162-Законод!$E$23,IF('01_Доходи'!AG162&gt;=Законод!$G$22,Законод!$F$24,0)))),IF($B$158="Лікар-педіатр",IF(AG162&lt;Законод!$C$18,0,(IF(AND(AG162&gt;=Законод!$F$18,AG162&lt;=Законод!$F$19),AG162-Законод!$E$19,IF('01_Доходи'!AG162&gt;=Законод!$G$18,Законод!$F$20,0)))),IF($B$158="Лікар-терапевт",IF(AG162&lt;Законод!$C$26,0,(IF(AND(AG162&gt;=Законод!$F$26,AG162&lt;=Законод!$F$27),AG162-Законод!$E$27,IF('01_Доходи'!AG162&gt;=Законод!$G$26,Законод!$F$28,0)))),0)))</f>
        <v>0</v>
      </c>
      <c r="AH165" s="966"/>
      <c r="AI165" s="201"/>
      <c r="AJ165" s="945"/>
      <c r="AK165" s="960"/>
      <c r="AL165" s="960"/>
      <c r="AM165" s="927"/>
      <c r="AN165" s="210">
        <f ca="1">IF(B158="Лікар загальної практики - сімейний лікар",L165*Законод!$C$9/4*Законод!$F$16,IF(B158="Лікар-педіатр",L165*Законод!$C$9/4*Законод!$F$16,IF(B158="Лікар-терапевт",L165*Законод!$C$9/4*Законод!$F$16,0)))</f>
        <v>0</v>
      </c>
      <c r="AO165" s="210">
        <f ca="1">IF(B158="Лікар загальної практики - сімейний лікар",S165*Законод!$C$9/4*Законод!$F$16,IF(B158="Лікар-педіатр",S165*Законод!$C$9/4*Законод!$F$16,IF(B158="Лікар-терапевт",S165*Законод!$C$9/4*Законод!$F$16,0)))</f>
        <v>0</v>
      </c>
      <c r="AP165" s="210">
        <f ca="1">IF(B158="Лікар загальної практики - сімейний лікар",Z165*Законод!$C$9/4*Законод!$F$16,IF(B158="Лікар-педіатр",Z165*Законод!$C$9/4*Законод!$F$16,IF(B158="Лікар-терапевт",Z165*Законод!$C$9/4*Законод!$F$16,0)))</f>
        <v>0</v>
      </c>
      <c r="AQ165" s="210">
        <f ca="1">IF(B158="Лікар загальної практики - сімейний лікар",AG165*Законод!$C$9/4*Законод!$F$16,IF(B158="Лікар-педіатр",AG165*Законод!$C$9/4*Законод!$F$16,IF(B158="Лікар-терапевт",AG165*Законод!$C$9/4*Законод!$F$16,0)))</f>
        <v>0</v>
      </c>
      <c r="AR165" s="211">
        <f t="shared" si="17"/>
        <v>0</v>
      </c>
    </row>
    <row r="166" spans="1:44" s="50" customFormat="1" ht="31.9" customHeight="1">
      <c r="A166" s="197"/>
      <c r="B166" s="969"/>
      <c r="C166" s="974"/>
      <c r="D166" s="971"/>
      <c r="E166" s="971"/>
      <c r="F166" s="238" t="str">
        <f ca="1">IF(B158="Лікар-педіатр",Законод!$G$17,IF(B158="Лікар загальної практики - сімейний лікар",Законод!$G$21,IF(B158="Лікар-терапевт",Законод!$G$25,"х")))</f>
        <v>понад ліміт (2161-2340)</v>
      </c>
      <c r="G166" s="965" t="s">
        <v>423</v>
      </c>
      <c r="H166" s="965"/>
      <c r="I166" s="965"/>
      <c r="J166" s="965"/>
      <c r="K166" s="965"/>
      <c r="L166" s="196">
        <f ca="1">IF($B$158="Лікар загальної практики - сімейний лікар",IF(L162&lt;Законод!$C$22,0,(IF(AND(L162&gt;=Законод!$G$22,L162&lt;=Законод!$G$23),L162-Законод!$F$23,IF('01_Доходи'!L162&gt;=Законод!$H$22,Законод!$G$24,0)))),IF($B$158="Лікар-педіатр",IF(L162&lt;Законод!$C$18,0,(IF(AND(L162&gt;=Законод!$G$18,L162&lt;=Законод!$G$19),L162-Законод!$F$19,IF('01_Доходи'!L162&gt;=Законод!$H$18,Законод!$G$20,0)))),IF($B$158="Лікар-терапевт",IF(L162&lt;Законод!$C$26,0,(IF(AND(L162&gt;=Законод!$G$26,L162&lt;=Законод!$G$27),L162-Законод!$F$27,IF('01_Доходи'!L162&gt;=Законод!$H$26,Законод!$G$28,0)))),0)))</f>
        <v>0</v>
      </c>
      <c r="M166" s="966"/>
      <c r="N166" s="965" t="s">
        <v>423</v>
      </c>
      <c r="O166" s="965"/>
      <c r="P166" s="965"/>
      <c r="Q166" s="965"/>
      <c r="R166" s="965"/>
      <c r="S166" s="196">
        <f ca="1">IF($B$158="Лікар загальної практики - сімейний лікар",IF(S162&lt;Законод!$C$22,0,(IF(AND(S162&gt;=Законод!$G$22,S162&lt;=Законод!$G$23),S162-Законод!$F$23,IF('01_Доходи'!S162&gt;=Законод!$H$22,Законод!$G$24,0)))),IF($B$158="Лікар-педіатр",IF(S162&lt;Законод!$C$18,0,(IF(AND(S162&gt;=Законод!$G$18,S162&lt;=Законод!$G$19),S162-Законод!$F$19,IF('01_Доходи'!S162&gt;=Законод!$H$18,Законод!$G$20,0)))),IF($B$158="Лікар-терапевт",IF(S162&lt;Законод!$C$26,0,(IF(AND(S162&gt;=Законод!$G$26,S162&lt;=Законод!$G$27),S162-Законод!$F$27,IF('01_Доходи'!S162&gt;=Законод!$H$26,Законод!$G$28,0)))),0)))</f>
        <v>0</v>
      </c>
      <c r="T166" s="966"/>
      <c r="U166" s="965" t="s">
        <v>423</v>
      </c>
      <c r="V166" s="965"/>
      <c r="W166" s="965"/>
      <c r="X166" s="965"/>
      <c r="Y166" s="965"/>
      <c r="Z166" s="196">
        <f ca="1">IF($B$158="Лікар загальної практики - сімейний лікар",IF(Z162&lt;Законод!$C$22,0,(IF(AND(Z162&gt;=Законод!$G$22,Z162&lt;=Законод!$G$23),Z162-Законод!$F$23,IF('01_Доходи'!Z162&gt;=Законод!$H$22,Законод!$G$24,0)))),IF($B$158="Лікар-педіатр",IF(Z162&lt;Законод!$C$18,0,(IF(AND(Z162&gt;=Законод!$G$18,Z162&lt;=Законод!$G$19),Z162-Законод!$F$19,IF('01_Доходи'!Z162&gt;=Законод!$H$18,Законод!$G$20,0)))),IF($B$158="Лікар-терапевт",IF(Z162&lt;Законод!$C$26,0,(IF(AND(Z162&gt;=Законод!$G$26,Z162&lt;=Законод!$G$27),Z162-Законод!$F$27,IF('01_Доходи'!Z162&gt;=Законод!$H$26,Законод!$G$28,0)))),0)))</f>
        <v>0</v>
      </c>
      <c r="AA166" s="966"/>
      <c r="AB166" s="965" t="s">
        <v>423</v>
      </c>
      <c r="AC166" s="965"/>
      <c r="AD166" s="965"/>
      <c r="AE166" s="965"/>
      <c r="AF166" s="965"/>
      <c r="AG166" s="196">
        <f ca="1">IF($B$158="Лікар загальної практики - сімейний лікар",IF(AG162&lt;Законод!$C$22,0,(IF(AND(AG162&gt;=Законод!$G$22,AG162&lt;=Законод!$G$23),AG162-Законод!$F$23,IF('01_Доходи'!AG162&gt;=Законод!$H$22,Законод!$G$24,0)))),IF($B$158="Лікар-педіатр",IF(AG162&lt;Законод!$C$18,0,(IF(AND(AG162&gt;=Законод!$G$18,AG162&lt;=Законод!$G$19),AG162-Законод!$F$19,IF('01_Доходи'!AG162&gt;=Законод!$H$18,Законод!$G$20,0)))),IF($B$158="Лікар-терапевт",IF(AG162&lt;Законод!$C$26,0,(IF(AND(AG162&gt;=Законод!$G$26,AG162&lt;=Законод!$G$27),AG162-Законод!$F$27,IF('01_Доходи'!AG162&gt;=Законод!$H$26,Законод!$G$28,0)))),0)))</f>
        <v>0</v>
      </c>
      <c r="AH166" s="966"/>
      <c r="AI166" s="201"/>
      <c r="AJ166" s="945"/>
      <c r="AK166" s="960"/>
      <c r="AL166" s="960"/>
      <c r="AM166" s="927"/>
      <c r="AN166" s="210">
        <f ca="1">IF(B158="Лікар загальної практики - сімейний лікар",L166*Законод!$C$9/4*Законод!$G$16,IF(B158="Лікар-педіатр",L166*Законод!$C$9/4*Законод!$G$16,IF(B158="Лікар-терапевт",L166*Законод!$C$9/4*Законод!$G$16,0)))</f>
        <v>0</v>
      </c>
      <c r="AO166" s="210">
        <f ca="1">IF(B158="Лікар загальної практики - сімейний лікар",S166*Законод!$C$9/4*Законод!$G$16,IF(B158="Лікар-педіатр",S166*Законод!$C$9/4*Законод!$G$16,IF(B158="Лікар-терапевт",S166*Законод!$C$9/4*Законод!$G$16,0)))</f>
        <v>0</v>
      </c>
      <c r="AP166" s="210">
        <f ca="1">IF(B158="Лікар загальної практики - сімейний лікар",Z166*Законод!$C$9/4*Законод!$G$16,IF(B158="Лікар-педіатр",Z166*Законод!$C$9/4*Законод!$G$16,IF(B158="Лікар-терапевт",Z166*Законод!$C$9/4*Законод!$G$16,0)))</f>
        <v>0</v>
      </c>
      <c r="AQ166" s="210">
        <f ca="1">IF(B158="Лікар загальної практики - сімейний лікар",AG166*Законод!$C$9/4*Законод!$G$16,IF(B158="Лікар-педіатр",AG166*Законод!$C$9/4*Законод!$G$16,IF(B158="Лікар-терапевт",AG166*Законод!$C$9/4*Законод!$G$16,0)))</f>
        <v>0</v>
      </c>
      <c r="AR166" s="211">
        <f t="shared" si="17"/>
        <v>0</v>
      </c>
    </row>
    <row r="167" spans="1:44" s="50" customFormat="1" ht="31.9" customHeight="1">
      <c r="A167" s="197"/>
      <c r="B167" s="969"/>
      <c r="C167" s="974"/>
      <c r="D167" s="971"/>
      <c r="E167" s="971"/>
      <c r="F167" s="238" t="str">
        <f ca="1">IF(B158="Лікар-педіатр",Законод!$H$17,IF(B158="Лікар загальної практики - сімейний лікар",Законод!$H$21,IF(B158="Лікар-терапевт",Законод!$H$25,"х")))</f>
        <v>понад ліміт (2341-2520)</v>
      </c>
      <c r="G167" s="965" t="s">
        <v>423</v>
      </c>
      <c r="H167" s="965"/>
      <c r="I167" s="965"/>
      <c r="J167" s="965"/>
      <c r="K167" s="965"/>
      <c r="L167" s="196">
        <f ca="1">IF($B$158="Лікар загальної практики - сімейний лікар",IF(L162&lt;Законод!$C$22,0,(IF(AND(L162&gt;=Законод!$H$22,L162&lt;=Законод!$H$23),L162-Законод!$G$23,IF('01_Доходи'!L162&gt;=Законод!$I$22,Законод!$H$24,0)))),IF($B$158="Лікар-педіатр",IF(L162&lt;Законод!$C$18,0,(IF(AND(L162&gt;=Законод!$H$18,L162&lt;=Законод!$H$19),L162-Законод!$G$19,IF('01_Доходи'!L162&gt;=Законод!$I$18,Законод!$H$20,0)))),IF($B$158="Лікар-терапевт",IF(L162&lt;Законод!$C$26,0,(IF(AND(L162&gt;=Законод!$H$26,L162&lt;=Законод!$H$27),L162-Законод!$G$27,IF(L162&gt;=Законод!$I$26,Законод!$H$28,0)))),0)))</f>
        <v>0</v>
      </c>
      <c r="M167" s="966"/>
      <c r="N167" s="965" t="s">
        <v>423</v>
      </c>
      <c r="O167" s="965"/>
      <c r="P167" s="965"/>
      <c r="Q167" s="965"/>
      <c r="R167" s="965"/>
      <c r="S167" s="196">
        <f ca="1">IF($B$158="Лікар загальної практики - сімейний лікар",IF(S162&lt;Законод!$C$22,0,(IF(AND(S162&gt;=Законод!$H$22,S162&lt;=Законод!$H$23),S162-Законод!$G$23,IF('01_Доходи'!S162&gt;=Законод!$I$22,Законод!$H$24,0)))),IF($B$158="Лікар-педіатр",IF(S162&lt;Законод!$C$18,0,(IF(AND(S162&gt;=Законод!$H$18,S162&lt;=Законод!$H$19),S162-Законод!$G$19,IF('01_Доходи'!S162&gt;=Законод!$I$18,Законод!$H$20,0)))),IF($B$158="Лікар-терапевт",IF(S162&lt;Законод!$C$26,0,(IF(AND(S162&gt;=Законод!$H$26,S162&lt;=Законод!$H$27),S162-Законод!$G$27,IF(S162&gt;=Законод!$I$26,Законод!$H$28,0)))),0)))</f>
        <v>0</v>
      </c>
      <c r="T167" s="966"/>
      <c r="U167" s="965" t="s">
        <v>423</v>
      </c>
      <c r="V167" s="965"/>
      <c r="W167" s="965"/>
      <c r="X167" s="965"/>
      <c r="Y167" s="965"/>
      <c r="Z167" s="196">
        <f ca="1">IF($B$158="Лікар загальної практики - сімейний лікар",IF(Z162&lt;Законод!$C$22,0,(IF(AND(Z162&gt;=Законод!$H$22,Z162&lt;=Законод!$H$23),Z162-Законод!$G$23,IF('01_Доходи'!Z162&gt;=Законод!$I$22,Законод!$H$24,0)))),IF($B$158="Лікар-педіатр",IF(Z162&lt;Законод!$C$18,0,(IF(AND(Z162&gt;=Законод!$H$18,Z162&lt;=Законод!$H$19),Z162-Законод!$G$19,IF('01_Доходи'!Z162&gt;=Законод!$I$18,Законод!$H$20,0)))),IF($B$158="Лікар-терапевт",IF(Z162&lt;Законод!$C$26,0,(IF(AND(Z162&gt;=Законод!$H$26,Z162&lt;=Законод!$H$27),Z162-Законод!$G$27,IF(Z162&gt;=Законод!$I$26,Законод!$H$28,0)))),0)))</f>
        <v>0</v>
      </c>
      <c r="AA167" s="966"/>
      <c r="AB167" s="965" t="s">
        <v>423</v>
      </c>
      <c r="AC167" s="965"/>
      <c r="AD167" s="965"/>
      <c r="AE167" s="965"/>
      <c r="AF167" s="965"/>
      <c r="AG167" s="196">
        <f ca="1">IF($B$158="Лікар загальної практики - сімейний лікар",IF(AG162&lt;Законод!$C$22,0,(IF(AND(AG162&gt;=Законод!$H$22,AG162&lt;=Законод!$H$23),AG162-Законод!$G$23,IF('01_Доходи'!AG162&gt;=Законод!$I$22,Законод!$H$24,0)))),IF($B$158="Лікар-педіатр",IF(AG162&lt;Законод!$C$18,0,(IF(AND(AG162&gt;=Законод!$H$18,AG162&lt;=Законод!$H$19),AG162-Законод!$G$19,IF('01_Доходи'!AG162&gt;=Законод!$I$18,Законод!$H$20,0)))),IF($B$158="Лікар-терапевт",IF(AG162&lt;Законод!$C$26,0,(IF(AND(AG162&gt;=Законод!$H$26,AG162&lt;=Законод!$H$27),AG162-Законод!$G$27,IF(AG162&gt;=Законод!$I$26,Законод!$H$28,0)))),0)))</f>
        <v>0</v>
      </c>
      <c r="AH167" s="966"/>
      <c r="AI167" s="201"/>
      <c r="AJ167" s="945"/>
      <c r="AK167" s="960"/>
      <c r="AL167" s="960"/>
      <c r="AM167" s="927"/>
      <c r="AN167" s="210">
        <f ca="1">IF(B158="Лікар загальної практики - сімейний лікар",L167*Законод!$C$9/4*Законод!$H$16,IF(B158="Лікар-педіатр",L167*Законод!$C$9/4*Законод!$H$16,IF(B158="Лікар-терапевт",L167*Законод!$C$9/4*Законод!$H$16,0)))</f>
        <v>0</v>
      </c>
      <c r="AO167" s="210">
        <f ca="1">IF(B158="Лікар загальної практики - сімейний лікар",S167*Законод!$C$9/4*Законод!$H$16,IF(B158="Лікар-педіатр",S167*Законод!$C$9/4*Законод!$H$16,IF(B158="Лікар-терапевт",S167*Законод!$C$9/4*Законод!$H$16,0)))</f>
        <v>0</v>
      </c>
      <c r="AP167" s="210">
        <f ca="1">IF(B158="Лікар загальної практики - сімейний лікар",Z167*Законод!$C$9/4*Законод!$H$16,IF(B158="Лікар-педіатр",Z167*Законод!$C$9/4*Законод!$H$16,IF(B158="Лікар-терапевт",Z167*Законод!$C$9/4*Законод!$H$16,0)))</f>
        <v>0</v>
      </c>
      <c r="AQ167" s="210">
        <f ca="1">IF(B158="Лікар загальної практики - сімейний лікар",AG167*Законод!$C$9/4*Законод!$H$16,IF(B158="Лікар-педіатр",AG167*Законод!$C$9/4*Законод!$H$16,IF(B158="Лікар-терапевт",AG167*Законод!$C$9/4*Законод!$H$16,0)))</f>
        <v>0</v>
      </c>
      <c r="AR167" s="211">
        <f t="shared" si="17"/>
        <v>0</v>
      </c>
    </row>
    <row r="168" spans="1:44" s="50" customFormat="1" ht="31.9" customHeight="1">
      <c r="A168" s="197"/>
      <c r="B168" s="969"/>
      <c r="C168" s="974"/>
      <c r="D168" s="971"/>
      <c r="E168" s="971"/>
      <c r="F168" s="238" t="str">
        <f ca="1">IF(B158="Лікар-педіатр",Законод!$I$17,IF(B158="Лікар загальної практики - сімейний лікар",Законод!$I$21,IF(B158="Лікар-терапевт",Законод!$I$25,"х")))</f>
        <v>понад ліміт (2521-2700)</v>
      </c>
      <c r="G168" s="965" t="s">
        <v>423</v>
      </c>
      <c r="H168" s="965"/>
      <c r="I168" s="965"/>
      <c r="J168" s="965"/>
      <c r="K168" s="965"/>
      <c r="L168" s="196">
        <f ca="1">IF($B$158="Лікар загальної практики - сімейний лікар",IF(L162&lt;Законод!$C$22,0,(IF(AND(L162&gt;=Законод!$I$22,L162&lt;=Законод!$I$23),L162-Законод!$H$23,IF('01_Доходи'!L162&gt;=Законод!$I$22,Законод!$I$24,0)))),IF($B$158="Лікар-педіатр",IF(L162&lt;Законод!$C$18,0,(IF(AND(L162&gt;=Законод!$I$18,L162&lt;=Законод!$I$19),L162-Законод!$H$19,IF('01_Доходи'!L162&gt;=Законод!$I$18,Законод!$H$20,0)))),IF($B$158="Лікар-терапевт",IF(L162&lt;Законод!$C$26,0,(IF(AND(L162&gt;=Законод!$I$26,L162&lt;=Законод!$I$27),L162-Законод!$H$27,IF('01_Доходи'!L162&gt;=Законод!$I$26,Законод!$H$28,0)))),0)))</f>
        <v>0</v>
      </c>
      <c r="M168" s="966"/>
      <c r="N168" s="965" t="s">
        <v>423</v>
      </c>
      <c r="O168" s="965"/>
      <c r="P168" s="965"/>
      <c r="Q168" s="965"/>
      <c r="R168" s="965"/>
      <c r="S168" s="196">
        <f ca="1">IF($B$158="Лікар загальної практики - сімейний лікар",IF(S162&lt;Законод!$C$22,0,(IF(AND(S162&gt;=Законод!$I$22,S162&lt;=Законод!$I$23),S162-Законод!$H$23,IF('01_Доходи'!S162&gt;=Законод!$I$22,Законод!$I$24,0)))),IF($B$158="Лікар-педіатр",IF(S162&lt;Законод!$C$18,0,(IF(AND(S162&gt;=Законод!$I$18,S162&lt;=Законод!$I$19),S162-Законод!$H$19,IF('01_Доходи'!S162&gt;=Законод!$I$18,Законод!$H$20,0)))),IF($B$158="Лікар-терапевт",IF(S162&lt;Законод!$C$26,0,(IF(AND(S162&gt;=Законод!$I$26,S162&lt;=Законод!$I$27),S162-Законод!$H$27,IF('01_Доходи'!S162&gt;=Законод!$I$26,Законод!$H$28,0)))),0)))</f>
        <v>0</v>
      </c>
      <c r="T168" s="966"/>
      <c r="U168" s="965" t="s">
        <v>423</v>
      </c>
      <c r="V168" s="965"/>
      <c r="W168" s="965"/>
      <c r="X168" s="965"/>
      <c r="Y168" s="965"/>
      <c r="Z168" s="196">
        <f ca="1">IF($B$158="Лікар загальної практики - сімейний лікар",IF(Z162&lt;Законод!$C$22,0,(IF(AND(Z162&gt;=Законод!$I$22,Z162&lt;=Законод!$I$23),Z162-Законод!$H$23,IF('01_Доходи'!Z162&gt;=Законод!$I$22,Законод!$I$24,0)))),IF($B$158="Лікар-педіатр",IF(Z162&lt;Законод!$C$18,0,(IF(AND(Z162&gt;=Законод!$I$18,Z162&lt;=Законод!$I$19),Z162-Законод!$H$19,IF('01_Доходи'!Z162&gt;=Законод!$I$18,Законод!$H$20,0)))),IF($B$158="Лікар-терапевт",IF(Z162&lt;Законод!$C$26,0,(IF(AND(Z162&gt;=Законод!$I$26,Z162&lt;=Законод!$I$27),Z162-Законод!$H$27,IF('01_Доходи'!Z162&gt;=Законод!$I$26,Законод!$H$28,0)))),0)))</f>
        <v>0</v>
      </c>
      <c r="AA168" s="966"/>
      <c r="AB168" s="965" t="s">
        <v>423</v>
      </c>
      <c r="AC168" s="965"/>
      <c r="AD168" s="965"/>
      <c r="AE168" s="965"/>
      <c r="AF168" s="965"/>
      <c r="AG168" s="196">
        <f ca="1">IF($B$158="Лікар загальної практики - сімейний лікар",IF(AG162&lt;Законод!$C$22,0,(IF(AND(AG162&gt;=Законод!$I$22,AG162&lt;=Законод!$I$23),AG162-Законод!$H$23,IF('01_Доходи'!AG162&gt;=Законод!$I$22,Законод!$I$24,0)))),IF($B$158="Лікар-педіатр",IF(AG162&lt;Законод!$C$18,0,(IF(AND(AG162&gt;=Законод!$I$18,AG162&lt;=Законод!$I$19),AG162-Законод!$H$19,IF('01_Доходи'!AG162&gt;=Законод!$I$18,Законод!$H$20,0)))),IF($B$158="Лікар-терапевт",IF(AG162&lt;Законод!$C$26,0,(IF(AND(AG162&gt;=Законод!$I$26,AG162&lt;=Законод!$I$27),AG162-Законод!$H$27,IF('01_Доходи'!AG162&gt;=Законод!$I$26,Законод!$H$28,0)))),0)))</f>
        <v>0</v>
      </c>
      <c r="AH168" s="966"/>
      <c r="AI168" s="201"/>
      <c r="AJ168" s="945"/>
      <c r="AK168" s="960"/>
      <c r="AL168" s="960"/>
      <c r="AM168" s="927"/>
      <c r="AN168" s="210">
        <f ca="1">IF(B158="Лікар загальної практики - сімейний лікар",L168*Законод!$C$9/4*Законод!$I$16,IF(B158="Лікар-педіатр",L168*Законод!$C$9/4*Законод!$I$16,IF(B158="Лікар-терапевт",L168*Законод!$C$9/4*Законод!$I$16,0)))</f>
        <v>0</v>
      </c>
      <c r="AO168" s="210">
        <f ca="1">IF(B158="Лікар загальної практики - сімейний лікар",S168*Законод!$C$9/4*Законод!$I$16,IF(B158="Лікар-педіатр",S168*Законод!$C$9/4*Законод!$I$16,IF(B158="Лікар-терапевт",S168*Законод!$C$9/4*Законод!$I$16,0)))</f>
        <v>0</v>
      </c>
      <c r="AP168" s="210">
        <f ca="1">IF(B158="Лікар загальної практики - сімейний лікар",Z168*Законод!$C$9/4*Законод!$I$16,IF(B158="Лікар-педіатр",Z168*Законод!$C$9/4*Законод!$I$16,IF(B158="Лікар-терапевт",Z168*Законод!$C$9/4*Законод!$I$16,0)))</f>
        <v>0</v>
      </c>
      <c r="AQ168" s="210">
        <f ca="1">IF(B158="Лікар загальної практики - сімейний лікар",AG168*Законод!$C$9/4*Законод!$I$16,IF(B158="Лікар-педіатр",AG168*Законод!$C$9/4*Законод!$I$16,IF(B158="Лікар-терапевт",AG168*Законод!$C$9/4*Законод!$I$16,0)))</f>
        <v>0</v>
      </c>
      <c r="AR168" s="211">
        <f t="shared" si="17"/>
        <v>0</v>
      </c>
    </row>
    <row r="169" spans="1:44" s="218" customFormat="1" ht="31.9" customHeight="1" thickBot="1">
      <c r="A169" s="213"/>
      <c r="B169" s="969"/>
      <c r="C169" s="974"/>
      <c r="D169" s="971"/>
      <c r="E169" s="971"/>
      <c r="F169" s="239" t="str">
        <f ca="1">IF(B158="Лікар-педіатр",Законод!$J$17,IF(B158="Лікар загальної практики - сімейний лікар",Законод!$J$21,IF(B158="Лікар-терапевт",Законод!$J$25,"х")))</f>
        <v>понад ліміт (&gt;=2701)</v>
      </c>
      <c r="G169" s="968" t="s">
        <v>423</v>
      </c>
      <c r="H169" s="968"/>
      <c r="I169" s="968"/>
      <c r="J169" s="968"/>
      <c r="K169" s="968"/>
      <c r="L169" s="196">
        <f ca="1">IF($B$158="Лікар загальної практики - сімейний лікар",IF(L162&gt;=Законод!$J$22,'01_Доходи'!L162-('01_Доходи'!L163+'01_Доходи'!L164+'01_Доходи'!L165+'01_Доходи'!L166+'01_Доходи'!L167+'01_Доходи'!L168),0),IF($B$158="Лікар-педіатр",IF(L162&gt;=Законод!$J$18,'01_Доходи'!L162-('01_Доходи'!L163+'01_Доходи'!L164+'01_Доходи'!L165+'01_Доходи'!L166+'01_Доходи'!L167+'01_Доходи'!L168),0),IF($B$158="Лікар-терапевт",IF('01_Доходи'!L162&gt;=Законод!$J$26,L162-Законод!$I$27,0),0)))</f>
        <v>0</v>
      </c>
      <c r="M169" s="966"/>
      <c r="N169" s="968" t="s">
        <v>423</v>
      </c>
      <c r="O169" s="968"/>
      <c r="P169" s="968"/>
      <c r="Q169" s="968"/>
      <c r="R169" s="968"/>
      <c r="S169" s="196">
        <f ca="1">IF($B$158="Лікар загальної практики - сімейний лікар",IF(S162&gt;=Законод!$J$22,'01_Доходи'!S162-('01_Доходи'!S163+'01_Доходи'!S164+'01_Доходи'!S165+'01_Доходи'!S166+'01_Доходи'!S167+'01_Доходи'!S168),0),IF($B$158="Лікар-педіатр",IF(S162&gt;=Законод!$J$18,'01_Доходи'!S162-('01_Доходи'!S163+'01_Доходи'!S164+'01_Доходи'!S165+'01_Доходи'!S166+'01_Доходи'!S167+'01_Доходи'!S168),0),IF($B$158="Лікар-терапевт",IF('01_Доходи'!S162&gt;=Законод!$J$26,S162-Законод!$I$27,0),0)))</f>
        <v>0</v>
      </c>
      <c r="T169" s="966"/>
      <c r="U169" s="968" t="s">
        <v>423</v>
      </c>
      <c r="V169" s="968"/>
      <c r="W169" s="968"/>
      <c r="X169" s="968"/>
      <c r="Y169" s="968"/>
      <c r="Z169" s="196">
        <f ca="1">IF($B$158="Лікар загальної практики - сімейний лікар",IF(Z162&gt;=Законод!$J$22,'01_Доходи'!Z162-('01_Доходи'!Z163+'01_Доходи'!Z164+'01_Доходи'!Z165+'01_Доходи'!Z166+'01_Доходи'!Z167+'01_Доходи'!Z168),0),IF($B$158="Лікар-педіатр",IF(Z162&gt;=Законод!$J$18,'01_Доходи'!Z162-('01_Доходи'!Z163+'01_Доходи'!Z164+'01_Доходи'!Z165+'01_Доходи'!Z166+'01_Доходи'!Z167+'01_Доходи'!Z168),0),IF($B$158="Лікар-терапевт",IF('01_Доходи'!Z162&gt;=Законод!$J$26,Z162-Законод!$I$27,0),0)))</f>
        <v>0</v>
      </c>
      <c r="AA169" s="966"/>
      <c r="AB169" s="968" t="s">
        <v>423</v>
      </c>
      <c r="AC169" s="968"/>
      <c r="AD169" s="968"/>
      <c r="AE169" s="968"/>
      <c r="AF169" s="968"/>
      <c r="AG169" s="196">
        <f ca="1">IF($B$158="Лікар загальної практики - сімейний лікар",IF(AG162&gt;=Законод!$J$22,'01_Доходи'!AG162-('01_Доходи'!AG163+'01_Доходи'!AG164+'01_Доходи'!AG165+'01_Доходи'!AG166+'01_Доходи'!AG167+'01_Доходи'!AG168),0),IF($B$158="Лікар-педіатр",IF(AG162&gt;=Законод!$J$18,'01_Доходи'!AG162-('01_Доходи'!AG163+'01_Доходи'!AG164+'01_Доходи'!AG165+'01_Доходи'!AG166+'01_Доходи'!AG167+'01_Доходи'!AG168),0),IF($B$158="Лікар-терапевт",IF('01_Доходи'!AG162&gt;=Законод!$J$26,AG162-Законод!$I$27,0),0)))</f>
        <v>0</v>
      </c>
      <c r="AH169" s="966"/>
      <c r="AI169" s="215"/>
      <c r="AJ169" s="946"/>
      <c r="AK169" s="961"/>
      <c r="AL169" s="961"/>
      <c r="AM169" s="928"/>
      <c r="AN169" s="216">
        <f ca="1">IF(B158="Лікар загальної практики - сімейний лікар",L169*Законод!$C$9/4*Законод!$J$16,IF(B158="Лікар-педіатр",L169*Законод!$C$9/4*Законод!$J$16,IF(B158="Лікар-терапевт",L169*Законод!$C$9/4*Законод!$J$16,0)))</f>
        <v>0</v>
      </c>
      <c r="AO169" s="216">
        <f ca="1">IF(B158="Лікар загальної практики - сімейний лікар",S169*Законод!$C$9/4*Законод!$J$16,IF(B158="Лікар-педіатр",S169*Законод!$C$9/4*Законод!$J$16,IF(B158="Лікар-терапевт",S169*Законод!$C$9/4*Законод!$J$16,0)))</f>
        <v>0</v>
      </c>
      <c r="AP169" s="216">
        <f ca="1">IF(B158="Лікар загальної практики - сімейний лікар",S169*Законод!$C$9/4*Законод!$J$16,IF(B158="Лікар-педіатр",S169*Законод!$C$9/4*Законод!$J$16,IF(B158="Лікар-терапевт",S169*Законод!$C$9/4*Законод!$J$16,0)))</f>
        <v>0</v>
      </c>
      <c r="AQ169" s="216">
        <f ca="1">IF(B158="Лікар загальної практики - сімейний лікар",AG169*Законод!$C$9/4*Законод!$J$16,IF(B158="Лікар-педіатр",AG169*Законод!$C$9/4*Законод!$J$16,IF(B158="Лікар-терапевт",AG169*Законод!$C$9/4*Законод!$J$16,0)))</f>
        <v>0</v>
      </c>
      <c r="AR169" s="217">
        <f t="shared" si="17"/>
        <v>0</v>
      </c>
    </row>
    <row r="170" spans="1:44" s="247" customFormat="1" ht="19.899999999999999" customHeight="1" thickBot="1">
      <c r="A170" s="243"/>
      <c r="B170" s="244"/>
      <c r="C170" s="244"/>
      <c r="D170" s="244"/>
      <c r="E170" s="244"/>
      <c r="F170" s="245"/>
      <c r="G170" s="246"/>
      <c r="H170" s="246"/>
      <c r="L170" s="248"/>
      <c r="S170" s="248"/>
      <c r="Z170" s="248"/>
      <c r="AG170" s="248"/>
      <c r="AM170" s="249"/>
      <c r="AR170" s="250"/>
    </row>
    <row r="171" spans="1:44" s="191" customFormat="1" ht="30" customHeight="1">
      <c r="A171" s="194">
        <f>A158+1</f>
        <v>11</v>
      </c>
      <c r="B171" s="969" t="s">
        <v>312</v>
      </c>
      <c r="C171" s="974" t="s">
        <v>89</v>
      </c>
      <c r="D171" s="971"/>
      <c r="E171" s="971" t="s">
        <v>90</v>
      </c>
      <c r="F171" s="234" t="s">
        <v>659</v>
      </c>
      <c r="G171" s="196">
        <v>30</v>
      </c>
      <c r="H171" s="196">
        <v>127</v>
      </c>
      <c r="I171" s="196">
        <v>236</v>
      </c>
      <c r="J171" s="196">
        <v>243</v>
      </c>
      <c r="K171" s="196">
        <v>96</v>
      </c>
      <c r="L171" s="557">
        <f t="shared" ref="L171:L176" si="18">SUM(G171:K171)</f>
        <v>732</v>
      </c>
      <c r="M171" s="966">
        <v>1</v>
      </c>
      <c r="N171" s="196">
        <v>30</v>
      </c>
      <c r="O171" s="196">
        <v>127</v>
      </c>
      <c r="P171" s="196">
        <v>236</v>
      </c>
      <c r="Q171" s="196">
        <v>243</v>
      </c>
      <c r="R171" s="196">
        <v>96</v>
      </c>
      <c r="S171" s="557">
        <f t="shared" ref="S171:S176" si="19">SUM(N171:R171)</f>
        <v>732</v>
      </c>
      <c r="T171" s="966">
        <v>1</v>
      </c>
      <c r="U171" s="196">
        <v>30</v>
      </c>
      <c r="V171" s="196">
        <v>127</v>
      </c>
      <c r="W171" s="196">
        <v>236</v>
      </c>
      <c r="X171" s="196">
        <v>243</v>
      </c>
      <c r="Y171" s="196">
        <v>96</v>
      </c>
      <c r="Z171" s="557">
        <f t="shared" ref="Z171:Z176" si="20">SUM(U171:Y171)</f>
        <v>732</v>
      </c>
      <c r="AA171" s="966">
        <v>1</v>
      </c>
      <c r="AB171" s="196">
        <v>30</v>
      </c>
      <c r="AC171" s="196">
        <v>127</v>
      </c>
      <c r="AD171" s="196">
        <v>236</v>
      </c>
      <c r="AE171" s="196">
        <v>243</v>
      </c>
      <c r="AF171" s="196">
        <v>96</v>
      </c>
      <c r="AG171" s="557">
        <f t="shared" ref="AG171:AG176" si="21">SUM(AB171:AF171)</f>
        <v>732</v>
      </c>
      <c r="AH171" s="966">
        <v>1</v>
      </c>
      <c r="AI171" s="540">
        <f>A171</f>
        <v>11</v>
      </c>
      <c r="AJ171" s="944" t="str">
        <f>B171</f>
        <v>Лікар загальної практики - сімейний лікар</v>
      </c>
      <c r="AK171" s="959" t="str">
        <f>C171</f>
        <v>Шептур Тетяна Володимирівна</v>
      </c>
      <c r="AL171" s="959">
        <f>D171</f>
        <v>0</v>
      </c>
      <c r="AM171" s="929" t="s">
        <v>79</v>
      </c>
      <c r="AN171" s="947">
        <f>SUM(AN176:AN182)</f>
        <v>135576.57088749998</v>
      </c>
      <c r="AO171" s="947">
        <f>SUM(AO176:AO182)</f>
        <v>135576.57088749998</v>
      </c>
      <c r="AP171" s="947">
        <f>SUM(AP176:AP182)</f>
        <v>135576.57088749998</v>
      </c>
      <c r="AQ171" s="947">
        <f>SUM(AQ176:AQ182)</f>
        <v>135576.57088749998</v>
      </c>
      <c r="AR171" s="962">
        <f>SUM(AN171:AQ175)</f>
        <v>542306.28354999993</v>
      </c>
    </row>
    <row r="172" spans="1:44" s="50" customFormat="1" ht="28.15" customHeight="1">
      <c r="A172" s="197"/>
      <c r="B172" s="969"/>
      <c r="C172" s="974"/>
      <c r="D172" s="971"/>
      <c r="E172" s="971"/>
      <c r="F172" s="234" t="s">
        <v>660</v>
      </c>
      <c r="G172" s="196">
        <v>30</v>
      </c>
      <c r="H172" s="196">
        <v>127</v>
      </c>
      <c r="I172" s="196">
        <v>236</v>
      </c>
      <c r="J172" s="196">
        <v>243</v>
      </c>
      <c r="K172" s="196">
        <v>96</v>
      </c>
      <c r="L172" s="557">
        <f t="shared" si="18"/>
        <v>732</v>
      </c>
      <c r="M172" s="966"/>
      <c r="N172" s="196">
        <v>30</v>
      </c>
      <c r="O172" s="196">
        <v>127</v>
      </c>
      <c r="P172" s="196">
        <v>236</v>
      </c>
      <c r="Q172" s="196">
        <v>243</v>
      </c>
      <c r="R172" s="196">
        <v>96</v>
      </c>
      <c r="S172" s="557">
        <f t="shared" si="19"/>
        <v>732</v>
      </c>
      <c r="T172" s="966"/>
      <c r="U172" s="196">
        <v>30</v>
      </c>
      <c r="V172" s="196">
        <v>127</v>
      </c>
      <c r="W172" s="196">
        <v>236</v>
      </c>
      <c r="X172" s="196">
        <v>243</v>
      </c>
      <c r="Y172" s="196">
        <v>96</v>
      </c>
      <c r="Z172" s="557">
        <f t="shared" si="20"/>
        <v>732</v>
      </c>
      <c r="AA172" s="966"/>
      <c r="AB172" s="196">
        <v>30</v>
      </c>
      <c r="AC172" s="196">
        <v>127</v>
      </c>
      <c r="AD172" s="196">
        <v>236</v>
      </c>
      <c r="AE172" s="196">
        <v>243</v>
      </c>
      <c r="AF172" s="196">
        <v>96</v>
      </c>
      <c r="AG172" s="557">
        <f t="shared" si="21"/>
        <v>732</v>
      </c>
      <c r="AH172" s="966"/>
      <c r="AI172" s="198"/>
      <c r="AJ172" s="945"/>
      <c r="AK172" s="960"/>
      <c r="AL172" s="960"/>
      <c r="AM172" s="930"/>
      <c r="AN172" s="948"/>
      <c r="AO172" s="948"/>
      <c r="AP172" s="948"/>
      <c r="AQ172" s="948"/>
      <c r="AR172" s="963"/>
    </row>
    <row r="173" spans="1:44" s="90" customFormat="1" ht="31.15" customHeight="1">
      <c r="A173" s="240"/>
      <c r="B173" s="969"/>
      <c r="C173" s="974"/>
      <c r="D173" s="971"/>
      <c r="E173" s="971"/>
      <c r="F173" s="241" t="s">
        <v>661</v>
      </c>
      <c r="G173" s="196">
        <v>30</v>
      </c>
      <c r="H173" s="196">
        <v>127</v>
      </c>
      <c r="I173" s="196">
        <v>236</v>
      </c>
      <c r="J173" s="196">
        <v>243</v>
      </c>
      <c r="K173" s="196">
        <v>96</v>
      </c>
      <c r="L173" s="200">
        <f t="shared" si="18"/>
        <v>732</v>
      </c>
      <c r="M173" s="966"/>
      <c r="N173" s="196">
        <v>30</v>
      </c>
      <c r="O173" s="196">
        <v>127</v>
      </c>
      <c r="P173" s="196">
        <v>236</v>
      </c>
      <c r="Q173" s="196">
        <v>243</v>
      </c>
      <c r="R173" s="196">
        <v>96</v>
      </c>
      <c r="S173" s="200">
        <f t="shared" si="19"/>
        <v>732</v>
      </c>
      <c r="T173" s="966"/>
      <c r="U173" s="196">
        <v>30</v>
      </c>
      <c r="V173" s="196">
        <v>127</v>
      </c>
      <c r="W173" s="196">
        <v>236</v>
      </c>
      <c r="X173" s="196">
        <v>243</v>
      </c>
      <c r="Y173" s="196">
        <v>96</v>
      </c>
      <c r="Z173" s="200">
        <f t="shared" si="20"/>
        <v>732</v>
      </c>
      <c r="AA173" s="966"/>
      <c r="AB173" s="196">
        <v>30</v>
      </c>
      <c r="AC173" s="196">
        <v>127</v>
      </c>
      <c r="AD173" s="196">
        <v>236</v>
      </c>
      <c r="AE173" s="196">
        <v>243</v>
      </c>
      <c r="AF173" s="196">
        <v>96</v>
      </c>
      <c r="AG173" s="200">
        <f t="shared" si="21"/>
        <v>732</v>
      </c>
      <c r="AH173" s="966"/>
      <c r="AI173" s="242"/>
      <c r="AJ173" s="945"/>
      <c r="AK173" s="960"/>
      <c r="AL173" s="960"/>
      <c r="AM173" s="930"/>
      <c r="AN173" s="948"/>
      <c r="AO173" s="948"/>
      <c r="AP173" s="948"/>
      <c r="AQ173" s="948"/>
      <c r="AR173" s="963"/>
    </row>
    <row r="174" spans="1:44" s="50" customFormat="1" ht="31.9" customHeight="1" thickBot="1">
      <c r="A174" s="197"/>
      <c r="B174" s="969"/>
      <c r="C174" s="974"/>
      <c r="D174" s="971"/>
      <c r="E174" s="971"/>
      <c r="F174" s="236" t="s">
        <v>426</v>
      </c>
      <c r="G174" s="203">
        <f>IF($B$171="Лікар-педіатр",G173/L173,IF($B$171="Лікар-терапевт","х",IF($B$171="Лікар загальної практики - сімейний лікар",G173/L173,0)))</f>
        <v>4.0983606557377046E-2</v>
      </c>
      <c r="H174" s="203">
        <f>IF($B$171="Лікар-педіатр",H173/L173,IF($B$171="Лікар-терапевт","х",IF($B$171="Лікар загальної практики - сімейний лікар",H173/L173,0)))</f>
        <v>0.17349726775956284</v>
      </c>
      <c r="I174" s="203">
        <f>IF($B$171="Лікар-педіатр","x",IF($B$171="Лікар-терапевт",I173/L173,IF($B$171="Лікар загальної практики - сімейний лікар",I173/L173,0)))</f>
        <v>0.32240437158469948</v>
      </c>
      <c r="J174" s="203">
        <f>IF($B$171="Лікар-педіатр","x",IF($B$171="Лікар-терапевт",J173/L173,IF($B$171="Лікар загальної практики - сімейний лікар",J173/L173,0)))</f>
        <v>0.33196721311475408</v>
      </c>
      <c r="K174" s="203">
        <f>IF($B$171="Лікар-педіатр","x",IF($B$171="Лікар-терапевт",K173/L173,IF($B$171="Лікар загальної практики - сімейний лікар",K173/L173,0)))</f>
        <v>0.13114754098360656</v>
      </c>
      <c r="L174" s="203">
        <f t="shared" si="18"/>
        <v>1</v>
      </c>
      <c r="M174" s="966"/>
      <c r="N174" s="203">
        <f>IF($B$171="Лікар-педіатр",N173/S173,IF($B$171="Лікар-терапевт","х",IF($B$171="Лікар загальної практики - сімейний лікар",N173/S173,0)))</f>
        <v>4.0983606557377046E-2</v>
      </c>
      <c r="O174" s="203">
        <f>IF($B$171="Лікар-педіатр",O173/S173,IF($B$171="Лікар-терапевт","х",IF($B$171="Лікар загальної практики - сімейний лікар",O173/S173,0)))</f>
        <v>0.17349726775956284</v>
      </c>
      <c r="P174" s="203">
        <f>IF($B$171="Лікар-педіатр","x",IF($B$171="Лікар-терапевт",P173/S173,IF($B$171="Лікар загальної практики - сімейний лікар",P173/S173,0)))</f>
        <v>0.32240437158469948</v>
      </c>
      <c r="Q174" s="203">
        <f>IF($B$171="Лікар-педіатр","x",IF($B$171="Лікар-терапевт",Q173/S173,IF($B$171="Лікар загальної практики - сімейний лікар",Q173/S173,0)))</f>
        <v>0.33196721311475408</v>
      </c>
      <c r="R174" s="203">
        <f>IF($B$171="Лікар-педіатр","x",IF($B$171="Лікар-терапевт",R173/S173,IF($B$171="Лікар загальної практики - сімейний лікар",R173/S173,0)))</f>
        <v>0.13114754098360656</v>
      </c>
      <c r="S174" s="203">
        <f t="shared" si="19"/>
        <v>1</v>
      </c>
      <c r="T174" s="966"/>
      <c r="U174" s="203">
        <f>IF($B$171="Лікар-педіатр",U173/Z173,IF($B$171="Лікар-терапевт","х",IF($B$171="Лікар загальної практики - сімейний лікар",U173/Z173,0)))</f>
        <v>4.0983606557377046E-2</v>
      </c>
      <c r="V174" s="203">
        <f>IF($B$171="Лікар-педіатр",V173/Z173,IF($B$171="Лікар-терапевт","х",IF($B$171="Лікар загальної практики - сімейний лікар",V173/Z173,0)))</f>
        <v>0.17349726775956284</v>
      </c>
      <c r="W174" s="203">
        <f>IF($B$171="Лікар-педіатр","x",IF($B$171="Лікар-терапевт",W173/Z173,IF($B$171="Лікар загальної практики - сімейний лікар",W173/Z173,0)))</f>
        <v>0.32240437158469948</v>
      </c>
      <c r="X174" s="203">
        <f>IF($B$171="Лікар-педіатр","x",IF($B$171="Лікар-терапевт",X173/Z173,IF($B$171="Лікар загальної практики - сімейний лікар",X173/Z173,0)))</f>
        <v>0.33196721311475408</v>
      </c>
      <c r="Y174" s="203">
        <f>IF($B$171="Лікар-педіатр","x",IF($B$171="Лікар-терапевт",Y173/Z173,IF($B$171="Лікар загальної практики - сімейний лікар",Y173/Z173,0)))</f>
        <v>0.13114754098360656</v>
      </c>
      <c r="Z174" s="203">
        <f t="shared" si="20"/>
        <v>1</v>
      </c>
      <c r="AA174" s="966"/>
      <c r="AB174" s="203">
        <f>IF($B$171="Лікар-педіатр",AB173/AG173,IF($B$171="Лікар-терапевт","х",IF($B$171="Лікар загальної практики - сімейний лікар",AB173/AG173,0)))</f>
        <v>4.0983606557377046E-2</v>
      </c>
      <c r="AC174" s="203">
        <f>IF($B$171="Лікар-педіатр",AC173/AG173,IF($B$171="Лікар-терапевт","х",IF($B$171="Лікар загальної практики - сімейний лікар",AC173/AG173,0)))</f>
        <v>0.17349726775956284</v>
      </c>
      <c r="AD174" s="203">
        <f>IF($B$171="Лікар-педіатр","x",IF($B$171="Лікар-терапевт",AD173/AG173,IF($B$171="Лікар загальної практики - сімейний лікар",AD173/AG173,0)))</f>
        <v>0.32240437158469948</v>
      </c>
      <c r="AE174" s="203">
        <f>IF($B$171="Лікар-педіатр","x",IF($B$171="Лікар-терапевт",AE173/AG173,IF($B$171="Лікар загальної практики - сімейний лікар",AE173/AG173,0)))</f>
        <v>0.33196721311475408</v>
      </c>
      <c r="AF174" s="203">
        <f>IF($B$171="Лікар-педіатр","x",IF($B$171="Лікар-терапевт",AF173/AG173,IF($B$171="Лікар загальної практики - сімейний лікар",AF173/AG173,0)))</f>
        <v>0.13114754098360656</v>
      </c>
      <c r="AG174" s="203">
        <f t="shared" si="21"/>
        <v>1</v>
      </c>
      <c r="AH174" s="966"/>
      <c r="AI174" s="201"/>
      <c r="AJ174" s="945"/>
      <c r="AK174" s="960"/>
      <c r="AL174" s="960"/>
      <c r="AM174" s="930"/>
      <c r="AN174" s="948"/>
      <c r="AO174" s="948"/>
      <c r="AP174" s="948"/>
      <c r="AQ174" s="948"/>
      <c r="AR174" s="963"/>
    </row>
    <row r="175" spans="1:44" s="50" customFormat="1" ht="45" customHeight="1" thickBot="1">
      <c r="A175" s="197"/>
      <c r="B175" s="969"/>
      <c r="C175" s="974"/>
      <c r="D175" s="971"/>
      <c r="E175" s="972"/>
      <c r="F175" s="204" t="s">
        <v>662</v>
      </c>
      <c r="G175" s="205">
        <f>IF($B$171="Лікар загальної практики - сімейний лікар",AVERAGE(G171:G173),IF($B$171="Лікар-педіатр",AVERAGE(G171:G173),IF($B$171="Лікар-терапевт","х",0)))</f>
        <v>30</v>
      </c>
      <c r="H175" s="205">
        <f>IF($B$171="Лікар загальної практики - сімейний лікар",AVERAGE(H171:H173),IF($B$171="Лікар-педіатр",AVERAGE(H171:H173),IF($B$171="Лікар-терапевт","х",0)))</f>
        <v>127</v>
      </c>
      <c r="I175" s="205">
        <f>IF($B$171="Лікар загальної практики - сімейний лікар",AVERAGE(I171:I173),IF($B$171="Лікар-педіатр","x",IF($B$171="Лікар-терапевт",AVERAGE(I171:I173),0)))</f>
        <v>236</v>
      </c>
      <c r="J175" s="205">
        <f>IF($B$171="Лікар загальної практики - сімейний лікар",AVERAGE(J171:J173),IF($B$171="Лікар-педіатр","x",IF($B$171="Лікар-терапевт",AVERAGE(J171:J173),0)))</f>
        <v>243</v>
      </c>
      <c r="K175" s="205">
        <f>IF($B$171="Лікар загальної практики - сімейний лікар",AVERAGE(K171:K173),IF($B$171="Лікар-педіатр","x",IF($B$171="Лікар-терапевт",AVERAGE(K171:K173),0)))</f>
        <v>96</v>
      </c>
      <c r="L175" s="206">
        <f t="shared" si="18"/>
        <v>732</v>
      </c>
      <c r="M175" s="973"/>
      <c r="N175" s="205">
        <f>IF($B$171="Лікар загальної практики - сімейний лікар",AVERAGE(N171:N173),IF($B$171="Лікар-педіатр",AVERAGE(N171:N173),IF($B$171="Лікар-терапевт","х",0)))</f>
        <v>30</v>
      </c>
      <c r="O175" s="205">
        <f>IF($B$171="Лікар загальної практики - сімейний лікар",AVERAGE(O171:O173),IF($B$171="Лікар-педіатр",AVERAGE(O171:O173),IF($B$171="Лікар-терапевт","х",0)))</f>
        <v>127</v>
      </c>
      <c r="P175" s="205">
        <f>IF($B$171="Лікар загальної практики - сімейний лікар",AVERAGE(P171:P173),IF($B$171="Лікар-педіатр","x",IF($B$171="Лікар-терапевт",AVERAGE(P171:P173),0)))</f>
        <v>236</v>
      </c>
      <c r="Q175" s="205">
        <f>IF($B$171="Лікар загальної практики - сімейний лікар",AVERAGE(Q171:Q173),IF($B$171="Лікар-педіатр","x",IF($B$171="Лікар-терапевт",AVERAGE(Q171:Q173),0)))</f>
        <v>243</v>
      </c>
      <c r="R175" s="205">
        <f>IF($B$171="Лікар загальної практики - сімейний лікар",AVERAGE(R171:R173),IF($B$171="Лікар-педіатр","x",IF($B$171="Лікар-терапевт",AVERAGE(R171:R173),0)))</f>
        <v>96</v>
      </c>
      <c r="S175" s="206">
        <f t="shared" si="19"/>
        <v>732</v>
      </c>
      <c r="T175" s="973"/>
      <c r="U175" s="205">
        <f>IF($B$171="Лікар загальної практики - сімейний лікар",AVERAGE(U171:U173),IF($B$171="Лікар-педіатр",AVERAGE(U171:U173),IF($B$171="Лікар-терапевт","х",0)))</f>
        <v>30</v>
      </c>
      <c r="V175" s="205">
        <f>IF($B$171="Лікар загальної практики - сімейний лікар",AVERAGE(V171:V173),IF($B$171="Лікар-педіатр",AVERAGE(V171:V173),IF($B$171="Лікар-терапевт","х",0)))</f>
        <v>127</v>
      </c>
      <c r="W175" s="205">
        <f>IF($B$171="Лікар загальної практики - сімейний лікар",AVERAGE(W171:W173),IF($B$171="Лікар-педіатр","x",IF($B$171="Лікар-терапевт",AVERAGE(W171:W173),0)))</f>
        <v>236</v>
      </c>
      <c r="X175" s="205">
        <f>IF($B$171="Лікар загальної практики - сімейний лікар",AVERAGE(X171:X173),IF($B$171="Лікар-педіатр","x",IF($B$171="Лікар-терапевт",AVERAGE(X171:X173),0)))</f>
        <v>243</v>
      </c>
      <c r="Y175" s="205">
        <f>IF($B$171="Лікар загальної практики - сімейний лікар",AVERAGE(Y171:Y173),IF($B$171="Лікар-педіатр","x",IF($B$171="Лікар-терапевт",AVERAGE(Y171:Y173),0)))</f>
        <v>96</v>
      </c>
      <c r="Z175" s="206">
        <f t="shared" si="20"/>
        <v>732</v>
      </c>
      <c r="AA175" s="973"/>
      <c r="AB175" s="205">
        <f>IF($B$171="Лікар загальної практики - сімейний лікар",AVERAGE(AB171:AB173),IF($B$171="Лікар-педіатр",AVERAGE(AB171:AB173),IF($B$171="Лікар-терапевт","х",0)))</f>
        <v>30</v>
      </c>
      <c r="AC175" s="205">
        <f>IF($B$171="Лікар загальної практики - сімейний лікар",AVERAGE(AC171:AC173),IF($B$171="Лікар-педіатр",AVERAGE(AC171:AC173),IF($B$171="Лікар-терапевт","х",0)))</f>
        <v>127</v>
      </c>
      <c r="AD175" s="205">
        <f>IF($B$171="Лікар загальної практики - сімейний лікар",AVERAGE(AD171:AD173),IF($B$171="Лікар-педіатр","x",IF($B$171="Лікар-терапевт",AVERAGE(AD171:AD173),0)))</f>
        <v>236</v>
      </c>
      <c r="AE175" s="205">
        <f>IF($B$171="Лікар загальної практики - сімейний лікар",AVERAGE(AE171:AE173),IF($B$171="Лікар-педіатр","x",IF($B$171="Лікар-терапевт",AVERAGE(AE171:AE173),0)))</f>
        <v>243</v>
      </c>
      <c r="AF175" s="205">
        <f>IF($B$171="Лікар загальної практики - сімейний лікар",AVERAGE(AF171:AF173),IF($B$171="Лікар-педіатр","x",IF($B$171="Лікар-терапевт",AVERAGE(AF171:AF173),0)))</f>
        <v>96</v>
      </c>
      <c r="AG175" s="206">
        <f t="shared" si="21"/>
        <v>732</v>
      </c>
      <c r="AH175" s="967"/>
      <c r="AI175" s="201"/>
      <c r="AJ175" s="945"/>
      <c r="AK175" s="960"/>
      <c r="AL175" s="960"/>
      <c r="AM175" s="931"/>
      <c r="AN175" s="949"/>
      <c r="AO175" s="949"/>
      <c r="AP175" s="949"/>
      <c r="AQ175" s="949"/>
      <c r="AR175" s="964"/>
    </row>
    <row r="176" spans="1:44" s="50" customFormat="1" ht="40.5">
      <c r="A176" s="197"/>
      <c r="B176" s="969"/>
      <c r="C176" s="974"/>
      <c r="D176" s="971"/>
      <c r="E176" s="971"/>
      <c r="F176" s="237" t="str">
        <f ca="1">IF(B171="Лікар-педіатр",Законод!$C$17,IF(B171="Лікар загальної практики - сімейний лікар",Законод!$C$21,IF(B171="Лікар-терапевт",Законод!$C$25,"х")))</f>
        <v>ліміт (до 1800)</v>
      </c>
      <c r="G176" s="208">
        <f ca="1">IF($B$171="Лікар загальної практики - сімейний лікар",IF(L175&lt;=Законод!$C$22,G175,Законод!$C$22*'01_Доходи'!G174),IF($B$171="Лікар-педіатр",IF(L175&lt;=Законод!$C$18,G175,Законод!$C$18*'01_Доходи'!G174),IF($B$171="Лікар-терапевт","x",0)))</f>
        <v>30</v>
      </c>
      <c r="H176" s="208">
        <f ca="1">IF($B$171="Лікар загальної практики - сімейний лікар",IF(L175&lt;=Законод!$C$22,H175,Законод!$C$22*'01_Доходи'!H174),IF($B$171="Лікар-педіатр",IF(L175&lt;=Законод!$C$18,H175,Законод!$C$18*'01_Доходи'!H174),IF($B$171="Лікар-терапевт","x",0)))</f>
        <v>127</v>
      </c>
      <c r="I176" s="208">
        <f ca="1">IF($B$171="Лікар загальної практики - сімейний лікар",IF(L175&lt;=Законод!$C$22,I175,Законод!$C$22*'01_Доходи'!I174),IF($B$171="Лікар-педіатр","x",IF($B$171="Лікар-терапевт",IF(L175&lt;=Законод!$C$26,I175,Законод!$C$26*'01_Доходи'!I174),0)))</f>
        <v>236</v>
      </c>
      <c r="J176" s="208">
        <f ca="1">IF($B$171="Лікар загальної практики - сімейний лікар",IF(L175&lt;=Законод!$C$22,J175,Законод!$C$22*'01_Доходи'!J174),IF($B$171="Лікар-педіатр","x",IF($B$171="Лікар-терапевт",IF(L175&lt;=Законод!$C$26,J175,Законод!$C$26*'01_Доходи'!J174),0)))</f>
        <v>243</v>
      </c>
      <c r="K176" s="208">
        <f ca="1">IF($B$171="Лікар загальної практики - сімейний лікар",IF(L175&lt;=Законод!$C$22,K175,Законод!$C$22*'01_Доходи'!K174),IF($B$171="Лікар-педіатр","x",IF($B$171="Лікар-терапевт",IF(L175&lt;=Законод!$C$26,K175,Законод!$C$26*'01_Доходи'!K174),0)))</f>
        <v>96</v>
      </c>
      <c r="L176" s="209">
        <f t="shared" si="18"/>
        <v>732</v>
      </c>
      <c r="M176" s="966"/>
      <c r="N176" s="208">
        <f ca="1">IF($B$171="Лікар загальної практики - сімейний лікар",IF(S175&lt;=Законод!$C$22,N175,Законод!$C$22*'01_Доходи'!N174),IF($B$171="Лікар-педіатр",IF(S175&lt;=Законод!$C$18,N175,Законод!$C$18*'01_Доходи'!N174),IF($B$171="Лікар-терапевт","x",0)))</f>
        <v>30</v>
      </c>
      <c r="O176" s="208">
        <f ca="1">IF($B$171="Лікар загальної практики - сімейний лікар",IF(S175&lt;=Законод!$C$22,O175,Законод!$C$22*'01_Доходи'!O174),IF($B$171="Лікар-педіатр",IF(S175&lt;=Законод!$C$18,O175,Законод!$C$18*'01_Доходи'!O174),IF($B$171="Лікар-терапевт","x",0)))</f>
        <v>127</v>
      </c>
      <c r="P176" s="208">
        <f ca="1">IF($B$171="Лікар загальної практики - сімейний лікар",IF(S175&lt;=Законод!$C$22,P175,Законод!$C$22*'01_Доходи'!P174),IF($B$171="Лікар-педіатр","x",IF($B$171="Лікар-терапевт",IF(S175&lt;=Законод!$C$26,P175,Законод!$C$26*'01_Доходи'!P174),0)))</f>
        <v>236</v>
      </c>
      <c r="Q176" s="208">
        <f ca="1">IF($B$171="Лікар загальної практики - сімейний лікар",IF(S175&lt;=Законод!$C$22,Q175,Законод!$C$22*'01_Доходи'!Q174),IF($B$171="Лікар-педіатр","x",IF($B$171="Лікар-терапевт",IF(S175&lt;=Законод!$C$26,Q175,Законод!$C$26*'01_Доходи'!Q174),0)))</f>
        <v>243</v>
      </c>
      <c r="R176" s="208">
        <f ca="1">IF($B$171="Лікар загальної практики - сімейний лікар",IF(S175&lt;=Законод!$C$22,R175,Законод!$C$22*'01_Доходи'!R174),IF($B$171="Лікар-педіатр","x",IF($B$171="Лікар-терапевт",IF(S175&lt;=Законод!$C$26,R175,Законод!$C$26*'01_Доходи'!R174),0)))</f>
        <v>96</v>
      </c>
      <c r="S176" s="209">
        <f t="shared" si="19"/>
        <v>732</v>
      </c>
      <c r="T176" s="966"/>
      <c r="U176" s="208">
        <f ca="1">IF($B$171="Лікар загальної практики - сімейний лікар",IF(Z175&lt;=Законод!$C$22,U175,Законод!$C$22*'01_Доходи'!U174),IF($B$171="Лікар-педіатр",IF(Z175&lt;=Законод!$C$18,U175,Законод!$C$18*'01_Доходи'!U174),IF($B$171="Лікар-терапевт","x",0)))</f>
        <v>30</v>
      </c>
      <c r="V176" s="208">
        <f ca="1">IF($B$171="Лікар загальної практики - сімейний лікар",IF(Z175&lt;=Законод!$C$22,V175,Законод!$C$22*'01_Доходи'!V174),IF($B$171="Лікар-педіатр",IF(Z175&lt;=Законод!$C$18,V175,Законод!$C$18*'01_Доходи'!V174),IF($B$171="Лікар-терапевт","x",0)))</f>
        <v>127</v>
      </c>
      <c r="W176" s="208">
        <f ca="1">IF($B$171="Лікар загальної практики - сімейний лікар",IF(Z175&lt;=Законод!$C$22,W175,Законод!$C$22*'01_Доходи'!W174),IF($B$171="Лікар-педіатр","x",IF($B$171="Лікар-терапевт",IF(Z175&lt;=Законод!$C$26,W175,Законод!$C$26*'01_Доходи'!W174),0)))</f>
        <v>236</v>
      </c>
      <c r="X176" s="208">
        <f ca="1">IF($B$171="Лікар загальної практики - сімейний лікар",IF(Z175&lt;=Законод!$C$22,X175,Законод!$C$22*'01_Доходи'!X174),IF($B$171="Лікар-педіатр","x",IF($B$171="Лікар-терапевт",IF(Z175&lt;=Законод!$C$26,X175,Законод!$C$26*'01_Доходи'!X174),0)))</f>
        <v>243</v>
      </c>
      <c r="Y176" s="208">
        <f ca="1">IF($B$171="Лікар загальної практики - сімейний лікар",IF(Z175&lt;=Законод!$C$22,Y175,Законод!$C$22*'01_Доходи'!Y174),IF($B$171="Лікар-педіатр","x",IF($B$171="Лікар-терапевт",IF(Z175&lt;=Законод!$C$26,Y175,Законод!$C$26*'01_Доходи'!Y174),0)))</f>
        <v>96</v>
      </c>
      <c r="Z176" s="209">
        <f t="shared" si="20"/>
        <v>732</v>
      </c>
      <c r="AA176" s="966"/>
      <c r="AB176" s="208">
        <f ca="1">IF($B$171="Лікар загальної практики - сімейний лікар",IF(AG175&lt;=Законод!$C$22,AB175,Законод!$C$22*'01_Доходи'!AB174),IF($B$171="Лікар-педіатр",IF(AG175&lt;=Законод!$C$18,AB175,Законод!$C$18*'01_Доходи'!AB174),IF($B$171="Лікар-терапевт","x",0)))</f>
        <v>30</v>
      </c>
      <c r="AC176" s="208">
        <f ca="1">IF($B$171="Лікар загальної практики - сімейний лікар",IF(AG175&lt;=Законод!$C$22,AC175,Законод!$C$22*'01_Доходи'!AC174),IF($B$171="Лікар-педіатр",IF(AG175&lt;=Законод!$C$18,AC175,Законод!$C$18*'01_Доходи'!AC174),IF($B$171="Лікар-терапевт","x",0)))</f>
        <v>127</v>
      </c>
      <c r="AD176" s="208">
        <f ca="1">IF($B$171="Лікар загальної практики - сімейний лікар",IF(AG175&lt;=Законод!$C$22,AD175,Законод!$C$22*'01_Доходи'!AD174),IF($B$171="Лікар-педіатр","x",IF($B$171="Лікар-терапевт",IF(AG175&lt;=Законод!$C$26,AD175,Законод!$C$26*'01_Доходи'!AD174),0)))</f>
        <v>236</v>
      </c>
      <c r="AE176" s="208">
        <f ca="1">IF($B$171="Лікар загальної практики - сімейний лікар",IF(AG175&lt;=Законод!$C$22,AE175,Законод!$C$22*'01_Доходи'!AE174),IF($B$171="Лікар-педіатр","x",IF($B$171="Лікар-терапевт",IF(AG175&lt;=Законод!$C$26,AE175,Законод!$C$26*'01_Доходи'!AE174),0)))</f>
        <v>243</v>
      </c>
      <c r="AF176" s="208">
        <f ca="1">IF($B$171="Лікар загальної практики - сімейний лікар",IF(AG175&lt;=Законод!$C$22,AF175,Законод!$C$22*'01_Доходи'!AF174),IF($B$171="Лікар-педіатр","x",IF($B$171="Лікар-терапевт",IF(AG175&lt;=Законод!$C$26,AF175,Законод!$C$26*'01_Доходи'!AF174),0)))</f>
        <v>96</v>
      </c>
      <c r="AG176" s="209">
        <f t="shared" si="21"/>
        <v>732</v>
      </c>
      <c r="AH176" s="966"/>
      <c r="AI176" s="201"/>
      <c r="AJ176" s="945"/>
      <c r="AK176" s="960"/>
      <c r="AL176" s="960"/>
      <c r="AM176" s="348" t="s">
        <v>451</v>
      </c>
      <c r="AN176" s="210">
        <f ca="1">IF(B171="Лікар загальної практики - сімейний лікар",G176*Законод!$C$11+'01_Доходи'!H176*Законод!$D$11+'01_Доходи'!I176*Законод!$E$11+'01_Доходи'!J176*Законод!$F$11+'01_Доходи'!K176*Законод!$G$11,IF(B171="Лікар-педіатр",G176*Законод!$C$11+'01_Доходи'!H176*Законод!$D$11,IF(B171="Лікар-терапевт",'01_Доходи'!I176*Законод!$E$11+'01_Доходи'!J176*Законод!$F$11+'01_Доходи'!K176*Законод!$G$11,0)))</f>
        <v>135576.57088749998</v>
      </c>
      <c r="AO176" s="210">
        <f ca="1">IF(B171="Лікар загальної практики - сімейний лікар",N176*Законод!$C$11+'01_Доходи'!O176*Законод!$D$11+'01_Доходи'!P176*Законод!$E$11+'01_Доходи'!Q176*Законод!$F$11+'01_Доходи'!R176*Законод!$G$11,IF(B171="Лікар-педіатр",N176*Законод!$C$11+'01_Доходи'!O176*Законод!$D$11,IF(B171="Лікар-терапевт",'01_Доходи'!P176*Законод!$E$11+'01_Доходи'!Q176*Законод!$F$11+'01_Доходи'!R176*Законод!$G$11,0)))</f>
        <v>135576.57088749998</v>
      </c>
      <c r="AP176" s="210">
        <f ca="1">IF(B171="Лікар загальної практики - сімейний лікар",U176*Законод!$C$11+'01_Доходи'!V176*Законод!$D$11+'01_Доходи'!W176*Законод!$E$11+'01_Доходи'!X176*Законод!$F$11+'01_Доходи'!Y176*Законод!$G$11,IF(B171="Лікар-педіатр",U176*Законод!$C$11+'01_Доходи'!V176*Законод!$D$11,IF(B171="Лікар-терапевт",'01_Доходи'!W176*Законод!$E$11+'01_Доходи'!X176*Законод!$F$11+'01_Доходи'!Y176*Законод!$G$11,0)))</f>
        <v>135576.57088749998</v>
      </c>
      <c r="AQ176" s="210">
        <f ca="1">IF(B171="Лікар загальної практики - сімейний лікар",AB176*Законод!$C$11+'01_Доходи'!AC176*Законод!$D$11+'01_Доходи'!AD176*Законод!$E$11+'01_Доходи'!AE176*Законод!$F$11+'01_Доходи'!AF176*Законод!$G$11,IF(B171="Лікар-педіатр",AB176*Законод!$C$11+'01_Доходи'!AC176*Законод!$D$11,IF(B171="Лікар-терапевт",'01_Доходи'!AD176*Законод!$E$11+'01_Доходи'!AE176*Законод!$F$11+'01_Доходи'!AF176*Законод!$G$11,0)))</f>
        <v>135576.57088749998</v>
      </c>
      <c r="AR176" s="211">
        <f t="shared" ref="AR176:AR182" si="22">SUM(AN176:AQ176)</f>
        <v>542306.28354999993</v>
      </c>
    </row>
    <row r="177" spans="1:44" s="50" customFormat="1" ht="31.9" customHeight="1">
      <c r="A177" s="197"/>
      <c r="B177" s="969"/>
      <c r="C177" s="974"/>
      <c r="D177" s="971"/>
      <c r="E177" s="971"/>
      <c r="F177" s="238" t="str">
        <f ca="1">IF(B171="Лікар-педіатр",Законод!$E$17,IF(B171="Лікар загальної практики - сімейний лікар",Законод!$E$21,IF(B171="Лікар-терапевт",Законод!$E$25,"х")))</f>
        <v>понад ліміт (1801-1980)</v>
      </c>
      <c r="G177" s="965" t="s">
        <v>423</v>
      </c>
      <c r="H177" s="965"/>
      <c r="I177" s="965"/>
      <c r="J177" s="965"/>
      <c r="K177" s="965"/>
      <c r="L177" s="196">
        <f ca="1">IF($B$171="Лікар загальної практики - сімейний лікар",IF(L175&lt;Законод!$C$22,0,(IF(AND(L175&gt;=Законод!$E$22,L175&lt;=Законод!$E$23),L175-Законод!$C$22,IF('01_Доходи'!L175&gt;=Законод!$F$22,Законод!$E$24,0)))),IF($B$171="Лікар-педіатр",IF(L175&lt;Законод!$C$18,0,(IF(AND(L175&gt;=Законод!$E$18,L175&lt;=Законод!$E$19),L175-Законод!$C$18,IF('01_Доходи'!L175&gt;=Законод!$F$18,Законод!$E$20,0)))),IF($B$171="Лікар-терапевт",IF(L175&lt;Законод!$C$26,0,(IF(AND(L175&gt;=Законод!$E$26,L175&lt;=Законод!$E$27),L175-Законод!$C$26,IF('01_Доходи'!L175&gt;=Законод!$F$26,Законод!$E$28,0)))),0)))</f>
        <v>0</v>
      </c>
      <c r="M177" s="966"/>
      <c r="N177" s="965" t="s">
        <v>423</v>
      </c>
      <c r="O177" s="965"/>
      <c r="P177" s="965"/>
      <c r="Q177" s="965"/>
      <c r="R177" s="965"/>
      <c r="S177" s="196">
        <f ca="1">IF($B$171="Лікар загальної практики - сімейний лікар",IF(S175&lt;Законод!$C$22,0,(IF(AND(S175&gt;=Законод!$E$22,S175&lt;=Законод!$E$23),S175-Законод!$C$22,IF('01_Доходи'!S175&gt;=Законод!$F$22,Законод!$E$24,0)))),IF($B$171="Лікар-педіатр",IF(S175&lt;Законод!$C$18,0,(IF(AND(S175&gt;=Законод!$E$18,S175&lt;=Законод!$E$19),S175-Законод!$C$18,IF('01_Доходи'!S175&gt;=Законод!$F$18,Законод!$E$20,0)))),IF($B$171="Лікар-терапевт",IF(S175&lt;Законод!$C$26,0,(IF(AND(S175&gt;=Законод!$E$26,S175&lt;=Законод!$E$27),S175-Законод!$C$26,IF('01_Доходи'!S175&gt;=Законод!$F$26,Законод!$E$28,0)))),0)))</f>
        <v>0</v>
      </c>
      <c r="T177" s="966"/>
      <c r="U177" s="965" t="s">
        <v>423</v>
      </c>
      <c r="V177" s="965"/>
      <c r="W177" s="965"/>
      <c r="X177" s="965"/>
      <c r="Y177" s="965"/>
      <c r="Z177" s="196">
        <f ca="1">IF($B$171="Лікар загальної практики - сімейний лікар",IF(Z175&lt;Законод!$C$22,0,(IF(AND(Z175&gt;=Законод!$E$22,Z175&lt;=Законод!$E$23),Z175-Законод!$C$22,IF('01_Доходи'!Z175&gt;=Законод!$F$22,Законод!$E$24,0)))),IF($B$171="Лікар-педіатр",IF(Z175&lt;Законод!$C$18,0,(IF(AND(Z175&gt;=Законод!$E$18,Z175&lt;=Законод!$E$19),Z175-Законод!$C$18,IF('01_Доходи'!Z175&gt;=Законод!$F$18,Законод!$E$20,0)))),IF($B$171="Лікар-терапевт",IF(Z175&lt;Законод!$C$26,0,(IF(AND(Z175&gt;=Законод!$E$26,Z175&lt;=Законод!$E$27),Z175-Законод!$C$26,IF('01_Доходи'!Z175&gt;=Законод!$F$26,Законод!$E$28,0)))),0)))</f>
        <v>0</v>
      </c>
      <c r="AA177" s="966"/>
      <c r="AB177" s="965" t="s">
        <v>423</v>
      </c>
      <c r="AC177" s="965"/>
      <c r="AD177" s="965"/>
      <c r="AE177" s="965"/>
      <c r="AF177" s="965"/>
      <c r="AG177" s="196">
        <f ca="1">IF($B$171="Лікар загальної практики - сімейний лікар",IF(AG175&lt;Законод!$C$22,0,(IF(AND(AG175&gt;=Законод!$E$22,AG175&lt;=Законод!$E$23),AG175-Законод!$C$22,IF('01_Доходи'!AG175&gt;=Законод!$F$22,Законод!$E$24,0)))),IF($B$171="Лікар-педіатр",IF(AG175&lt;Законод!$C$18,0,(IF(AND(AG175&gt;=Законод!$E$18,AG175&lt;=Законод!$E$19),AG175-Законод!$C$18,IF('01_Доходи'!AG175&gt;=Законод!$F$18,Законод!$E$20,0)))),IF($B$171="Лікар-терапевт",IF(AG175&lt;Законод!$C$26,0,(IF(AND(AG175&gt;=Законод!$E$26,AG175&lt;=Законод!$E$27),AG175-Законод!$C$26,IF('01_Доходи'!AG175&gt;=Законод!$F$26,Законод!$E$28,0)))),0)))</f>
        <v>0</v>
      </c>
      <c r="AH177" s="966"/>
      <c r="AI177" s="201"/>
      <c r="AJ177" s="945"/>
      <c r="AK177" s="960"/>
      <c r="AL177" s="960"/>
      <c r="AM177" s="926" t="s">
        <v>452</v>
      </c>
      <c r="AN177" s="210">
        <f ca="1">IF(B171="Лікар загальної практики - сімейний лікар",L177*Законод!$C$9/4*Законод!$E$16,IF(B171="Лікар-педіатр",L177*Законод!$C$9/4*Законод!$E$16,IF(B171="Лікар-терапевт",L177*Законод!$C$9/4*Законод!$E$16,0)))</f>
        <v>0</v>
      </c>
      <c r="AO177" s="210">
        <f ca="1">IF(B171="Лікар загальної практики - сімейний лікар",S177*Законод!$C$9/4*Законод!$E$16,IF(B171="Лікар-педіатр",S177*Законод!$C$9/4*Законод!$E$16,IF(B171="Лікар-терапевт",S177*Законод!$C$9/4*Законод!$E$16,0)))</f>
        <v>0</v>
      </c>
      <c r="AP177" s="210">
        <f ca="1">IF(B171="Лікар загальної практики - сімейний лікар",Z177*Законод!$C$9/4*Законод!$E$16,IF(B171="Лікар-педіатр",Z177*Законод!$C$9/4*Законод!$E$16,IF(B171="Лікар-терапевт",Z177*Законод!$C$9/4*Законод!$E$16,0)))</f>
        <v>0</v>
      </c>
      <c r="AQ177" s="210">
        <f ca="1">IF(B171="Лікар загальної практики - сімейний лікар",AG177*Законод!$C$9/4*Законод!$E$16,IF(B171="Лікар-педіатр",AG177*Законод!$C$9/4*Законод!$E$16,IF(B171="Лікар-терапевт",AG177*Законод!$C$9/4*Законод!$E$16,0)))</f>
        <v>0</v>
      </c>
      <c r="AR177" s="211">
        <f t="shared" si="22"/>
        <v>0</v>
      </c>
    </row>
    <row r="178" spans="1:44" s="50" customFormat="1" ht="31.9" customHeight="1">
      <c r="A178" s="197"/>
      <c r="B178" s="969"/>
      <c r="C178" s="974"/>
      <c r="D178" s="971"/>
      <c r="E178" s="971"/>
      <c r="F178" s="238" t="str">
        <f ca="1">IF(B171="Лікар-педіатр",Законод!$F$17,IF(B171="Лікар загальної практики - сімейний лікар",Законод!$F$21,IF(B171="Лікар-терапевт",Законод!$F$25,"х")))</f>
        <v>понад ліміт (1981-2160)</v>
      </c>
      <c r="G178" s="965" t="s">
        <v>423</v>
      </c>
      <c r="H178" s="965"/>
      <c r="I178" s="965"/>
      <c r="J178" s="965"/>
      <c r="K178" s="965"/>
      <c r="L178" s="196">
        <f ca="1">IF($B$171="Лікар загальної практики - сімейний лікар",IF(L175&lt;Законод!$C$22,0,(IF(AND(L175&gt;=Законод!$F$22,L175&lt;=Законод!$F$23),L175-Законод!$E$23,IF('01_Доходи'!L175&gt;=Законод!$G$22,Законод!$F$24,0)))),IF($B$171="Лікар-педіатр",IF(L175&lt;Законод!$C$18,0,(IF(AND(L175&gt;=Законод!$F$18,L175&lt;=Законод!$F$19),L175-Законод!$E$19,IF('01_Доходи'!L175&gt;=Законод!$G$18,Законод!$F$20,0)))),IF($B$171="Лікар-терапевт",IF(L175&lt;Законод!$C$26,0,(IF(AND(L175&gt;=Законод!$F$26,L175&lt;=Законод!$F$27),L175-Законод!$E$27,IF('01_Доходи'!L175&gt;=Законод!$G$26,Законод!$F$28,0)))),0)))</f>
        <v>0</v>
      </c>
      <c r="M178" s="966"/>
      <c r="N178" s="965" t="s">
        <v>423</v>
      </c>
      <c r="O178" s="965"/>
      <c r="P178" s="965"/>
      <c r="Q178" s="965"/>
      <c r="R178" s="965"/>
      <c r="S178" s="196">
        <f ca="1">IF($B$171="Лікар загальної практики - сімейний лікар",IF(S175&lt;Законод!$C$22,0,(IF(AND(S175&gt;=Законод!$F$22,S175&lt;=Законод!$F$23),S175-Законод!$E$23,IF('01_Доходи'!S175&gt;=Законод!$G$22,Законод!$F$24,0)))),IF($B$171="Лікар-педіатр",IF(S175&lt;Законод!$C$18,0,(IF(AND(S175&gt;=Законод!$F$18,S175&lt;=Законод!$F$19),S175-Законод!$E$19,IF('01_Доходи'!S175&gt;=Законод!$G$18,Законод!$F$20,0)))),IF($B$171="Лікар-терапевт",IF(S175&lt;Законод!$C$26,0,(IF(AND(S175&gt;=Законод!$F$26,S175&lt;=Законод!$F$27),S175-Законод!$E$27,IF('01_Доходи'!S175&gt;=Законод!$G$26,Законод!$F$28,0)))),0)))</f>
        <v>0</v>
      </c>
      <c r="T178" s="966"/>
      <c r="U178" s="965" t="s">
        <v>423</v>
      </c>
      <c r="V178" s="965"/>
      <c r="W178" s="965"/>
      <c r="X178" s="965"/>
      <c r="Y178" s="965"/>
      <c r="Z178" s="196">
        <f ca="1">IF($B$171="Лікар загальної практики - сімейний лікар",IF(Z175&lt;Законод!$C$22,0,(IF(AND(Z175&gt;=Законод!$F$22,Z175&lt;=Законод!$F$23),Z175-Законод!$E$23,IF('01_Доходи'!Z175&gt;=Законод!$G$22,Законод!$F$24,0)))),IF($B$171="Лікар-педіатр",IF(Z175&lt;Законод!$C$18,0,(IF(AND(Z175&gt;=Законод!$F$18,Z175&lt;=Законод!$F$19),Z175-Законод!$E$19,IF('01_Доходи'!Z175&gt;=Законод!$G$18,Законод!$F$20,0)))),IF($B$171="Лікар-терапевт",IF(Z175&lt;Законод!$C$26,0,(IF(AND(Z175&gt;=Законод!$F$26,Z175&lt;=Законод!$F$27),Z175-Законод!$E$27,IF('01_Доходи'!Z175&gt;=Законод!$G$26,Законод!$F$28,0)))),0)))</f>
        <v>0</v>
      </c>
      <c r="AA178" s="966"/>
      <c r="AB178" s="965" t="s">
        <v>423</v>
      </c>
      <c r="AC178" s="965"/>
      <c r="AD178" s="965"/>
      <c r="AE178" s="965"/>
      <c r="AF178" s="965"/>
      <c r="AG178" s="196">
        <f ca="1">IF($B$171="Лікар загальної практики - сімейний лікар",IF(AG175&lt;Законод!$C$22,0,(IF(AND(AG175&gt;=Законод!$F$22,AG175&lt;=Законод!$F$23),AG175-Законод!$E$23,IF('01_Доходи'!AG175&gt;=Законод!$G$22,Законод!$F$24,0)))),IF($B$171="Лікар-педіатр",IF(AG175&lt;Законод!$C$18,0,(IF(AND(AG175&gt;=Законод!$F$18,AG175&lt;=Законод!$F$19),AG175-Законод!$E$19,IF('01_Доходи'!AG175&gt;=Законод!$G$18,Законод!$F$20,0)))),IF($B$171="Лікар-терапевт",IF(AG175&lt;Законод!$C$26,0,(IF(AND(AG175&gt;=Законод!$F$26,AG175&lt;=Законод!$F$27),AG175-Законод!$E$27,IF('01_Доходи'!AG175&gt;=Законод!$G$26,Законод!$F$28,0)))),0)))</f>
        <v>0</v>
      </c>
      <c r="AH178" s="966"/>
      <c r="AI178" s="201"/>
      <c r="AJ178" s="945"/>
      <c r="AK178" s="960"/>
      <c r="AL178" s="960"/>
      <c r="AM178" s="927"/>
      <c r="AN178" s="210">
        <f ca="1">IF(B171="Лікар загальної практики - сімейний лікар",L178*Законод!$C$9/4*Законод!$F$16,IF(B171="Лікар-педіатр",L178*Законод!$C$9/4*Законод!$F$16,IF(B171="Лікар-терапевт",L178*Законод!$C$9/4*Законод!$F$16,0)))</f>
        <v>0</v>
      </c>
      <c r="AO178" s="210">
        <f ca="1">IF(B171="Лікар загальної практики - сімейний лікар",S178*Законод!$C$9/4*Законод!$F$16,IF(B171="Лікар-педіатр",S178*Законод!$C$9/4*Законод!$F$16,IF(B171="Лікар-терапевт",S178*Законод!$C$9/4*Законод!$F$16,0)))</f>
        <v>0</v>
      </c>
      <c r="AP178" s="210">
        <f ca="1">IF(B171="Лікар загальної практики - сімейний лікар",Z178*Законод!$C$9/4*Законод!$F$16,IF(B171="Лікар-педіатр",Z178*Законод!$C$9/4*Законод!$F$16,IF(B171="Лікар-терапевт",Z178*Законод!$C$9/4*Законод!$F$16,0)))</f>
        <v>0</v>
      </c>
      <c r="AQ178" s="210">
        <f ca="1">IF(B171="Лікар загальної практики - сімейний лікар",AG178*Законод!$C$9/4*Законод!$F$16,IF(B171="Лікар-педіатр",AG178*Законод!$C$9/4*Законод!$F$16,IF(B171="Лікар-терапевт",AG178*Законод!$C$9/4*Законод!$F$16,0)))</f>
        <v>0</v>
      </c>
      <c r="AR178" s="211">
        <f t="shared" si="22"/>
        <v>0</v>
      </c>
    </row>
    <row r="179" spans="1:44" s="50" customFormat="1" ht="31.9" customHeight="1">
      <c r="A179" s="197"/>
      <c r="B179" s="969"/>
      <c r="C179" s="974"/>
      <c r="D179" s="971"/>
      <c r="E179" s="971"/>
      <c r="F179" s="238" t="str">
        <f ca="1">IF(B171="Лікар-педіатр",Законод!$G$17,IF(B171="Лікар загальної практики - сімейний лікар",Законод!$G$21,IF(B171="Лікар-терапевт",Законод!$G$25,"х")))</f>
        <v>понад ліміт (2161-2340)</v>
      </c>
      <c r="G179" s="965" t="s">
        <v>423</v>
      </c>
      <c r="H179" s="965"/>
      <c r="I179" s="965"/>
      <c r="J179" s="965"/>
      <c r="K179" s="965"/>
      <c r="L179" s="196">
        <f ca="1">IF($B$171="Лікар загальної практики - сімейний лікар",IF(L175&lt;Законод!$C$22,0,(IF(AND(L175&gt;=Законод!$G$22,L175&lt;=Законод!$G$23),L175-Законод!$F$23,IF('01_Доходи'!L175&gt;=Законод!$H$22,Законод!$G$24,0)))),IF($B$171="Лікар-педіатр",IF(L175&lt;Законод!$C$18,0,(IF(AND(L175&gt;=Законод!$G$18,L175&lt;=Законод!$G$19),L175-Законод!$F$19,IF('01_Доходи'!L175&gt;=Законод!$H$18,Законод!$G$20,0)))),IF($B$171="Лікар-терапевт",IF(L175&lt;Законод!$C$26,0,(IF(AND(L175&gt;=Законод!$G$26,L175&lt;=Законод!$G$27),L175-Законод!$F$27,IF('01_Доходи'!L175&gt;=Законод!$H$26,Законод!$G$28,0)))),0)))</f>
        <v>0</v>
      </c>
      <c r="M179" s="966"/>
      <c r="N179" s="965" t="s">
        <v>423</v>
      </c>
      <c r="O179" s="965"/>
      <c r="P179" s="965"/>
      <c r="Q179" s="965"/>
      <c r="R179" s="965"/>
      <c r="S179" s="196">
        <f ca="1">IF($B$171="Лікар загальної практики - сімейний лікар",IF(S175&lt;Законод!$C$22,0,(IF(AND(S175&gt;=Законод!$G$22,S175&lt;=Законод!$G$23),S175-Законод!$F$23,IF('01_Доходи'!S175&gt;=Законод!$H$22,Законод!$G$24,0)))),IF($B$171="Лікар-педіатр",IF(S175&lt;Законод!$C$18,0,(IF(AND(S175&gt;=Законод!$G$18,S175&lt;=Законод!$G$19),S175-Законод!$F$19,IF('01_Доходи'!S175&gt;=Законод!$H$18,Законод!$G$20,0)))),IF($B$171="Лікар-терапевт",IF(S175&lt;Законод!$C$26,0,(IF(AND(S175&gt;=Законод!$G$26,S175&lt;=Законод!$G$27),S175-Законод!$F$27,IF('01_Доходи'!S175&gt;=Законод!$H$26,Законод!$G$28,0)))),0)))</f>
        <v>0</v>
      </c>
      <c r="T179" s="966"/>
      <c r="U179" s="965" t="s">
        <v>423</v>
      </c>
      <c r="V179" s="965"/>
      <c r="W179" s="965"/>
      <c r="X179" s="965"/>
      <c r="Y179" s="965"/>
      <c r="Z179" s="196">
        <f ca="1">IF($B$171="Лікар загальної практики - сімейний лікар",IF(Z175&lt;Законод!$C$22,0,(IF(AND(Z175&gt;=Законод!$G$22,Z175&lt;=Законод!$G$23),Z175-Законод!$F$23,IF('01_Доходи'!Z175&gt;=Законод!$H$22,Законод!$G$24,0)))),IF($B$171="Лікар-педіатр",IF(Z175&lt;Законод!$C$18,0,(IF(AND(Z175&gt;=Законод!$G$18,Z175&lt;=Законод!$G$19),Z175-Законод!$F$19,IF('01_Доходи'!Z175&gt;=Законод!$H$18,Законод!$G$20,0)))),IF($B$171="Лікар-терапевт",IF(Z175&lt;Законод!$C$26,0,(IF(AND(Z175&gt;=Законод!$G$26,Z175&lt;=Законод!$G$27),Z175-Законод!$F$27,IF('01_Доходи'!Z175&gt;=Законод!$H$26,Законод!$G$28,0)))),0)))</f>
        <v>0</v>
      </c>
      <c r="AA179" s="966"/>
      <c r="AB179" s="965" t="s">
        <v>423</v>
      </c>
      <c r="AC179" s="965"/>
      <c r="AD179" s="965"/>
      <c r="AE179" s="965"/>
      <c r="AF179" s="965"/>
      <c r="AG179" s="196">
        <f ca="1">IF($B$171="Лікар загальної практики - сімейний лікар",IF(AG175&lt;Законод!$C$22,0,(IF(AND(AG175&gt;=Законод!$G$22,AG175&lt;=Законод!$G$23),AG175-Законод!$F$23,IF('01_Доходи'!AG175&gt;=Законод!$H$22,Законод!$G$24,0)))),IF($B$171="Лікар-педіатр",IF(AG175&lt;Законод!$C$18,0,(IF(AND(AG175&gt;=Законод!$G$18,AG175&lt;=Законод!$G$19),AG175-Законод!$F$19,IF('01_Доходи'!AG175&gt;=Законод!$H$18,Законод!$G$20,0)))),IF($B$171="Лікар-терапевт",IF(AG175&lt;Законод!$C$26,0,(IF(AND(AG175&gt;=Законод!$G$26,AG175&lt;=Законод!$G$27),AG175-Законод!$F$27,IF('01_Доходи'!AG175&gt;=Законод!$H$26,Законод!$G$28,0)))),0)))</f>
        <v>0</v>
      </c>
      <c r="AH179" s="966"/>
      <c r="AI179" s="201"/>
      <c r="AJ179" s="945"/>
      <c r="AK179" s="960"/>
      <c r="AL179" s="960"/>
      <c r="AM179" s="927"/>
      <c r="AN179" s="210">
        <f ca="1">IF(B171="Лікар загальної практики - сімейний лікар",L179*Законод!$C$9/4*Законод!$G$16,IF(B171="Лікар-педіатр",L179*Законод!$C$9/4*Законод!$G$16,IF(B171="Лікар-терапевт",L179*Законод!$C$9/4*Законод!$G$16,0)))</f>
        <v>0</v>
      </c>
      <c r="AO179" s="210">
        <f ca="1">IF(B171="Лікар загальної практики - сімейний лікар",S179*Законод!$C$9/4*Законод!$G$16,IF(B171="Лікар-педіатр",S179*Законод!$C$9/4*Законод!$G$16,IF(B171="Лікар-терапевт",S179*Законод!$C$9/4*Законод!$G$16,0)))</f>
        <v>0</v>
      </c>
      <c r="AP179" s="210">
        <f ca="1">IF(B171="Лікар загальної практики - сімейний лікар",Z179*Законод!$C$9/4*Законод!$G$16,IF(B171="Лікар-педіатр",Z179*Законод!$C$9/4*Законод!$G$16,IF(B171="Лікар-терапевт",Z179*Законод!$C$9/4*Законод!$G$16,0)))</f>
        <v>0</v>
      </c>
      <c r="AQ179" s="210">
        <f ca="1">IF(B171="Лікар загальної практики - сімейний лікар",AG179*Законод!$C$9/4*Законод!$G$16,IF(B171="Лікар-педіатр",AG179*Законод!$C$9/4*Законод!$G$16,IF(B171="Лікар-терапевт",AG179*Законод!$C$9/4*Законод!$G$16,0)))</f>
        <v>0</v>
      </c>
      <c r="AR179" s="211">
        <f t="shared" si="22"/>
        <v>0</v>
      </c>
    </row>
    <row r="180" spans="1:44" s="50" customFormat="1" ht="31.9" customHeight="1">
      <c r="A180" s="197"/>
      <c r="B180" s="969"/>
      <c r="C180" s="974"/>
      <c r="D180" s="971"/>
      <c r="E180" s="971"/>
      <c r="F180" s="238" t="str">
        <f ca="1">IF(B171="Лікар-педіатр",Законод!$H$17,IF(B171="Лікар загальної практики - сімейний лікар",Законод!$H$21,IF(B171="Лікар-терапевт",Законод!$H$25,"х")))</f>
        <v>понад ліміт (2341-2520)</v>
      </c>
      <c r="G180" s="965" t="s">
        <v>423</v>
      </c>
      <c r="H180" s="965"/>
      <c r="I180" s="965"/>
      <c r="J180" s="965"/>
      <c r="K180" s="965"/>
      <c r="L180" s="196">
        <f ca="1">IF($B$171="Лікар загальної практики - сімейний лікар",IF(L175&lt;Законод!$C$22,0,(IF(AND(L175&gt;=Законод!$H$22,L175&lt;=Законод!$H$23),L175-Законод!$G$23,IF('01_Доходи'!L175&gt;=Законод!$I$22,Законод!$H$24,0)))),IF($B$171="Лікар-педіатр",IF(L175&lt;Законод!$C$18,0,(IF(AND(L175&gt;=Законод!$H$18,L175&lt;=Законод!$H$19),L175-Законод!$G$19,IF('01_Доходи'!L175&gt;=Законод!$I$18,Законод!$H$20,0)))),IF($B$171="Лікар-терапевт",IF(L175&lt;Законод!$C$26,0,(IF(AND(L175&gt;=Законод!$H$26,L175&lt;=Законод!$H$27),L175-Законод!$G$27,IF(L175&gt;=Законод!$I$26,Законод!$H$28,0)))),0)))</f>
        <v>0</v>
      </c>
      <c r="M180" s="966"/>
      <c r="N180" s="965" t="s">
        <v>423</v>
      </c>
      <c r="O180" s="965"/>
      <c r="P180" s="965"/>
      <c r="Q180" s="965"/>
      <c r="R180" s="965"/>
      <c r="S180" s="196">
        <f ca="1">IF($B$171="Лікар загальної практики - сімейний лікар",IF(S175&lt;Законод!$C$22,0,(IF(AND(S175&gt;=Законод!$H$22,S175&lt;=Законод!$H$23),S175-Законод!$G$23,IF('01_Доходи'!S175&gt;=Законод!$I$22,Законод!$H$24,0)))),IF($B$171="Лікар-педіатр",IF(S175&lt;Законод!$C$18,0,(IF(AND(S175&gt;=Законод!$H$18,S175&lt;=Законод!$H$19),S175-Законод!$G$19,IF('01_Доходи'!S175&gt;=Законод!$I$18,Законод!$H$20,0)))),IF($B$171="Лікар-терапевт",IF(S175&lt;Законод!$C$26,0,(IF(AND(S175&gt;=Законод!$H$26,S175&lt;=Законод!$H$27),S175-Законод!$G$27,IF(S175&gt;=Законод!$I$26,Законод!$H$28,0)))),0)))</f>
        <v>0</v>
      </c>
      <c r="T180" s="966"/>
      <c r="U180" s="965" t="s">
        <v>423</v>
      </c>
      <c r="V180" s="965"/>
      <c r="W180" s="965"/>
      <c r="X180" s="965"/>
      <c r="Y180" s="965"/>
      <c r="Z180" s="196">
        <f ca="1">IF($B$171="Лікар загальної практики - сімейний лікар",IF(Z175&lt;Законод!$C$22,0,(IF(AND(Z175&gt;=Законод!$H$22,Z175&lt;=Законод!$H$23),Z175-Законод!$G$23,IF('01_Доходи'!Z175&gt;=Законод!$I$22,Законод!$H$24,0)))),IF($B$171="Лікар-педіатр",IF(Z175&lt;Законод!$C$18,0,(IF(AND(Z175&gt;=Законод!$H$18,Z175&lt;=Законод!$H$19),Z175-Законод!$G$19,IF('01_Доходи'!Z175&gt;=Законод!$I$18,Законод!$H$20,0)))),IF($B$171="Лікар-терапевт",IF(Z175&lt;Законод!$C$26,0,(IF(AND(Z175&gt;=Законод!$H$26,Z175&lt;=Законод!$H$27),Z175-Законод!$G$27,IF(Z175&gt;=Законод!$I$26,Законод!$H$28,0)))),0)))</f>
        <v>0</v>
      </c>
      <c r="AA180" s="966"/>
      <c r="AB180" s="965" t="s">
        <v>423</v>
      </c>
      <c r="AC180" s="965"/>
      <c r="AD180" s="965"/>
      <c r="AE180" s="965"/>
      <c r="AF180" s="965"/>
      <c r="AG180" s="196">
        <f ca="1">IF($B$171="Лікар загальної практики - сімейний лікар",IF(AG175&lt;Законод!$C$22,0,(IF(AND(AG175&gt;=Законод!$H$22,AG175&lt;=Законод!$H$23),AG175-Законод!$G$23,IF('01_Доходи'!AG175&gt;=Законод!$I$22,Законод!$H$24,0)))),IF($B$171="Лікар-педіатр",IF(AG175&lt;Законод!$C$18,0,(IF(AND(AG175&gt;=Законод!$H$18,AG175&lt;=Законод!$H$19),AG175-Законод!$G$19,IF('01_Доходи'!AG175&gt;=Законод!$I$18,Законод!$H$20,0)))),IF($B$171="Лікар-терапевт",IF(AG175&lt;Законод!$C$26,0,(IF(AND(AG175&gt;=Законод!$H$26,AG175&lt;=Законод!$H$27),AG175-Законод!$G$27,IF(AG175&gt;=Законод!$I$26,Законод!$H$28,0)))),0)))</f>
        <v>0</v>
      </c>
      <c r="AH180" s="966"/>
      <c r="AI180" s="201"/>
      <c r="AJ180" s="945"/>
      <c r="AK180" s="960"/>
      <c r="AL180" s="960"/>
      <c r="AM180" s="927"/>
      <c r="AN180" s="210">
        <f ca="1">IF(B171="Лікар загальної практики - сімейний лікар",L180*Законод!$C$9/4*Законод!$H$16,IF(B171="Лікар-педіатр",L180*Законод!$C$9/4*Законод!$H$16,IF(B171="Лікар-терапевт",L180*Законод!$C$9/4*Законод!$H$16,0)))</f>
        <v>0</v>
      </c>
      <c r="AO180" s="210">
        <f ca="1">IF(B171="Лікар загальної практики - сімейний лікар",S180*Законод!$C$9/4*Законод!$H$16,IF(B171="Лікар-педіатр",S180*Законод!$C$9/4*Законод!$H$16,IF(B171="Лікар-терапевт",S180*Законод!$C$9/4*Законод!$H$16,0)))</f>
        <v>0</v>
      </c>
      <c r="AP180" s="210">
        <f ca="1">IF(B171="Лікар загальної практики - сімейний лікар",Z180*Законод!$C$9/4*Законод!$H$16,IF(B171="Лікар-педіатр",Z180*Законод!$C$9/4*Законод!$H$16,IF(B171="Лікар-терапевт",Z180*Законод!$C$9/4*Законод!$H$16,0)))</f>
        <v>0</v>
      </c>
      <c r="AQ180" s="210">
        <f ca="1">IF(B171="Лікар загальної практики - сімейний лікар",AG180*Законод!$C$9/4*Законод!$H$16,IF(B171="Лікар-педіатр",AG180*Законод!$C$9/4*Законод!$H$16,IF(B171="Лікар-терапевт",AG180*Законод!$C$9/4*Законод!$H$16,0)))</f>
        <v>0</v>
      </c>
      <c r="AR180" s="211">
        <f t="shared" si="22"/>
        <v>0</v>
      </c>
    </row>
    <row r="181" spans="1:44" s="50" customFormat="1" ht="31.9" customHeight="1">
      <c r="A181" s="197"/>
      <c r="B181" s="969"/>
      <c r="C181" s="974"/>
      <c r="D181" s="971"/>
      <c r="E181" s="971"/>
      <c r="F181" s="238" t="str">
        <f ca="1">IF(B171="Лікар-педіатр",Законод!$I$17,IF(B171="Лікар загальної практики - сімейний лікар",Законод!$I$21,IF(B171="Лікар-терапевт",Законод!$I$25,"х")))</f>
        <v>понад ліміт (2521-2700)</v>
      </c>
      <c r="G181" s="965" t="s">
        <v>423</v>
      </c>
      <c r="H181" s="965"/>
      <c r="I181" s="965"/>
      <c r="J181" s="965"/>
      <c r="K181" s="965"/>
      <c r="L181" s="196">
        <f ca="1">IF($B$171="Лікар загальної практики - сімейний лікар",IF(L175&lt;Законод!$C$22,0,(IF(AND(L175&gt;=Законод!$I$22,L175&lt;=Законод!$I$23),L175-Законод!$H$23,IF('01_Доходи'!L175&gt;=Законод!$I$22,Законод!$I$24,0)))),IF($B$171="Лікар-педіатр",IF(L175&lt;Законод!$C$18,0,(IF(AND(L175&gt;=Законод!$I$18,L175&lt;=Законод!$I$19),L175-Законод!$H$19,IF('01_Доходи'!L175&gt;=Законод!$I$18,Законод!$H$20,0)))),IF($B$171="Лікар-терапевт",IF(L175&lt;Законод!$C$26,0,(IF(AND(L175&gt;=Законод!$I$26,L175&lt;=Законод!$I$27),L175-Законод!$H$27,IF('01_Доходи'!L175&gt;=Законод!$I$26,Законод!$H$28,0)))),0)))</f>
        <v>0</v>
      </c>
      <c r="M181" s="966"/>
      <c r="N181" s="965" t="s">
        <v>423</v>
      </c>
      <c r="O181" s="965"/>
      <c r="P181" s="965"/>
      <c r="Q181" s="965"/>
      <c r="R181" s="965"/>
      <c r="S181" s="196">
        <f ca="1">IF($B$171="Лікар загальної практики - сімейний лікар",IF(S175&lt;Законод!$C$22,0,(IF(AND(S175&gt;=Законод!$I$22,S175&lt;=Законод!$I$23),S175-Законод!$H$23,IF('01_Доходи'!S175&gt;=Законод!$I$22,Законод!$I$24,0)))),IF($B$171="Лікар-педіатр",IF(S175&lt;Законод!$C$18,0,(IF(AND(S175&gt;=Законод!$I$18,S175&lt;=Законод!$I$19),S175-Законод!$H$19,IF('01_Доходи'!S175&gt;=Законод!$I$18,Законод!$H$20,0)))),IF($B$171="Лікар-терапевт",IF(S175&lt;Законод!$C$26,0,(IF(AND(S175&gt;=Законод!$I$26,S175&lt;=Законод!$I$27),S175-Законод!$H$27,IF('01_Доходи'!S175&gt;=Законод!$I$26,Законод!$H$28,0)))),0)))</f>
        <v>0</v>
      </c>
      <c r="T181" s="966"/>
      <c r="U181" s="965" t="s">
        <v>423</v>
      </c>
      <c r="V181" s="965"/>
      <c r="W181" s="965"/>
      <c r="X181" s="965"/>
      <c r="Y181" s="965"/>
      <c r="Z181" s="196">
        <f ca="1">IF($B$171="Лікар загальної практики - сімейний лікар",IF(Z175&lt;Законод!$C$22,0,(IF(AND(Z175&gt;=Законод!$I$22,Z175&lt;=Законод!$I$23),Z175-Законод!$H$23,IF('01_Доходи'!Z175&gt;=Законод!$I$22,Законод!$I$24,0)))),IF($B$171="Лікар-педіатр",IF(Z175&lt;Законод!$C$18,0,(IF(AND(Z175&gt;=Законод!$I$18,Z175&lt;=Законод!$I$19),Z175-Законод!$H$19,IF('01_Доходи'!Z175&gt;=Законод!$I$18,Законод!$H$20,0)))),IF($B$171="Лікар-терапевт",IF(Z175&lt;Законод!$C$26,0,(IF(AND(Z175&gt;=Законод!$I$26,Z175&lt;=Законод!$I$27),Z175-Законод!$H$27,IF('01_Доходи'!Z175&gt;=Законод!$I$26,Законод!$H$28,0)))),0)))</f>
        <v>0</v>
      </c>
      <c r="AA181" s="966"/>
      <c r="AB181" s="965" t="s">
        <v>423</v>
      </c>
      <c r="AC181" s="965"/>
      <c r="AD181" s="965"/>
      <c r="AE181" s="965"/>
      <c r="AF181" s="965"/>
      <c r="AG181" s="196">
        <f ca="1">IF($B$171="Лікар загальної практики - сімейний лікар",IF(AG175&lt;Законод!$C$22,0,(IF(AND(AG175&gt;=Законод!$I$22,AG175&lt;=Законод!$I$23),AG175-Законод!$H$23,IF('01_Доходи'!AG175&gt;=Законод!$I$22,Законод!$I$24,0)))),IF($B$171="Лікар-педіатр",IF(AG175&lt;Законод!$C$18,0,(IF(AND(AG175&gt;=Законод!$I$18,AG175&lt;=Законод!$I$19),AG175-Законод!$H$19,IF('01_Доходи'!AG175&gt;=Законод!$I$18,Законод!$H$20,0)))),IF($B$171="Лікар-терапевт",IF(AG175&lt;Законод!$C$26,0,(IF(AND(AG175&gt;=Законод!$I$26,AG175&lt;=Законод!$I$27),AG175-Законод!$H$27,IF('01_Доходи'!AG175&gt;=Законод!$I$26,Законод!$H$28,0)))),0)))</f>
        <v>0</v>
      </c>
      <c r="AH181" s="966"/>
      <c r="AI181" s="201"/>
      <c r="AJ181" s="945"/>
      <c r="AK181" s="960"/>
      <c r="AL181" s="960"/>
      <c r="AM181" s="927"/>
      <c r="AN181" s="210">
        <f ca="1">IF(B171="Лікар загальної практики - сімейний лікар",L181*Законод!$C$9/4*Законод!$I$16,IF(B171="Лікар-педіатр",L181*Законод!$C$9/4*Законод!$I$16,IF(B171="Лікар-терапевт",L181*Законод!$C$9/4*Законод!$I$16,0)))</f>
        <v>0</v>
      </c>
      <c r="AO181" s="210">
        <f ca="1">IF(B171="Лікар загальної практики - сімейний лікар",S181*Законод!$C$9/4*Законод!$I$16,IF(B171="Лікар-педіатр",S181*Законод!$C$9/4*Законод!$I$16,IF(B171="Лікар-терапевт",S181*Законод!$C$9/4*Законод!$I$16,0)))</f>
        <v>0</v>
      </c>
      <c r="AP181" s="210">
        <f ca="1">IF(B171="Лікар загальної практики - сімейний лікар",Z181*Законод!$C$9/4*Законод!$I$16,IF(B171="Лікар-педіатр",Z181*Законод!$C$9/4*Законод!$I$16,IF(B171="Лікар-терапевт",Z181*Законод!$C$9/4*Законод!$I$16,0)))</f>
        <v>0</v>
      </c>
      <c r="AQ181" s="210">
        <f ca="1">IF(B171="Лікар загальної практики - сімейний лікар",AG181*Законод!$C$9/4*Законод!$I$16,IF(B171="Лікар-педіатр",AG181*Законод!$C$9/4*Законод!$I$16,IF(B171="Лікар-терапевт",AG181*Законод!$C$9/4*Законод!$I$16,0)))</f>
        <v>0</v>
      </c>
      <c r="AR181" s="211">
        <f t="shared" si="22"/>
        <v>0</v>
      </c>
    </row>
    <row r="182" spans="1:44" s="218" customFormat="1" ht="31.9" customHeight="1" thickBot="1">
      <c r="A182" s="213"/>
      <c r="B182" s="969"/>
      <c r="C182" s="974"/>
      <c r="D182" s="971"/>
      <c r="E182" s="971"/>
      <c r="F182" s="239" t="str">
        <f ca="1">IF(B171="Лікар-педіатр",Законод!$J$17,IF(B171="Лікар загальної практики - сімейний лікар",Законод!$J$21,IF(B171="Лікар-терапевт",Законод!$J$25,"х")))</f>
        <v>понад ліміт (&gt;=2701)</v>
      </c>
      <c r="G182" s="968" t="s">
        <v>423</v>
      </c>
      <c r="H182" s="968"/>
      <c r="I182" s="968"/>
      <c r="J182" s="968"/>
      <c r="K182" s="968"/>
      <c r="L182" s="196">
        <f ca="1">IF($B$171="Лікар загальної практики - сімейний лікар",IF(L175&gt;=Законод!$J$22,'01_Доходи'!L175-('01_Доходи'!L176+'01_Доходи'!L177+'01_Доходи'!L178+'01_Доходи'!L179+'01_Доходи'!L180+'01_Доходи'!L181),0),IF($B$171="Лікар-педіатр",IF(L175&gt;=Законод!$J$18,'01_Доходи'!L175-('01_Доходи'!L176+'01_Доходи'!L177+'01_Доходи'!L178+'01_Доходи'!L179+'01_Доходи'!L180+'01_Доходи'!L181),0),IF($B$171="Лікар-терапевт",IF('01_Доходи'!L175&gt;=Законод!$J$26,L175-Законод!$I$27,0),0)))</f>
        <v>0</v>
      </c>
      <c r="M182" s="966"/>
      <c r="N182" s="968" t="s">
        <v>423</v>
      </c>
      <c r="O182" s="968"/>
      <c r="P182" s="968"/>
      <c r="Q182" s="968"/>
      <c r="R182" s="968"/>
      <c r="S182" s="196">
        <f ca="1">IF($B$171="Лікар загальної практики - сімейний лікар",IF(S175&gt;=Законод!$J$22,'01_Доходи'!S175-('01_Доходи'!S176+'01_Доходи'!S177+'01_Доходи'!S178+'01_Доходи'!S179+'01_Доходи'!S180+'01_Доходи'!S181),0),IF($B$171="Лікар-педіатр",IF(S175&gt;=Законод!$J$18,'01_Доходи'!S175-('01_Доходи'!S176+'01_Доходи'!S177+'01_Доходи'!S178+'01_Доходи'!S179+'01_Доходи'!S180+'01_Доходи'!S181),0),IF($B$171="Лікар-терапевт",IF('01_Доходи'!S175&gt;=Законод!$J$26,S175-Законод!$I$27,0),0)))</f>
        <v>0</v>
      </c>
      <c r="T182" s="966"/>
      <c r="U182" s="968" t="s">
        <v>423</v>
      </c>
      <c r="V182" s="968"/>
      <c r="W182" s="968"/>
      <c r="X182" s="968"/>
      <c r="Y182" s="968"/>
      <c r="Z182" s="196">
        <f ca="1">IF($B$171="Лікар загальної практики - сімейний лікар",IF(Z175&gt;=Законод!$J$22,'01_Доходи'!Z175-('01_Доходи'!Z176+'01_Доходи'!Z177+'01_Доходи'!Z178+'01_Доходи'!Z179+'01_Доходи'!Z180+'01_Доходи'!Z181),0),IF($B$171="Лікар-педіатр",IF(Z175&gt;=Законод!$J$18,'01_Доходи'!Z175-('01_Доходи'!Z176+'01_Доходи'!Z177+'01_Доходи'!Z178+'01_Доходи'!Z179+'01_Доходи'!Z180+'01_Доходи'!Z181),0),IF($B$171="Лікар-терапевт",IF('01_Доходи'!Z175&gt;=Законод!$J$26,Z175-Законод!$I$27,0),0)))</f>
        <v>0</v>
      </c>
      <c r="AA182" s="966"/>
      <c r="AB182" s="968" t="s">
        <v>423</v>
      </c>
      <c r="AC182" s="968"/>
      <c r="AD182" s="968"/>
      <c r="AE182" s="968"/>
      <c r="AF182" s="968"/>
      <c r="AG182" s="196">
        <f ca="1">IF($B$171="Лікар загальної практики - сімейний лікар",IF(AG175&gt;=Законод!$J$22,'01_Доходи'!AG175-('01_Доходи'!AG176+'01_Доходи'!AG177+'01_Доходи'!AG178+'01_Доходи'!AG179+'01_Доходи'!AG180+'01_Доходи'!AG181),0),IF($B$171="Лікар-педіатр",IF(AG175&gt;=Законод!$J$18,'01_Доходи'!AG175-('01_Доходи'!AG176+'01_Доходи'!AG177+'01_Доходи'!AG178+'01_Доходи'!AG179+'01_Доходи'!AG180+'01_Доходи'!AG181),0),IF($B$171="Лікар-терапевт",IF('01_Доходи'!AG175&gt;=Законод!$J$26,AG175-Законод!$I$27,0),0)))</f>
        <v>0</v>
      </c>
      <c r="AH182" s="966"/>
      <c r="AI182" s="215"/>
      <c r="AJ182" s="946"/>
      <c r="AK182" s="961"/>
      <c r="AL182" s="961"/>
      <c r="AM182" s="928"/>
      <c r="AN182" s="216">
        <f ca="1">IF(B171="Лікар загальної практики - сімейний лікар",L182*Законод!$C$9/4*Законод!$J$16,IF(B171="Лікар-педіатр",L182*Законод!$C$9/4*Законод!$J$16,IF(B171="Лікар-терапевт",L182*Законод!$C$9/4*Законод!$J$16,0)))</f>
        <v>0</v>
      </c>
      <c r="AO182" s="216">
        <f ca="1">IF(B171="Лікар загальної практики - сімейний лікар",S182*Законод!$C$9/4*Законод!$J$16,IF(B171="Лікар-педіатр",S182*Законод!$C$9/4*Законод!$J$16,IF(B171="Лікар-терапевт",S182*Законод!$C$9/4*Законод!$J$16,0)))</f>
        <v>0</v>
      </c>
      <c r="AP182" s="216">
        <f ca="1">IF(B171="Лікар загальної практики - сімейний лікар",S182*Законод!$C$9/4*Законод!$J$16,IF(B171="Лікар-педіатр",S182*Законод!$C$9/4*Законод!$J$16,IF(B171="Лікар-терапевт",S182*Законод!$C$9/4*Законод!$J$16,0)))</f>
        <v>0</v>
      </c>
      <c r="AQ182" s="216">
        <f ca="1">IF(B171="Лікар загальної практики - сімейний лікар",AG182*Законод!$C$9/4*Законод!$J$16,IF(B171="Лікар-педіатр",AG182*Законод!$C$9/4*Законод!$J$16,IF(B171="Лікар-терапевт",AG182*Законод!$C$9/4*Законод!$J$16,0)))</f>
        <v>0</v>
      </c>
      <c r="AR182" s="217">
        <f t="shared" si="22"/>
        <v>0</v>
      </c>
    </row>
    <row r="183" spans="1:44" s="247" customFormat="1" ht="23.45" customHeight="1" thickBot="1">
      <c r="A183" s="243"/>
      <c r="B183" s="244"/>
      <c r="C183" s="244"/>
      <c r="D183" s="244"/>
      <c r="E183" s="244"/>
      <c r="F183" s="245"/>
      <c r="G183" s="246"/>
      <c r="H183" s="246"/>
      <c r="L183" s="248"/>
      <c r="S183" s="248"/>
      <c r="Z183" s="248"/>
      <c r="AG183" s="248"/>
      <c r="AM183" s="249"/>
      <c r="AR183" s="250"/>
    </row>
    <row r="184" spans="1:44" s="191" customFormat="1" ht="30" customHeight="1">
      <c r="A184" s="194">
        <f>A171+1</f>
        <v>12</v>
      </c>
      <c r="B184" s="969" t="s">
        <v>312</v>
      </c>
      <c r="C184" s="974" t="s">
        <v>169</v>
      </c>
      <c r="D184" s="971"/>
      <c r="E184" s="971" t="s">
        <v>170</v>
      </c>
      <c r="F184" s="234" t="s">
        <v>659</v>
      </c>
      <c r="G184" s="196">
        <v>59</v>
      </c>
      <c r="H184" s="196">
        <v>289</v>
      </c>
      <c r="I184" s="196">
        <v>379</v>
      </c>
      <c r="J184" s="196">
        <v>548</v>
      </c>
      <c r="K184" s="196">
        <v>312</v>
      </c>
      <c r="L184" s="557">
        <f t="shared" ref="L184:L189" si="23">SUM(G184:K184)</f>
        <v>1587</v>
      </c>
      <c r="M184" s="966">
        <v>1</v>
      </c>
      <c r="N184" s="196">
        <v>59</v>
      </c>
      <c r="O184" s="196">
        <v>289</v>
      </c>
      <c r="P184" s="196">
        <v>379</v>
      </c>
      <c r="Q184" s="196">
        <v>548</v>
      </c>
      <c r="R184" s="196">
        <v>312</v>
      </c>
      <c r="S184" s="557">
        <f t="shared" ref="S184:S189" si="24">SUM(N184:R184)</f>
        <v>1587</v>
      </c>
      <c r="T184" s="966">
        <v>1</v>
      </c>
      <c r="U184" s="196">
        <v>59</v>
      </c>
      <c r="V184" s="196">
        <v>289</v>
      </c>
      <c r="W184" s="196">
        <v>379</v>
      </c>
      <c r="X184" s="196">
        <v>548</v>
      </c>
      <c r="Y184" s="196">
        <v>312</v>
      </c>
      <c r="Z184" s="557">
        <f t="shared" ref="Z184:Z189" si="25">SUM(U184:Y184)</f>
        <v>1587</v>
      </c>
      <c r="AA184" s="966">
        <v>1</v>
      </c>
      <c r="AB184" s="196">
        <v>59</v>
      </c>
      <c r="AC184" s="196">
        <v>289</v>
      </c>
      <c r="AD184" s="196">
        <v>379</v>
      </c>
      <c r="AE184" s="196">
        <v>548</v>
      </c>
      <c r="AF184" s="196">
        <v>312</v>
      </c>
      <c r="AG184" s="557">
        <f t="shared" ref="AG184:AG189" si="26">SUM(AB184:AF184)</f>
        <v>1587</v>
      </c>
      <c r="AH184" s="966">
        <v>1</v>
      </c>
      <c r="AI184" s="540">
        <f>A184</f>
        <v>12</v>
      </c>
      <c r="AJ184" s="944" t="str">
        <f>B184</f>
        <v>Лікар загальної практики - сімейний лікар</v>
      </c>
      <c r="AK184" s="959" t="str">
        <f>C184</f>
        <v>Ласкава Валентина Федорівна</v>
      </c>
      <c r="AL184" s="959">
        <f>D184</f>
        <v>0</v>
      </c>
      <c r="AM184" s="929" t="s">
        <v>79</v>
      </c>
      <c r="AN184" s="947">
        <f>SUM(AN189:AN195)</f>
        <v>306820.83608749998</v>
      </c>
      <c r="AO184" s="947">
        <f>SUM(AO189:AO195)</f>
        <v>306820.83608749998</v>
      </c>
      <c r="AP184" s="947">
        <f>SUM(AP189:AP195)</f>
        <v>306820.83608749998</v>
      </c>
      <c r="AQ184" s="947">
        <f>SUM(AQ189:AQ195)</f>
        <v>306820.83608749998</v>
      </c>
      <c r="AR184" s="962">
        <f>SUM(AN184:AQ188)</f>
        <v>1227283.3443499999</v>
      </c>
    </row>
    <row r="185" spans="1:44" s="50" customFormat="1" ht="28.15" customHeight="1">
      <c r="A185" s="197"/>
      <c r="B185" s="969"/>
      <c r="C185" s="974"/>
      <c r="D185" s="971"/>
      <c r="E185" s="971"/>
      <c r="F185" s="234" t="s">
        <v>660</v>
      </c>
      <c r="G185" s="196">
        <v>59</v>
      </c>
      <c r="H185" s="196">
        <v>289</v>
      </c>
      <c r="I185" s="196">
        <v>379</v>
      </c>
      <c r="J185" s="196">
        <v>548</v>
      </c>
      <c r="K185" s="196">
        <v>312</v>
      </c>
      <c r="L185" s="557">
        <f t="shared" si="23"/>
        <v>1587</v>
      </c>
      <c r="M185" s="966"/>
      <c r="N185" s="196">
        <v>59</v>
      </c>
      <c r="O185" s="196">
        <v>289</v>
      </c>
      <c r="P185" s="196">
        <v>379</v>
      </c>
      <c r="Q185" s="196">
        <v>548</v>
      </c>
      <c r="R185" s="196">
        <v>312</v>
      </c>
      <c r="S185" s="557">
        <f t="shared" si="24"/>
        <v>1587</v>
      </c>
      <c r="T185" s="966"/>
      <c r="U185" s="196">
        <v>59</v>
      </c>
      <c r="V185" s="196">
        <v>289</v>
      </c>
      <c r="W185" s="196">
        <v>379</v>
      </c>
      <c r="X185" s="196">
        <v>548</v>
      </c>
      <c r="Y185" s="196">
        <v>312</v>
      </c>
      <c r="Z185" s="557">
        <f t="shared" si="25"/>
        <v>1587</v>
      </c>
      <c r="AA185" s="966"/>
      <c r="AB185" s="196">
        <v>59</v>
      </c>
      <c r="AC185" s="196">
        <v>289</v>
      </c>
      <c r="AD185" s="196">
        <v>379</v>
      </c>
      <c r="AE185" s="196">
        <v>548</v>
      </c>
      <c r="AF185" s="196">
        <v>312</v>
      </c>
      <c r="AG185" s="557">
        <f t="shared" si="26"/>
        <v>1587</v>
      </c>
      <c r="AH185" s="966"/>
      <c r="AI185" s="198"/>
      <c r="AJ185" s="945"/>
      <c r="AK185" s="960"/>
      <c r="AL185" s="960"/>
      <c r="AM185" s="930"/>
      <c r="AN185" s="948"/>
      <c r="AO185" s="948"/>
      <c r="AP185" s="948"/>
      <c r="AQ185" s="948"/>
      <c r="AR185" s="963"/>
    </row>
    <row r="186" spans="1:44" s="90" customFormat="1" ht="31.15" customHeight="1">
      <c r="A186" s="240"/>
      <c r="B186" s="969"/>
      <c r="C186" s="974"/>
      <c r="D186" s="971"/>
      <c r="E186" s="971"/>
      <c r="F186" s="241" t="s">
        <v>661</v>
      </c>
      <c r="G186" s="196">
        <v>59</v>
      </c>
      <c r="H186" s="196">
        <v>289</v>
      </c>
      <c r="I186" s="196">
        <v>379</v>
      </c>
      <c r="J186" s="196">
        <v>548</v>
      </c>
      <c r="K186" s="196">
        <v>312</v>
      </c>
      <c r="L186" s="200">
        <f t="shared" si="23"/>
        <v>1587</v>
      </c>
      <c r="M186" s="966"/>
      <c r="N186" s="196">
        <v>59</v>
      </c>
      <c r="O186" s="196">
        <v>289</v>
      </c>
      <c r="P186" s="196">
        <v>379</v>
      </c>
      <c r="Q186" s="196">
        <v>548</v>
      </c>
      <c r="R186" s="196">
        <v>312</v>
      </c>
      <c r="S186" s="200">
        <f t="shared" si="24"/>
        <v>1587</v>
      </c>
      <c r="T186" s="966"/>
      <c r="U186" s="196">
        <v>59</v>
      </c>
      <c r="V186" s="196">
        <v>289</v>
      </c>
      <c r="W186" s="196">
        <v>379</v>
      </c>
      <c r="X186" s="196">
        <v>548</v>
      </c>
      <c r="Y186" s="196">
        <v>312</v>
      </c>
      <c r="Z186" s="557">
        <f t="shared" si="25"/>
        <v>1587</v>
      </c>
      <c r="AA186" s="966"/>
      <c r="AB186" s="196">
        <v>59</v>
      </c>
      <c r="AC186" s="196">
        <v>289</v>
      </c>
      <c r="AD186" s="196">
        <v>379</v>
      </c>
      <c r="AE186" s="196">
        <v>548</v>
      </c>
      <c r="AF186" s="196">
        <v>312</v>
      </c>
      <c r="AG186" s="557">
        <f t="shared" si="26"/>
        <v>1587</v>
      </c>
      <c r="AH186" s="966"/>
      <c r="AI186" s="242"/>
      <c r="AJ186" s="945"/>
      <c r="AK186" s="960"/>
      <c r="AL186" s="960"/>
      <c r="AM186" s="930"/>
      <c r="AN186" s="948"/>
      <c r="AO186" s="948"/>
      <c r="AP186" s="948"/>
      <c r="AQ186" s="948"/>
      <c r="AR186" s="963"/>
    </row>
    <row r="187" spans="1:44" s="50" customFormat="1" ht="31.9" customHeight="1" thickBot="1">
      <c r="A187" s="197"/>
      <c r="B187" s="969"/>
      <c r="C187" s="974"/>
      <c r="D187" s="971"/>
      <c r="E187" s="971"/>
      <c r="F187" s="236" t="s">
        <v>426</v>
      </c>
      <c r="G187" s="203">
        <f>IF($B$184="Лікар-педіатр",G186/L186,IF($B$184="Лікар-терапевт","х",IF($B$184="Лікар загальної практики - сімейний лікар",G186/L186,0)))</f>
        <v>3.7177063642092001E-2</v>
      </c>
      <c r="H187" s="203">
        <f>IF($B$184="Лікар-педіатр",H186/L186,IF($B$184="Лікар-терапевт","х",IF($B$184="Лікар загальної практики - сімейний лікар",H186/L186,0)))</f>
        <v>0.18210459987397606</v>
      </c>
      <c r="I187" s="203">
        <f>IF($B$184="Лікар-педіатр","x",IF($B$184="Лікар-терапевт",I186/L186,IF($B$184="Лікар загальної практики - сімейний лікар",I186/L186,0)))</f>
        <v>0.23881537492123503</v>
      </c>
      <c r="J187" s="203">
        <f>IF($B$184="Лікар-педіатр","x",IF($B$184="Лікар-терапевт",J186/L186,IF($B$184="Лікар загальної практики - сімейний лікар",J186/L186,0)))</f>
        <v>0.34530560806553245</v>
      </c>
      <c r="K187" s="203">
        <f>IF($B$184="Лікар-педіатр","x",IF($B$184="Лікар-терапевт",K186/L186,IF($B$184="Лікар загальної практики - сімейний лікар",K186/L186,0)))</f>
        <v>0.19659735349716445</v>
      </c>
      <c r="L187" s="203">
        <f t="shared" si="23"/>
        <v>1</v>
      </c>
      <c r="M187" s="966"/>
      <c r="N187" s="203">
        <f>IF($B$184="Лікар-педіатр",N186/S186,IF($B$184="Лікар-терапевт","х",IF($B$184="Лікар загальної практики - сімейний лікар",N186/S186,0)))</f>
        <v>3.7177063642092001E-2</v>
      </c>
      <c r="O187" s="203">
        <f>IF($B$184="Лікар-педіатр",O186/S186,IF($B$184="Лікар-терапевт","х",IF($B$184="Лікар загальної практики - сімейний лікар",O186/S186,0)))</f>
        <v>0.18210459987397606</v>
      </c>
      <c r="P187" s="203">
        <f>IF($B$184="Лікар-педіатр","x",IF($B$184="Лікар-терапевт",P186/S186,IF($B$184="Лікар загальної практики - сімейний лікар",P186/S186,0)))</f>
        <v>0.23881537492123503</v>
      </c>
      <c r="Q187" s="203">
        <f>IF($B$184="Лікар-педіатр","x",IF($B$184="Лікар-терапевт",Q186/S186,IF($B$184="Лікар загальної практики - сімейний лікар",Q186/S186,0)))</f>
        <v>0.34530560806553245</v>
      </c>
      <c r="R187" s="203">
        <f>IF($B$184="Лікар-педіатр","x",IF($B$184="Лікар-терапевт",R186/S186,IF($B$184="Лікар загальної практики - сімейний лікар",R186/S186,0)))</f>
        <v>0.19659735349716445</v>
      </c>
      <c r="S187" s="203">
        <f t="shared" si="24"/>
        <v>1</v>
      </c>
      <c r="T187" s="966"/>
      <c r="U187" s="203">
        <f>IF($B$184="Лікар-педіатр",U186/Z186,IF($B$184="Лікар-терапевт","х",IF($B$184="Лікар загальної практики - сімейний лікар",U186/Z186,0)))</f>
        <v>3.7177063642092001E-2</v>
      </c>
      <c r="V187" s="203">
        <f>IF($B$184="Лікар-педіатр",V186/Z186,IF($B$184="Лікар-терапевт","х",IF($B$184="Лікар загальної практики - сімейний лікар",V186/Z186,0)))</f>
        <v>0.18210459987397606</v>
      </c>
      <c r="W187" s="203">
        <f>IF($B$184="Лікар-педіатр","x",IF($B$184="Лікар-терапевт",W186/Z186,IF($B$184="Лікар загальної практики - сімейний лікар",W186/Z186,0)))</f>
        <v>0.23881537492123503</v>
      </c>
      <c r="X187" s="203">
        <f>IF($B$184="Лікар-педіатр","x",IF($B$184="Лікар-терапевт",X186/Z186,IF($B$184="Лікар загальної практики - сімейний лікар",X186/Z186,0)))</f>
        <v>0.34530560806553245</v>
      </c>
      <c r="Y187" s="203">
        <f>IF($B$184="Лікар-педіатр","x",IF($B$184="Лікар-терапевт",Y186/Z186,IF($B$184="Лікар загальної практики - сімейний лікар",Y186/Z186,0)))</f>
        <v>0.19659735349716445</v>
      </c>
      <c r="Z187" s="203">
        <f t="shared" si="25"/>
        <v>1</v>
      </c>
      <c r="AA187" s="966"/>
      <c r="AB187" s="203">
        <f>IF($B$184="Лікар-педіатр",AB186/AG186,IF($B$184="Лікар-терапевт","х",IF($B$184="Лікар загальної практики - сімейний лікар",AB186/AG186,0)))</f>
        <v>3.7177063642092001E-2</v>
      </c>
      <c r="AC187" s="203">
        <f>IF($B$184="Лікар-педіатр",AC186/AG186,IF($B$184="Лікар-терапевт","х",IF($B$184="Лікар загальної практики - сімейний лікар",AC186/AG186,0)))</f>
        <v>0.18210459987397606</v>
      </c>
      <c r="AD187" s="203">
        <f>IF($B$184="Лікар-педіатр","x",IF($B$184="Лікар-терапевт",AD186/AG186,IF($B$184="Лікар загальної практики - сімейний лікар",AD186/AG186,0)))</f>
        <v>0.23881537492123503</v>
      </c>
      <c r="AE187" s="203">
        <f>IF($B$184="Лікар-педіатр","x",IF($B$184="Лікар-терапевт",AE186/AG186,IF($B$184="Лікар загальної практики - сімейний лікар",AE186/AG186,0)))</f>
        <v>0.34530560806553245</v>
      </c>
      <c r="AF187" s="203">
        <f>IF($B$184="Лікар-педіатр","x",IF($B$184="Лікар-терапевт",AF186/AG186,IF($B$184="Лікар загальної практики - сімейний лікар",AF186/AG186,0)))</f>
        <v>0.19659735349716445</v>
      </c>
      <c r="AG187" s="203">
        <f t="shared" si="26"/>
        <v>1</v>
      </c>
      <c r="AH187" s="966"/>
      <c r="AI187" s="201"/>
      <c r="AJ187" s="945"/>
      <c r="AK187" s="960"/>
      <c r="AL187" s="960"/>
      <c r="AM187" s="930"/>
      <c r="AN187" s="948"/>
      <c r="AO187" s="948"/>
      <c r="AP187" s="948"/>
      <c r="AQ187" s="948"/>
      <c r="AR187" s="963"/>
    </row>
    <row r="188" spans="1:44" s="50" customFormat="1" ht="45" customHeight="1" thickBot="1">
      <c r="A188" s="197"/>
      <c r="B188" s="969"/>
      <c r="C188" s="974"/>
      <c r="D188" s="971"/>
      <c r="E188" s="972"/>
      <c r="F188" s="204" t="s">
        <v>662</v>
      </c>
      <c r="G188" s="205">
        <f>IF($B$184="Лікар загальної практики - сімейний лікар",AVERAGE(G184:G186),IF($B$184="Лікар-педіатр",AVERAGE(G184:G186),IF($B$184="Лікар-терапевт","х",0)))</f>
        <v>59</v>
      </c>
      <c r="H188" s="205">
        <f>IF($B$184="Лікар загальної практики - сімейний лікар",AVERAGE(H184:H186),IF($B$184="Лікар-педіатр",AVERAGE(H184:H186),IF($B$184="Лікар-терапевт","х",0)))</f>
        <v>289</v>
      </c>
      <c r="I188" s="205">
        <f>IF($B$184="Лікар загальної практики - сімейний лікар",AVERAGE(I184:I186),IF($B$184="Лікар-педіатр","x",IF($B$184="Лікар-терапевт",AVERAGE(I184:I186),0)))</f>
        <v>379</v>
      </c>
      <c r="J188" s="205">
        <f>IF($B$184="Лікар загальної практики - сімейний лікар",AVERAGE(J184:J186),IF($B$184="Лікар-педіатр","x",IF($B$184="Лікар-терапевт",AVERAGE(J184:J186),0)))</f>
        <v>548</v>
      </c>
      <c r="K188" s="205">
        <f>IF($B$184="Лікар загальної практики - сімейний лікар",AVERAGE(K184:K186),IF($B$184="Лікар-педіатр","x",IF($B$184="Лікар-терапевт",AVERAGE(K184:K186),0)))</f>
        <v>312</v>
      </c>
      <c r="L188" s="206">
        <f t="shared" si="23"/>
        <v>1587</v>
      </c>
      <c r="M188" s="973"/>
      <c r="N188" s="205">
        <f>IF($B$184="Лікар загальної практики - сімейний лікар",AVERAGE(N184:N186),IF($B$184="Лікар-педіатр",AVERAGE(N184:N186),IF($B$184="Лікар-терапевт","х",0)))</f>
        <v>59</v>
      </c>
      <c r="O188" s="205">
        <f>IF($B$184="Лікар загальної практики - сімейний лікар",AVERAGE(O184:O186),IF($B$184="Лікар-педіатр",AVERAGE(O184:O186),IF($B$184="Лікар-терапевт","х",0)))</f>
        <v>289</v>
      </c>
      <c r="P188" s="205">
        <f>IF($B$184="Лікар загальної практики - сімейний лікар",AVERAGE(P184:P186),IF($B$184="Лікар-педіатр","x",IF($B$184="Лікар-терапевт",AVERAGE(P184:P186),0)))</f>
        <v>379</v>
      </c>
      <c r="Q188" s="205">
        <f>IF($B$184="Лікар загальної практики - сімейний лікар",AVERAGE(Q184:Q186),IF($B$184="Лікар-педіатр","x",IF($B$184="Лікар-терапевт",AVERAGE(Q184:Q186),0)))</f>
        <v>548</v>
      </c>
      <c r="R188" s="205">
        <f>IF($B$184="Лікар загальної практики - сімейний лікар",AVERAGE(R184:R186),IF($B$184="Лікар-педіатр","x",IF($B$184="Лікар-терапевт",AVERAGE(R184:R186),0)))</f>
        <v>312</v>
      </c>
      <c r="S188" s="206">
        <f t="shared" si="24"/>
        <v>1587</v>
      </c>
      <c r="T188" s="973"/>
      <c r="U188" s="205">
        <f>IF($B$184="Лікар загальної практики - сімейний лікар",AVERAGE(U184:U186),IF($B$184="Лікар-педіатр",AVERAGE(U184:U186),IF($B$184="Лікар-терапевт","х",0)))</f>
        <v>59</v>
      </c>
      <c r="V188" s="205">
        <f>IF($B$184="Лікар загальної практики - сімейний лікар",AVERAGE(V184:V186),IF($B$184="Лікар-педіатр",AVERAGE(V184:V186),IF($B$184="Лікар-терапевт","х",0)))</f>
        <v>289</v>
      </c>
      <c r="W188" s="205">
        <f>IF($B$184="Лікар загальної практики - сімейний лікар",AVERAGE(W184:W186),IF($B$184="Лікар-педіатр","x",IF($B$184="Лікар-терапевт",AVERAGE(W184:W186),0)))</f>
        <v>379</v>
      </c>
      <c r="X188" s="205">
        <f>IF($B$184="Лікар загальної практики - сімейний лікар",AVERAGE(X184:X186),IF($B$184="Лікар-педіатр","x",IF($B$184="Лікар-терапевт",AVERAGE(X184:X186),0)))</f>
        <v>548</v>
      </c>
      <c r="Y188" s="205">
        <f>IF($B$184="Лікар загальної практики - сімейний лікар",AVERAGE(Y184:Y186),IF($B$184="Лікар-педіатр","x",IF($B$184="Лікар-терапевт",AVERAGE(Y184:Y186),0)))</f>
        <v>312</v>
      </c>
      <c r="Z188" s="206">
        <f t="shared" si="25"/>
        <v>1587</v>
      </c>
      <c r="AA188" s="973"/>
      <c r="AB188" s="205">
        <f>IF($B$184="Лікар загальної практики - сімейний лікар",AVERAGE(AB184:AB186),IF($B$184="Лікар-педіатр",AVERAGE(AB184:AB186),IF($B$184="Лікар-терапевт","х",0)))</f>
        <v>59</v>
      </c>
      <c r="AC188" s="205">
        <f>IF($B$184="Лікар загальної практики - сімейний лікар",AVERAGE(AC184:AC186),IF($B$184="Лікар-педіатр",AVERAGE(AC184:AC186),IF($B$184="Лікар-терапевт","х",0)))</f>
        <v>289</v>
      </c>
      <c r="AD188" s="205">
        <f>IF($B$184="Лікар загальної практики - сімейний лікар",AVERAGE(AD184:AD186),IF($B$184="Лікар-педіатр","x",IF($B$184="Лікар-терапевт",AVERAGE(AD184:AD186),0)))</f>
        <v>379</v>
      </c>
      <c r="AE188" s="205">
        <f>IF($B$184="Лікар загальної практики - сімейний лікар",AVERAGE(AE184:AE186),IF($B$184="Лікар-педіатр","x",IF($B$184="Лікар-терапевт",AVERAGE(AE184:AE186),0)))</f>
        <v>548</v>
      </c>
      <c r="AF188" s="205">
        <f>IF($B$184="Лікар загальної практики - сімейний лікар",AVERAGE(AF184:AF186),IF($B$184="Лікар-педіатр","x",IF($B$184="Лікар-терапевт",AVERAGE(AF184:AF186),0)))</f>
        <v>312</v>
      </c>
      <c r="AG188" s="206">
        <f t="shared" si="26"/>
        <v>1587</v>
      </c>
      <c r="AH188" s="967"/>
      <c r="AI188" s="201"/>
      <c r="AJ188" s="945"/>
      <c r="AK188" s="960"/>
      <c r="AL188" s="960"/>
      <c r="AM188" s="931"/>
      <c r="AN188" s="949"/>
      <c r="AO188" s="949"/>
      <c r="AP188" s="949"/>
      <c r="AQ188" s="949"/>
      <c r="AR188" s="964"/>
    </row>
    <row r="189" spans="1:44" s="50" customFormat="1" ht="40.5">
      <c r="A189" s="197"/>
      <c r="B189" s="969"/>
      <c r="C189" s="974"/>
      <c r="D189" s="971"/>
      <c r="E189" s="971"/>
      <c r="F189" s="237" t="str">
        <f ca="1">IF(B184="Лікар-педіатр",Законод!$C$17,IF(B184="Лікар загальної практики - сімейний лікар",Законод!$C$21,IF(B184="Лікар-терапевт",Законод!$C$25,"х")))</f>
        <v>ліміт (до 1800)</v>
      </c>
      <c r="G189" s="208">
        <f ca="1">IF($B$184="Лікар загальної практики - сімейний лікар",IF(L188&lt;=Законод!$C$22,G188,Законод!$C$22*'01_Доходи'!G187),IF($B$184="Лікар-педіатр",IF(L188&lt;=Законод!$C$18,G188,Законод!$C$18*'01_Доходи'!G187),IF($B$184="Лікар-терапевт","x",0)))</f>
        <v>59</v>
      </c>
      <c r="H189" s="208">
        <f ca="1">IF($B$184="Лікар загальної практики - сімейний лікар",IF(L188&lt;=Законод!$C$22,H188,Законод!$C$22*'01_Доходи'!H187),IF($B$184="Лікар-педіатр",IF(L188&lt;=Законод!$C$18,H188,Законод!$C$18*'01_Доходи'!H187),IF($B$184="Лікар-терапевт","x",0)))</f>
        <v>289</v>
      </c>
      <c r="I189" s="208">
        <f ca="1">IF($B$184="Лікар загальної практики - сімейний лікар",IF(L188&lt;=Законод!$C$22,I188,Законод!$C$22*'01_Доходи'!I187),IF($B$184="Лікар-педіатр","x",IF($B$184="Лікар-терапевт",IF(L188&lt;=Законод!$C$26,I188,Законод!$C$26*'01_Доходи'!I187),0)))</f>
        <v>379</v>
      </c>
      <c r="J189" s="208">
        <f ca="1">IF($B$184="Лікар загальної практики - сімейний лікар",IF(L188&lt;=Законод!$C$22,J188,Законод!$C$22*'01_Доходи'!J187),IF($B$184="Лікар-педіатр","x",IF($B$184="Лікар-терапевт",IF(L188&lt;=Законод!$C$26,J188,Законод!$C$26*'01_Доходи'!J187),0)))</f>
        <v>548</v>
      </c>
      <c r="K189" s="208">
        <f ca="1">IF($B$184="Лікар загальної практики - сімейний лікар",IF(L188&lt;=Законод!$C$22,K188,Законод!$C$22*'01_Доходи'!K187),IF($B$184="Лікар-педіатр","x",IF($B$184="Лікар-терапевт",IF(L188&lt;=Законод!$C$26,K188,Законод!$C$26*'01_Доходи'!K187),0)))</f>
        <v>312</v>
      </c>
      <c r="L189" s="209">
        <f t="shared" si="23"/>
        <v>1587</v>
      </c>
      <c r="M189" s="966"/>
      <c r="N189" s="208">
        <f ca="1">IF($B$184="Лікар загальної практики - сімейний лікар",IF(S188&lt;=Законод!$C$22,N188,Законод!$C$22*'01_Доходи'!N187),IF($B$184="Лікар-педіатр",IF(S188&lt;=Законод!$C$18,N188,Законод!$C$18*'01_Доходи'!N187),IF($B$184="Лікар-терапевт","x",0)))</f>
        <v>59</v>
      </c>
      <c r="O189" s="208">
        <f ca="1">IF($B$184="Лікар загальної практики - сімейний лікар",IF(S188&lt;=Законод!$C$22,O188,Законод!$C$22*'01_Доходи'!O187),IF($B$184="Лікар-педіатр",IF(S188&lt;=Законод!$C$18,O188,Законод!$C$18*'01_Доходи'!O187),IF($B$184="Лікар-терапевт","x",0)))</f>
        <v>289</v>
      </c>
      <c r="P189" s="208">
        <f ca="1">IF($B$184="Лікар загальної практики - сімейний лікар",IF(S188&lt;=Законод!$C$22,P188,Законод!$C$22*'01_Доходи'!P187),IF($B$184="Лікар-педіатр","x",IF($B$184="Лікар-терапевт",IF(S188&lt;=Законод!$C$26,P188,Законод!$C$26*'01_Доходи'!P187),0)))</f>
        <v>379</v>
      </c>
      <c r="Q189" s="208">
        <f ca="1">IF($B$184="Лікар загальної практики - сімейний лікар",IF(S188&lt;=Законод!$C$22,Q188,Законод!$C$22*'01_Доходи'!Q187),IF($B$184="Лікар-педіатр","x",IF($B$184="Лікар-терапевт",IF(S188&lt;=Законод!$C$26,Q188,Законод!$C$26*'01_Доходи'!Q187),0)))</f>
        <v>548</v>
      </c>
      <c r="R189" s="208">
        <f ca="1">IF($B$184="Лікар загальної практики - сімейний лікар",IF(S188&lt;=Законод!$C$22,R188,Законод!$C$22*'01_Доходи'!R187),IF($B$184="Лікар-педіатр","x",IF($B$184="Лікар-терапевт",IF(S188&lt;=Законод!$C$26,R188,Законод!$C$26*'01_Доходи'!R187),0)))</f>
        <v>312</v>
      </c>
      <c r="S189" s="209">
        <f t="shared" si="24"/>
        <v>1587</v>
      </c>
      <c r="T189" s="966"/>
      <c r="U189" s="208">
        <f ca="1">IF($B$184="Лікар загальної практики - сімейний лікар",IF(Z188&lt;=Законод!$C$22,U188,Законод!$C$22*'01_Доходи'!U187),IF($B$184="Лікар-педіатр",IF(Z188&lt;=Законод!$C$18,U188,Законод!$C$18*'01_Доходи'!U187),IF($B$184="Лікар-терапевт","x",0)))</f>
        <v>59</v>
      </c>
      <c r="V189" s="208">
        <f ca="1">IF($B$184="Лікар загальної практики - сімейний лікар",IF(Z188&lt;=Законод!$C$22,V188,Законод!$C$22*'01_Доходи'!V187),IF($B$184="Лікар-педіатр",IF(Z188&lt;=Законод!$C$18,V188,Законод!$C$18*'01_Доходи'!V187),IF($B$184="Лікар-терапевт","x",0)))</f>
        <v>289</v>
      </c>
      <c r="W189" s="208">
        <f ca="1">IF($B$184="Лікар загальної практики - сімейний лікар",IF(Z188&lt;=Законод!$C$22,W188,Законод!$C$22*'01_Доходи'!W187),IF($B$184="Лікар-педіатр","x",IF($B$184="Лікар-терапевт",IF(Z188&lt;=Законод!$C$26,W188,Законод!$C$26*'01_Доходи'!W187),0)))</f>
        <v>379</v>
      </c>
      <c r="X189" s="208">
        <f ca="1">IF($B$184="Лікар загальної практики - сімейний лікар",IF(Z188&lt;=Законод!$C$22,X188,Законод!$C$22*'01_Доходи'!X187),IF($B$184="Лікар-педіатр","x",IF($B$184="Лікар-терапевт",IF(Z188&lt;=Законод!$C$26,X188,Законод!$C$26*'01_Доходи'!X187),0)))</f>
        <v>548</v>
      </c>
      <c r="Y189" s="208">
        <f ca="1">IF($B$184="Лікар загальної практики - сімейний лікар",IF(Z188&lt;=Законод!$C$22,Y188,Законод!$C$22*'01_Доходи'!Y187),IF($B$184="Лікар-педіатр","x",IF($B$184="Лікар-терапевт",IF(Z188&lt;=Законод!$C$26,Y188,Законод!$C$26*'01_Доходи'!Y187),0)))</f>
        <v>312</v>
      </c>
      <c r="Z189" s="209">
        <f t="shared" si="25"/>
        <v>1587</v>
      </c>
      <c r="AA189" s="966"/>
      <c r="AB189" s="208">
        <f ca="1">IF($B$184="Лікар загальної практики - сімейний лікар",IF(AG188&lt;=Законод!$C$22,AB188,Законод!$C$22*'01_Доходи'!AB187),IF($B$184="Лікар-педіатр",IF(AG188&lt;=Законод!$C$18,AB188,Законод!$C$18*'01_Доходи'!AB187),IF($B$184="Лікар-терапевт","x",0)))</f>
        <v>59</v>
      </c>
      <c r="AC189" s="208">
        <f ca="1">IF($B$184="Лікар загальної практики - сімейний лікар",IF(AG188&lt;=Законод!$C$22,AC188,Законод!$C$22*'01_Доходи'!AC187),IF($B$184="Лікар-педіатр",IF(AG188&lt;=Законод!$C$18,AC188,Законод!$C$18*'01_Доходи'!AC187),IF($B$184="Лікар-терапевт","x",0)))</f>
        <v>289</v>
      </c>
      <c r="AD189" s="208">
        <f ca="1">IF($B$184="Лікар загальної практики - сімейний лікар",IF(AG188&lt;=Законод!$C$22,AD188,Законод!$C$22*'01_Доходи'!AD187),IF($B$184="Лікар-педіатр","x",IF($B$184="Лікар-терапевт",IF(AG188&lt;=Законод!$C$26,AD188,Законод!$C$26*'01_Доходи'!AD187),0)))</f>
        <v>379</v>
      </c>
      <c r="AE189" s="208">
        <f ca="1">IF($B$184="Лікар загальної практики - сімейний лікар",IF(AG188&lt;=Законод!$C$22,AE188,Законод!$C$22*'01_Доходи'!AE187),IF($B$184="Лікар-педіатр","x",IF($B$184="Лікар-терапевт",IF(AG188&lt;=Законод!$C$26,AE188,Законод!$C$26*'01_Доходи'!AE187),0)))</f>
        <v>548</v>
      </c>
      <c r="AF189" s="208">
        <f ca="1">IF($B$184="Лікар загальної практики - сімейний лікар",IF(AG188&lt;=Законод!$C$22,AF188,Законод!$C$22*'01_Доходи'!AF187),IF($B$184="Лікар-педіатр","x",IF($B$184="Лікар-терапевт",IF(AG188&lt;=Законод!$C$26,AF188,Законод!$C$26*'01_Доходи'!AF187),0)))</f>
        <v>312</v>
      </c>
      <c r="AG189" s="209">
        <f t="shared" si="26"/>
        <v>1587</v>
      </c>
      <c r="AH189" s="966"/>
      <c r="AI189" s="201"/>
      <c r="AJ189" s="945"/>
      <c r="AK189" s="960"/>
      <c r="AL189" s="960"/>
      <c r="AM189" s="348" t="s">
        <v>451</v>
      </c>
      <c r="AN189" s="210">
        <f ca="1">IF(B184="Лікар загальної практики - сімейний лікар",G189*Законод!$C$11+'01_Доходи'!H189*Законод!$D$11+'01_Доходи'!I189*Законод!$E$11+'01_Доходи'!J189*Законод!$F$11+'01_Доходи'!K189*Законод!$G$11,IF(B184="Лікар-педіатр",G189*Законод!$C$11+'01_Доходи'!H189*Законод!$D$11,IF(B184="Лікар-терапевт",'01_Доходи'!I189*Законод!$E$11+'01_Доходи'!J189*Законод!$F$11+'01_Доходи'!K189*Законод!$G$11,0)))</f>
        <v>306820.83608749998</v>
      </c>
      <c r="AO189" s="210">
        <f ca="1">IF(B184="Лікар загальної практики - сімейний лікар",N189*Законод!$C$11+'01_Доходи'!O189*Законод!$D$11+'01_Доходи'!P189*Законод!$E$11+'01_Доходи'!Q189*Законод!$F$11+'01_Доходи'!R189*Законод!$G$11,IF(B184="Лікар-педіатр",N189*Законод!$C$11+'01_Доходи'!O189*Законод!$D$11,IF(B184="Лікар-терапевт",'01_Доходи'!P189*Законод!$E$11+'01_Доходи'!Q189*Законод!$F$11+'01_Доходи'!R189*Законод!$G$11,0)))</f>
        <v>306820.83608749998</v>
      </c>
      <c r="AP189" s="210">
        <f ca="1">IF(B184="Лікар загальної практики - сімейний лікар",U189*Законод!$C$11+'01_Доходи'!V189*Законод!$D$11+'01_Доходи'!W189*Законод!$E$11+'01_Доходи'!X189*Законод!$F$11+'01_Доходи'!Y189*Законод!$G$11,IF(B184="Лікар-педіатр",U189*Законод!$C$11+'01_Доходи'!V189*Законод!$D$11,IF(B184="Лікар-терапевт",'01_Доходи'!W189*Законод!$E$11+'01_Доходи'!X189*Законод!$F$11+'01_Доходи'!Y189*Законод!$G$11,0)))</f>
        <v>306820.83608749998</v>
      </c>
      <c r="AQ189" s="210">
        <f ca="1">IF(B184="Лікар загальної практики - сімейний лікар",AB189*Законод!$C$11+'01_Доходи'!AC189*Законод!$D$11+'01_Доходи'!AD189*Законод!$E$11+'01_Доходи'!AE189*Законод!$F$11+'01_Доходи'!AF189*Законод!$G$11,IF(B184="Лікар-педіатр",AB189*Законод!$C$11+'01_Доходи'!AC189*Законод!$D$11,IF(B184="Лікар-терапевт",'01_Доходи'!AD189*Законод!$E$11+'01_Доходи'!AE189*Законод!$F$11+'01_Доходи'!AF189*Законод!$G$11,0)))</f>
        <v>306820.83608749998</v>
      </c>
      <c r="AR189" s="211">
        <f t="shared" ref="AR189:AR195" si="27">SUM(AN189:AQ189)</f>
        <v>1227283.3443499999</v>
      </c>
    </row>
    <row r="190" spans="1:44" s="50" customFormat="1" ht="31.9" customHeight="1">
      <c r="A190" s="197"/>
      <c r="B190" s="969"/>
      <c r="C190" s="974"/>
      <c r="D190" s="971"/>
      <c r="E190" s="971"/>
      <c r="F190" s="238" t="str">
        <f ca="1">IF(B184="Лікар-педіатр",Законод!$E$17,IF(B184="Лікар загальної практики - сімейний лікар",Законод!$E$21,IF(B184="Лікар-терапевт",Законод!$E$25,"х")))</f>
        <v>понад ліміт (1801-1980)</v>
      </c>
      <c r="G190" s="965" t="s">
        <v>423</v>
      </c>
      <c r="H190" s="965"/>
      <c r="I190" s="965"/>
      <c r="J190" s="965"/>
      <c r="K190" s="965"/>
      <c r="L190" s="196">
        <f ca="1">IF($B$184="Лікар загальної практики - сімейний лікар",IF(L188&lt;Законод!$C$22,0,(IF(AND(L188&gt;=Законод!$E$22,L188&lt;=Законод!$E$23),L188-Законод!$C$22,IF('01_Доходи'!L188&gt;=Законод!$F$22,Законод!$E$24,0)))),IF($B$184="Лікар-педіатр",IF(L188&lt;Законод!$C$18,0,(IF(AND(L188&gt;=Законод!$E$18,L188&lt;=Законод!$E$19),L188-Законод!$C$18,IF('01_Доходи'!L188&gt;=Законод!$F$18,Законод!$E$20,0)))),IF($B$184="Лікар-терапевт",IF(L188&lt;Законод!$C$26,0,(IF(AND(L188&gt;=Законод!$E$26,L188&lt;=Законод!$E$27),L188-Законод!$C$26,IF('01_Доходи'!L188&gt;=Законод!$F$26,Законод!$E$28,0)))),0)))</f>
        <v>0</v>
      </c>
      <c r="M190" s="966"/>
      <c r="N190" s="965" t="s">
        <v>423</v>
      </c>
      <c r="O190" s="965"/>
      <c r="P190" s="965"/>
      <c r="Q190" s="965"/>
      <c r="R190" s="965"/>
      <c r="S190" s="196">
        <f ca="1">IF($B$184="Лікар загальної практики - сімейний лікар",IF(S188&lt;Законод!$C$22,0,(IF(AND(S188&gt;=Законод!$E$22,S188&lt;=Законод!$E$23),S188-Законод!$C$22,IF('01_Доходи'!S188&gt;=Законод!$F$22,Законод!$E$24,0)))),IF($B$184="Лікар-педіатр",IF(S188&lt;Законод!$C$18,0,(IF(AND(S188&gt;=Законод!$E$18,S188&lt;=Законод!$E$19),S188-Законод!$C$18,IF('01_Доходи'!S188&gt;=Законод!$F$18,Законод!$E$20,0)))),IF($B$184="Лікар-терапевт",IF(S188&lt;Законод!$C$26,0,(IF(AND(S188&gt;=Законод!$E$26,S188&lt;=Законод!$E$27),S188-Законод!$C$26,IF('01_Доходи'!S188&gt;=Законод!$F$26,Законод!$E$28,0)))),0)))</f>
        <v>0</v>
      </c>
      <c r="T190" s="966"/>
      <c r="U190" s="965" t="s">
        <v>423</v>
      </c>
      <c r="V190" s="965"/>
      <c r="W190" s="965"/>
      <c r="X190" s="965"/>
      <c r="Y190" s="965"/>
      <c r="Z190" s="196">
        <f ca="1">IF($B$184="Лікар загальної практики - сімейний лікар",IF(Z188&lt;Законод!$C$22,0,(IF(AND(Z188&gt;=Законод!$E$22,Z188&lt;=Законод!$E$23),Z188-Законод!$C$22,IF('01_Доходи'!Z188&gt;=Законод!$F$22,Законод!$E$24,0)))),IF($B$184="Лікар-педіатр",IF(Z188&lt;Законод!$C$18,0,(IF(AND(Z188&gt;=Законод!$E$18,Z188&lt;=Законод!$E$19),Z188-Законод!$C$18,IF('01_Доходи'!Z188&gt;=Законод!$F$18,Законод!$E$20,0)))),IF($B$184="Лікар-терапевт",IF(Z188&lt;Законод!$C$26,0,(IF(AND(Z188&gt;=Законод!$E$26,Z188&lt;=Законод!$E$27),Z188-Законод!$C$26,IF('01_Доходи'!Z188&gt;=Законод!$F$26,Законод!$E$28,0)))),0)))</f>
        <v>0</v>
      </c>
      <c r="AA190" s="966"/>
      <c r="AB190" s="965" t="s">
        <v>423</v>
      </c>
      <c r="AC190" s="965"/>
      <c r="AD190" s="965"/>
      <c r="AE190" s="965"/>
      <c r="AF190" s="965"/>
      <c r="AG190" s="196">
        <f ca="1">IF($B$184="Лікар загальної практики - сімейний лікар",IF(AG188&lt;Законод!$C$22,0,(IF(AND(AG188&gt;=Законод!$E$22,AG188&lt;=Законод!$E$23),AG188-Законод!$C$22,IF('01_Доходи'!AG188&gt;=Законод!$F$22,Законод!$E$24,0)))),IF($B$184="Лікар-педіатр",IF(AG188&lt;Законод!$C$18,0,(IF(AND(AG188&gt;=Законод!$E$18,AG188&lt;=Законод!$E$19),AG188-Законод!$C$18,IF('01_Доходи'!AG188&gt;=Законод!$F$18,Законод!$E$20,0)))),IF($B$184="Лікар-терапевт",IF(AG188&lt;Законод!$C$26,0,(IF(AND(AG188&gt;=Законод!$E$26,AG188&lt;=Законод!$E$27),AG188-Законод!$C$26,IF('01_Доходи'!AG188&gt;=Законод!$F$26,Законод!$E$28,0)))),0)))</f>
        <v>0</v>
      </c>
      <c r="AH190" s="966"/>
      <c r="AI190" s="201"/>
      <c r="AJ190" s="945"/>
      <c r="AK190" s="960"/>
      <c r="AL190" s="960"/>
      <c r="AM190" s="926" t="s">
        <v>452</v>
      </c>
      <c r="AN190" s="210">
        <f ca="1">IF(B184="Лікар загальної практики - сімейний лікар",L190*Законод!$C$9/4*Законод!$E$16,IF(B184="Лікар-педіатр",L190*Законод!$C$9/4*Законод!$E$16,IF(B184="Лікар-терапевт",L190*Законод!$C$9/4*Законод!$E$16,0)))</f>
        <v>0</v>
      </c>
      <c r="AO190" s="210">
        <f ca="1">IF(B184="Лікар загальної практики - сімейний лікар",S190*Законод!$C$9/4*Законод!$E$16,IF(B184="Лікар-педіатр",S190*Законод!$C$9/4*Законод!$E$16,IF(B184="Лікар-терапевт",S190*Законод!$C$9/4*Законод!$E$16,0)))</f>
        <v>0</v>
      </c>
      <c r="AP190" s="210">
        <f ca="1">IF(B184="Лікар загальної практики - сімейний лікар",Z190*Законод!$C$9/4*Законод!$E$16,IF(B184="Лікар-педіатр",Z190*Законод!$C$9/4*Законод!$E$16,IF(B184="Лікар-терапевт",Z190*Законод!$C$9/4*Законод!$E$16,0)))</f>
        <v>0</v>
      </c>
      <c r="AQ190" s="210">
        <f ca="1">IF(B184="Лікар загальної практики - сімейний лікар",AG190*Законод!$C$9/4*Законод!$E$16,IF(B184="Лікар-педіатр",AG190*Законод!$C$9/4*Законод!$E$16,IF(B184="Лікар-терапевт",AG190*Законод!$C$9/4*Законод!$E$16,0)))</f>
        <v>0</v>
      </c>
      <c r="AR190" s="211">
        <f t="shared" si="27"/>
        <v>0</v>
      </c>
    </row>
    <row r="191" spans="1:44" s="50" customFormat="1" ht="31.9" customHeight="1">
      <c r="A191" s="197"/>
      <c r="B191" s="969"/>
      <c r="C191" s="974"/>
      <c r="D191" s="971"/>
      <c r="E191" s="971"/>
      <c r="F191" s="238" t="str">
        <f ca="1">IF(B184="Лікар-педіатр",Законод!$F$17,IF(B184="Лікар загальної практики - сімейний лікар",Законод!$F$21,IF(B184="Лікар-терапевт",Законод!$F$25,"х")))</f>
        <v>понад ліміт (1981-2160)</v>
      </c>
      <c r="G191" s="965" t="s">
        <v>423</v>
      </c>
      <c r="H191" s="965"/>
      <c r="I191" s="965"/>
      <c r="J191" s="965"/>
      <c r="K191" s="965"/>
      <c r="L191" s="196">
        <f ca="1">IF($B$184="Лікар загальної практики - сімейний лікар",IF(L188&lt;Законод!$C$22,0,(IF(AND(L188&gt;=Законод!$F$22,L188&lt;=Законод!$F$23),L188-Законод!$E$23,IF('01_Доходи'!L188&gt;=Законод!$G$22,Законод!$F$24,0)))),IF($B$184="Лікар-педіатр",IF(L188&lt;Законод!$C$18,0,(IF(AND(L188&gt;=Законод!$F$18,L188&lt;=Законод!$F$19),L188-Законод!$E$19,IF('01_Доходи'!L188&gt;=Законод!$G$18,Законод!$F$20,0)))),IF($B$184="Лікар-терапевт",IF(L188&lt;Законод!$C$26,0,(IF(AND(L188&gt;=Законод!$F$26,L188&lt;=Законод!$F$27),L188-Законод!$E$27,IF('01_Доходи'!L188&gt;=Законод!$G$26,Законод!$F$28,0)))),0)))</f>
        <v>0</v>
      </c>
      <c r="M191" s="966"/>
      <c r="N191" s="965" t="s">
        <v>423</v>
      </c>
      <c r="O191" s="965"/>
      <c r="P191" s="965"/>
      <c r="Q191" s="965"/>
      <c r="R191" s="965"/>
      <c r="S191" s="196">
        <f ca="1">IF($B$184="Лікар загальної практики - сімейний лікар",IF(S188&lt;Законод!$C$22,0,(IF(AND(S188&gt;=Законод!$F$22,S188&lt;=Законод!$F$23),S188-Законод!$E$23,IF('01_Доходи'!S188&gt;=Законод!$G$22,Законод!$F$24,0)))),IF($B$184="Лікар-педіатр",IF(S188&lt;Законод!$C$18,0,(IF(AND(S188&gt;=Законод!$F$18,S188&lt;=Законод!$F$19),S188-Законод!$E$19,IF('01_Доходи'!S188&gt;=Законод!$G$18,Законод!$F$20,0)))),IF($B$184="Лікар-терапевт",IF(S188&lt;Законод!$C$26,0,(IF(AND(S188&gt;=Законод!$F$26,S188&lt;=Законод!$F$27),S188-Законод!$E$27,IF('01_Доходи'!S188&gt;=Законод!$G$26,Законод!$F$28,0)))),0)))</f>
        <v>0</v>
      </c>
      <c r="T191" s="966"/>
      <c r="U191" s="965" t="s">
        <v>423</v>
      </c>
      <c r="V191" s="965"/>
      <c r="W191" s="965"/>
      <c r="X191" s="965"/>
      <c r="Y191" s="965"/>
      <c r="Z191" s="196">
        <f ca="1">IF($B$184="Лікар загальної практики - сімейний лікар",IF(Z188&lt;Законод!$C$22,0,(IF(AND(Z188&gt;=Законод!$F$22,Z188&lt;=Законод!$F$23),Z188-Законод!$E$23,IF('01_Доходи'!Z188&gt;=Законод!$G$22,Законод!$F$24,0)))),IF($B$184="Лікар-педіатр",IF(Z188&lt;Законод!$C$18,0,(IF(AND(Z188&gt;=Законод!$F$18,Z188&lt;=Законод!$F$19),Z188-Законод!$E$19,IF('01_Доходи'!Z188&gt;=Законод!$G$18,Законод!$F$20,0)))),IF($B$184="Лікар-терапевт",IF(Z188&lt;Законод!$C$26,0,(IF(AND(Z188&gt;=Законод!$F$26,Z188&lt;=Законод!$F$27),Z188-Законод!$E$27,IF('01_Доходи'!Z188&gt;=Законод!$G$26,Законод!$F$28,0)))),0)))</f>
        <v>0</v>
      </c>
      <c r="AA191" s="966"/>
      <c r="AB191" s="965" t="s">
        <v>423</v>
      </c>
      <c r="AC191" s="965"/>
      <c r="AD191" s="965"/>
      <c r="AE191" s="965"/>
      <c r="AF191" s="965"/>
      <c r="AG191" s="196">
        <f ca="1">IF($B$184="Лікар загальної практики - сімейний лікар",IF(AG188&lt;Законод!$C$22,0,(IF(AND(AG188&gt;=Законод!$F$22,AG188&lt;=Законод!$F$23),AG188-Законод!$E$23,IF('01_Доходи'!AG188&gt;=Законод!$G$22,Законод!$F$24,0)))),IF($B$184="Лікар-педіатр",IF(AG188&lt;Законод!$C$18,0,(IF(AND(AG188&gt;=Законод!$F$18,AG188&lt;=Законод!$F$19),AG188-Законод!$E$19,IF('01_Доходи'!AG188&gt;=Законод!$G$18,Законод!$F$20,0)))),IF($B$184="Лікар-терапевт",IF(AG188&lt;Законод!$C$26,0,(IF(AND(AG188&gt;=Законод!$F$26,AG188&lt;=Законод!$F$27),AG188-Законод!$E$27,IF('01_Доходи'!AG188&gt;=Законод!$G$26,Законод!$F$28,0)))),0)))</f>
        <v>0</v>
      </c>
      <c r="AH191" s="966"/>
      <c r="AI191" s="201"/>
      <c r="AJ191" s="945"/>
      <c r="AK191" s="960"/>
      <c r="AL191" s="960"/>
      <c r="AM191" s="927"/>
      <c r="AN191" s="210">
        <f ca="1">IF(B184="Лікар загальної практики - сімейний лікар",L191*Законод!$C$9/4*Законод!$F$16,IF(B184="Лікар-педіатр",L191*Законод!$C$9/4*Законод!$F$16,IF(B184="Лікар-терапевт",L191*Законод!$C$9/4*Законод!$F$16,0)))</f>
        <v>0</v>
      </c>
      <c r="AO191" s="210">
        <f ca="1">IF(B184="Лікар загальної практики - сімейний лікар",S191*Законод!$C$9/4*Законод!$F$16,IF(B184="Лікар-педіатр",S191*Законод!$C$9/4*Законод!$F$16,IF(B184="Лікар-терапевт",S191*Законод!$C$9/4*Законод!$F$16,0)))</f>
        <v>0</v>
      </c>
      <c r="AP191" s="210">
        <f ca="1">IF(B184="Лікар загальної практики - сімейний лікар",Z191*Законод!$C$9/4*Законод!$F$16,IF(B184="Лікар-педіатр",Z191*Законод!$C$9/4*Законод!$F$16,IF(B184="Лікар-терапевт",Z191*Законод!$C$9/4*Законод!$F$16,0)))</f>
        <v>0</v>
      </c>
      <c r="AQ191" s="210">
        <f ca="1">IF(B184="Лікар загальної практики - сімейний лікар",AG191*Законод!$C$9/4*Законод!$F$16,IF(B184="Лікар-педіатр",AG191*Законод!$C$9/4*Законод!$F$16,IF(B184="Лікар-терапевт",AG191*Законод!$C$9/4*Законод!$F$16,0)))</f>
        <v>0</v>
      </c>
      <c r="AR191" s="211">
        <f t="shared" si="27"/>
        <v>0</v>
      </c>
    </row>
    <row r="192" spans="1:44" s="50" customFormat="1" ht="31.9" customHeight="1">
      <c r="A192" s="197"/>
      <c r="B192" s="969"/>
      <c r="C192" s="974"/>
      <c r="D192" s="971"/>
      <c r="E192" s="971"/>
      <c r="F192" s="238" t="str">
        <f ca="1">IF(B184="Лікар-педіатр",Законод!$G$17,IF(B184="Лікар загальної практики - сімейний лікар",Законод!$G$21,IF(B184="Лікар-терапевт",Законод!$G$25,"х")))</f>
        <v>понад ліміт (2161-2340)</v>
      </c>
      <c r="G192" s="965" t="s">
        <v>423</v>
      </c>
      <c r="H192" s="965"/>
      <c r="I192" s="965"/>
      <c r="J192" s="965"/>
      <c r="K192" s="965"/>
      <c r="L192" s="196">
        <f ca="1">IF($B$184="Лікар загальної практики - сімейний лікар",IF(L188&lt;Законод!$C$22,0,(IF(AND(L188&gt;=Законод!$G$22,L188&lt;=Законод!$G$23),L188-Законод!$F$23,IF('01_Доходи'!L188&gt;=Законод!$H$22,Законод!$G$24,0)))),IF($B$184="Лікар-педіатр",IF(L188&lt;Законод!$C$18,0,(IF(AND(L188&gt;=Законод!$G$18,L188&lt;=Законод!$G$19),L188-Законод!$F$19,IF('01_Доходи'!L188&gt;=Законод!$H$18,Законод!$G$20,0)))),IF($B$184="Лікар-терапевт",IF(L188&lt;Законод!$C$26,0,(IF(AND(L188&gt;=Законод!$G$26,L188&lt;=Законод!$G$27),L188-Законод!$F$27,IF('01_Доходи'!L188&gt;=Законод!$H$26,Законод!$G$28,0)))),0)))</f>
        <v>0</v>
      </c>
      <c r="M192" s="966"/>
      <c r="N192" s="965" t="s">
        <v>423</v>
      </c>
      <c r="O192" s="965"/>
      <c r="P192" s="965"/>
      <c r="Q192" s="965"/>
      <c r="R192" s="965"/>
      <c r="S192" s="196">
        <f ca="1">IF($B$184="Лікар загальної практики - сімейний лікар",IF(S188&lt;Законод!$C$22,0,(IF(AND(S188&gt;=Законод!$G$22,S188&lt;=Законод!$G$23),S188-Законод!$F$23,IF('01_Доходи'!S188&gt;=Законод!$H$22,Законод!$G$24,0)))),IF($B$184="Лікар-педіатр",IF(S188&lt;Законод!$C$18,0,(IF(AND(S188&gt;=Законод!$G$18,S188&lt;=Законод!$G$19),S188-Законод!$F$19,IF('01_Доходи'!S188&gt;=Законод!$H$18,Законод!$G$20,0)))),IF($B$184="Лікар-терапевт",IF(S188&lt;Законод!$C$26,0,(IF(AND(S188&gt;=Законод!$G$26,S188&lt;=Законод!$G$27),S188-Законод!$F$27,IF('01_Доходи'!S188&gt;=Законод!$H$26,Законод!$G$28,0)))),0)))</f>
        <v>0</v>
      </c>
      <c r="T192" s="966"/>
      <c r="U192" s="965" t="s">
        <v>423</v>
      </c>
      <c r="V192" s="965"/>
      <c r="W192" s="965"/>
      <c r="X192" s="965"/>
      <c r="Y192" s="965"/>
      <c r="Z192" s="196">
        <f ca="1">IF($B$184="Лікар загальної практики - сімейний лікар",IF(Z188&lt;Законод!$C$22,0,(IF(AND(Z188&gt;=Законод!$G$22,Z188&lt;=Законод!$G$23),Z188-Законод!$F$23,IF('01_Доходи'!Z188&gt;=Законод!$H$22,Законод!$G$24,0)))),IF($B$184="Лікар-педіатр",IF(Z188&lt;Законод!$C$18,0,(IF(AND(Z188&gt;=Законод!$G$18,Z188&lt;=Законод!$G$19),Z188-Законод!$F$19,IF('01_Доходи'!Z188&gt;=Законод!$H$18,Законод!$G$20,0)))),IF($B$184="Лікар-терапевт",IF(Z188&lt;Законод!$C$26,0,(IF(AND(Z188&gt;=Законод!$G$26,Z188&lt;=Законод!$G$27),Z188-Законод!$F$27,IF('01_Доходи'!Z188&gt;=Законод!$H$26,Законод!$G$28,0)))),0)))</f>
        <v>0</v>
      </c>
      <c r="AA192" s="966"/>
      <c r="AB192" s="965" t="s">
        <v>423</v>
      </c>
      <c r="AC192" s="965"/>
      <c r="AD192" s="965"/>
      <c r="AE192" s="965"/>
      <c r="AF192" s="965"/>
      <c r="AG192" s="196">
        <f ca="1">IF($B$184="Лікар загальної практики - сімейний лікар",IF(AG188&lt;Законод!$C$22,0,(IF(AND(AG188&gt;=Законод!$G$22,AG188&lt;=Законод!$G$23),AG188-Законод!$F$23,IF('01_Доходи'!AG188&gt;=Законод!$H$22,Законод!$G$24,0)))),IF($B$184="Лікар-педіатр",IF(AG188&lt;Законод!$C$18,0,(IF(AND(AG188&gt;=Законод!$G$18,AG188&lt;=Законод!$G$19),AG188-Законод!$F$19,IF('01_Доходи'!AG188&gt;=Законод!$H$18,Законод!$G$20,0)))),IF($B$184="Лікар-терапевт",IF(AG188&lt;Законод!$C$26,0,(IF(AND(AG188&gt;=Законод!$G$26,AG188&lt;=Законод!$G$27),AG188-Законод!$F$27,IF('01_Доходи'!AG188&gt;=Законод!$H$26,Законод!$G$28,0)))),0)))</f>
        <v>0</v>
      </c>
      <c r="AH192" s="966"/>
      <c r="AI192" s="201"/>
      <c r="AJ192" s="945"/>
      <c r="AK192" s="960"/>
      <c r="AL192" s="960"/>
      <c r="AM192" s="927"/>
      <c r="AN192" s="210">
        <f ca="1">IF(B184="Лікар загальної практики - сімейний лікар",L192*Законод!$C$9/4*Законод!$G$16,IF(B184="Лікар-педіатр",L192*Законод!$C$9/4*Законод!$G$16,IF(B184="Лікар-терапевт",L192*Законод!$C$9/4*Законод!$G$16,0)))</f>
        <v>0</v>
      </c>
      <c r="AO192" s="210">
        <f ca="1">IF(B184="Лікар загальної практики - сімейний лікар",S192*Законод!$C$9/4*Законод!$G$16,IF(B184="Лікар-педіатр",S192*Законод!$C$9/4*Законод!$G$16,IF(B184="Лікар-терапевт",S192*Законод!$C$9/4*Законод!$G$16,0)))</f>
        <v>0</v>
      </c>
      <c r="AP192" s="210">
        <f ca="1">IF(B184="Лікар загальної практики - сімейний лікар",Z192*Законод!$C$9/4*Законод!$G$16,IF(B184="Лікар-педіатр",Z192*Законод!$C$9/4*Законод!$G$16,IF(B184="Лікар-терапевт",Z192*Законод!$C$9/4*Законод!$G$16,0)))</f>
        <v>0</v>
      </c>
      <c r="AQ192" s="210">
        <f ca="1">IF(B184="Лікар загальної практики - сімейний лікар",AG192*Законод!$C$9/4*Законод!$G$16,IF(B184="Лікар-педіатр",AG192*Законод!$C$9/4*Законод!$G$16,IF(B184="Лікар-терапевт",AG192*Законод!$C$9/4*Законод!$G$16,0)))</f>
        <v>0</v>
      </c>
      <c r="AR192" s="211">
        <f t="shared" si="27"/>
        <v>0</v>
      </c>
    </row>
    <row r="193" spans="1:44" s="50" customFormat="1" ht="31.9" customHeight="1">
      <c r="A193" s="197"/>
      <c r="B193" s="969"/>
      <c r="C193" s="974"/>
      <c r="D193" s="971"/>
      <c r="E193" s="971"/>
      <c r="F193" s="238" t="str">
        <f ca="1">IF(B184="Лікар-педіатр",Законод!$H$17,IF(B184="Лікар загальної практики - сімейний лікар",Законод!$H$21,IF(B184="Лікар-терапевт",Законод!$H$25,"х")))</f>
        <v>понад ліміт (2341-2520)</v>
      </c>
      <c r="G193" s="965" t="s">
        <v>423</v>
      </c>
      <c r="H193" s="965"/>
      <c r="I193" s="965"/>
      <c r="J193" s="965"/>
      <c r="K193" s="965"/>
      <c r="L193" s="196">
        <f ca="1">IF($B$184="Лікар загальної практики - сімейний лікар",IF(L188&lt;Законод!$C$22,0,(IF(AND(L188&gt;=Законод!$H$22,L188&lt;=Законод!$H$23),L188-Законод!$G$23,IF('01_Доходи'!L188&gt;=Законод!$I$22,Законод!$H$24,0)))),IF($B$184="Лікар-педіатр",IF(L188&lt;Законод!$C$18,0,(IF(AND(L188&gt;=Законод!$H$18,L188&lt;=Законод!$H$19),L188-Законод!$G$19,IF('01_Доходи'!L188&gt;=Законод!$I$18,Законод!$H$20,0)))),IF($B$184="Лікар-терапевт",IF(L188&lt;Законод!$C$26,0,(IF(AND(L188&gt;=Законод!$H$26,L188&lt;=Законод!$H$27),L188-Законод!$G$27,IF(L188&gt;=Законод!$I$26,Законод!$H$28,0)))),0)))</f>
        <v>0</v>
      </c>
      <c r="M193" s="966"/>
      <c r="N193" s="965" t="s">
        <v>423</v>
      </c>
      <c r="O193" s="965"/>
      <c r="P193" s="965"/>
      <c r="Q193" s="965"/>
      <c r="R193" s="965"/>
      <c r="S193" s="196">
        <f ca="1">IF($B$184="Лікар загальної практики - сімейний лікар",IF(S188&lt;Законод!$C$22,0,(IF(AND(S188&gt;=Законод!$H$22,S188&lt;=Законод!$H$23),S188-Законод!$G$23,IF('01_Доходи'!S188&gt;=Законод!$I$22,Законод!$H$24,0)))),IF($B$184="Лікар-педіатр",IF(S188&lt;Законод!$C$18,0,(IF(AND(S188&gt;=Законод!$H$18,S188&lt;=Законод!$H$19),S188-Законод!$G$19,IF('01_Доходи'!S188&gt;=Законод!$I$18,Законод!$H$20,0)))),IF($B$184="Лікар-терапевт",IF(S188&lt;Законод!$C$26,0,(IF(AND(S188&gt;=Законод!$H$26,S188&lt;=Законод!$H$27),S188-Законод!$G$27,IF(S188&gt;=Законод!$I$26,Законод!$H$28,0)))),0)))</f>
        <v>0</v>
      </c>
      <c r="T193" s="966"/>
      <c r="U193" s="965" t="s">
        <v>423</v>
      </c>
      <c r="V193" s="965"/>
      <c r="W193" s="965"/>
      <c r="X193" s="965"/>
      <c r="Y193" s="965"/>
      <c r="Z193" s="196">
        <f ca="1">IF($B$184="Лікар загальної практики - сімейний лікар",IF(Z188&lt;Законод!$C$22,0,(IF(AND(Z188&gt;=Законод!$H$22,Z188&lt;=Законод!$H$23),Z188-Законод!$G$23,IF('01_Доходи'!Z188&gt;=Законод!$I$22,Законод!$H$24,0)))),IF($B$184="Лікар-педіатр",IF(Z188&lt;Законод!$C$18,0,(IF(AND(Z188&gt;=Законод!$H$18,Z188&lt;=Законод!$H$19),Z188-Законод!$G$19,IF('01_Доходи'!Z188&gt;=Законод!$I$18,Законод!$H$20,0)))),IF($B$184="Лікар-терапевт",IF(Z188&lt;Законод!$C$26,0,(IF(AND(Z188&gt;=Законод!$H$26,Z188&lt;=Законод!$H$27),Z188-Законод!$G$27,IF(Z188&gt;=Законод!$I$26,Законод!$H$28,0)))),0)))</f>
        <v>0</v>
      </c>
      <c r="AA193" s="966"/>
      <c r="AB193" s="965" t="s">
        <v>423</v>
      </c>
      <c r="AC193" s="965"/>
      <c r="AD193" s="965"/>
      <c r="AE193" s="965"/>
      <c r="AF193" s="965"/>
      <c r="AG193" s="196">
        <f ca="1">IF($B$184="Лікар загальної практики - сімейний лікар",IF(AG188&lt;Законод!$C$22,0,(IF(AND(AG188&gt;=Законод!$H$22,AG188&lt;=Законод!$H$23),AG188-Законод!$G$23,IF('01_Доходи'!AG188&gt;=Законод!$I$22,Законод!$H$24,0)))),IF($B$184="Лікар-педіатр",IF(AG188&lt;Законод!$C$18,0,(IF(AND(AG188&gt;=Законод!$H$18,AG188&lt;=Законод!$H$19),AG188-Законод!$G$19,IF('01_Доходи'!AG188&gt;=Законод!$I$18,Законод!$H$20,0)))),IF($B$184="Лікар-терапевт",IF(AG188&lt;Законод!$C$26,0,(IF(AND(AG188&gt;=Законод!$H$26,AG188&lt;=Законод!$H$27),AG188-Законод!$G$27,IF(AG188&gt;=Законод!$I$26,Законод!$H$28,0)))),0)))</f>
        <v>0</v>
      </c>
      <c r="AH193" s="966"/>
      <c r="AI193" s="201"/>
      <c r="AJ193" s="945"/>
      <c r="AK193" s="960"/>
      <c r="AL193" s="960"/>
      <c r="AM193" s="927"/>
      <c r="AN193" s="210">
        <f ca="1">IF(B184="Лікар загальної практики - сімейний лікар",L193*Законод!$C$9/4*Законод!$H$16,IF(B184="Лікар-педіатр",L193*Законод!$C$9/4*Законод!$H$16,IF(B184="Лікар-терапевт",L193*Законод!$C$9/4*Законод!$H$16,0)))</f>
        <v>0</v>
      </c>
      <c r="AO193" s="210">
        <f ca="1">IF(B184="Лікар загальної практики - сімейний лікар",S193*Законод!$C$9/4*Законод!$H$16,IF(B184="Лікар-педіатр",S193*Законод!$C$9/4*Законод!$H$16,IF(B184="Лікар-терапевт",S193*Законод!$C$9/4*Законод!$H$16,0)))</f>
        <v>0</v>
      </c>
      <c r="AP193" s="210">
        <f ca="1">IF(B184="Лікар загальної практики - сімейний лікар",Z193*Законод!$C$9/4*Законод!$H$16,IF(B184="Лікар-педіатр",Z193*Законод!$C$9/4*Законод!$H$16,IF(B184="Лікар-терапевт",Z193*Законод!$C$9/4*Законод!$H$16,0)))</f>
        <v>0</v>
      </c>
      <c r="AQ193" s="210">
        <f ca="1">IF(B184="Лікар загальної практики - сімейний лікар",AG193*Законод!$C$9/4*Законод!$H$16,IF(B184="Лікар-педіатр",AG193*Законод!$C$9/4*Законод!$H$16,IF(B184="Лікар-терапевт",AG193*Законод!$C$9/4*Законод!$H$16,0)))</f>
        <v>0</v>
      </c>
      <c r="AR193" s="211">
        <f t="shared" si="27"/>
        <v>0</v>
      </c>
    </row>
    <row r="194" spans="1:44" s="50" customFormat="1" ht="31.9" customHeight="1">
      <c r="A194" s="197"/>
      <c r="B194" s="969"/>
      <c r="C194" s="974"/>
      <c r="D194" s="971"/>
      <c r="E194" s="971"/>
      <c r="F194" s="238" t="str">
        <f ca="1">IF(B184="Лікар-педіатр",Законод!$I$17,IF(B184="Лікар загальної практики - сімейний лікар",Законод!$I$21,IF(B184="Лікар-терапевт",Законод!$I$25,"х")))</f>
        <v>понад ліміт (2521-2700)</v>
      </c>
      <c r="G194" s="965" t="s">
        <v>423</v>
      </c>
      <c r="H194" s="965"/>
      <c r="I194" s="965"/>
      <c r="J194" s="965"/>
      <c r="K194" s="965"/>
      <c r="L194" s="196">
        <f ca="1">IF($B$184="Лікар загальної практики - сімейний лікар",IF(L188&lt;Законод!$C$22,0,(IF(AND(L188&gt;=Законод!$I$22,L188&lt;=Законод!$I$23),L188-Законод!$H$23,IF('01_Доходи'!L188&gt;=Законод!$I$22,Законод!$I$24,0)))),IF($B$184="Лікар-педіатр",IF(L188&lt;Законод!$C$18,0,(IF(AND(L188&gt;=Законод!$I$18,L188&lt;=Законод!$I$19),L188-Законод!$H$19,IF('01_Доходи'!L188&gt;=Законод!$I$18,Законод!$H$20,0)))),IF($B$184="Лікар-терапевт",IF(L188&lt;Законод!$C$26,0,(IF(AND(L188&gt;=Законод!$I$26,L188&lt;=Законод!$I$27),L188-Законод!$H$27,IF('01_Доходи'!L188&gt;=Законод!$I$26,Законод!$H$28,0)))),0)))</f>
        <v>0</v>
      </c>
      <c r="M194" s="966"/>
      <c r="N194" s="965" t="s">
        <v>423</v>
      </c>
      <c r="O194" s="965"/>
      <c r="P194" s="965"/>
      <c r="Q194" s="965"/>
      <c r="R194" s="965"/>
      <c r="S194" s="196">
        <f ca="1">IF($B$184="Лікар загальної практики - сімейний лікар",IF(S188&lt;Законод!$C$22,0,(IF(AND(S188&gt;=Законод!$I$22,S188&lt;=Законод!$I$23),S188-Законод!$H$23,IF('01_Доходи'!S188&gt;=Законод!$I$22,Законод!$I$24,0)))),IF($B$184="Лікар-педіатр",IF(S188&lt;Законод!$C$18,0,(IF(AND(S188&gt;=Законод!$I$18,S188&lt;=Законод!$I$19),S188-Законод!$H$19,IF('01_Доходи'!S188&gt;=Законод!$I$18,Законод!$H$20,0)))),IF($B$184="Лікар-терапевт",IF(S188&lt;Законод!$C$26,0,(IF(AND(S188&gt;=Законод!$I$26,S188&lt;=Законод!$I$27),S188-Законод!$H$27,IF('01_Доходи'!S188&gt;=Законод!$I$26,Законод!$H$28,0)))),0)))</f>
        <v>0</v>
      </c>
      <c r="T194" s="966"/>
      <c r="U194" s="965" t="s">
        <v>423</v>
      </c>
      <c r="V194" s="965"/>
      <c r="W194" s="965"/>
      <c r="X194" s="965"/>
      <c r="Y194" s="965"/>
      <c r="Z194" s="196">
        <f ca="1">IF($B$184="Лікар загальної практики - сімейний лікар",IF(Z188&lt;Законод!$C$22,0,(IF(AND(Z188&gt;=Законод!$I$22,Z188&lt;=Законод!$I$23),Z188-Законод!$H$23,IF('01_Доходи'!Z188&gt;=Законод!$I$22,Законод!$I$24,0)))),IF($B$184="Лікар-педіатр",IF(Z188&lt;Законод!$C$18,0,(IF(AND(Z188&gt;=Законод!$I$18,Z188&lt;=Законод!$I$19),Z188-Законод!$H$19,IF('01_Доходи'!Z188&gt;=Законод!$I$18,Законод!$H$20,0)))),IF($B$184="Лікар-терапевт",IF(Z188&lt;Законод!$C$26,0,(IF(AND(Z188&gt;=Законод!$I$26,Z188&lt;=Законод!$I$27),Z188-Законод!$H$27,IF('01_Доходи'!Z188&gt;=Законод!$I$26,Законод!$H$28,0)))),0)))</f>
        <v>0</v>
      </c>
      <c r="AA194" s="966"/>
      <c r="AB194" s="965" t="s">
        <v>423</v>
      </c>
      <c r="AC194" s="965"/>
      <c r="AD194" s="965"/>
      <c r="AE194" s="965"/>
      <c r="AF194" s="965"/>
      <c r="AG194" s="196">
        <f ca="1">IF($B$184="Лікар загальної практики - сімейний лікар",IF(AG188&lt;Законод!$C$22,0,(IF(AND(AG188&gt;=Законод!$I$22,AG188&lt;=Законод!$I$23),AG188-Законод!$H$23,IF('01_Доходи'!AG188&gt;=Законод!$I$22,Законод!$I$24,0)))),IF($B$184="Лікар-педіатр",IF(AG188&lt;Законод!$C$18,0,(IF(AND(AG188&gt;=Законод!$I$18,AG188&lt;=Законод!$I$19),AG188-Законод!$H$19,IF('01_Доходи'!AG188&gt;=Законод!$I$18,Законод!$H$20,0)))),IF($B$184="Лікар-терапевт",IF(AG188&lt;Законод!$C$26,0,(IF(AND(AG188&gt;=Законод!$I$26,AG188&lt;=Законод!$I$27),AG188-Законод!$H$27,IF('01_Доходи'!AG188&gt;=Законод!$I$26,Законод!$H$28,0)))),0)))</f>
        <v>0</v>
      </c>
      <c r="AH194" s="966"/>
      <c r="AI194" s="201"/>
      <c r="AJ194" s="945"/>
      <c r="AK194" s="960"/>
      <c r="AL194" s="960"/>
      <c r="AM194" s="927"/>
      <c r="AN194" s="210">
        <f ca="1">IF(B184="Лікар загальної практики - сімейний лікар",L194*Законод!$C$9/4*Законод!$I$16,IF(B184="Лікар-педіатр",L194*Законод!$C$9/4*Законод!$I$16,IF(B184="Лікар-терапевт",L194*Законод!$C$9/4*Законод!$I$16,0)))</f>
        <v>0</v>
      </c>
      <c r="AO194" s="210">
        <f ca="1">IF(B184="Лікар загальної практики - сімейний лікар",S194*Законод!$C$9/4*Законод!$I$16,IF(B184="Лікар-педіатр",S194*Законод!$C$9/4*Законод!$I$16,IF(B184="Лікар-терапевт",S194*Законод!$C$9/4*Законод!$I$16,0)))</f>
        <v>0</v>
      </c>
      <c r="AP194" s="210">
        <f ca="1">IF(B184="Лікар загальної практики - сімейний лікар",Z194*Законод!$C$9/4*Законод!$I$16,IF(B184="Лікар-педіатр",Z194*Законод!$C$9/4*Законод!$I$16,IF(B184="Лікар-терапевт",Z194*Законод!$C$9/4*Законод!$I$16,0)))</f>
        <v>0</v>
      </c>
      <c r="AQ194" s="210">
        <f ca="1">IF(B184="Лікар загальної практики - сімейний лікар",AG194*Законод!$C$9/4*Законод!$I$16,IF(B184="Лікар-педіатр",AG194*Законод!$C$9/4*Законод!$I$16,IF(B184="Лікар-терапевт",AG194*Законод!$C$9/4*Законод!$I$16,0)))</f>
        <v>0</v>
      </c>
      <c r="AR194" s="211">
        <f t="shared" si="27"/>
        <v>0</v>
      </c>
    </row>
    <row r="195" spans="1:44" s="218" customFormat="1" ht="31.9" customHeight="1" thickBot="1">
      <c r="A195" s="213"/>
      <c r="B195" s="969"/>
      <c r="C195" s="974"/>
      <c r="D195" s="971"/>
      <c r="E195" s="971"/>
      <c r="F195" s="239" t="str">
        <f ca="1">IF(B184="Лікар-педіатр",Законод!$J$17,IF(B184="Лікар загальної практики - сімейний лікар",Законод!$J$21,IF(B184="Лікар-терапевт",Законод!$J$25,"х")))</f>
        <v>понад ліміт (&gt;=2701)</v>
      </c>
      <c r="G195" s="968" t="s">
        <v>423</v>
      </c>
      <c r="H195" s="968"/>
      <c r="I195" s="968"/>
      <c r="J195" s="968"/>
      <c r="K195" s="968"/>
      <c r="L195" s="196">
        <f ca="1">IF($B$184="Лікар загальної практики - сімейний лікар",IF(L188&gt;=Законод!$J$22,'01_Доходи'!L188-('01_Доходи'!L189+'01_Доходи'!L190+'01_Доходи'!L191+'01_Доходи'!L192+'01_Доходи'!L193+'01_Доходи'!L194),0),IF($B$184="Лікар-педіатр",IF(L188&gt;=Законод!$J$18,'01_Доходи'!L188-('01_Доходи'!L189+'01_Доходи'!L190+'01_Доходи'!L191+'01_Доходи'!L192+'01_Доходи'!L193+'01_Доходи'!L194),0),IF($B$184="Лікар-терапевт",IF('01_Доходи'!L188&gt;=Законод!$J$26,L188-Законод!$I$27,0),0)))</f>
        <v>0</v>
      </c>
      <c r="M195" s="966"/>
      <c r="N195" s="968" t="s">
        <v>423</v>
      </c>
      <c r="O195" s="968"/>
      <c r="P195" s="968"/>
      <c r="Q195" s="968"/>
      <c r="R195" s="968"/>
      <c r="S195" s="196">
        <f ca="1">IF($B$184="Лікар загальної практики - сімейний лікар",IF(S188&gt;=Законод!$J$22,'01_Доходи'!S188-('01_Доходи'!S189+'01_Доходи'!S190+'01_Доходи'!S191+'01_Доходи'!S192+'01_Доходи'!S193+'01_Доходи'!S194),0),IF($B$184="Лікар-педіатр",IF(S188&gt;=Законод!$J$18,'01_Доходи'!S188-('01_Доходи'!S189+'01_Доходи'!S190+'01_Доходи'!S191+'01_Доходи'!S192+'01_Доходи'!S193+'01_Доходи'!S194),0),IF($B$184="Лікар-терапевт",IF('01_Доходи'!S188&gt;=Законод!$J$26,S188-Законод!$I$27,0),0)))</f>
        <v>0</v>
      </c>
      <c r="T195" s="966"/>
      <c r="U195" s="968" t="s">
        <v>423</v>
      </c>
      <c r="V195" s="968"/>
      <c r="W195" s="968"/>
      <c r="X195" s="968"/>
      <c r="Y195" s="968"/>
      <c r="Z195" s="196">
        <f ca="1">IF($B$184="Лікар загальної практики - сімейний лікар",IF(Z188&gt;=Законод!$J$22,'01_Доходи'!Z188-('01_Доходи'!Z189+'01_Доходи'!Z190+'01_Доходи'!Z191+'01_Доходи'!Z192+'01_Доходи'!Z193+'01_Доходи'!Z194),0),IF($B$184="Лікар-педіатр",IF(Z188&gt;=Законод!$J$18,'01_Доходи'!Z188-('01_Доходи'!Z189+'01_Доходи'!Z190+'01_Доходи'!Z191+'01_Доходи'!Z192+'01_Доходи'!Z193+'01_Доходи'!Z194),0),IF($B$184="Лікар-терапевт",IF('01_Доходи'!Z188&gt;=Законод!$J$26,Z188-Законод!$I$27,0),0)))</f>
        <v>0</v>
      </c>
      <c r="AA195" s="966"/>
      <c r="AB195" s="968" t="s">
        <v>423</v>
      </c>
      <c r="AC195" s="968"/>
      <c r="AD195" s="968"/>
      <c r="AE195" s="968"/>
      <c r="AF195" s="968"/>
      <c r="AG195" s="196">
        <f ca="1">IF($B$184="Лікар загальної практики - сімейний лікар",IF(AG188&gt;=Законод!$J$22,'01_Доходи'!AG188-('01_Доходи'!AG189+'01_Доходи'!AG190+'01_Доходи'!AG191+'01_Доходи'!AG192+'01_Доходи'!AG193+'01_Доходи'!AG194),0),IF($B$184="Лікар-педіатр",IF(AG188&gt;=Законод!$J$18,'01_Доходи'!AG188-('01_Доходи'!AG189+'01_Доходи'!AG190+'01_Доходи'!AG191+'01_Доходи'!AG192+'01_Доходи'!AG193+'01_Доходи'!AG194),0),IF($B$184="Лікар-терапевт",IF('01_Доходи'!AG188&gt;=Законод!$J$26,AG188-Законод!$I$27,0),0)))</f>
        <v>0</v>
      </c>
      <c r="AH195" s="966"/>
      <c r="AI195" s="215"/>
      <c r="AJ195" s="946"/>
      <c r="AK195" s="961"/>
      <c r="AL195" s="961"/>
      <c r="AM195" s="928"/>
      <c r="AN195" s="216">
        <f ca="1">IF(B184="Лікар загальної практики - сімейний лікар",L195*Законод!$C$9/4*Законод!$J$16,IF(B184="Лікар-педіатр",L195*Законод!$C$9/4*Законод!$J$16,IF(B184="Лікар-терапевт",L195*Законод!$C$9/4*Законод!$J$16,0)))</f>
        <v>0</v>
      </c>
      <c r="AO195" s="216">
        <f ca="1">IF(B184="Лікар загальної практики - сімейний лікар",S195*Законод!$C$9/4*Законод!$J$16,IF(B184="Лікар-педіатр",S195*Законод!$C$9/4*Законод!$J$16,IF(B184="Лікар-терапевт",S195*Законод!$C$9/4*Законод!$J$16,0)))</f>
        <v>0</v>
      </c>
      <c r="AP195" s="216">
        <f ca="1">IF(B184="Лікар загальної практики - сімейний лікар",S195*Законод!$C$9/4*Законод!$J$16,IF(B184="Лікар-педіатр",S195*Законод!$C$9/4*Законод!$J$16,IF(B184="Лікар-терапевт",S195*Законод!$C$9/4*Законод!$J$16,0)))</f>
        <v>0</v>
      </c>
      <c r="AQ195" s="216">
        <f ca="1">IF(B184="Лікар загальної практики - сімейний лікар",AG195*Законод!$C$9/4*Законод!$J$16,IF(B184="Лікар-педіатр",AG195*Законод!$C$9/4*Законод!$J$16,IF(B184="Лікар-терапевт",AG195*Законод!$C$9/4*Законод!$J$16,0)))</f>
        <v>0</v>
      </c>
      <c r="AR195" s="217">
        <f t="shared" si="27"/>
        <v>0</v>
      </c>
    </row>
    <row r="196" spans="1:44" s="247" customFormat="1" ht="23.45" customHeight="1" thickBot="1">
      <c r="A196" s="243"/>
      <c r="B196" s="244"/>
      <c r="C196" s="244"/>
      <c r="D196" s="244"/>
      <c r="E196" s="244"/>
      <c r="F196" s="245"/>
      <c r="G196" s="246"/>
      <c r="H196" s="246"/>
      <c r="L196" s="248"/>
      <c r="S196" s="248"/>
      <c r="Z196" s="248"/>
      <c r="AG196" s="248"/>
      <c r="AM196" s="249"/>
      <c r="AR196" s="250"/>
    </row>
    <row r="197" spans="1:44" s="191" customFormat="1" ht="27.6" customHeight="1">
      <c r="A197" s="194">
        <f>A184+1</f>
        <v>13</v>
      </c>
      <c r="B197" s="969" t="s">
        <v>312</v>
      </c>
      <c r="C197" s="974" t="s">
        <v>171</v>
      </c>
      <c r="D197" s="971"/>
      <c r="E197" s="971" t="s">
        <v>172</v>
      </c>
      <c r="F197" s="234" t="s">
        <v>659</v>
      </c>
      <c r="G197" s="196">
        <f>61+46+10</f>
        <v>117</v>
      </c>
      <c r="H197" s="196">
        <f>291+137+21</f>
        <v>449</v>
      </c>
      <c r="I197" s="196">
        <f>488+128+34</f>
        <v>650</v>
      </c>
      <c r="J197" s="196">
        <f>621+204+41</f>
        <v>866</v>
      </c>
      <c r="K197" s="196">
        <f>59+339+28</f>
        <v>426</v>
      </c>
      <c r="L197" s="557">
        <f t="shared" ref="L197:L202" si="28">SUM(G197:K197)</f>
        <v>2508</v>
      </c>
      <c r="M197" s="966">
        <v>1</v>
      </c>
      <c r="N197" s="196">
        <f>61+46+10</f>
        <v>117</v>
      </c>
      <c r="O197" s="196">
        <f>291+137+21</f>
        <v>449</v>
      </c>
      <c r="P197" s="196">
        <f>488+128+34</f>
        <v>650</v>
      </c>
      <c r="Q197" s="196">
        <f>621+204+41</f>
        <v>866</v>
      </c>
      <c r="R197" s="196">
        <f>59+339+28</f>
        <v>426</v>
      </c>
      <c r="S197" s="557">
        <f t="shared" ref="S197:S202" si="29">SUM(N197:R197)</f>
        <v>2508</v>
      </c>
      <c r="T197" s="966">
        <v>1</v>
      </c>
      <c r="U197" s="196">
        <f>61+46+10</f>
        <v>117</v>
      </c>
      <c r="V197" s="196">
        <f>291+137+21</f>
        <v>449</v>
      </c>
      <c r="W197" s="196">
        <f>488+128+34</f>
        <v>650</v>
      </c>
      <c r="X197" s="196">
        <f>621+204+41</f>
        <v>866</v>
      </c>
      <c r="Y197" s="196">
        <f>59+339+28</f>
        <v>426</v>
      </c>
      <c r="Z197" s="557">
        <f t="shared" ref="Z197:Z202" si="30">SUM(U197:Y197)</f>
        <v>2508</v>
      </c>
      <c r="AA197" s="966">
        <v>1</v>
      </c>
      <c r="AB197" s="196">
        <f>61+46+10</f>
        <v>117</v>
      </c>
      <c r="AC197" s="196">
        <f>291+137+21</f>
        <v>449</v>
      </c>
      <c r="AD197" s="196">
        <f>488+128+34</f>
        <v>650</v>
      </c>
      <c r="AE197" s="196">
        <f>621+204+41</f>
        <v>866</v>
      </c>
      <c r="AF197" s="196">
        <f>59+339+28</f>
        <v>426</v>
      </c>
      <c r="AG197" s="557">
        <f t="shared" ref="AG197:AG202" si="31">SUM(AB197:AF197)</f>
        <v>2508</v>
      </c>
      <c r="AH197" s="966">
        <v>1</v>
      </c>
      <c r="AI197" s="540">
        <f>A197</f>
        <v>13</v>
      </c>
      <c r="AJ197" s="944" t="str">
        <f>B197</f>
        <v>Лікар загальної практики - сімейний лікар</v>
      </c>
      <c r="AK197" s="959" t="str">
        <f>C197</f>
        <v>Мосійчук Володимир Антонович</v>
      </c>
      <c r="AL197" s="959">
        <f>D197</f>
        <v>0</v>
      </c>
      <c r="AM197" s="929" t="s">
        <v>79</v>
      </c>
      <c r="AN197" s="947">
        <f>SUM(AN202:AN208)</f>
        <v>408047.19427069376</v>
      </c>
      <c r="AO197" s="947">
        <f>SUM(AO202:AO208)</f>
        <v>408047.19427069376</v>
      </c>
      <c r="AP197" s="947">
        <f>SUM(AP202:AP208)</f>
        <v>408047.19427069376</v>
      </c>
      <c r="AQ197" s="947">
        <f>SUM(AQ202:AQ208)</f>
        <v>408047.19427069376</v>
      </c>
      <c r="AR197" s="962">
        <f>SUM(AN197:AQ201)</f>
        <v>1632188.777082775</v>
      </c>
    </row>
    <row r="198" spans="1:44" s="50" customFormat="1" ht="28.15" customHeight="1">
      <c r="A198" s="197"/>
      <c r="B198" s="969"/>
      <c r="C198" s="974"/>
      <c r="D198" s="971"/>
      <c r="E198" s="971"/>
      <c r="F198" s="234" t="s">
        <v>660</v>
      </c>
      <c r="G198" s="196">
        <f>61+46+10</f>
        <v>117</v>
      </c>
      <c r="H198" s="196">
        <f>291+137+21</f>
        <v>449</v>
      </c>
      <c r="I198" s="196">
        <f>488+128+34</f>
        <v>650</v>
      </c>
      <c r="J198" s="196">
        <f>621+204+41</f>
        <v>866</v>
      </c>
      <c r="K198" s="196">
        <f>59+339+28</f>
        <v>426</v>
      </c>
      <c r="L198" s="557">
        <f t="shared" si="28"/>
        <v>2508</v>
      </c>
      <c r="M198" s="966"/>
      <c r="N198" s="196">
        <f>61+46+10</f>
        <v>117</v>
      </c>
      <c r="O198" s="196">
        <f>291+137+21</f>
        <v>449</v>
      </c>
      <c r="P198" s="196">
        <f>488+128+34</f>
        <v>650</v>
      </c>
      <c r="Q198" s="196">
        <f>621+204+41</f>
        <v>866</v>
      </c>
      <c r="R198" s="196">
        <f>59+339+28</f>
        <v>426</v>
      </c>
      <c r="S198" s="557">
        <f t="shared" si="29"/>
        <v>2508</v>
      </c>
      <c r="T198" s="966"/>
      <c r="U198" s="196">
        <f>61+46+10</f>
        <v>117</v>
      </c>
      <c r="V198" s="196">
        <f>291+137+21</f>
        <v>449</v>
      </c>
      <c r="W198" s="196">
        <f>488+128+34</f>
        <v>650</v>
      </c>
      <c r="X198" s="196">
        <f>621+204+41</f>
        <v>866</v>
      </c>
      <c r="Y198" s="196">
        <f>59+339+28</f>
        <v>426</v>
      </c>
      <c r="Z198" s="557">
        <f t="shared" si="30"/>
        <v>2508</v>
      </c>
      <c r="AA198" s="966"/>
      <c r="AB198" s="196">
        <f>61+46+10</f>
        <v>117</v>
      </c>
      <c r="AC198" s="196">
        <f>291+137+21</f>
        <v>449</v>
      </c>
      <c r="AD198" s="196">
        <f>488+128+34</f>
        <v>650</v>
      </c>
      <c r="AE198" s="196">
        <f>621+204+41</f>
        <v>866</v>
      </c>
      <c r="AF198" s="196">
        <f>59+339+28</f>
        <v>426</v>
      </c>
      <c r="AG198" s="557">
        <f t="shared" si="31"/>
        <v>2508</v>
      </c>
      <c r="AH198" s="966"/>
      <c r="AI198" s="198"/>
      <c r="AJ198" s="945"/>
      <c r="AK198" s="960"/>
      <c r="AL198" s="960"/>
      <c r="AM198" s="930"/>
      <c r="AN198" s="948"/>
      <c r="AO198" s="948"/>
      <c r="AP198" s="948"/>
      <c r="AQ198" s="948"/>
      <c r="AR198" s="963"/>
    </row>
    <row r="199" spans="1:44" s="90" customFormat="1" ht="31.15" customHeight="1">
      <c r="A199" s="240"/>
      <c r="B199" s="969"/>
      <c r="C199" s="974"/>
      <c r="D199" s="971"/>
      <c r="E199" s="971"/>
      <c r="F199" s="241" t="s">
        <v>661</v>
      </c>
      <c r="G199" s="196">
        <f>61+46+10</f>
        <v>117</v>
      </c>
      <c r="H199" s="196">
        <f>291+137+21</f>
        <v>449</v>
      </c>
      <c r="I199" s="196">
        <f>488+128+34</f>
        <v>650</v>
      </c>
      <c r="J199" s="196">
        <f>621+204+41</f>
        <v>866</v>
      </c>
      <c r="K199" s="196">
        <f>59+339+28</f>
        <v>426</v>
      </c>
      <c r="L199" s="200">
        <f t="shared" si="28"/>
        <v>2508</v>
      </c>
      <c r="M199" s="966"/>
      <c r="N199" s="196">
        <f>61+46+10</f>
        <v>117</v>
      </c>
      <c r="O199" s="196">
        <f>291+137+21</f>
        <v>449</v>
      </c>
      <c r="P199" s="196">
        <f>488+128+34</f>
        <v>650</v>
      </c>
      <c r="Q199" s="196">
        <f>621+204+41</f>
        <v>866</v>
      </c>
      <c r="R199" s="196">
        <f>59+339+28</f>
        <v>426</v>
      </c>
      <c r="S199" s="200">
        <f t="shared" si="29"/>
        <v>2508</v>
      </c>
      <c r="T199" s="966"/>
      <c r="U199" s="196">
        <f>61+46+10</f>
        <v>117</v>
      </c>
      <c r="V199" s="196">
        <f>291+137+21</f>
        <v>449</v>
      </c>
      <c r="W199" s="196">
        <f>488+128+34</f>
        <v>650</v>
      </c>
      <c r="X199" s="196">
        <f>621+204+41</f>
        <v>866</v>
      </c>
      <c r="Y199" s="196">
        <f>59+339+28</f>
        <v>426</v>
      </c>
      <c r="Z199" s="200">
        <f t="shared" si="30"/>
        <v>2508</v>
      </c>
      <c r="AA199" s="966"/>
      <c r="AB199" s="196">
        <f>61+46+10</f>
        <v>117</v>
      </c>
      <c r="AC199" s="196">
        <f>291+137+21</f>
        <v>449</v>
      </c>
      <c r="AD199" s="196">
        <f>488+128+34</f>
        <v>650</v>
      </c>
      <c r="AE199" s="196">
        <f>621+204+41</f>
        <v>866</v>
      </c>
      <c r="AF199" s="196">
        <f>59+339+28</f>
        <v>426</v>
      </c>
      <c r="AG199" s="200">
        <f t="shared" si="31"/>
        <v>2508</v>
      </c>
      <c r="AH199" s="966"/>
      <c r="AI199" s="242"/>
      <c r="AJ199" s="945"/>
      <c r="AK199" s="960"/>
      <c r="AL199" s="960"/>
      <c r="AM199" s="930"/>
      <c r="AN199" s="948"/>
      <c r="AO199" s="948"/>
      <c r="AP199" s="948"/>
      <c r="AQ199" s="948"/>
      <c r="AR199" s="963"/>
    </row>
    <row r="200" spans="1:44" s="50" customFormat="1" ht="31.9" customHeight="1" thickBot="1">
      <c r="A200" s="197"/>
      <c r="B200" s="969"/>
      <c r="C200" s="974"/>
      <c r="D200" s="971"/>
      <c r="E200" s="971"/>
      <c r="F200" s="236" t="s">
        <v>426</v>
      </c>
      <c r="G200" s="203">
        <f>IF($B$197="Лікар-педіатр",G199/L199,IF($B$197="Лікар-терапевт","х",IF($B$197="Лікар загальної практики - сімейний лікар",G199/L199,0)))</f>
        <v>4.6650717703349283E-2</v>
      </c>
      <c r="H200" s="203">
        <f>IF($B$197="Лікар-педіатр",H199/L199,IF($B$197="Лікар-терапевт","х",IF($B$197="Лікар загальної практики - сімейний лікар",H199/L199,0)))</f>
        <v>0.17902711323763956</v>
      </c>
      <c r="I200" s="203">
        <f>IF($B$197="Лікар-педіатр","x",IF($B$197="Лікар-терапевт",I199/L199,IF($B$197="Лікар загальної практики - сімейний лікар",I199/L199,0)))</f>
        <v>0.259170653907496</v>
      </c>
      <c r="J200" s="203">
        <f>IF($B$197="Лікар-педіатр","x",IF($B$197="Лікар-терапевт",J199/L199,IF($B$197="Лікар загальної практики - сімейний лікар",J199/L199,0)))</f>
        <v>0.3452950558213716</v>
      </c>
      <c r="K200" s="203">
        <f>IF($B$197="Лікар-педіатр","x",IF($B$197="Лікар-терапевт",K199/L199,IF($B$197="Лікар загальної практики - сімейний лікар",K199/L199,0)))</f>
        <v>0.16985645933014354</v>
      </c>
      <c r="L200" s="203">
        <f t="shared" si="28"/>
        <v>1</v>
      </c>
      <c r="M200" s="966"/>
      <c r="N200" s="203">
        <f>IF($B$197="Лікар-педіатр",N199/S199,IF($B$197="Лікар-терапевт","х",IF($B$197="Лікар загальної практики - сімейний лікар",N199/S199,0)))</f>
        <v>4.6650717703349283E-2</v>
      </c>
      <c r="O200" s="203">
        <f>IF($B$197="Лікар-педіатр",O199/S199,IF($B$197="Лікар-терапевт","х",IF($B$197="Лікар загальної практики - сімейний лікар",O199/S199,0)))</f>
        <v>0.17902711323763956</v>
      </c>
      <c r="P200" s="203">
        <f>IF($B$197="Лікар-педіатр","x",IF($B$197="Лікар-терапевт",P199/S199,IF($B$197="Лікар загальної практики - сімейний лікар",P199/S199,0)))</f>
        <v>0.259170653907496</v>
      </c>
      <c r="Q200" s="203">
        <f>IF($B$197="Лікар-педіатр","x",IF($B$197="Лікар-терапевт",Q199/S199,IF($B$197="Лікар загальної практики - сімейний лікар",Q199/S199,0)))</f>
        <v>0.3452950558213716</v>
      </c>
      <c r="R200" s="203">
        <f>IF($B$197="Лікар-педіатр","x",IF($B$197="Лікар-терапевт",R199/S199,IF($B$197="Лікар загальної практики - сімейний лікар",R199/S199,0)))</f>
        <v>0.16985645933014354</v>
      </c>
      <c r="S200" s="203">
        <f t="shared" si="29"/>
        <v>1</v>
      </c>
      <c r="T200" s="966"/>
      <c r="U200" s="203">
        <f>IF($B$197="Лікар-педіатр",U199/Z199,IF($B$197="Лікар-терапевт","х",IF($B$197="Лікар загальної практики - сімейний лікар",U199/Z199,0)))</f>
        <v>4.6650717703349283E-2</v>
      </c>
      <c r="V200" s="203">
        <f>IF($B$197="Лікар-педіатр",V199/Z199,IF($B$197="Лікар-терапевт","х",IF($B$197="Лікар загальної практики - сімейний лікар",V199/Z199,0)))</f>
        <v>0.17902711323763956</v>
      </c>
      <c r="W200" s="203">
        <f>IF($B$197="Лікар-педіатр","x",IF($B$197="Лікар-терапевт",W199/Z199,IF($B$197="Лікар загальної практики - сімейний лікар",W199/Z199,0)))</f>
        <v>0.259170653907496</v>
      </c>
      <c r="X200" s="203">
        <f>IF($B$197="Лікар-педіатр","x",IF($B$197="Лікар-терапевт",X199/Z199,IF($B$197="Лікар загальної практики - сімейний лікар",X199/Z199,0)))</f>
        <v>0.3452950558213716</v>
      </c>
      <c r="Y200" s="203">
        <f>IF($B$197="Лікар-педіатр","x",IF($B$197="Лікар-терапевт",Y199/Z199,IF($B$197="Лікар загальної практики - сімейний лікар",Y199/Z199,0)))</f>
        <v>0.16985645933014354</v>
      </c>
      <c r="Z200" s="203">
        <f t="shared" si="30"/>
        <v>1</v>
      </c>
      <c r="AA200" s="966"/>
      <c r="AB200" s="203">
        <f>IF($B$197="Лікар-педіатр",AB199/AG199,IF($B$197="Лікар-терапевт","х",IF($B$197="Лікар загальної практики - сімейний лікар",AB199/AG199,0)))</f>
        <v>4.6650717703349283E-2</v>
      </c>
      <c r="AC200" s="203">
        <f>IF($B$197="Лікар-педіатр",AC199/AG199,IF($B$197="Лікар-терапевт","х",IF($B$197="Лікар загальної практики - сімейний лікар",AC199/AG199,0)))</f>
        <v>0.17902711323763956</v>
      </c>
      <c r="AD200" s="203">
        <f>IF($B$197="Лікар-педіатр","x",IF($B$197="Лікар-терапевт",AD199/AG199,IF($B$197="Лікар загальної практики - сімейний лікар",AD199/AG199,0)))</f>
        <v>0.259170653907496</v>
      </c>
      <c r="AE200" s="203">
        <f>IF($B$197="Лікар-педіатр","x",IF($B$197="Лікар-терапевт",AE199/AG199,IF($B$197="Лікар загальної практики - сімейний лікар",AE199/AG199,0)))</f>
        <v>0.3452950558213716</v>
      </c>
      <c r="AF200" s="203">
        <f>IF($B$197="Лікар-педіатр","x",IF($B$197="Лікар-терапевт",AF199/AG199,IF($B$197="Лікар загальної практики - сімейний лікар",AF199/AG199,0)))</f>
        <v>0.16985645933014354</v>
      </c>
      <c r="AG200" s="203">
        <f t="shared" si="31"/>
        <v>1</v>
      </c>
      <c r="AH200" s="966"/>
      <c r="AI200" s="201"/>
      <c r="AJ200" s="945"/>
      <c r="AK200" s="960"/>
      <c r="AL200" s="960"/>
      <c r="AM200" s="930"/>
      <c r="AN200" s="948"/>
      <c r="AO200" s="948"/>
      <c r="AP200" s="948"/>
      <c r="AQ200" s="948"/>
      <c r="AR200" s="963"/>
    </row>
    <row r="201" spans="1:44" s="50" customFormat="1" ht="45" customHeight="1" thickBot="1">
      <c r="A201" s="197"/>
      <c r="B201" s="969"/>
      <c r="C201" s="974"/>
      <c r="D201" s="971"/>
      <c r="E201" s="972"/>
      <c r="F201" s="204" t="s">
        <v>662</v>
      </c>
      <c r="G201" s="205">
        <f>IF($B$197="Лікар загальної практики - сімейний лікар",AVERAGE(G197:G199),IF($B$197="Лікар-педіатр",AVERAGE(G197:G199),IF($B$197="Лікар-терапевт","х",0)))</f>
        <v>117</v>
      </c>
      <c r="H201" s="205">
        <f>IF($B$197="Лікар загальної практики - сімейний лікар",AVERAGE(H197:H199),IF($B$197="Лікар-педіатр",AVERAGE(H197:H199),IF($B$197="Лікар-терапевт","х",0)))</f>
        <v>449</v>
      </c>
      <c r="I201" s="205">
        <f>IF($B$197="Лікар загальної практики - сімейний лікар",AVERAGE(I197:I199),IF($B$197="Лікар-педіатр","x",IF($B$197="Лікар-терапевт",AVERAGE(I197:I199),0)))</f>
        <v>650</v>
      </c>
      <c r="J201" s="205">
        <f>IF($B$197="Лікар загальної практики - сімейний лікар",AVERAGE(J197:J199),IF($B$197="Лікар-педіатр","x",IF($B$197="Лікар-терапевт",AVERAGE(J197:J199),0)))</f>
        <v>866</v>
      </c>
      <c r="K201" s="205">
        <f>IF($B$197="Лікар загальної практики - сімейний лікар",AVERAGE(K197:K199),IF($B$197="Лікар-педіатр","x",IF($B$197="Лікар-терапевт",AVERAGE(K197:K199),0)))</f>
        <v>426</v>
      </c>
      <c r="L201" s="206">
        <f t="shared" si="28"/>
        <v>2508</v>
      </c>
      <c r="M201" s="973"/>
      <c r="N201" s="205">
        <f>IF($B$197="Лікар загальної практики - сімейний лікар",AVERAGE(N197:N199),IF($B$197="Лікар-педіатр",AVERAGE(N197:N199),IF($B$197="Лікар-терапевт","х",0)))</f>
        <v>117</v>
      </c>
      <c r="O201" s="205">
        <f>IF($B$197="Лікар загальної практики - сімейний лікар",AVERAGE(O197:O199),IF($B$197="Лікар-педіатр",AVERAGE(O197:O199),IF($B$197="Лікар-терапевт","х",0)))</f>
        <v>449</v>
      </c>
      <c r="P201" s="205">
        <f>IF($B$197="Лікар загальної практики - сімейний лікар",AVERAGE(P197:P199),IF($B$197="Лікар-педіатр","x",IF($B$197="Лікар-терапевт",AVERAGE(P197:P199),0)))</f>
        <v>650</v>
      </c>
      <c r="Q201" s="205">
        <f>IF($B$197="Лікар загальної практики - сімейний лікар",AVERAGE(Q197:Q199),IF($B$197="Лікар-педіатр","x",IF($B$197="Лікар-терапевт",AVERAGE(Q197:Q199),0)))</f>
        <v>866</v>
      </c>
      <c r="R201" s="205">
        <f>IF($B$197="Лікар загальної практики - сімейний лікар",AVERAGE(R197:R199),IF($B$197="Лікар-педіатр","x",IF($B$197="Лікар-терапевт",AVERAGE(R197:R199),0)))</f>
        <v>426</v>
      </c>
      <c r="S201" s="206">
        <f t="shared" si="29"/>
        <v>2508</v>
      </c>
      <c r="T201" s="973"/>
      <c r="U201" s="205">
        <f>IF($B$197="Лікар загальної практики - сімейний лікар",AVERAGE(U197:U199),IF($B$197="Лікар-педіатр",AVERAGE(U197:U199),IF($B$197="Лікар-терапевт","х",0)))</f>
        <v>117</v>
      </c>
      <c r="V201" s="205">
        <f>IF($B$197="Лікар загальної практики - сімейний лікар",AVERAGE(V197:V199),IF($B$197="Лікар-педіатр",AVERAGE(V197:V199),IF($B$197="Лікар-терапевт","х",0)))</f>
        <v>449</v>
      </c>
      <c r="W201" s="205">
        <f>IF($B$197="Лікар загальної практики - сімейний лікар",AVERAGE(W197:W199),IF($B$197="Лікар-педіатр","x",IF($B$197="Лікар-терапевт",AVERAGE(W197:W199),0)))</f>
        <v>650</v>
      </c>
      <c r="X201" s="205">
        <f>IF($B$197="Лікар загальної практики - сімейний лікар",AVERAGE(X197:X199),IF($B$197="Лікар-педіатр","x",IF($B$197="Лікар-терапевт",AVERAGE(X197:X199),0)))</f>
        <v>866</v>
      </c>
      <c r="Y201" s="205">
        <f>IF($B$197="Лікар загальної практики - сімейний лікар",AVERAGE(Y197:Y199),IF($B$197="Лікар-педіатр","x",IF($B$197="Лікар-терапевт",AVERAGE(Y197:Y199),0)))</f>
        <v>426</v>
      </c>
      <c r="Z201" s="206">
        <f t="shared" si="30"/>
        <v>2508</v>
      </c>
      <c r="AA201" s="973"/>
      <c r="AB201" s="205">
        <f>IF($B$197="Лікар загальної практики - сімейний лікар",AVERAGE(AB197:AB199),IF($B$197="Лікар-педіатр",AVERAGE(AB197:AB199),IF($B$197="Лікар-терапевт","х",0)))</f>
        <v>117</v>
      </c>
      <c r="AC201" s="205">
        <f>IF($B$197="Лікар загальної практики - сімейний лікар",AVERAGE(AC197:AC199),IF($B$197="Лікар-педіатр",AVERAGE(AC197:AC199),IF($B$197="Лікар-терапевт","х",0)))</f>
        <v>449</v>
      </c>
      <c r="AD201" s="205">
        <f>IF($B$197="Лікар загальної практики - сімейний лікар",AVERAGE(AD197:AD199),IF($B$197="Лікар-педіатр","x",IF($B$197="Лікар-терапевт",AVERAGE(AD197:AD199),0)))</f>
        <v>650</v>
      </c>
      <c r="AE201" s="205">
        <f>IF($B$197="Лікар загальної практики - сімейний лікар",AVERAGE(AE197:AE199),IF($B$197="Лікар-педіатр","x",IF($B$197="Лікар-терапевт",AVERAGE(AE197:AE199),0)))</f>
        <v>866</v>
      </c>
      <c r="AF201" s="205">
        <f>IF($B$197="Лікар загальної практики - сімейний лікар",AVERAGE(AF197:AF199),IF($B$197="Лікар-педіатр","x",IF($B$197="Лікар-терапевт",AVERAGE(AF197:AF199),0)))</f>
        <v>426</v>
      </c>
      <c r="AG201" s="206">
        <f t="shared" si="31"/>
        <v>2508</v>
      </c>
      <c r="AH201" s="967"/>
      <c r="AI201" s="201"/>
      <c r="AJ201" s="945"/>
      <c r="AK201" s="960"/>
      <c r="AL201" s="960"/>
      <c r="AM201" s="931"/>
      <c r="AN201" s="949"/>
      <c r="AO201" s="949"/>
      <c r="AP201" s="949"/>
      <c r="AQ201" s="949"/>
      <c r="AR201" s="964"/>
    </row>
    <row r="202" spans="1:44" s="50" customFormat="1" ht="40.5">
      <c r="A202" s="197"/>
      <c r="B202" s="969"/>
      <c r="C202" s="974"/>
      <c r="D202" s="971"/>
      <c r="E202" s="971"/>
      <c r="F202" s="237" t="str">
        <f ca="1">IF(B197="Лікар-педіатр",Законод!$C$17,IF(B197="Лікар загальної практики - сімейний лікар",Законод!$C$21,IF(B197="Лікар-терапевт",Законод!$C$25,"х")))</f>
        <v>ліміт (до 1800)</v>
      </c>
      <c r="G202" s="208">
        <f ca="1">IF($B$197="Лікар загальної практики - сімейний лікар",IF(L201&lt;=Законод!$C$22,G201,Законод!$C$22*'01_Доходи'!G200),IF($B$197="Лікар-педіатр",IF(L201&lt;=Законод!$C$18,G201,Законод!$C$18*'01_Доходи'!G200),IF($B$197="Лікар-терапевт","x",0)))</f>
        <v>83.971291866028707</v>
      </c>
      <c r="H202" s="208">
        <f ca="1">IF($B$197="Лікар загальної практики - сімейний лікар",IF(L201&lt;=Законод!$C$22,H201,Законод!$C$22*'01_Доходи'!H200),IF($B$197="Лікар-педіатр",IF(L201&lt;=Законод!$C$18,H201,Законод!$C$18*'01_Доходи'!H200),IF($B$197="Лікар-терапевт","x",0)))</f>
        <v>322.2488038277512</v>
      </c>
      <c r="I202" s="208">
        <f ca="1">IF($B$197="Лікар загальної практики - сімейний лікар",IF(L201&lt;=Законод!$C$22,I201,Законод!$C$22*'01_Доходи'!I200),IF($B$197="Лікар-педіатр","x",IF($B$197="Лікар-терапевт",IF(L201&lt;=Законод!$C$26,I201,Законод!$C$26*'01_Доходи'!I200),0)))</f>
        <v>466.50717703349278</v>
      </c>
      <c r="J202" s="208">
        <f ca="1">IF($B$197="Лікар загальної практики - сімейний лікар",IF(L201&lt;=Законод!$C$22,J201,Законод!$C$22*'01_Доходи'!J200),IF($B$197="Лікар-педіатр","x",IF($B$197="Лікар-терапевт",IF(L201&lt;=Законод!$C$26,J201,Законод!$C$26*'01_Доходи'!J200),0)))</f>
        <v>621.53110047846883</v>
      </c>
      <c r="K202" s="208">
        <f ca="1">IF($B$197="Лікар загальної практики - сімейний лікар",IF(L201&lt;=Законод!$C$22,K201,Законод!$C$22*'01_Доходи'!K200),IF($B$197="Лікар-педіатр","x",IF($B$197="Лікар-терапевт",IF(L201&lt;=Законод!$C$26,K201,Законод!$C$26*'01_Доходи'!K200),0)))</f>
        <v>305.74162679425837</v>
      </c>
      <c r="L202" s="209">
        <f t="shared" si="28"/>
        <v>1799.9999999999998</v>
      </c>
      <c r="M202" s="966"/>
      <c r="N202" s="208">
        <f ca="1">IF($B$197="Лікар загальної практики - сімейний лікар",IF(S201&lt;=Законод!$C$22,N201,Законод!$C$22*'01_Доходи'!N200),IF($B$197="Лікар-педіатр",IF(S201&lt;=Законод!$C$18,N201,Законод!$C$18*'01_Доходи'!N200),IF($B$197="Лікар-терапевт","x",0)))</f>
        <v>83.971291866028707</v>
      </c>
      <c r="O202" s="208">
        <f ca="1">IF($B$197="Лікар загальної практики - сімейний лікар",IF(S201&lt;=Законод!$C$22,O201,Законод!$C$22*'01_Доходи'!O200),IF($B$197="Лікар-педіатр",IF(S201&lt;=Законод!$C$18,O201,Законод!$C$18*'01_Доходи'!O200),IF($B$197="Лікар-терапевт","x",0)))</f>
        <v>322.2488038277512</v>
      </c>
      <c r="P202" s="208">
        <f ca="1">IF($B$197="Лікар загальної практики - сімейний лікар",IF(S201&lt;=Законод!$C$22,P201,Законод!$C$22*'01_Доходи'!P200),IF($B$197="Лікар-педіатр","x",IF($B$197="Лікар-терапевт",IF(S201&lt;=Законод!$C$26,P201,Законод!$C$26*'01_Доходи'!P200),0)))</f>
        <v>466.50717703349278</v>
      </c>
      <c r="Q202" s="208">
        <f ca="1">IF($B$197="Лікар загальної практики - сімейний лікар",IF(S201&lt;=Законод!$C$22,Q201,Законод!$C$22*'01_Доходи'!Q200),IF($B$197="Лікар-педіатр","x",IF($B$197="Лікар-терапевт",IF(S201&lt;=Законод!$C$26,Q201,Законод!$C$26*'01_Доходи'!Q200),0)))</f>
        <v>621.53110047846883</v>
      </c>
      <c r="R202" s="208">
        <f ca="1">IF($B$197="Лікар загальної практики - сімейний лікар",IF(S201&lt;=Законод!$C$22,R201,Законод!$C$22*'01_Доходи'!R200),IF($B$197="Лікар-педіатр","x",IF($B$197="Лікар-терапевт",IF(S201&lt;=Законод!$C$26,R201,Законод!$C$26*'01_Доходи'!R200),0)))</f>
        <v>305.74162679425837</v>
      </c>
      <c r="S202" s="209">
        <f t="shared" si="29"/>
        <v>1799.9999999999998</v>
      </c>
      <c r="T202" s="966"/>
      <c r="U202" s="208">
        <f ca="1">IF($B$197="Лікар загальної практики - сімейний лікар",IF(Z201&lt;=Законод!$C$22,U201,Законод!$C$22*'01_Доходи'!U200),IF($B$197="Лікар-педіатр",IF(Z201&lt;=Законод!$C$18,U201,Законод!$C$18*'01_Доходи'!U200),IF($B$197="Лікар-терапевт","x",0)))</f>
        <v>83.971291866028707</v>
      </c>
      <c r="V202" s="208">
        <f ca="1">IF($B$197="Лікар загальної практики - сімейний лікар",IF(Z201&lt;=Законод!$C$22,V201,Законод!$C$22*'01_Доходи'!V200),IF($B$197="Лікар-педіатр",IF(Z201&lt;=Законод!$C$18,V201,Законод!$C$18*'01_Доходи'!V200),IF($B$197="Лікар-терапевт","x",0)))</f>
        <v>322.2488038277512</v>
      </c>
      <c r="W202" s="208">
        <f ca="1">IF($B$197="Лікар загальної практики - сімейний лікар",IF(Z201&lt;=Законод!$C$22,W201,Законод!$C$22*'01_Доходи'!W200),IF($B$197="Лікар-педіатр","x",IF($B$197="Лікар-терапевт",IF(Z201&lt;=Законод!$C$26,W201,Законод!$C$26*'01_Доходи'!W200),0)))</f>
        <v>466.50717703349278</v>
      </c>
      <c r="X202" s="208">
        <f ca="1">IF($B$197="Лікар загальної практики - сімейний лікар",IF(Z201&lt;=Законод!$C$22,X201,Законод!$C$22*'01_Доходи'!X200),IF($B$197="Лікар-педіатр","x",IF($B$197="Лікар-терапевт",IF(Z201&lt;=Законод!$C$26,X201,Законод!$C$26*'01_Доходи'!X200),0)))</f>
        <v>621.53110047846883</v>
      </c>
      <c r="Y202" s="208">
        <f ca="1">IF($B$197="Лікар загальної практики - сімейний лікар",IF(Z201&lt;=Законод!$C$22,Y201,Законод!$C$22*'01_Доходи'!Y200),IF($B$197="Лікар-педіатр","x",IF($B$197="Лікар-терапевт",IF(Z201&lt;=Законод!$C$26,Y201,Законод!$C$26*'01_Доходи'!Y200),0)))</f>
        <v>305.74162679425837</v>
      </c>
      <c r="Z202" s="209">
        <f t="shared" si="30"/>
        <v>1799.9999999999998</v>
      </c>
      <c r="AA202" s="966"/>
      <c r="AB202" s="208">
        <f ca="1">IF($B$197="Лікар загальної практики - сімейний лікар",IF(AG201&lt;=Законод!$C$22,AB201,Законод!$C$22*'01_Доходи'!AB200),IF($B$197="Лікар-педіатр",IF(AG201&lt;=Законод!$C$18,AB201,Законод!$C$18*'01_Доходи'!AB200),IF($B$197="Лікар-терапевт","x",0)))</f>
        <v>83.971291866028707</v>
      </c>
      <c r="AC202" s="208">
        <f ca="1">IF($B$197="Лікар загальної практики - сімейний лікар",IF(AG201&lt;=Законод!$C$22,AC201,Законод!$C$22*'01_Доходи'!AC200),IF($B$197="Лікар-педіатр",IF(AG201&lt;=Законод!$C$18,AC201,Законод!$C$18*'01_Доходи'!AC200),IF($B$197="Лікар-терапевт","x",0)))</f>
        <v>322.2488038277512</v>
      </c>
      <c r="AD202" s="208">
        <f ca="1">IF($B$197="Лікар загальної практики - сімейний лікар",IF(AG201&lt;=Законод!$C$22,AD201,Законод!$C$22*'01_Доходи'!AD200),IF($B$197="Лікар-педіатр","x",IF($B$197="Лікар-терапевт",IF(AG201&lt;=Законод!$C$26,AD201,Законод!$C$26*'01_Доходи'!AD200),0)))</f>
        <v>466.50717703349278</v>
      </c>
      <c r="AE202" s="208">
        <f ca="1">IF($B$197="Лікар загальної практики - сімейний лікар",IF(AG201&lt;=Законод!$C$22,AE201,Законод!$C$22*'01_Доходи'!AE200),IF($B$197="Лікар-педіатр","x",IF($B$197="Лікар-терапевт",IF(AG201&lt;=Законод!$C$26,AE201,Законод!$C$26*'01_Доходи'!AE200),0)))</f>
        <v>621.53110047846883</v>
      </c>
      <c r="AF202" s="208">
        <f ca="1">IF($B$197="Лікар загальної практики - сімейний лікар",IF(AG201&lt;=Законод!$C$22,AF201,Законод!$C$22*'01_Доходи'!AF200),IF($B$197="Лікар-педіатр","x",IF($B$197="Лікар-терапевт",IF(AG201&lt;=Законод!$C$26,AF201,Законод!$C$26*'01_Доходи'!AF200),0)))</f>
        <v>305.74162679425837</v>
      </c>
      <c r="AG202" s="209">
        <f t="shared" si="31"/>
        <v>1799.9999999999998</v>
      </c>
      <c r="AH202" s="966"/>
      <c r="AI202" s="201"/>
      <c r="AJ202" s="945"/>
      <c r="AK202" s="960"/>
      <c r="AL202" s="960"/>
      <c r="AM202" s="348" t="s">
        <v>451</v>
      </c>
      <c r="AN202" s="210">
        <f ca="1">IF(B197="Лікар загальної практики - сімейний лікар",G202*Законод!$C$11+'01_Доходи'!H202*Законод!$D$11+'01_Доходи'!I202*Законод!$E$11+'01_Доходи'!J202*Законод!$F$11+'01_Доходи'!K202*Законод!$G$11,IF(B197="Лікар-педіатр",G202*Законод!$C$11+'01_Доходи'!H202*Законод!$D$11,IF(B197="Лікар-терапевт",'01_Доходи'!I202*Законод!$E$11+'01_Доходи'!J202*Законод!$F$11+'01_Доходи'!K202*Законод!$G$11,0)))</f>
        <v>347564.03572069376</v>
      </c>
      <c r="AO202" s="210">
        <f ca="1">IF(B197="Лікар загальної практики - сімейний лікар",N202*Законод!$C$11+'01_Доходи'!O202*Законод!$D$11+'01_Доходи'!P202*Законод!$E$11+'01_Доходи'!Q202*Законод!$F$11+'01_Доходи'!R202*Законод!$G$11,IF(B197="Лікар-педіатр",N202*Законод!$C$11+'01_Доходи'!O202*Законод!$D$11,IF(B197="Лікар-терапевт",'01_Доходи'!P202*Законод!$E$11+'01_Доходи'!Q202*Законод!$F$11+'01_Доходи'!R202*Законод!$G$11,0)))</f>
        <v>347564.03572069376</v>
      </c>
      <c r="AP202" s="210">
        <f ca="1">IF(B197="Лікар загальної практики - сімейний лікар",U202*Законод!$C$11+'01_Доходи'!V202*Законод!$D$11+'01_Доходи'!W202*Законод!$E$11+'01_Доходи'!X202*Законод!$F$11+'01_Доходи'!Y202*Законод!$G$11,IF(B197="Лікар-педіатр",U202*Законод!$C$11+'01_Доходи'!V202*Законод!$D$11,IF(B197="Лікар-терапевт",'01_Доходи'!W202*Законод!$E$11+'01_Доходи'!X202*Законод!$F$11+'01_Доходи'!Y202*Законод!$G$11,0)))</f>
        <v>347564.03572069376</v>
      </c>
      <c r="AQ202" s="210">
        <f ca="1">IF(B197="Лікар загальної практики - сімейний лікар",AB202*Законод!$C$11+'01_Доходи'!AC202*Законод!$D$11+'01_Доходи'!AD202*Законод!$E$11+'01_Доходи'!AE202*Законод!$F$11+'01_Доходи'!AF202*Законод!$G$11,IF(B197="Лікар-педіатр",AB202*Законод!$C$11+'01_Доходи'!AC202*Законод!$D$11,IF(B197="Лікар-терапевт",'01_Доходи'!AD202*Законод!$E$11+'01_Доходи'!AE202*Законод!$F$11+'01_Доходи'!AF202*Законод!$G$11,0)))</f>
        <v>347564.03572069376</v>
      </c>
      <c r="AR202" s="211">
        <f t="shared" ref="AR202:AR208" si="32">SUM(AN202:AQ202)</f>
        <v>1390256.142882775</v>
      </c>
    </row>
    <row r="203" spans="1:44" s="50" customFormat="1" ht="31.9" customHeight="1">
      <c r="A203" s="197"/>
      <c r="B203" s="969"/>
      <c r="C203" s="974"/>
      <c r="D203" s="971"/>
      <c r="E203" s="971"/>
      <c r="F203" s="238" t="str">
        <f ca="1">IF(B197="Лікар-педіатр",Законод!$E$17,IF(B197="Лікар загальної практики - сімейний лікар",Законод!$E$21,IF(B197="Лікар-терапевт",Законод!$E$25,"х")))</f>
        <v>понад ліміт (1801-1980)</v>
      </c>
      <c r="G203" s="965" t="s">
        <v>423</v>
      </c>
      <c r="H203" s="965"/>
      <c r="I203" s="965"/>
      <c r="J203" s="965"/>
      <c r="K203" s="965"/>
      <c r="L203" s="196">
        <f ca="1">IF($B$197="Лікар загальної практики - сімейний лікар",IF(L201&lt;Законод!$C$22,0,(IF(AND(L201&gt;=Законод!$E$22,L201&lt;=Законод!$E$23),L201-Законод!$C$22,IF('01_Доходи'!L201&gt;=Законод!$F$22,Законод!$E$24,0)))),IF($B$197="Лікар-педіатр",IF(L201&lt;Законод!$C$18,0,(IF(AND(L201&gt;=Законод!$E$18,L201&lt;=Законод!$E$19),L201-Законод!$C$18,IF('01_Доходи'!L201&gt;=Законод!$F$18,Законод!$E$20,0)))),IF($B$197="Лікар-терапевт",IF(L201&lt;Законод!$C$26,0,(IF(AND(L201&gt;=Законод!$E$26,L201&lt;=Законод!$E$27),L201-Законод!$C$26,IF('01_Доходи'!L201&gt;=Законод!$F$26,Законод!$E$28,0)))),0)))</f>
        <v>180.00000000000023</v>
      </c>
      <c r="M203" s="966"/>
      <c r="N203" s="965" t="s">
        <v>423</v>
      </c>
      <c r="O203" s="965"/>
      <c r="P203" s="965"/>
      <c r="Q203" s="965"/>
      <c r="R203" s="965"/>
      <c r="S203" s="196">
        <f ca="1">IF($B$197="Лікар загальної практики - сімейний лікар",IF(S201&lt;Законод!$C$22,0,(IF(AND(S201&gt;=Законод!$E$22,S201&lt;=Законод!$E$23),S201-Законод!$C$22,IF('01_Доходи'!S201&gt;=Законод!$F$22,Законод!$E$24,0)))),IF($B$197="Лікар-педіатр",IF(S201&lt;Законод!$C$18,0,(IF(AND(S201&gt;=Законод!$E$18,S201&lt;=Законод!$E$19),S201-Законод!$C$18,IF('01_Доходи'!S201&gt;=Законод!$F$18,Законод!$E$20,0)))),IF($B$197="Лікар-терапевт",IF(S201&lt;Законод!$C$26,0,(IF(AND(S201&gt;=Законод!$E$26,S201&lt;=Законод!$E$27),S201-Законод!$C$26,IF('01_Доходи'!S201&gt;=Законод!$F$26,Законод!$E$28,0)))),0)))</f>
        <v>180.00000000000023</v>
      </c>
      <c r="T203" s="966"/>
      <c r="U203" s="965" t="s">
        <v>423</v>
      </c>
      <c r="V203" s="965"/>
      <c r="W203" s="965"/>
      <c r="X203" s="965"/>
      <c r="Y203" s="965"/>
      <c r="Z203" s="196">
        <f ca="1">IF($B$197="Лікар загальної практики - сімейний лікар",IF(Z201&lt;Законод!$C$22,0,(IF(AND(Z201&gt;=Законод!$E$22,Z201&lt;=Законод!$E$23),Z201-Законод!$C$22,IF('01_Доходи'!Z201&gt;=Законод!$F$22,Законод!$E$24,0)))),IF($B$197="Лікар-педіатр",IF(Z201&lt;Законод!$C$18,0,(IF(AND(Z201&gt;=Законод!$E$18,Z201&lt;=Законод!$E$19),Z201-Законод!$C$18,IF('01_Доходи'!Z201&gt;=Законод!$F$18,Законод!$E$20,0)))),IF($B$197="Лікар-терапевт",IF(Z201&lt;Законод!$C$26,0,(IF(AND(Z201&gt;=Законод!$E$26,Z201&lt;=Законод!$E$27),Z201-Законод!$C$26,IF('01_Доходи'!Z201&gt;=Законод!$F$26,Законод!$E$28,0)))),0)))</f>
        <v>180.00000000000023</v>
      </c>
      <c r="AA203" s="966"/>
      <c r="AB203" s="965" t="s">
        <v>423</v>
      </c>
      <c r="AC203" s="965"/>
      <c r="AD203" s="965"/>
      <c r="AE203" s="965"/>
      <c r="AF203" s="965"/>
      <c r="AG203" s="196">
        <f ca="1">IF($B$197="Лікар загальної практики - сімейний лікар",IF(AG201&lt;Законод!$C$22,0,(IF(AND(AG201&gt;=Законод!$E$22,AG201&lt;=Законод!$E$23),AG201-Законод!$C$22,IF('01_Доходи'!AG201&gt;=Законод!$F$22,Законод!$E$24,0)))),IF($B$197="Лікар-педіатр",IF(AG201&lt;Законод!$C$18,0,(IF(AND(AG201&gt;=Законод!$E$18,AG201&lt;=Законод!$E$19),AG201-Законод!$C$18,IF('01_Доходи'!AG201&gt;=Законод!$F$18,Законод!$E$20,0)))),IF($B$197="Лікар-терапевт",IF(AG201&lt;Законод!$C$26,0,(IF(AND(AG201&gt;=Законод!$E$26,AG201&lt;=Законод!$E$27),AG201-Законод!$C$26,IF('01_Доходи'!AG201&gt;=Законод!$F$26,Законод!$E$28,0)))),0)))</f>
        <v>180.00000000000023</v>
      </c>
      <c r="AH203" s="966"/>
      <c r="AI203" s="201"/>
      <c r="AJ203" s="945"/>
      <c r="AK203" s="960"/>
      <c r="AL203" s="960"/>
      <c r="AM203" s="926" t="s">
        <v>452</v>
      </c>
      <c r="AN203" s="210">
        <f ca="1">IF(B197="Лікар загальної практики - сімейний лікар",L203*Законод!$C$9/4*Законод!$E$16,IF(B197="Лікар-педіатр",L203*Законод!$C$9/4*Законод!$E$16,IF(B197="Лікар-терапевт",L203*Законод!$C$9/4*Законод!$E$16,0)))</f>
        <v>21805.938000000027</v>
      </c>
      <c r="AO203" s="210">
        <f ca="1">IF(B197="Лікар загальної практики - сімейний лікар",S203*Законод!$C$9/4*Законод!$E$16,IF(B197="Лікар-педіатр",S203*Законод!$C$9/4*Законод!$E$16,IF(B197="Лікар-терапевт",S203*Законод!$C$9/4*Законод!$E$16,0)))</f>
        <v>21805.938000000027</v>
      </c>
      <c r="AP203" s="210">
        <f ca="1">IF(B197="Лікар загальної практики - сімейний лікар",Z203*Законод!$C$9/4*Законод!$E$16,IF(B197="Лікар-педіатр",Z203*Законод!$C$9/4*Законод!$E$16,IF(B197="Лікар-терапевт",Z203*Законод!$C$9/4*Законод!$E$16,0)))</f>
        <v>21805.938000000027</v>
      </c>
      <c r="AQ203" s="210">
        <f ca="1">IF(B197="Лікар загальної практики - сімейний лікар",AG203*Законод!$C$9/4*Законод!$E$16,IF(B197="Лікар-педіатр",AG203*Законод!$C$9/4*Законод!$E$16,IF(B197="Лікар-терапевт",AG203*Законод!$C$9/4*Законод!$E$16,0)))</f>
        <v>21805.938000000027</v>
      </c>
      <c r="AR203" s="211">
        <f t="shared" si="32"/>
        <v>87223.75200000011</v>
      </c>
    </row>
    <row r="204" spans="1:44" s="50" customFormat="1" ht="31.9" customHeight="1">
      <c r="A204" s="197"/>
      <c r="B204" s="969"/>
      <c r="C204" s="974"/>
      <c r="D204" s="971"/>
      <c r="E204" s="971"/>
      <c r="F204" s="238" t="str">
        <f ca="1">IF(B197="Лікар-педіатр",Законод!$F$17,IF(B197="Лікар загальної практики - сімейний лікар",Законод!$F$21,IF(B197="Лікар-терапевт",Законод!$F$25,"х")))</f>
        <v>понад ліміт (1981-2160)</v>
      </c>
      <c r="G204" s="965" t="s">
        <v>423</v>
      </c>
      <c r="H204" s="965"/>
      <c r="I204" s="965"/>
      <c r="J204" s="965"/>
      <c r="K204" s="965"/>
      <c r="L204" s="196">
        <f ca="1">IF($B$197="Лікар загальної практики - сімейний лікар",IF(L201&lt;Законод!$C$22,0,(IF(AND(L201&gt;=Законод!$F$22,L201&lt;=Законод!$F$23),L201-Законод!$E$23,IF('01_Доходи'!L201&gt;=Законод!$G$22,Законод!$F$24,0)))),IF($B$197="Лікар-педіатр",IF(L201&lt;Законод!$C$18,0,(IF(AND(L201&gt;=Законод!$F$18,L201&lt;=Законод!$F$19),L201-Законод!$E$19,IF('01_Доходи'!L201&gt;=Законод!$G$18,Законод!$F$20,0)))),IF($B$197="Лікар-терапевт",IF(L201&lt;Законод!$C$26,0,(IF(AND(L201&gt;=Законод!$F$26,L201&lt;=Законод!$F$27),L201-Законод!$E$27,IF('01_Доходи'!L201&gt;=Законод!$G$26,Законод!$F$28,0)))),0)))</f>
        <v>179.99999999999977</v>
      </c>
      <c r="M204" s="966"/>
      <c r="N204" s="965" t="s">
        <v>423</v>
      </c>
      <c r="O204" s="965"/>
      <c r="P204" s="965"/>
      <c r="Q204" s="965"/>
      <c r="R204" s="965"/>
      <c r="S204" s="196">
        <f ca="1">IF($B$197="Лікар загальної практики - сімейний лікар",IF(S201&lt;Законод!$C$22,0,(IF(AND(S201&gt;=Законод!$F$22,S201&lt;=Законод!$F$23),S201-Законод!$E$23,IF('01_Доходи'!S201&gt;=Законод!$G$22,Законод!$F$24,0)))),IF($B$197="Лікар-педіатр",IF(S201&lt;Законод!$C$18,0,(IF(AND(S201&gt;=Законод!$F$18,S201&lt;=Законод!$F$19),S201-Законод!$E$19,IF('01_Доходи'!S201&gt;=Законод!$G$18,Законод!$F$20,0)))),IF($B$197="Лікар-терапевт",IF(S201&lt;Законод!$C$26,0,(IF(AND(S201&gt;=Законод!$F$26,S201&lt;=Законод!$F$27),S201-Законод!$E$27,IF('01_Доходи'!S201&gt;=Законод!$G$26,Законод!$F$28,0)))),0)))</f>
        <v>179.99999999999977</v>
      </c>
      <c r="T204" s="966"/>
      <c r="U204" s="965" t="s">
        <v>423</v>
      </c>
      <c r="V204" s="965"/>
      <c r="W204" s="965"/>
      <c r="X204" s="965"/>
      <c r="Y204" s="965"/>
      <c r="Z204" s="196">
        <f ca="1">IF($B$197="Лікар загальної практики - сімейний лікар",IF(Z201&lt;Законод!$C$22,0,(IF(AND(Z201&gt;=Законод!$F$22,Z201&lt;=Законод!$F$23),Z201-Законод!$E$23,IF('01_Доходи'!Z201&gt;=Законод!$G$22,Законод!$F$24,0)))),IF($B$197="Лікар-педіатр",IF(Z201&lt;Законод!$C$18,0,(IF(AND(Z201&gt;=Законод!$F$18,Z201&lt;=Законод!$F$19),Z201-Законод!$E$19,IF('01_Доходи'!Z201&gt;=Законод!$G$18,Законод!$F$20,0)))),IF($B$197="Лікар-терапевт",IF(Z201&lt;Законод!$C$26,0,(IF(AND(Z201&gt;=Законод!$F$26,Z201&lt;=Законод!$F$27),Z201-Законод!$E$27,IF('01_Доходи'!Z201&gt;=Законод!$G$26,Законод!$F$28,0)))),0)))</f>
        <v>179.99999999999977</v>
      </c>
      <c r="AA204" s="966"/>
      <c r="AB204" s="965" t="s">
        <v>423</v>
      </c>
      <c r="AC204" s="965"/>
      <c r="AD204" s="965"/>
      <c r="AE204" s="965"/>
      <c r="AF204" s="965"/>
      <c r="AG204" s="196">
        <f ca="1">IF($B$197="Лікар загальної практики - сімейний лікар",IF(AG201&lt;Законод!$C$22,0,(IF(AND(AG201&gt;=Законод!$F$22,AG201&lt;=Законод!$F$23),AG201-Законод!$E$23,IF('01_Доходи'!AG201&gt;=Законод!$G$22,Законод!$F$24,0)))),IF($B$197="Лікар-педіатр",IF(AG201&lt;Законод!$C$18,0,(IF(AND(AG201&gt;=Законод!$F$18,AG201&lt;=Законод!$F$19),AG201-Законод!$E$19,IF('01_Доходи'!AG201&gt;=Законод!$G$18,Законод!$F$20,0)))),IF($B$197="Лікар-терапевт",IF(AG201&lt;Законод!$C$26,0,(IF(AND(AG201&gt;=Законод!$F$26,AG201&lt;=Законод!$F$27),AG201-Законод!$E$27,IF('01_Доходи'!AG201&gt;=Законод!$G$26,Законод!$F$28,0)))),0)))</f>
        <v>179.99999999999977</v>
      </c>
      <c r="AH204" s="966"/>
      <c r="AI204" s="201"/>
      <c r="AJ204" s="945"/>
      <c r="AK204" s="960"/>
      <c r="AL204" s="960"/>
      <c r="AM204" s="927"/>
      <c r="AN204" s="210">
        <f ca="1">IF(B197="Лікар загальної практики - сімейний лікар",L204*Законод!$C$9/4*Законод!$F$16,IF(B197="Лікар-педіатр",L204*Законод!$C$9/4*Законод!$F$16,IF(B197="Лікар-терапевт",L204*Законод!$C$9/4*Законод!$F$16,0)))</f>
        <v>17451.830249999977</v>
      </c>
      <c r="AO204" s="210">
        <f ca="1">IF(B197="Лікар загальної практики - сімейний лікар",S204*Законод!$C$9/4*Законод!$F$16,IF(B197="Лікар-педіатр",S204*Законод!$C$9/4*Законод!$F$16,IF(B197="Лікар-терапевт",S204*Законод!$C$9/4*Законод!$F$16,0)))</f>
        <v>17451.830249999977</v>
      </c>
      <c r="AP204" s="210">
        <f ca="1">IF(B197="Лікар загальної практики - сімейний лікар",Z204*Законод!$C$9/4*Законод!$F$16,IF(B197="Лікар-педіатр",Z204*Законод!$C$9/4*Законод!$F$16,IF(B197="Лікар-терапевт",Z204*Законод!$C$9/4*Законод!$F$16,0)))</f>
        <v>17451.830249999977</v>
      </c>
      <c r="AQ204" s="210">
        <f ca="1">IF(B197="Лікар загальної практики - сімейний лікар",AG204*Законод!$C$9/4*Законод!$F$16,IF(B197="Лікар-педіатр",AG204*Законод!$C$9/4*Законод!$F$16,IF(B197="Лікар-терапевт",AG204*Законод!$C$9/4*Законод!$F$16,0)))</f>
        <v>17451.830249999977</v>
      </c>
      <c r="AR204" s="211">
        <f t="shared" si="32"/>
        <v>69807.320999999909</v>
      </c>
    </row>
    <row r="205" spans="1:44" s="50" customFormat="1" ht="31.9" customHeight="1">
      <c r="A205" s="197"/>
      <c r="B205" s="969"/>
      <c r="C205" s="974"/>
      <c r="D205" s="971"/>
      <c r="E205" s="971"/>
      <c r="F205" s="238" t="str">
        <f ca="1">IF(B197="Лікар-педіатр",Законод!$G$17,IF(B197="Лікар загальної практики - сімейний лікар",Законод!$G$21,IF(B197="Лікар-терапевт",Законод!$G$25,"х")))</f>
        <v>понад ліміт (2161-2340)</v>
      </c>
      <c r="G205" s="965" t="s">
        <v>423</v>
      </c>
      <c r="H205" s="965"/>
      <c r="I205" s="965"/>
      <c r="J205" s="965"/>
      <c r="K205" s="965"/>
      <c r="L205" s="196">
        <f ca="1">IF($B$197="Лікар загальної практики - сімейний лікар",IF(L201&lt;Законод!$C$22,0,(IF(AND(L201&gt;=Законод!$G$22,L201&lt;=Законод!$G$23),L201-Законод!$F$23,IF('01_Доходи'!L201&gt;=Законод!$H$22,Законод!$G$24,0)))),IF($B$197="Лікар-педіатр",IF(L201&lt;Законод!$C$18,0,(IF(AND(L201&gt;=Законод!$G$18,L201&lt;=Законод!$G$19),L201-Законод!$F$19,IF('01_Доходи'!L201&gt;=Законод!$H$18,Законод!$G$20,0)))),IF($B$197="Лікар-терапевт",IF(L201&lt;Законод!$C$26,0,(IF(AND(L201&gt;=Законод!$G$26,L201&lt;=Законод!$G$27),L201-Законод!$F$27,IF('01_Доходи'!L201&gt;=Законод!$H$26,Законод!$G$28,0)))),0)))</f>
        <v>180</v>
      </c>
      <c r="M205" s="966"/>
      <c r="N205" s="965" t="s">
        <v>423</v>
      </c>
      <c r="O205" s="965"/>
      <c r="P205" s="965"/>
      <c r="Q205" s="965"/>
      <c r="R205" s="965"/>
      <c r="S205" s="196">
        <f ca="1">IF($B$197="Лікар загальної практики - сімейний лікар",IF(S201&lt;Законод!$C$22,0,(IF(AND(S201&gt;=Законод!$G$22,S201&lt;=Законод!$G$23),S201-Законод!$F$23,IF('01_Доходи'!S201&gt;=Законод!$H$22,Законод!$G$24,0)))),IF($B$197="Лікар-педіатр",IF(S201&lt;Законод!$C$18,0,(IF(AND(S201&gt;=Законод!$G$18,S201&lt;=Законод!$G$19),S201-Законод!$F$19,IF('01_Доходи'!S201&gt;=Законод!$H$18,Законод!$G$20,0)))),IF($B$197="Лікар-терапевт",IF(S201&lt;Законод!$C$26,0,(IF(AND(S201&gt;=Законод!$G$26,S201&lt;=Законод!$G$27),S201-Законод!$F$27,IF('01_Доходи'!S201&gt;=Законод!$H$26,Законод!$G$28,0)))),0)))</f>
        <v>180</v>
      </c>
      <c r="T205" s="966"/>
      <c r="U205" s="965" t="s">
        <v>423</v>
      </c>
      <c r="V205" s="965"/>
      <c r="W205" s="965"/>
      <c r="X205" s="965"/>
      <c r="Y205" s="965"/>
      <c r="Z205" s="196">
        <f ca="1">IF($B$197="Лікар загальної практики - сімейний лікар",IF(Z201&lt;Законод!$C$22,0,(IF(AND(Z201&gt;=Законод!$G$22,Z201&lt;=Законод!$G$23),Z201-Законод!$F$23,IF('01_Доходи'!Z201&gt;=Законод!$H$22,Законод!$G$24,0)))),IF($B$197="Лікар-педіатр",IF(Z201&lt;Законод!$C$18,0,(IF(AND(Z201&gt;=Законод!$G$18,Z201&lt;=Законод!$G$19),Z201-Законод!$F$19,IF('01_Доходи'!Z201&gt;=Законод!$H$18,Законод!$G$20,0)))),IF($B$197="Лікар-терапевт",IF(Z201&lt;Законод!$C$26,0,(IF(AND(Z201&gt;=Законод!$G$26,Z201&lt;=Законод!$G$27),Z201-Законод!$F$27,IF('01_Доходи'!Z201&gt;=Законод!$H$26,Законод!$G$28,0)))),0)))</f>
        <v>180</v>
      </c>
      <c r="AA205" s="966"/>
      <c r="AB205" s="965" t="s">
        <v>423</v>
      </c>
      <c r="AC205" s="965"/>
      <c r="AD205" s="965"/>
      <c r="AE205" s="965"/>
      <c r="AF205" s="965"/>
      <c r="AG205" s="196">
        <f ca="1">IF($B$197="Лікар загальної практики - сімейний лікар",IF(AG201&lt;Законод!$C$22,0,(IF(AND(AG201&gt;=Законод!$G$22,AG201&lt;=Законод!$G$23),AG201-Законод!$F$23,IF('01_Доходи'!AG201&gt;=Законод!$H$22,Законод!$G$24,0)))),IF($B$197="Лікар-педіатр",IF(AG201&lt;Законод!$C$18,0,(IF(AND(AG201&gt;=Законод!$G$18,AG201&lt;=Законод!$G$19),AG201-Законод!$F$19,IF('01_Доходи'!AG201&gt;=Законод!$H$18,Законод!$G$20,0)))),IF($B$197="Лікар-терапевт",IF(AG201&lt;Законод!$C$26,0,(IF(AND(AG201&gt;=Законод!$G$26,AG201&lt;=Законод!$G$27),AG201-Законод!$F$27,IF('01_Доходи'!AG201&gt;=Законод!$H$26,Законод!$G$28,0)))),0)))</f>
        <v>180</v>
      </c>
      <c r="AH205" s="966"/>
      <c r="AI205" s="201"/>
      <c r="AJ205" s="945"/>
      <c r="AK205" s="960"/>
      <c r="AL205" s="960"/>
      <c r="AM205" s="927"/>
      <c r="AN205" s="210">
        <f ca="1">IF(B197="Лікар загальної практики - сімейний лікар",L205*Законод!$C$9/4*Законод!$G$16,IF(B197="Лікар-педіатр",L205*Законод!$C$9/4*Законод!$G$16,IF(B197="Лікар-терапевт",L205*Законод!$C$9/4*Законод!$G$16,0)))</f>
        <v>13097.7225</v>
      </c>
      <c r="AO205" s="210">
        <f ca="1">IF(B197="Лікар загальної практики - сімейний лікар",S205*Законод!$C$9/4*Законод!$G$16,IF(B197="Лікар-педіатр",S205*Законод!$C$9/4*Законод!$G$16,IF(B197="Лікар-терапевт",S205*Законод!$C$9/4*Законод!$G$16,0)))</f>
        <v>13097.7225</v>
      </c>
      <c r="AP205" s="210">
        <f ca="1">IF(B197="Лікар загальної практики - сімейний лікар",Z205*Законод!$C$9/4*Законод!$G$16,IF(B197="Лікар-педіатр",Z205*Законод!$C$9/4*Законод!$G$16,IF(B197="Лікар-терапевт",Z205*Законод!$C$9/4*Законод!$G$16,0)))</f>
        <v>13097.7225</v>
      </c>
      <c r="AQ205" s="210">
        <f ca="1">IF(B197="Лікар загальної практики - сімейний лікар",AG205*Законод!$C$9/4*Законод!$G$16,IF(B197="Лікар-педіатр",AG205*Законод!$C$9/4*Законод!$G$16,IF(B197="Лікар-терапевт",AG205*Законод!$C$9/4*Законод!$G$16,0)))</f>
        <v>13097.7225</v>
      </c>
      <c r="AR205" s="211">
        <f t="shared" si="32"/>
        <v>52390.89</v>
      </c>
    </row>
    <row r="206" spans="1:44" s="50" customFormat="1" ht="31.9" customHeight="1">
      <c r="A206" s="197"/>
      <c r="B206" s="969"/>
      <c r="C206" s="974"/>
      <c r="D206" s="971"/>
      <c r="E206" s="971"/>
      <c r="F206" s="238" t="str">
        <f ca="1">IF(B197="Лікар-педіатр",Законод!$H$17,IF(B197="Лікар загальної практики - сімейний лікар",Законод!$H$21,IF(B197="Лікар-терапевт",Законод!$H$25,"х")))</f>
        <v>понад ліміт (2341-2520)</v>
      </c>
      <c r="G206" s="965" t="s">
        <v>423</v>
      </c>
      <c r="H206" s="965"/>
      <c r="I206" s="965"/>
      <c r="J206" s="965"/>
      <c r="K206" s="965"/>
      <c r="L206" s="196">
        <f ca="1">IF($B$197="Лікар загальної практики - сімейний лікар",IF(L201&lt;Законод!$C$22,0,(IF(AND(L201&gt;=Законод!$H$22,L201&lt;=Законод!$H$23),L201-Законод!$G$23,IF('01_Доходи'!L201&gt;=Законод!$I$22,Законод!$H$24,0)))),IF($B$197="Лікар-педіатр",IF(L201&lt;Законод!$C$18,0,(IF(AND(L201&gt;=Законод!$H$18,L201&lt;=Законод!$H$19),L201-Законод!$G$19,IF('01_Доходи'!L201&gt;=Законод!$I$18,Законод!$H$20,0)))),IF($B$197="Лікар-терапевт",IF(L201&lt;Законод!$C$26,0,(IF(AND(L201&gt;=Законод!$H$26,L201&lt;=Законод!$H$27),L201-Законод!$G$27,IF(L201&gt;=Законод!$I$26,Законод!$H$28,0)))),0)))</f>
        <v>168</v>
      </c>
      <c r="M206" s="966"/>
      <c r="N206" s="965" t="s">
        <v>423</v>
      </c>
      <c r="O206" s="965"/>
      <c r="P206" s="965"/>
      <c r="Q206" s="965"/>
      <c r="R206" s="965"/>
      <c r="S206" s="196">
        <f ca="1">IF($B$197="Лікар загальної практики - сімейний лікар",IF(S201&lt;Законод!$C$22,0,(IF(AND(S201&gt;=Законод!$H$22,S201&lt;=Законод!$H$23),S201-Законод!$G$23,IF('01_Доходи'!S201&gt;=Законод!$I$22,Законод!$H$24,0)))),IF($B$197="Лікар-педіатр",IF(S201&lt;Законод!$C$18,0,(IF(AND(S201&gt;=Законод!$H$18,S201&lt;=Законод!$H$19),S201-Законод!$G$19,IF('01_Доходи'!S201&gt;=Законод!$I$18,Законод!$H$20,0)))),IF($B$197="Лікар-терапевт",IF(S201&lt;Законод!$C$26,0,(IF(AND(S201&gt;=Законод!$H$26,S201&lt;=Законод!$H$27),S201-Законод!$G$27,IF(S201&gt;=Законод!$I$26,Законод!$H$28,0)))),0)))</f>
        <v>168</v>
      </c>
      <c r="T206" s="966"/>
      <c r="U206" s="965" t="s">
        <v>423</v>
      </c>
      <c r="V206" s="965"/>
      <c r="W206" s="965"/>
      <c r="X206" s="965"/>
      <c r="Y206" s="965"/>
      <c r="Z206" s="196">
        <f ca="1">IF($B$197="Лікар загальної практики - сімейний лікар",IF(Z201&lt;Законод!$C$22,0,(IF(AND(Z201&gt;=Законод!$H$22,Z201&lt;=Законод!$H$23),Z201-Законод!$G$23,IF('01_Доходи'!Z201&gt;=Законод!$I$22,Законод!$H$24,0)))),IF($B$197="Лікар-педіатр",IF(Z201&lt;Законод!$C$18,0,(IF(AND(Z201&gt;=Законод!$H$18,Z201&lt;=Законод!$H$19),Z201-Законод!$G$19,IF('01_Доходи'!Z201&gt;=Законод!$I$18,Законод!$H$20,0)))),IF($B$197="Лікар-терапевт",IF(Z201&lt;Законод!$C$26,0,(IF(AND(Z201&gt;=Законод!$H$26,Z201&lt;=Законод!$H$27),Z201-Законод!$G$27,IF(Z201&gt;=Законод!$I$26,Законод!$H$28,0)))),0)))</f>
        <v>168</v>
      </c>
      <c r="AA206" s="966"/>
      <c r="AB206" s="965" t="s">
        <v>423</v>
      </c>
      <c r="AC206" s="965"/>
      <c r="AD206" s="965"/>
      <c r="AE206" s="965"/>
      <c r="AF206" s="965"/>
      <c r="AG206" s="196">
        <f ca="1">IF($B$197="Лікар загальної практики - сімейний лікар",IF(AG201&lt;Законод!$C$22,0,(IF(AND(AG201&gt;=Законод!$H$22,AG201&lt;=Законод!$H$23),AG201-Законод!$G$23,IF('01_Доходи'!AG201&gt;=Законод!$I$22,Законод!$H$24,0)))),IF($B$197="Лікар-педіатр",IF(AG201&lt;Законод!$C$18,0,(IF(AND(AG201&gt;=Законод!$H$18,AG201&lt;=Законод!$H$19),AG201-Законод!$G$19,IF('01_Доходи'!AG201&gt;=Законод!$I$18,Законод!$H$20,0)))),IF($B$197="Лікар-терапевт",IF(AG201&lt;Законод!$C$26,0,(IF(AND(AG201&gt;=Законод!$H$26,AG201&lt;=Законод!$H$27),AG201-Законод!$G$27,IF(AG201&gt;=Законод!$I$26,Законод!$H$28,0)))),0)))</f>
        <v>168</v>
      </c>
      <c r="AH206" s="966"/>
      <c r="AI206" s="201"/>
      <c r="AJ206" s="945"/>
      <c r="AK206" s="960"/>
      <c r="AL206" s="960"/>
      <c r="AM206" s="927"/>
      <c r="AN206" s="210">
        <f ca="1">IF(B197="Лікар загальної практики - сімейний лікар",L206*Законод!$C$9/4*Законод!$H$16,IF(B197="Лікар-педіатр",L206*Законод!$C$9/4*Законод!$H$16,IF(B197="Лікар-терапевт",L206*Законод!$C$9/4*Законод!$H$16,0)))</f>
        <v>8127.6677999999993</v>
      </c>
      <c r="AO206" s="210">
        <f ca="1">IF(B197="Лікар загальної практики - сімейний лікар",S206*Законод!$C$9/4*Законод!$H$16,IF(B197="Лікар-педіатр",S206*Законод!$C$9/4*Законод!$H$16,IF(B197="Лікар-терапевт",S206*Законод!$C$9/4*Законод!$H$16,0)))</f>
        <v>8127.6677999999993</v>
      </c>
      <c r="AP206" s="210">
        <f ca="1">IF(B197="Лікар загальної практики - сімейний лікар",Z206*Законод!$C$9/4*Законод!$H$16,IF(B197="Лікар-педіатр",Z206*Законод!$C$9/4*Законод!$H$16,IF(B197="Лікар-терапевт",Z206*Законод!$C$9/4*Законод!$H$16,0)))</f>
        <v>8127.6677999999993</v>
      </c>
      <c r="AQ206" s="210">
        <f ca="1">IF(B197="Лікар загальної практики - сімейний лікар",AG206*Законод!$C$9/4*Законод!$H$16,IF(B197="Лікар-педіатр",AG206*Законод!$C$9/4*Законод!$H$16,IF(B197="Лікар-терапевт",AG206*Законод!$C$9/4*Законод!$H$16,0)))</f>
        <v>8127.6677999999993</v>
      </c>
      <c r="AR206" s="211">
        <f t="shared" si="32"/>
        <v>32510.671199999997</v>
      </c>
    </row>
    <row r="207" spans="1:44" s="50" customFormat="1" ht="31.9" customHeight="1">
      <c r="A207" s="197"/>
      <c r="B207" s="969"/>
      <c r="C207" s="974"/>
      <c r="D207" s="971"/>
      <c r="E207" s="971"/>
      <c r="F207" s="238" t="str">
        <f ca="1">IF(B197="Лікар-педіатр",Законод!$I$17,IF(B197="Лікар загальної практики - сімейний лікар",Законод!$I$21,IF(B197="Лікар-терапевт",Законод!$I$25,"х")))</f>
        <v>понад ліміт (2521-2700)</v>
      </c>
      <c r="G207" s="965" t="s">
        <v>423</v>
      </c>
      <c r="H207" s="965"/>
      <c r="I207" s="965"/>
      <c r="J207" s="965"/>
      <c r="K207" s="965"/>
      <c r="L207" s="196">
        <f ca="1">IF($B$197="Лікар загальної практики - сімейний лікар",IF(L201&lt;Законод!$C$22,0,(IF(AND(L201&gt;=Законод!$I$22,L201&lt;=Законод!$I$23),L201-Законод!$H$23,IF('01_Доходи'!L201&gt;=Законод!$I$22,Законод!$I$24,0)))),IF($B$197="Лікар-педіатр",IF(L201&lt;Законод!$C$18,0,(IF(AND(L201&gt;=Законод!$I$18,L201&lt;=Законод!$I$19),L201-Законод!$H$19,IF('01_Доходи'!L201&gt;=Законод!$I$18,Законод!$H$20,0)))),IF($B$197="Лікар-терапевт",IF(L201&lt;Законод!$C$26,0,(IF(AND(L201&gt;=Законод!$I$26,L201&lt;=Законод!$I$27),L201-Законод!$H$27,IF('01_Доходи'!L201&gt;=Законод!$I$26,Законод!$H$28,0)))),0)))</f>
        <v>0</v>
      </c>
      <c r="M207" s="966"/>
      <c r="N207" s="965" t="s">
        <v>423</v>
      </c>
      <c r="O207" s="965"/>
      <c r="P207" s="965"/>
      <c r="Q207" s="965"/>
      <c r="R207" s="965"/>
      <c r="S207" s="196">
        <f ca="1">IF($B$197="Лікар загальної практики - сімейний лікар",IF(S201&lt;Законод!$C$22,0,(IF(AND(S201&gt;=Законод!$I$22,S201&lt;=Законод!$I$23),S201-Законод!$H$23,IF('01_Доходи'!S201&gt;=Законод!$I$22,Законод!$I$24,0)))),IF($B$197="Лікар-педіатр",IF(S201&lt;Законод!$C$18,0,(IF(AND(S201&gt;=Законод!$I$18,S201&lt;=Законод!$I$19),S201-Законод!$H$19,IF('01_Доходи'!S201&gt;=Законод!$I$18,Законод!$H$20,0)))),IF($B$197="Лікар-терапевт",IF(S201&lt;Законод!$C$26,0,(IF(AND(S201&gt;=Законод!$I$26,S201&lt;=Законод!$I$27),S201-Законод!$H$27,IF('01_Доходи'!S201&gt;=Законод!$I$26,Законод!$H$28,0)))),0)))</f>
        <v>0</v>
      </c>
      <c r="T207" s="966"/>
      <c r="U207" s="965" t="s">
        <v>423</v>
      </c>
      <c r="V207" s="965"/>
      <c r="W207" s="965"/>
      <c r="X207" s="965"/>
      <c r="Y207" s="965"/>
      <c r="Z207" s="196">
        <f ca="1">IF($B$197="Лікар загальної практики - сімейний лікар",IF(Z201&lt;Законод!$C$22,0,(IF(AND(Z201&gt;=Законод!$I$22,Z201&lt;=Законод!$I$23),Z201-Законод!$H$23,IF('01_Доходи'!Z201&gt;=Законод!$I$22,Законод!$I$24,0)))),IF($B$197="Лікар-педіатр",IF(Z201&lt;Законод!$C$18,0,(IF(AND(Z201&gt;=Законод!$I$18,Z201&lt;=Законод!$I$19),Z201-Законод!$H$19,IF('01_Доходи'!Z201&gt;=Законод!$I$18,Законод!$H$20,0)))),IF($B$197="Лікар-терапевт",IF(Z201&lt;Законод!$C$26,0,(IF(AND(Z201&gt;=Законод!$I$26,Z201&lt;=Законод!$I$27),Z201-Законод!$H$27,IF('01_Доходи'!Z201&gt;=Законод!$I$26,Законод!$H$28,0)))),0)))</f>
        <v>0</v>
      </c>
      <c r="AA207" s="966"/>
      <c r="AB207" s="965" t="s">
        <v>423</v>
      </c>
      <c r="AC207" s="965"/>
      <c r="AD207" s="965"/>
      <c r="AE207" s="965"/>
      <c r="AF207" s="965"/>
      <c r="AG207" s="196">
        <f ca="1">IF($B$197="Лікар загальної практики - сімейний лікар",IF(AG201&lt;Законод!$C$22,0,(IF(AND(AG201&gt;=Законод!$I$22,AG201&lt;=Законод!$I$23),AG201-Законод!$H$23,IF('01_Доходи'!AG201&gt;=Законод!$I$22,Законод!$I$24,0)))),IF($B$197="Лікар-педіатр",IF(AG201&lt;Законод!$C$18,0,(IF(AND(AG201&gt;=Законод!$I$18,AG201&lt;=Законод!$I$19),AG201-Законод!$H$19,IF('01_Доходи'!AG201&gt;=Законод!$I$18,Законод!$H$20,0)))),IF($B$197="Лікар-терапевт",IF(AG201&lt;Законод!$C$26,0,(IF(AND(AG201&gt;=Законод!$I$26,AG201&lt;=Законод!$I$27),AG201-Законод!$H$27,IF('01_Доходи'!AG201&gt;=Законод!$I$26,Законод!$H$28,0)))),0)))</f>
        <v>0</v>
      </c>
      <c r="AH207" s="966"/>
      <c r="AI207" s="201"/>
      <c r="AJ207" s="945"/>
      <c r="AK207" s="960"/>
      <c r="AL207" s="960"/>
      <c r="AM207" s="927"/>
      <c r="AN207" s="210">
        <f ca="1">IF(B197="Лікар загальної практики - сімейний лікар",L207*Законод!$C$9/4*Законод!$I$16,IF(B197="Лікар-педіатр",L207*Законод!$C$9/4*Законод!$I$16,IF(B197="Лікар-терапевт",L207*Законод!$C$9/4*Законод!$I$16,0)))</f>
        <v>0</v>
      </c>
      <c r="AO207" s="210">
        <f ca="1">IF(B197="Лікар загальної практики - сімейний лікар",S207*Законод!$C$9/4*Законод!$I$16,IF(B197="Лікар-педіатр",S207*Законод!$C$9/4*Законод!$I$16,IF(B197="Лікар-терапевт",S207*Законод!$C$9/4*Законод!$I$16,0)))</f>
        <v>0</v>
      </c>
      <c r="AP207" s="210">
        <f ca="1">IF(B197="Лікар загальної практики - сімейний лікар",Z207*Законод!$C$9/4*Законод!$I$16,IF(B197="Лікар-педіатр",Z207*Законод!$C$9/4*Законод!$I$16,IF(B197="Лікар-терапевт",Z207*Законод!$C$9/4*Законод!$I$16,0)))</f>
        <v>0</v>
      </c>
      <c r="AQ207" s="210">
        <f ca="1">IF(B197="Лікар загальної практики - сімейний лікар",AG207*Законод!$C$9/4*Законод!$I$16,IF(B197="Лікар-педіатр",AG207*Законод!$C$9/4*Законод!$I$16,IF(B197="Лікар-терапевт",AG207*Законод!$C$9/4*Законод!$I$16,0)))</f>
        <v>0</v>
      </c>
      <c r="AR207" s="211">
        <f t="shared" si="32"/>
        <v>0</v>
      </c>
    </row>
    <row r="208" spans="1:44" s="218" customFormat="1" ht="31.9" customHeight="1" thickBot="1">
      <c r="A208" s="213"/>
      <c r="B208" s="969"/>
      <c r="C208" s="974"/>
      <c r="D208" s="971"/>
      <c r="E208" s="971"/>
      <c r="F208" s="239" t="str">
        <f ca="1">IF(B197="Лікар-педіатр",Законод!$J$17,IF(B197="Лікар загальної практики - сімейний лікар",Законод!$J$21,IF(B197="Лікар-терапевт",Законод!$J$25,"х")))</f>
        <v>понад ліміт (&gt;=2701)</v>
      </c>
      <c r="G208" s="968" t="s">
        <v>423</v>
      </c>
      <c r="H208" s="968"/>
      <c r="I208" s="968"/>
      <c r="J208" s="968"/>
      <c r="K208" s="968"/>
      <c r="L208" s="196">
        <f ca="1">IF($B$197="Лікар загальної практики - сімейний лікар",IF(L201&gt;=Законод!$J$22,'01_Доходи'!L201-('01_Доходи'!L202+'01_Доходи'!L203+'01_Доходи'!L204+'01_Доходи'!L205+'01_Доходи'!L206+'01_Доходи'!L207),0),IF($B$197="Лікар-педіатр",IF(L201&gt;=Законод!$J$18,'01_Доходи'!L201-('01_Доходи'!L202+'01_Доходи'!L203+'01_Доходи'!L204+'01_Доходи'!L205+'01_Доходи'!L206+'01_Доходи'!L207),0),IF($B$197="Лікар-терапевт",IF('01_Доходи'!L201&gt;=Законод!$J$26,L201-Законод!$I$27,0),0)))</f>
        <v>0</v>
      </c>
      <c r="M208" s="966"/>
      <c r="N208" s="968" t="s">
        <v>423</v>
      </c>
      <c r="O208" s="968"/>
      <c r="P208" s="968"/>
      <c r="Q208" s="968"/>
      <c r="R208" s="968"/>
      <c r="S208" s="196">
        <f ca="1">IF($B$197="Лікар загальної практики - сімейний лікар",IF(S201&gt;=Законод!$J$22,'01_Доходи'!S201-('01_Доходи'!S202+'01_Доходи'!S203+'01_Доходи'!S204+'01_Доходи'!S205+'01_Доходи'!S206+'01_Доходи'!S207),0),IF($B$197="Лікар-педіатр",IF(S201&gt;=Законод!$J$18,'01_Доходи'!S201-('01_Доходи'!S202+'01_Доходи'!S203+'01_Доходи'!S204+'01_Доходи'!S205+'01_Доходи'!S206+'01_Доходи'!S207),0),IF($B$197="Лікар-терапевт",IF('01_Доходи'!S201&gt;=Законод!$J$26,S201-Законод!$I$27,0),0)))</f>
        <v>0</v>
      </c>
      <c r="T208" s="966"/>
      <c r="U208" s="968" t="s">
        <v>423</v>
      </c>
      <c r="V208" s="968"/>
      <c r="W208" s="968"/>
      <c r="X208" s="968"/>
      <c r="Y208" s="968"/>
      <c r="Z208" s="196">
        <f ca="1">IF($B$197="Лікар загальної практики - сімейний лікар",IF(Z201&gt;=Законод!$J$22,'01_Доходи'!Z201-('01_Доходи'!Z202+'01_Доходи'!Z203+'01_Доходи'!Z204+'01_Доходи'!Z205+'01_Доходи'!Z206+'01_Доходи'!Z207),0),IF($B$197="Лікар-педіатр",IF(Z201&gt;=Законод!$J$18,'01_Доходи'!Z201-('01_Доходи'!Z202+'01_Доходи'!Z203+'01_Доходи'!Z204+'01_Доходи'!Z205+'01_Доходи'!Z206+'01_Доходи'!Z207),0),IF($B$197="Лікар-терапевт",IF('01_Доходи'!Z201&gt;=Законод!$J$26,Z201-Законод!$I$27,0),0)))</f>
        <v>0</v>
      </c>
      <c r="AA208" s="966"/>
      <c r="AB208" s="968" t="s">
        <v>423</v>
      </c>
      <c r="AC208" s="968"/>
      <c r="AD208" s="968"/>
      <c r="AE208" s="968"/>
      <c r="AF208" s="968"/>
      <c r="AG208" s="196">
        <f ca="1">IF($B$197="Лікар загальної практики - сімейний лікар",IF(AG201&gt;=Законод!$J$22,'01_Доходи'!AG201-('01_Доходи'!AG202+'01_Доходи'!AG203+'01_Доходи'!AG204+'01_Доходи'!AG205+'01_Доходи'!AG206+'01_Доходи'!AG207),0),IF($B$197="Лікар-педіатр",IF(AG201&gt;=Законод!$J$18,'01_Доходи'!AG201-('01_Доходи'!AG202+'01_Доходи'!AG203+'01_Доходи'!AG204+'01_Доходи'!AG205+'01_Доходи'!AG206+'01_Доходи'!AG207),0),IF($B$197="Лікар-терапевт",IF('01_Доходи'!AG201&gt;=Законод!$J$26,AG201-Законод!$I$27,0),0)))</f>
        <v>0</v>
      </c>
      <c r="AH208" s="966"/>
      <c r="AI208" s="215"/>
      <c r="AJ208" s="946"/>
      <c r="AK208" s="961"/>
      <c r="AL208" s="961"/>
      <c r="AM208" s="928"/>
      <c r="AN208" s="216">
        <f ca="1">IF(B197="Лікар загальної практики - сімейний лікар",L208*Законод!$C$9/4*Законод!$J$16,IF(B197="Лікар-педіатр",L208*Законод!$C$9/4*Законод!$J$16,IF(B197="Лікар-терапевт",L208*Законод!$C$9/4*Законод!$J$16,0)))</f>
        <v>0</v>
      </c>
      <c r="AO208" s="216">
        <f ca="1">IF(B197="Лікар загальної практики - сімейний лікар",S208*Законод!$C$9/4*Законод!$J$16,IF(B197="Лікар-педіатр",S208*Законод!$C$9/4*Законод!$J$16,IF(B197="Лікар-терапевт",S208*Законод!$C$9/4*Законод!$J$16,0)))</f>
        <v>0</v>
      </c>
      <c r="AP208" s="216">
        <f ca="1">IF(B197="Лікар загальної практики - сімейний лікар",S208*Законод!$C$9/4*Законод!$J$16,IF(B197="Лікар-педіатр",S208*Законод!$C$9/4*Законод!$J$16,IF(B197="Лікар-терапевт",S208*Законод!$C$9/4*Законод!$J$16,0)))</f>
        <v>0</v>
      </c>
      <c r="AQ208" s="216">
        <f ca="1">IF(B197="Лікар загальної практики - сімейний лікар",AG208*Законод!$C$9/4*Законод!$J$16,IF(B197="Лікар-педіатр",AG208*Законод!$C$9/4*Законод!$J$16,IF(B197="Лікар-терапевт",AG208*Законод!$C$9/4*Законод!$J$16,0)))</f>
        <v>0</v>
      </c>
      <c r="AR208" s="217">
        <f t="shared" si="32"/>
        <v>0</v>
      </c>
    </row>
    <row r="209" spans="1:44" s="247" customFormat="1" ht="23.45" customHeight="1" thickBot="1">
      <c r="A209" s="243"/>
      <c r="B209" s="244"/>
      <c r="C209" s="244"/>
      <c r="D209" s="244"/>
      <c r="E209" s="244"/>
      <c r="F209" s="245"/>
      <c r="G209" s="246"/>
      <c r="H209" s="246"/>
      <c r="L209" s="248"/>
      <c r="S209" s="248"/>
      <c r="Z209" s="248"/>
      <c r="AG209" s="248"/>
      <c r="AM209" s="249"/>
      <c r="AR209" s="250"/>
    </row>
    <row r="210" spans="1:44" s="191" customFormat="1" ht="27.6" customHeight="1">
      <c r="A210" s="194">
        <f>A197+1</f>
        <v>14</v>
      </c>
      <c r="B210" s="969" t="s">
        <v>312</v>
      </c>
      <c r="C210" s="974" t="s">
        <v>173</v>
      </c>
      <c r="D210" s="971"/>
      <c r="E210" s="971" t="str">
        <f>E145</f>
        <v>Рожищенська АЗПСМ №1</v>
      </c>
      <c r="F210" s="234" t="s">
        <v>659</v>
      </c>
      <c r="G210" s="196">
        <v>10</v>
      </c>
      <c r="H210" s="196">
        <v>73</v>
      </c>
      <c r="I210" s="196">
        <v>364</v>
      </c>
      <c r="J210" s="196">
        <v>321</v>
      </c>
      <c r="K210" s="196">
        <v>126</v>
      </c>
      <c r="L210" s="557">
        <f t="shared" ref="L210:L215" si="33">SUM(G210:K210)</f>
        <v>894</v>
      </c>
      <c r="M210" s="966">
        <v>1</v>
      </c>
      <c r="N210" s="196">
        <v>10</v>
      </c>
      <c r="O210" s="196">
        <v>73</v>
      </c>
      <c r="P210" s="196">
        <v>364</v>
      </c>
      <c r="Q210" s="196">
        <v>321</v>
      </c>
      <c r="R210" s="196">
        <v>126</v>
      </c>
      <c r="S210" s="557">
        <f t="shared" ref="S210:S215" si="34">SUM(N210:R210)</f>
        <v>894</v>
      </c>
      <c r="T210" s="966">
        <v>1</v>
      </c>
      <c r="U210" s="196">
        <v>10</v>
      </c>
      <c r="V210" s="196">
        <v>73</v>
      </c>
      <c r="W210" s="196">
        <v>364</v>
      </c>
      <c r="X210" s="196">
        <v>321</v>
      </c>
      <c r="Y210" s="196">
        <v>126</v>
      </c>
      <c r="Z210" s="557">
        <f t="shared" ref="Z210:Z215" si="35">SUM(U210:Y210)</f>
        <v>894</v>
      </c>
      <c r="AA210" s="966">
        <v>1</v>
      </c>
      <c r="AB210" s="196">
        <v>10</v>
      </c>
      <c r="AC210" s="196">
        <v>73</v>
      </c>
      <c r="AD210" s="196">
        <v>364</v>
      </c>
      <c r="AE210" s="196">
        <v>321</v>
      </c>
      <c r="AF210" s="196">
        <v>126</v>
      </c>
      <c r="AG210" s="557">
        <f t="shared" ref="AG210:AG215" si="36">SUM(AB210:AF210)</f>
        <v>894</v>
      </c>
      <c r="AH210" s="966">
        <v>1</v>
      </c>
      <c r="AI210" s="540">
        <f>A210</f>
        <v>14</v>
      </c>
      <c r="AJ210" s="944" t="str">
        <f>B210</f>
        <v>Лікар загальної практики - сімейний лікар</v>
      </c>
      <c r="AK210" s="959" t="str">
        <f>C210</f>
        <v>Муц Віталій Олександрович</v>
      </c>
      <c r="AL210" s="959">
        <f>D210</f>
        <v>0</v>
      </c>
      <c r="AM210" s="929" t="s">
        <v>79</v>
      </c>
      <c r="AN210" s="947">
        <f>SUM(AN215:AN221)</f>
        <v>145591.80536249999</v>
      </c>
      <c r="AO210" s="947">
        <f>SUM(AO215:AO221)</f>
        <v>145591.80536249999</v>
      </c>
      <c r="AP210" s="947">
        <f>SUM(AP215:AP221)</f>
        <v>145591.80536249999</v>
      </c>
      <c r="AQ210" s="947">
        <f>SUM(AQ215:AQ221)</f>
        <v>145591.80536249999</v>
      </c>
      <c r="AR210" s="962">
        <f>SUM(AN210:AQ214)</f>
        <v>582367.22144999995</v>
      </c>
    </row>
    <row r="211" spans="1:44" s="50" customFormat="1" ht="28.15" customHeight="1">
      <c r="A211" s="197"/>
      <c r="B211" s="969"/>
      <c r="C211" s="974"/>
      <c r="D211" s="971"/>
      <c r="E211" s="971"/>
      <c r="F211" s="234" t="s">
        <v>660</v>
      </c>
      <c r="G211" s="196">
        <v>10</v>
      </c>
      <c r="H211" s="196">
        <v>73</v>
      </c>
      <c r="I211" s="196">
        <v>364</v>
      </c>
      <c r="J211" s="196">
        <v>321</v>
      </c>
      <c r="K211" s="196">
        <v>126</v>
      </c>
      <c r="L211" s="557">
        <f t="shared" si="33"/>
        <v>894</v>
      </c>
      <c r="M211" s="966"/>
      <c r="N211" s="196">
        <v>10</v>
      </c>
      <c r="O211" s="196">
        <v>73</v>
      </c>
      <c r="P211" s="196">
        <v>364</v>
      </c>
      <c r="Q211" s="196">
        <v>321</v>
      </c>
      <c r="R211" s="196">
        <v>126</v>
      </c>
      <c r="S211" s="557">
        <f t="shared" si="34"/>
        <v>894</v>
      </c>
      <c r="T211" s="966"/>
      <c r="U211" s="196">
        <v>10</v>
      </c>
      <c r="V211" s="196">
        <v>73</v>
      </c>
      <c r="W211" s="196">
        <v>364</v>
      </c>
      <c r="X211" s="196">
        <v>321</v>
      </c>
      <c r="Y211" s="196">
        <v>126</v>
      </c>
      <c r="Z211" s="557">
        <f t="shared" si="35"/>
        <v>894</v>
      </c>
      <c r="AA211" s="966"/>
      <c r="AB211" s="196">
        <v>10</v>
      </c>
      <c r="AC211" s="196">
        <v>73</v>
      </c>
      <c r="AD211" s="196">
        <v>364</v>
      </c>
      <c r="AE211" s="196">
        <v>321</v>
      </c>
      <c r="AF211" s="196">
        <v>126</v>
      </c>
      <c r="AG211" s="557">
        <f t="shared" si="36"/>
        <v>894</v>
      </c>
      <c r="AH211" s="966"/>
      <c r="AI211" s="198"/>
      <c r="AJ211" s="945"/>
      <c r="AK211" s="960"/>
      <c r="AL211" s="960"/>
      <c r="AM211" s="930"/>
      <c r="AN211" s="948"/>
      <c r="AO211" s="948"/>
      <c r="AP211" s="948"/>
      <c r="AQ211" s="948"/>
      <c r="AR211" s="963"/>
    </row>
    <row r="212" spans="1:44" s="90" customFormat="1" ht="31.15" customHeight="1">
      <c r="A212" s="240"/>
      <c r="B212" s="969"/>
      <c r="C212" s="974"/>
      <c r="D212" s="971"/>
      <c r="E212" s="971"/>
      <c r="F212" s="241" t="s">
        <v>661</v>
      </c>
      <c r="G212" s="196">
        <v>10</v>
      </c>
      <c r="H212" s="196">
        <v>73</v>
      </c>
      <c r="I212" s="196">
        <v>364</v>
      </c>
      <c r="J212" s="196">
        <v>321</v>
      </c>
      <c r="K212" s="196">
        <v>126</v>
      </c>
      <c r="L212" s="200">
        <f t="shared" si="33"/>
        <v>894</v>
      </c>
      <c r="M212" s="966"/>
      <c r="N212" s="196">
        <v>10</v>
      </c>
      <c r="O212" s="196">
        <v>73</v>
      </c>
      <c r="P212" s="196">
        <v>364</v>
      </c>
      <c r="Q212" s="196">
        <v>321</v>
      </c>
      <c r="R212" s="196">
        <v>126</v>
      </c>
      <c r="S212" s="200">
        <f t="shared" si="34"/>
        <v>894</v>
      </c>
      <c r="T212" s="966"/>
      <c r="U212" s="196">
        <v>10</v>
      </c>
      <c r="V212" s="196">
        <v>73</v>
      </c>
      <c r="W212" s="196">
        <v>364</v>
      </c>
      <c r="X212" s="196">
        <v>321</v>
      </c>
      <c r="Y212" s="196">
        <v>126</v>
      </c>
      <c r="Z212" s="200">
        <f t="shared" si="35"/>
        <v>894</v>
      </c>
      <c r="AA212" s="966"/>
      <c r="AB212" s="196">
        <v>10</v>
      </c>
      <c r="AC212" s="196">
        <v>73</v>
      </c>
      <c r="AD212" s="196">
        <v>364</v>
      </c>
      <c r="AE212" s="196">
        <v>321</v>
      </c>
      <c r="AF212" s="196">
        <v>126</v>
      </c>
      <c r="AG212" s="200">
        <f t="shared" si="36"/>
        <v>894</v>
      </c>
      <c r="AH212" s="966"/>
      <c r="AI212" s="242"/>
      <c r="AJ212" s="945"/>
      <c r="AK212" s="960"/>
      <c r="AL212" s="960"/>
      <c r="AM212" s="930"/>
      <c r="AN212" s="948"/>
      <c r="AO212" s="948"/>
      <c r="AP212" s="948"/>
      <c r="AQ212" s="948"/>
      <c r="AR212" s="963"/>
    </row>
    <row r="213" spans="1:44" s="50" customFormat="1" ht="31.9" customHeight="1" thickBot="1">
      <c r="A213" s="197"/>
      <c r="B213" s="969"/>
      <c r="C213" s="974"/>
      <c r="D213" s="971"/>
      <c r="E213" s="971"/>
      <c r="F213" s="236" t="s">
        <v>426</v>
      </c>
      <c r="G213" s="203">
        <f>IF($B$210="Лікар-педіатр",G212/L212,IF($B$210="Лікар-терапевт","х",IF($B$210="Лікар загальної практики - сімейний лікар",G212/L212,0)))</f>
        <v>1.1185682326621925E-2</v>
      </c>
      <c r="H213" s="203">
        <f>IF($B$210="Лікар-педіатр",H212/L212,IF($B$210="Лікар-терапевт","х",IF($B$210="Лікар загальної практики - сімейний лікар",H212/L212,0)))</f>
        <v>8.1655480984340043E-2</v>
      </c>
      <c r="I213" s="203">
        <f>IF($B$210="Лікар-педіатр","x",IF($B$210="Лікар-терапевт",I212/L212,IF($B$210="Лікар загальної практики - сімейний лікар",I212/L212,0)))</f>
        <v>0.40715883668903802</v>
      </c>
      <c r="J213" s="203">
        <f>IF($B$210="Лікар-педіатр","x",IF($B$210="Лікар-терапевт",J212/L212,IF($B$210="Лікар загальної практики - сімейний лікар",J212/L212,0)))</f>
        <v>0.35906040268456374</v>
      </c>
      <c r="K213" s="203">
        <f>IF($B$210="Лікар-педіатр","x",IF($B$210="Лікар-терапевт",K212/L212,IF($B$210="Лікар загальної практики - сімейний лікар",K212/L212,0)))</f>
        <v>0.14093959731543623</v>
      </c>
      <c r="L213" s="203">
        <f t="shared" si="33"/>
        <v>1</v>
      </c>
      <c r="M213" s="966"/>
      <c r="N213" s="203">
        <f>IF($B$210="Лікар-педіатр",N212/S212,IF($B$210="Лікар-терапевт","х",IF($B$210="Лікар загальної практики - сімейний лікар",N212/S212,0)))</f>
        <v>1.1185682326621925E-2</v>
      </c>
      <c r="O213" s="203">
        <f>IF($B$210="Лікар-педіатр",O212/S212,IF($B$210="Лікар-терапевт","х",IF($B$210="Лікар загальної практики - сімейний лікар",O212/S212,0)))</f>
        <v>8.1655480984340043E-2</v>
      </c>
      <c r="P213" s="203">
        <f>IF($B$210="Лікар-педіатр","x",IF($B$210="Лікар-терапевт",P212/S212,IF($B$210="Лікар загальної практики - сімейний лікар",P212/S212,0)))</f>
        <v>0.40715883668903802</v>
      </c>
      <c r="Q213" s="203">
        <f>IF($B$210="Лікар-педіатр","x",IF($B$210="Лікар-терапевт",Q212/S212,IF($B$210="Лікар загальної практики - сімейний лікар",Q212/S212,0)))</f>
        <v>0.35906040268456374</v>
      </c>
      <c r="R213" s="203">
        <f>IF($B$210="Лікар-педіатр","x",IF($B$210="Лікар-терапевт",R212/S212,IF($B$210="Лікар загальної практики - сімейний лікар",R212/S212,0)))</f>
        <v>0.14093959731543623</v>
      </c>
      <c r="S213" s="203">
        <f t="shared" si="34"/>
        <v>1</v>
      </c>
      <c r="T213" s="966"/>
      <c r="U213" s="203">
        <f>IF($B$210="Лікар-педіатр",U212/Z212,IF($B$210="Лікар-терапевт","х",IF($B$210="Лікар загальної практики - сімейний лікар",U212/Z212,0)))</f>
        <v>1.1185682326621925E-2</v>
      </c>
      <c r="V213" s="203">
        <f>IF($B$210="Лікар-педіатр",V212/Z212,IF($B$210="Лікар-терапевт","х",IF($B$210="Лікар загальної практики - сімейний лікар",V212/Z212,0)))</f>
        <v>8.1655480984340043E-2</v>
      </c>
      <c r="W213" s="203">
        <f>IF($B$210="Лікар-педіатр","x",IF($B$210="Лікар-терапевт",W212/Z212,IF($B$210="Лікар загальної практики - сімейний лікар",W212/Z212,0)))</f>
        <v>0.40715883668903802</v>
      </c>
      <c r="X213" s="203">
        <f>IF($B$210="Лікар-педіатр","x",IF($B$210="Лікар-терапевт",X212/Z212,IF($B$210="Лікар загальної практики - сімейний лікар",X212/Z212,0)))</f>
        <v>0.35906040268456374</v>
      </c>
      <c r="Y213" s="203">
        <f>IF($B$210="Лікар-педіатр","x",IF($B$210="Лікар-терапевт",Y212/Z212,IF($B$210="Лікар загальної практики - сімейний лікар",Y212/Z212,0)))</f>
        <v>0.14093959731543623</v>
      </c>
      <c r="Z213" s="203">
        <f t="shared" si="35"/>
        <v>1</v>
      </c>
      <c r="AA213" s="966"/>
      <c r="AB213" s="203">
        <f>IF($B$210="Лікар-педіатр",AB212/AG212,IF($B$210="Лікар-терапевт","х",IF($B$210="Лікар загальної практики - сімейний лікар",AB212/AG212,0)))</f>
        <v>1.1185682326621925E-2</v>
      </c>
      <c r="AC213" s="203">
        <f>IF($B$210="Лікар-педіатр",AC212/AG212,IF($B$210="Лікар-терапевт","х",IF($B$210="Лікар загальної практики - сімейний лікар",AC212/AG212,0)))</f>
        <v>8.1655480984340043E-2</v>
      </c>
      <c r="AD213" s="203">
        <f>IF($B$210="Лікар-педіатр","x",IF($B$210="Лікар-терапевт",AD212/AG212,IF($B$210="Лікар загальної практики - сімейний лікар",AD212/AG212,0)))</f>
        <v>0.40715883668903802</v>
      </c>
      <c r="AE213" s="203">
        <f>IF($B$210="Лікар-педіатр","x",IF($B$210="Лікар-терапевт",AE212/AG212,IF($B$210="Лікар загальної практики - сімейний лікар",AE212/AG212,0)))</f>
        <v>0.35906040268456374</v>
      </c>
      <c r="AF213" s="203">
        <f>IF($B$210="Лікар-педіатр","x",IF($B$210="Лікар-терапевт",AF212/AG212,IF($B$210="Лікар загальної практики - сімейний лікар",AF212/AG212,0)))</f>
        <v>0.14093959731543623</v>
      </c>
      <c r="AG213" s="203">
        <f t="shared" si="36"/>
        <v>1</v>
      </c>
      <c r="AH213" s="966"/>
      <c r="AI213" s="201"/>
      <c r="AJ213" s="945"/>
      <c r="AK213" s="960"/>
      <c r="AL213" s="960"/>
      <c r="AM213" s="930"/>
      <c r="AN213" s="948"/>
      <c r="AO213" s="948"/>
      <c r="AP213" s="948"/>
      <c r="AQ213" s="948"/>
      <c r="AR213" s="963"/>
    </row>
    <row r="214" spans="1:44" s="50" customFormat="1" ht="45" customHeight="1" thickBot="1">
      <c r="A214" s="197"/>
      <c r="B214" s="969"/>
      <c r="C214" s="974"/>
      <c r="D214" s="971"/>
      <c r="E214" s="972"/>
      <c r="F214" s="204" t="s">
        <v>662</v>
      </c>
      <c r="G214" s="205">
        <f>IF($B$210="Лікар загальної практики - сімейний лікар",AVERAGE(G210:G212),IF($B$210="Лікар-педіатр",AVERAGE(G210:G212),IF($B$210="Лікар-терапевт","х",0)))</f>
        <v>10</v>
      </c>
      <c r="H214" s="205">
        <f>IF($B$210="Лікар загальної практики - сімейний лікар",AVERAGE(H210:H212),IF($B$210="Лікар-педіатр",AVERAGE(H210:H212),IF($B$210="Лікар-терапевт","х",0)))</f>
        <v>73</v>
      </c>
      <c r="I214" s="205">
        <f>IF($B$210="Лікар загальної практики - сімейний лікар",AVERAGE(I210:I212),IF($B$210="Лікар-педіатр","x",IF($B$210="Лікар-терапевт",AVERAGE(I210:I212),0)))</f>
        <v>364</v>
      </c>
      <c r="J214" s="205">
        <f>IF($B$210="Лікар загальної практики - сімейний лікар",AVERAGE(J210:J212),IF($B$210="Лікар-педіатр","x",IF($B$210="Лікар-терапевт",AVERAGE(J210:J212),0)))</f>
        <v>321</v>
      </c>
      <c r="K214" s="205">
        <f>IF($B$210="Лікар загальної практики - сімейний лікар",AVERAGE(K210:K212),IF($B$210="Лікар-педіатр","x",IF($B$210="Лікар-терапевт",AVERAGE(K210:K212),0)))</f>
        <v>126</v>
      </c>
      <c r="L214" s="206">
        <f t="shared" si="33"/>
        <v>894</v>
      </c>
      <c r="M214" s="973"/>
      <c r="N214" s="205">
        <f>IF($B$210="Лікар загальної практики - сімейний лікар",AVERAGE(N210:N212),IF($B$210="Лікар-педіатр",AVERAGE(N210:N212),IF($B$210="Лікар-терапевт","х",0)))</f>
        <v>10</v>
      </c>
      <c r="O214" s="205">
        <f>IF($B$210="Лікар загальної практики - сімейний лікар",AVERAGE(O210:O212),IF($B$210="Лікар-педіатр",AVERAGE(O210:O212),IF($B$210="Лікар-терапевт","х",0)))</f>
        <v>73</v>
      </c>
      <c r="P214" s="205">
        <f>IF($B$210="Лікар загальної практики - сімейний лікар",AVERAGE(P210:P212),IF($B$210="Лікар-педіатр","x",IF($B$210="Лікар-терапевт",AVERAGE(P210:P212),0)))</f>
        <v>364</v>
      </c>
      <c r="Q214" s="205">
        <f>IF($B$210="Лікар загальної практики - сімейний лікар",AVERAGE(Q210:Q212),IF($B$210="Лікар-педіатр","x",IF($B$210="Лікар-терапевт",AVERAGE(Q210:Q212),0)))</f>
        <v>321</v>
      </c>
      <c r="R214" s="205">
        <f>IF($B$210="Лікар загальної практики - сімейний лікар",AVERAGE(R210:R212),IF($B$210="Лікар-педіатр","x",IF($B$210="Лікар-терапевт",AVERAGE(R210:R212),0)))</f>
        <v>126</v>
      </c>
      <c r="S214" s="206">
        <f t="shared" si="34"/>
        <v>894</v>
      </c>
      <c r="T214" s="973"/>
      <c r="U214" s="205">
        <f>IF($B$210="Лікар загальної практики - сімейний лікар",AVERAGE(U210:U212),IF($B$210="Лікар-педіатр",AVERAGE(U210:U212),IF($B$210="Лікар-терапевт","х",0)))</f>
        <v>10</v>
      </c>
      <c r="V214" s="205">
        <f>IF($B$210="Лікар загальної практики - сімейний лікар",AVERAGE(V210:V212),IF($B$210="Лікар-педіатр",AVERAGE(V210:V212),IF($B$210="Лікар-терапевт","х",0)))</f>
        <v>73</v>
      </c>
      <c r="W214" s="205">
        <f>IF($B$210="Лікар загальної практики - сімейний лікар",AVERAGE(W210:W212),IF($B$210="Лікар-педіатр","x",IF($B$210="Лікар-терапевт",AVERAGE(W210:W212),0)))</f>
        <v>364</v>
      </c>
      <c r="X214" s="205">
        <f>IF($B$210="Лікар загальної практики - сімейний лікар",AVERAGE(X210:X212),IF($B$210="Лікар-педіатр","x",IF($B$210="Лікар-терапевт",AVERAGE(X210:X212),0)))</f>
        <v>321</v>
      </c>
      <c r="Y214" s="205">
        <f>IF($B$210="Лікар загальної практики - сімейний лікар",AVERAGE(Y210:Y212),IF($B$210="Лікар-педіатр","x",IF($B$210="Лікар-терапевт",AVERAGE(Y210:Y212),0)))</f>
        <v>126</v>
      </c>
      <c r="Z214" s="206">
        <f t="shared" si="35"/>
        <v>894</v>
      </c>
      <c r="AA214" s="973"/>
      <c r="AB214" s="205">
        <f>IF($B$210="Лікар загальної практики - сімейний лікар",AVERAGE(AB210:AB212),IF($B$210="Лікар-педіатр",AVERAGE(AB210:AB212),IF($B$210="Лікар-терапевт","х",0)))</f>
        <v>10</v>
      </c>
      <c r="AC214" s="205">
        <f>IF($B$210="Лікар загальної практики - сімейний лікар",AVERAGE(AC210:AC212),IF($B$210="Лікар-педіатр",AVERAGE(AC210:AC212),IF($B$210="Лікар-терапевт","х",0)))</f>
        <v>73</v>
      </c>
      <c r="AD214" s="205">
        <f>IF($B$210="Лікар загальної практики - сімейний лікар",AVERAGE(AD210:AD212),IF($B$210="Лікар-педіатр","x",IF($B$210="Лікар-терапевт",AVERAGE(AD210:AD212),0)))</f>
        <v>364</v>
      </c>
      <c r="AE214" s="205">
        <f>IF($B$210="Лікар загальної практики - сімейний лікар",AVERAGE(AE210:AE212),IF($B$210="Лікар-педіатр","x",IF($B$210="Лікар-терапевт",AVERAGE(AE210:AE212),0)))</f>
        <v>321</v>
      </c>
      <c r="AF214" s="205">
        <f>IF($B$210="Лікар загальної практики - сімейний лікар",AVERAGE(AF210:AF212),IF($B$210="Лікар-педіатр","x",IF($B$210="Лікар-терапевт",AVERAGE(AF210:AF212),0)))</f>
        <v>126</v>
      </c>
      <c r="AG214" s="206">
        <f t="shared" si="36"/>
        <v>894</v>
      </c>
      <c r="AH214" s="967"/>
      <c r="AI214" s="201"/>
      <c r="AJ214" s="945"/>
      <c r="AK214" s="960"/>
      <c r="AL214" s="960"/>
      <c r="AM214" s="931"/>
      <c r="AN214" s="949"/>
      <c r="AO214" s="949"/>
      <c r="AP214" s="949"/>
      <c r="AQ214" s="949"/>
      <c r="AR214" s="964"/>
    </row>
    <row r="215" spans="1:44" s="50" customFormat="1" ht="40.5">
      <c r="A215" s="197"/>
      <c r="B215" s="969"/>
      <c r="C215" s="974"/>
      <c r="D215" s="971"/>
      <c r="E215" s="971"/>
      <c r="F215" s="237" t="str">
        <f ca="1">IF(B210="Лікар-педіатр",Законод!$C$17,IF(B210="Лікар загальної практики - сімейний лікар",Законод!$C$21,IF(B210="Лікар-терапевт",Законод!$C$25,"х")))</f>
        <v>ліміт (до 1800)</v>
      </c>
      <c r="G215" s="208">
        <f ca="1">IF($B$210="Лікар загальної практики - сімейний лікар",IF(L214&lt;=Законод!$C$22,G214,Законод!$C$22*'01_Доходи'!G213),IF($B$210="Лікар-педіатр",IF(L214&lt;=Законод!$C$18,G214,Законод!$C$18*'01_Доходи'!G213),IF($B$210="Лікар-терапевт","x",0)))</f>
        <v>10</v>
      </c>
      <c r="H215" s="208">
        <f ca="1">IF($B$210="Лікар загальної практики - сімейний лікар",IF(L214&lt;=Законод!$C$22,H214,Законод!$C$22*'01_Доходи'!H213),IF($B$210="Лікар-педіатр",IF(L214&lt;=Законод!$C$18,H214,Законод!$C$18*'01_Доходи'!H213),IF($B$210="Лікар-терапевт","x",0)))</f>
        <v>73</v>
      </c>
      <c r="I215" s="208">
        <f ca="1">IF($B$210="Лікар загальної практики - сімейний лікар",IF(L214&lt;=Законод!$C$22,I214,Законод!$C$22*'01_Доходи'!I213),IF($B$210="Лікар-педіатр","x",IF($B$210="Лікар-терапевт",IF(L214&lt;=Законод!$C$26,I214,Законод!$C$26*'01_Доходи'!I213),0)))</f>
        <v>364</v>
      </c>
      <c r="J215" s="208">
        <f ca="1">IF($B$210="Лікар загальної практики - сімейний лікар",IF(L214&lt;=Законод!$C$22,J214,Законод!$C$22*'01_Доходи'!J213),IF($B$210="Лікар-педіатр","x",IF($B$210="Лікар-терапевт",IF(L214&lt;=Законод!$C$26,J214,Законод!$C$26*'01_Доходи'!J213),0)))</f>
        <v>321</v>
      </c>
      <c r="K215" s="208">
        <f ca="1">IF($B$210="Лікар загальної практики - сімейний лікар",IF(L214&lt;=Законод!$C$22,K214,Законод!$C$22*'01_Доходи'!K213),IF($B$210="Лікар-педіатр","x",IF($B$210="Лікар-терапевт",IF(L214&lt;=Законод!$C$26,K214,Законод!$C$26*'01_Доходи'!K213),0)))</f>
        <v>126</v>
      </c>
      <c r="L215" s="209">
        <f t="shared" si="33"/>
        <v>894</v>
      </c>
      <c r="M215" s="966"/>
      <c r="N215" s="208">
        <f ca="1">IF($B$210="Лікар загальної практики - сімейний лікар",IF(S214&lt;=Законод!$C$22,N214,Законод!$C$22*'01_Доходи'!N213),IF($B$210="Лікар-педіатр",IF(S214&lt;=Законод!$C$18,N214,Законод!$C$18*'01_Доходи'!N213),IF($B$210="Лікар-терапевт","x",0)))</f>
        <v>10</v>
      </c>
      <c r="O215" s="208">
        <f ca="1">IF($B$210="Лікар загальної практики - сімейний лікар",IF(S214&lt;=Законод!$C$22,O214,Законод!$C$22*'01_Доходи'!O213),IF($B$210="Лікар-педіатр",IF(S214&lt;=Законод!$C$18,O214,Законод!$C$18*'01_Доходи'!O213),IF($B$210="Лікар-терапевт","x",0)))</f>
        <v>73</v>
      </c>
      <c r="P215" s="208">
        <f ca="1">IF($B$210="Лікар загальної практики - сімейний лікар",IF(S214&lt;=Законод!$C$22,P214,Законод!$C$22*'01_Доходи'!P213),IF($B$210="Лікар-педіатр","x",IF($B$210="Лікар-терапевт",IF(S214&lt;=Законод!$C$26,P214,Законод!$C$26*'01_Доходи'!P213),0)))</f>
        <v>364</v>
      </c>
      <c r="Q215" s="208">
        <f ca="1">IF($B$210="Лікар загальної практики - сімейний лікар",IF(S214&lt;=Законод!$C$22,Q214,Законод!$C$22*'01_Доходи'!Q213),IF($B$210="Лікар-педіатр","x",IF($B$210="Лікар-терапевт",IF(S214&lt;=Законод!$C$26,Q214,Законод!$C$26*'01_Доходи'!Q213),0)))</f>
        <v>321</v>
      </c>
      <c r="R215" s="208">
        <f ca="1">IF($B$210="Лікар загальної практики - сімейний лікар",IF(S214&lt;=Законод!$C$22,R214,Законод!$C$22*'01_Доходи'!R213),IF($B$210="Лікар-педіатр","x",IF($B$210="Лікар-терапевт",IF(S214&lt;=Законод!$C$26,R214,Законод!$C$26*'01_Доходи'!R213),0)))</f>
        <v>126</v>
      </c>
      <c r="S215" s="209">
        <f t="shared" si="34"/>
        <v>894</v>
      </c>
      <c r="T215" s="966"/>
      <c r="U215" s="208">
        <f ca="1">IF($B$210="Лікар загальної практики - сімейний лікар",IF(Z214&lt;=Законод!$C$22,U214,Законод!$C$22*'01_Доходи'!U213),IF($B$210="Лікар-педіатр",IF(Z214&lt;=Законод!$C$18,U214,Законод!$C$18*'01_Доходи'!U213),IF($B$210="Лікар-терапевт","x",0)))</f>
        <v>10</v>
      </c>
      <c r="V215" s="208">
        <f ca="1">IF($B$210="Лікар загальної практики - сімейний лікар",IF(Z214&lt;=Законод!$C$22,V214,Законод!$C$22*'01_Доходи'!V213),IF($B$210="Лікар-педіатр",IF(Z214&lt;=Законод!$C$18,V214,Законод!$C$18*'01_Доходи'!V213),IF($B$210="Лікар-терапевт","x",0)))</f>
        <v>73</v>
      </c>
      <c r="W215" s="208">
        <f ca="1">IF($B$210="Лікар загальної практики - сімейний лікар",IF(Z214&lt;=Законод!$C$22,W214,Законод!$C$22*'01_Доходи'!W213),IF($B$210="Лікар-педіатр","x",IF($B$210="Лікар-терапевт",IF(Z214&lt;=Законод!$C$26,W214,Законод!$C$26*'01_Доходи'!W213),0)))</f>
        <v>364</v>
      </c>
      <c r="X215" s="208">
        <f ca="1">IF($B$210="Лікар загальної практики - сімейний лікар",IF(Z214&lt;=Законод!$C$22,X214,Законод!$C$22*'01_Доходи'!X213),IF($B$210="Лікар-педіатр","x",IF($B$210="Лікар-терапевт",IF(Z214&lt;=Законод!$C$26,X214,Законод!$C$26*'01_Доходи'!X213),0)))</f>
        <v>321</v>
      </c>
      <c r="Y215" s="208">
        <f ca="1">IF($B$210="Лікар загальної практики - сімейний лікар",IF(Z214&lt;=Законод!$C$22,Y214,Законод!$C$22*'01_Доходи'!Y213),IF($B$210="Лікар-педіатр","x",IF($B$210="Лікар-терапевт",IF(Z214&lt;=Законод!$C$26,Y214,Законод!$C$26*'01_Доходи'!Y213),0)))</f>
        <v>126</v>
      </c>
      <c r="Z215" s="209">
        <f t="shared" si="35"/>
        <v>894</v>
      </c>
      <c r="AA215" s="966"/>
      <c r="AB215" s="208">
        <f ca="1">IF($B$210="Лікар загальної практики - сімейний лікар",IF(AG214&lt;=Законод!$C$22,AB214,Законод!$C$22*'01_Доходи'!AB213),IF($B$210="Лікар-педіатр",IF(AG214&lt;=Законод!$C$18,AB214,Законод!$C$18*'01_Доходи'!AB213),IF($B$210="Лікар-терапевт","x",0)))</f>
        <v>10</v>
      </c>
      <c r="AC215" s="208">
        <f ca="1">IF($B$210="Лікар загальної практики - сімейний лікар",IF(AG214&lt;=Законод!$C$22,AC214,Законод!$C$22*'01_Доходи'!AC213),IF($B$210="Лікар-педіатр",IF(AG214&lt;=Законод!$C$18,AC214,Законод!$C$18*'01_Доходи'!AC213),IF($B$210="Лікар-терапевт","x",0)))</f>
        <v>73</v>
      </c>
      <c r="AD215" s="208">
        <f ca="1">IF($B$210="Лікар загальної практики - сімейний лікар",IF(AG214&lt;=Законод!$C$22,AD214,Законод!$C$22*'01_Доходи'!AD213),IF($B$210="Лікар-педіатр","x",IF($B$210="Лікар-терапевт",IF(AG214&lt;=Законод!$C$26,AD214,Законод!$C$26*'01_Доходи'!AD213),0)))</f>
        <v>364</v>
      </c>
      <c r="AE215" s="208">
        <f ca="1">IF($B$210="Лікар загальної практики - сімейний лікар",IF(AG214&lt;=Законод!$C$22,AE214,Законод!$C$22*'01_Доходи'!AE213),IF($B$210="Лікар-педіатр","x",IF($B$210="Лікар-терапевт",IF(AG214&lt;=Законод!$C$26,AE214,Законод!$C$26*'01_Доходи'!AE213),0)))</f>
        <v>321</v>
      </c>
      <c r="AF215" s="208">
        <f ca="1">IF($B$210="Лікар загальної практики - сімейний лікар",IF(AG214&lt;=Законод!$C$22,AF214,Законод!$C$22*'01_Доходи'!AF213),IF($B$210="Лікар-педіатр","x",IF($B$210="Лікар-терапевт",IF(AG214&lt;=Законод!$C$26,AF214,Законод!$C$26*'01_Доходи'!AF213),0)))</f>
        <v>126</v>
      </c>
      <c r="AG215" s="209">
        <f t="shared" si="36"/>
        <v>894</v>
      </c>
      <c r="AH215" s="966"/>
      <c r="AI215" s="201"/>
      <c r="AJ215" s="945"/>
      <c r="AK215" s="960"/>
      <c r="AL215" s="960"/>
      <c r="AM215" s="348" t="s">
        <v>451</v>
      </c>
      <c r="AN215" s="210">
        <f ca="1">IF(B210="Лікар загальної практики - сімейний лікар",G215*Законод!$C$11+'01_Доходи'!H215*Законод!$D$11+'01_Доходи'!I215*Законод!$E$11+'01_Доходи'!J215*Законод!$F$11+'01_Доходи'!K215*Законод!$G$11,IF(B210="Лікар-педіатр",G215*Законод!$C$11+'01_Доходи'!H215*Законод!$D$11,IF(B210="Лікар-терапевт",'01_Доходи'!I215*Законод!$E$11+'01_Доходи'!J215*Законод!$F$11+'01_Доходи'!K215*Законод!$G$11,0)))</f>
        <v>145591.80536249999</v>
      </c>
      <c r="AO215" s="210">
        <f ca="1">IF(B210="Лікар загальної практики - сімейний лікар",N215*Законод!$C$11+'01_Доходи'!O215*Законод!$D$11+'01_Доходи'!P215*Законод!$E$11+'01_Доходи'!Q215*Законод!$F$11+'01_Доходи'!R215*Законод!$G$11,IF(B210="Лікар-педіатр",N215*Законод!$C$11+'01_Доходи'!O215*Законод!$D$11,IF(B210="Лікар-терапевт",'01_Доходи'!P215*Законод!$E$11+'01_Доходи'!Q215*Законод!$F$11+'01_Доходи'!R215*Законод!$G$11,0)))</f>
        <v>145591.80536249999</v>
      </c>
      <c r="AP215" s="210">
        <f ca="1">IF(B210="Лікар загальної практики - сімейний лікар",U215*Законод!$C$11+'01_Доходи'!V215*Законод!$D$11+'01_Доходи'!W215*Законод!$E$11+'01_Доходи'!X215*Законод!$F$11+'01_Доходи'!Y215*Законод!$G$11,IF(B210="Лікар-педіатр",U215*Законод!$C$11+'01_Доходи'!V215*Законод!$D$11,IF(B210="Лікар-терапевт",'01_Доходи'!W215*Законод!$E$11+'01_Доходи'!X215*Законод!$F$11+'01_Доходи'!Y215*Законод!$G$11,0)))</f>
        <v>145591.80536249999</v>
      </c>
      <c r="AQ215" s="210">
        <f ca="1">IF(B210="Лікар загальної практики - сімейний лікар",AB215*Законод!$C$11+'01_Доходи'!AC215*Законод!$D$11+'01_Доходи'!AD215*Законод!$E$11+'01_Доходи'!AE215*Законод!$F$11+'01_Доходи'!AF215*Законод!$G$11,IF(B210="Лікар-педіатр",AB215*Законод!$C$11+'01_Доходи'!AC215*Законод!$D$11,IF(B210="Лікар-терапевт",'01_Доходи'!AD215*Законод!$E$11+'01_Доходи'!AE215*Законод!$F$11+'01_Доходи'!AF215*Законод!$G$11,0)))</f>
        <v>145591.80536249999</v>
      </c>
      <c r="AR215" s="211">
        <f t="shared" ref="AR215:AR221" si="37">SUM(AN215:AQ215)</f>
        <v>582367.22144999995</v>
      </c>
    </row>
    <row r="216" spans="1:44" s="50" customFormat="1" ht="31.9" customHeight="1">
      <c r="A216" s="197"/>
      <c r="B216" s="969"/>
      <c r="C216" s="974"/>
      <c r="D216" s="971"/>
      <c r="E216" s="971"/>
      <c r="F216" s="238" t="str">
        <f ca="1">IF(B210="Лікар-педіатр",Законод!$E$17,IF(B210="Лікар загальної практики - сімейний лікар",Законод!$E$21,IF(B210="Лікар-терапевт",Законод!$E$25,"х")))</f>
        <v>понад ліміт (1801-1980)</v>
      </c>
      <c r="G216" s="965" t="s">
        <v>423</v>
      </c>
      <c r="H216" s="965"/>
      <c r="I216" s="965"/>
      <c r="J216" s="965"/>
      <c r="K216" s="965"/>
      <c r="L216" s="196">
        <f ca="1">IF($B$210="Лікар загальної практики - сімейний лікар",IF(L214&lt;Законод!$C$22,0,(IF(AND(L214&gt;=Законод!$E$22,L214&lt;=Законод!$E$23),L214-Законод!$C$22,IF('01_Доходи'!L214&gt;=Законод!$F$22,Законод!$E$24,0)))),IF($B$210="Лікар-педіатр",IF(L214&lt;Законод!$C$18,0,(IF(AND(L214&gt;=Законод!$E$18,L214&lt;=Законод!$E$19),L214-Законод!$C$18,IF('01_Доходи'!L214&gt;=Законод!$F$18,Законод!$E$20,0)))),IF($B$210="Лікар-терапевт",IF(L214&lt;Законод!$C$26,0,(IF(AND(L214&gt;=Законод!$E$26,L214&lt;=Законод!$E$27),L214-Законод!$C$26,IF('01_Доходи'!L214&gt;=Законод!$F$26,Законод!$E$28,0)))),0)))</f>
        <v>0</v>
      </c>
      <c r="M216" s="966"/>
      <c r="N216" s="965" t="s">
        <v>423</v>
      </c>
      <c r="O216" s="965"/>
      <c r="P216" s="965"/>
      <c r="Q216" s="965"/>
      <c r="R216" s="965"/>
      <c r="S216" s="196">
        <f ca="1">IF($B$210="Лікар загальної практики - сімейний лікар",IF(S214&lt;Законод!$C$22,0,(IF(AND(S214&gt;=Законод!$E$22,S214&lt;=Законод!$E$23),S214-Законод!$C$22,IF('01_Доходи'!S214&gt;=Законод!$F$22,Законод!$E$24,0)))),IF($B$210="Лікар-педіатр",IF(S214&lt;Законод!$C$18,0,(IF(AND(S214&gt;=Законод!$E$18,S214&lt;=Законод!$E$19),S214-Законод!$C$18,IF('01_Доходи'!S214&gt;=Законод!$F$18,Законод!$E$20,0)))),IF($B$210="Лікар-терапевт",IF(S214&lt;Законод!$C$26,0,(IF(AND(S214&gt;=Законод!$E$26,S214&lt;=Законод!$E$27),S214-Законод!$C$26,IF('01_Доходи'!S214&gt;=Законод!$F$26,Законод!$E$28,0)))),0)))</f>
        <v>0</v>
      </c>
      <c r="T216" s="966"/>
      <c r="U216" s="965" t="s">
        <v>423</v>
      </c>
      <c r="V216" s="965"/>
      <c r="W216" s="965"/>
      <c r="X216" s="965"/>
      <c r="Y216" s="965"/>
      <c r="Z216" s="196">
        <f ca="1">IF($B$210="Лікар загальної практики - сімейний лікар",IF(Z214&lt;Законод!$C$22,0,(IF(AND(Z214&gt;=Законод!$E$22,Z214&lt;=Законод!$E$23),Z214-Законод!$C$22,IF('01_Доходи'!Z214&gt;=Законод!$F$22,Законод!$E$24,0)))),IF($B$210="Лікар-педіатр",IF(Z214&lt;Законод!$C$18,0,(IF(AND(Z214&gt;=Законод!$E$18,Z214&lt;=Законод!$E$19),Z214-Законод!$C$18,IF('01_Доходи'!Z214&gt;=Законод!$F$18,Законод!$E$20,0)))),IF($B$210="Лікар-терапевт",IF(Z214&lt;Законод!$C$26,0,(IF(AND(Z214&gt;=Законод!$E$26,Z214&lt;=Законод!$E$27),Z214-Законод!$C$26,IF('01_Доходи'!Z214&gt;=Законод!$F$26,Законод!$E$28,0)))),0)))</f>
        <v>0</v>
      </c>
      <c r="AA216" s="966"/>
      <c r="AB216" s="965" t="s">
        <v>423</v>
      </c>
      <c r="AC216" s="965"/>
      <c r="AD216" s="965"/>
      <c r="AE216" s="965"/>
      <c r="AF216" s="965"/>
      <c r="AG216" s="196">
        <f ca="1">IF($B$210="Лікар загальної практики - сімейний лікар",IF(AG214&lt;Законод!$C$22,0,(IF(AND(AG214&gt;=Законод!$E$22,AG214&lt;=Законод!$E$23),AG214-Законод!$C$22,IF('01_Доходи'!AG214&gt;=Законод!$F$22,Законод!$E$24,0)))),IF($B$210="Лікар-педіатр",IF(AG214&lt;Законод!$C$18,0,(IF(AND(AG214&gt;=Законод!$E$18,AG214&lt;=Законод!$E$19),AG214-Законод!$C$18,IF('01_Доходи'!AG214&gt;=Законод!$F$18,Законод!$E$20,0)))),IF($B$210="Лікар-терапевт",IF(AG214&lt;Законод!$C$26,0,(IF(AND(AG214&gt;=Законод!$E$26,AG214&lt;=Законод!$E$27),AG214-Законод!$C$26,IF('01_Доходи'!AG214&gt;=Законод!$F$26,Законод!$E$28,0)))),0)))</f>
        <v>0</v>
      </c>
      <c r="AH216" s="966"/>
      <c r="AI216" s="201"/>
      <c r="AJ216" s="945"/>
      <c r="AK216" s="960"/>
      <c r="AL216" s="960"/>
      <c r="AM216" s="926" t="s">
        <v>452</v>
      </c>
      <c r="AN216" s="210">
        <f ca="1">IF(B210="Лікар загальної практики - сімейний лікар",L216*Законод!$C$9/4*Законод!$E$16,IF(B210="Лікар-педіатр",L216*Законод!$C$9/4*Законод!$E$16,IF(B210="Лікар-терапевт",L216*Законод!$C$9/4*Законод!$E$16,0)))</f>
        <v>0</v>
      </c>
      <c r="AO216" s="210">
        <f ca="1">IF(B210="Лікар загальної практики - сімейний лікар",S216*Законод!$C$9/4*Законод!$E$16,IF(B210="Лікар-педіатр",S216*Законод!$C$9/4*Законод!$E$16,IF(B210="Лікар-терапевт",S216*Законод!$C$9/4*Законод!$E$16,0)))</f>
        <v>0</v>
      </c>
      <c r="AP216" s="210">
        <f ca="1">IF(B210="Лікар загальної практики - сімейний лікар",Z216*Законод!$C$9/4*Законод!$E$16,IF(B210="Лікар-педіатр",Z216*Законод!$C$9/4*Законод!$E$16,IF(B210="Лікар-терапевт",Z216*Законод!$C$9/4*Законод!$E$16,0)))</f>
        <v>0</v>
      </c>
      <c r="AQ216" s="210">
        <f ca="1">IF(B210="Лікар загальної практики - сімейний лікар",AG216*Законод!$C$9/4*Законод!$E$16,IF(B210="Лікар-педіатр",AG216*Законод!$C$9/4*Законод!$E$16,IF(B210="Лікар-терапевт",AG216*Законод!$C$9/4*Законод!$E$16,0)))</f>
        <v>0</v>
      </c>
      <c r="AR216" s="211">
        <f t="shared" si="37"/>
        <v>0</v>
      </c>
    </row>
    <row r="217" spans="1:44" s="50" customFormat="1" ht="31.9" customHeight="1">
      <c r="A217" s="197"/>
      <c r="B217" s="969"/>
      <c r="C217" s="974"/>
      <c r="D217" s="971"/>
      <c r="E217" s="971"/>
      <c r="F217" s="238" t="str">
        <f ca="1">IF(B210="Лікар-педіатр",Законод!$F$17,IF(B210="Лікар загальної практики - сімейний лікар",Законод!$F$21,IF(B210="Лікар-терапевт",Законод!$F$25,"х")))</f>
        <v>понад ліміт (1981-2160)</v>
      </c>
      <c r="G217" s="965" t="s">
        <v>423</v>
      </c>
      <c r="H217" s="965"/>
      <c r="I217" s="965"/>
      <c r="J217" s="965"/>
      <c r="K217" s="965"/>
      <c r="L217" s="196">
        <f ca="1">IF($B$210="Лікар загальної практики - сімейний лікар",IF(L214&lt;Законод!$C$22,0,(IF(AND(L214&gt;=Законод!$F$22,L214&lt;=Законод!$F$23),L214-Законод!$E$23,IF('01_Доходи'!L214&gt;=Законод!$G$22,Законод!$F$24,0)))),IF($B$210="Лікар-педіатр",IF(L214&lt;Законод!$C$18,0,(IF(AND(L214&gt;=Законод!$F$18,L214&lt;=Законод!$F$19),L214-Законод!$E$19,IF('01_Доходи'!L214&gt;=Законод!$G$18,Законод!$F$20,0)))),IF($B$210="Лікар-терапевт",IF(L214&lt;Законод!$C$26,0,(IF(AND(L214&gt;=Законод!$F$26,L214&lt;=Законод!$F$27),L214-Законод!$E$27,IF('01_Доходи'!L214&gt;=Законод!$G$26,Законод!$F$28,0)))),0)))</f>
        <v>0</v>
      </c>
      <c r="M217" s="966"/>
      <c r="N217" s="965" t="s">
        <v>423</v>
      </c>
      <c r="O217" s="965"/>
      <c r="P217" s="965"/>
      <c r="Q217" s="965"/>
      <c r="R217" s="965"/>
      <c r="S217" s="196">
        <f ca="1">IF($B$210="Лікар загальної практики - сімейний лікар",IF(S214&lt;Законод!$C$22,0,(IF(AND(S214&gt;=Законод!$F$22,S214&lt;=Законод!$F$23),S214-Законод!$E$23,IF('01_Доходи'!S214&gt;=Законод!$G$22,Законод!$F$24,0)))),IF($B$210="Лікар-педіатр",IF(S214&lt;Законод!$C$18,0,(IF(AND(S214&gt;=Законод!$F$18,S214&lt;=Законод!$F$19),S214-Законод!$E$19,IF('01_Доходи'!S214&gt;=Законод!$G$18,Законод!$F$20,0)))),IF($B$210="Лікар-терапевт",IF(S214&lt;Законод!$C$26,0,(IF(AND(S214&gt;=Законод!$F$26,S214&lt;=Законод!$F$27),S214-Законод!$E$27,IF('01_Доходи'!S214&gt;=Законод!$G$26,Законод!$F$28,0)))),0)))</f>
        <v>0</v>
      </c>
      <c r="T217" s="966"/>
      <c r="U217" s="965" t="s">
        <v>423</v>
      </c>
      <c r="V217" s="965"/>
      <c r="W217" s="965"/>
      <c r="X217" s="965"/>
      <c r="Y217" s="965"/>
      <c r="Z217" s="196">
        <f ca="1">IF($B$210="Лікар загальної практики - сімейний лікар",IF(Z214&lt;Законод!$C$22,0,(IF(AND(Z214&gt;=Законод!$F$22,Z214&lt;=Законод!$F$23),Z214-Законод!$E$23,IF('01_Доходи'!Z214&gt;=Законод!$G$22,Законод!$F$24,0)))),IF($B$210="Лікар-педіатр",IF(Z214&lt;Законод!$C$18,0,(IF(AND(Z214&gt;=Законод!$F$18,Z214&lt;=Законод!$F$19),Z214-Законод!$E$19,IF('01_Доходи'!Z214&gt;=Законод!$G$18,Законод!$F$20,0)))),IF($B$210="Лікар-терапевт",IF(Z214&lt;Законод!$C$26,0,(IF(AND(Z214&gt;=Законод!$F$26,Z214&lt;=Законод!$F$27),Z214-Законод!$E$27,IF('01_Доходи'!Z214&gt;=Законод!$G$26,Законод!$F$28,0)))),0)))</f>
        <v>0</v>
      </c>
      <c r="AA217" s="966"/>
      <c r="AB217" s="965" t="s">
        <v>423</v>
      </c>
      <c r="AC217" s="965"/>
      <c r="AD217" s="965"/>
      <c r="AE217" s="965"/>
      <c r="AF217" s="965"/>
      <c r="AG217" s="196">
        <f ca="1">IF($B$210="Лікар загальної практики - сімейний лікар",IF(AG214&lt;Законод!$C$22,0,(IF(AND(AG214&gt;=Законод!$F$22,AG214&lt;=Законод!$F$23),AG214-Законод!$E$23,IF('01_Доходи'!AG214&gt;=Законод!$G$22,Законод!$F$24,0)))),IF($B$210="Лікар-педіатр",IF(AG214&lt;Законод!$C$18,0,(IF(AND(AG214&gt;=Законод!$F$18,AG214&lt;=Законод!$F$19),AG214-Законод!$E$19,IF('01_Доходи'!AG214&gt;=Законод!$G$18,Законод!$F$20,0)))),IF($B$210="Лікар-терапевт",IF(AG214&lt;Законод!$C$26,0,(IF(AND(AG214&gt;=Законод!$F$26,AG214&lt;=Законод!$F$27),AG214-Законод!$E$27,IF('01_Доходи'!AG214&gt;=Законод!$G$26,Законод!$F$28,0)))),0)))</f>
        <v>0</v>
      </c>
      <c r="AH217" s="966"/>
      <c r="AI217" s="201"/>
      <c r="AJ217" s="945"/>
      <c r="AK217" s="960"/>
      <c r="AL217" s="960"/>
      <c r="AM217" s="927"/>
      <c r="AN217" s="210">
        <f ca="1">IF(B210="Лікар загальної практики - сімейний лікар",L217*Законод!$C$9/4*Законод!$F$16,IF(B210="Лікар-педіатр",L217*Законод!$C$9/4*Законод!$F$16,IF(B210="Лікар-терапевт",L217*Законод!$C$9/4*Законод!$F$16,0)))</f>
        <v>0</v>
      </c>
      <c r="AO217" s="210">
        <f ca="1">IF(B210="Лікар загальної практики - сімейний лікар",S217*Законод!$C$9/4*Законод!$F$16,IF(B210="Лікар-педіатр",S217*Законод!$C$9/4*Законод!$F$16,IF(B210="Лікар-терапевт",S217*Законод!$C$9/4*Законод!$F$16,0)))</f>
        <v>0</v>
      </c>
      <c r="AP217" s="210">
        <f ca="1">IF(B210="Лікар загальної практики - сімейний лікар",Z217*Законод!$C$9/4*Законод!$F$16,IF(B210="Лікар-педіатр",Z217*Законод!$C$9/4*Законод!$F$16,IF(B210="Лікар-терапевт",Z217*Законод!$C$9/4*Законод!$F$16,0)))</f>
        <v>0</v>
      </c>
      <c r="AQ217" s="210">
        <f ca="1">IF(B210="Лікар загальної практики - сімейний лікар",AG217*Законод!$C$9/4*Законод!$F$16,IF(B210="Лікар-педіатр",AG217*Законод!$C$9/4*Законод!$F$16,IF(B210="Лікар-терапевт",AG217*Законод!$C$9/4*Законод!$F$16,0)))</f>
        <v>0</v>
      </c>
      <c r="AR217" s="211">
        <f t="shared" si="37"/>
        <v>0</v>
      </c>
    </row>
    <row r="218" spans="1:44" s="50" customFormat="1" ht="31.9" customHeight="1">
      <c r="A218" s="197"/>
      <c r="B218" s="969"/>
      <c r="C218" s="974"/>
      <c r="D218" s="971"/>
      <c r="E218" s="971"/>
      <c r="F218" s="238" t="str">
        <f ca="1">IF(B210="Лікар-педіатр",Законод!$G$17,IF(B210="Лікар загальної практики - сімейний лікар",Законод!$G$21,IF(B210="Лікар-терапевт",Законод!$G$25,"х")))</f>
        <v>понад ліміт (2161-2340)</v>
      </c>
      <c r="G218" s="965" t="s">
        <v>423</v>
      </c>
      <c r="H218" s="965"/>
      <c r="I218" s="965"/>
      <c r="J218" s="965"/>
      <c r="K218" s="965"/>
      <c r="L218" s="196">
        <f ca="1">IF($B$210="Лікар загальної практики - сімейний лікар",IF(L214&lt;Законод!$C$22,0,(IF(AND(L214&gt;=Законод!$G$22,L214&lt;=Законод!$G$23),L214-Законод!$F$23,IF('01_Доходи'!L214&gt;=Законод!$H$22,Законод!$G$24,0)))),IF($B$210="Лікар-педіатр",IF(L214&lt;Законод!$C$18,0,(IF(AND(L214&gt;=Законод!$G$18,L214&lt;=Законод!$G$19),L214-Законод!$F$19,IF('01_Доходи'!L214&gt;=Законод!$H$18,Законод!$G$20,0)))),IF($B$210="Лікар-терапевт",IF(L214&lt;Законод!$C$26,0,(IF(AND(L214&gt;=Законод!$G$26,L214&lt;=Законод!$G$27),L214-Законод!$F$27,IF('01_Доходи'!L214&gt;=Законод!$H$26,Законод!$G$28,0)))),0)))</f>
        <v>0</v>
      </c>
      <c r="M218" s="966"/>
      <c r="N218" s="965" t="s">
        <v>423</v>
      </c>
      <c r="O218" s="965"/>
      <c r="P218" s="965"/>
      <c r="Q218" s="965"/>
      <c r="R218" s="965"/>
      <c r="S218" s="196">
        <f ca="1">IF($B$210="Лікар загальної практики - сімейний лікар",IF(S214&lt;Законод!$C$22,0,(IF(AND(S214&gt;=Законод!$G$22,S214&lt;=Законод!$G$23),S214-Законод!$F$23,IF('01_Доходи'!S214&gt;=Законод!$H$22,Законод!$G$24,0)))),IF($B$210="Лікар-педіатр",IF(S214&lt;Законод!$C$18,0,(IF(AND(S214&gt;=Законод!$G$18,S214&lt;=Законод!$G$19),S214-Законод!$F$19,IF('01_Доходи'!S214&gt;=Законод!$H$18,Законод!$G$20,0)))),IF($B$210="Лікар-терапевт",IF(S214&lt;Законод!$C$26,0,(IF(AND(S214&gt;=Законод!$G$26,S214&lt;=Законод!$G$27),S214-Законод!$F$27,IF('01_Доходи'!S214&gt;=Законод!$H$26,Законод!$G$28,0)))),0)))</f>
        <v>0</v>
      </c>
      <c r="T218" s="966"/>
      <c r="U218" s="965" t="s">
        <v>423</v>
      </c>
      <c r="V218" s="965"/>
      <c r="W218" s="965"/>
      <c r="X218" s="965"/>
      <c r="Y218" s="965"/>
      <c r="Z218" s="196">
        <f ca="1">IF($B$210="Лікар загальної практики - сімейний лікар",IF(Z214&lt;Законод!$C$22,0,(IF(AND(Z214&gt;=Законод!$G$22,Z214&lt;=Законод!$G$23),Z214-Законод!$F$23,IF('01_Доходи'!Z214&gt;=Законод!$H$22,Законод!$G$24,0)))),IF($B$210="Лікар-педіатр",IF(Z214&lt;Законод!$C$18,0,(IF(AND(Z214&gt;=Законод!$G$18,Z214&lt;=Законод!$G$19),Z214-Законод!$F$19,IF('01_Доходи'!Z214&gt;=Законод!$H$18,Законод!$G$20,0)))),IF($B$210="Лікар-терапевт",IF(Z214&lt;Законод!$C$26,0,(IF(AND(Z214&gt;=Законод!$G$26,Z214&lt;=Законод!$G$27),Z214-Законод!$F$27,IF('01_Доходи'!Z214&gt;=Законод!$H$26,Законод!$G$28,0)))),0)))</f>
        <v>0</v>
      </c>
      <c r="AA218" s="966"/>
      <c r="AB218" s="965" t="s">
        <v>423</v>
      </c>
      <c r="AC218" s="965"/>
      <c r="AD218" s="965"/>
      <c r="AE218" s="965"/>
      <c r="AF218" s="965"/>
      <c r="AG218" s="196">
        <f ca="1">IF($B$210="Лікар загальної практики - сімейний лікар",IF(AG214&lt;Законод!$C$22,0,(IF(AND(AG214&gt;=Законод!$G$22,AG214&lt;=Законод!$G$23),AG214-Законод!$F$23,IF('01_Доходи'!AG214&gt;=Законод!$H$22,Законод!$G$24,0)))),IF($B$210="Лікар-педіатр",IF(AG214&lt;Законод!$C$18,0,(IF(AND(AG214&gt;=Законод!$G$18,AG214&lt;=Законод!$G$19),AG214-Законод!$F$19,IF('01_Доходи'!AG214&gt;=Законод!$H$18,Законод!$G$20,0)))),IF($B$210="Лікар-терапевт",IF(AG214&lt;Законод!$C$26,0,(IF(AND(AG214&gt;=Законод!$G$26,AG214&lt;=Законод!$G$27),AG214-Законод!$F$27,IF('01_Доходи'!AG214&gt;=Законод!$H$26,Законод!$G$28,0)))),0)))</f>
        <v>0</v>
      </c>
      <c r="AH218" s="966"/>
      <c r="AI218" s="201"/>
      <c r="AJ218" s="945"/>
      <c r="AK218" s="960"/>
      <c r="AL218" s="960"/>
      <c r="AM218" s="927"/>
      <c r="AN218" s="210">
        <f ca="1">IF(B210="Лікар загальної практики - сімейний лікар",L218*Законод!$C$9/4*Законод!$G$16,IF(B210="Лікар-педіатр",L218*Законод!$C$9/4*Законод!$G$16,IF(B210="Лікар-терапевт",L218*Законод!$C$9/4*Законод!$G$16,0)))</f>
        <v>0</v>
      </c>
      <c r="AO218" s="210">
        <f ca="1">IF(B210="Лікар загальної практики - сімейний лікар",S218*Законод!$C$9/4*Законод!$G$16,IF(B210="Лікар-педіатр",S218*Законод!$C$9/4*Законод!$G$16,IF(B210="Лікар-терапевт",S218*Законод!$C$9/4*Законод!$G$16,0)))</f>
        <v>0</v>
      </c>
      <c r="AP218" s="210">
        <f ca="1">IF(B210="Лікар загальної практики - сімейний лікар",Z218*Законод!$C$9/4*Законод!$G$16,IF(B210="Лікар-педіатр",Z218*Законод!$C$9/4*Законод!$G$16,IF(B210="Лікар-терапевт",Z218*Законод!$C$9/4*Законод!$G$16,0)))</f>
        <v>0</v>
      </c>
      <c r="AQ218" s="210">
        <f ca="1">IF(B210="Лікар загальної практики - сімейний лікар",AG218*Законод!$C$9/4*Законод!$G$16,IF(B210="Лікар-педіатр",AG218*Законод!$C$9/4*Законод!$G$16,IF(B210="Лікар-терапевт",AG218*Законод!$C$9/4*Законод!$G$16,0)))</f>
        <v>0</v>
      </c>
      <c r="AR218" s="211">
        <f t="shared" si="37"/>
        <v>0</v>
      </c>
    </row>
    <row r="219" spans="1:44" s="50" customFormat="1" ht="31.9" customHeight="1">
      <c r="A219" s="197"/>
      <c r="B219" s="969"/>
      <c r="C219" s="974"/>
      <c r="D219" s="971"/>
      <c r="E219" s="971"/>
      <c r="F219" s="238" t="str">
        <f ca="1">IF(B210="Лікар-педіатр",Законод!$H$17,IF(B210="Лікар загальної практики - сімейний лікар",Законод!$H$21,IF(B210="Лікар-терапевт",Законод!$H$25,"х")))</f>
        <v>понад ліміт (2341-2520)</v>
      </c>
      <c r="G219" s="965" t="s">
        <v>423</v>
      </c>
      <c r="H219" s="965"/>
      <c r="I219" s="965"/>
      <c r="J219" s="965"/>
      <c r="K219" s="965"/>
      <c r="L219" s="196">
        <f ca="1">IF($B$210="Лікар загальної практики - сімейний лікар",IF(L214&lt;Законод!$C$22,0,(IF(AND(L214&gt;=Законод!$H$22,L214&lt;=Законод!$H$23),L214-Законод!$G$23,IF('01_Доходи'!L214&gt;=Законод!$I$22,Законод!$H$24,0)))),IF($B$210="Лікар-педіатр",IF(L214&lt;Законод!$C$18,0,(IF(AND(L214&gt;=Законод!$H$18,L214&lt;=Законод!$H$19),L214-Законод!$G$19,IF('01_Доходи'!L214&gt;=Законод!$I$18,Законод!$H$20,0)))),IF($B$210="Лікар-терапевт",IF(L214&lt;Законод!$C$26,0,(IF(AND(L214&gt;=Законод!$H$26,L214&lt;=Законод!$H$27),L214-Законод!$G$27,IF(L214&gt;=Законод!$I$26,Законод!$H$28,0)))),0)))</f>
        <v>0</v>
      </c>
      <c r="M219" s="966"/>
      <c r="N219" s="965" t="s">
        <v>423</v>
      </c>
      <c r="O219" s="965"/>
      <c r="P219" s="965"/>
      <c r="Q219" s="965"/>
      <c r="R219" s="965"/>
      <c r="S219" s="196">
        <f ca="1">IF($B$210="Лікар загальної практики - сімейний лікар",IF(S214&lt;Законод!$C$22,0,(IF(AND(S214&gt;=Законод!$H$22,S214&lt;=Законод!$H$23),S214-Законод!$G$23,IF('01_Доходи'!S214&gt;=Законод!$I$22,Законод!$H$24,0)))),IF($B$210="Лікар-педіатр",IF(S214&lt;Законод!$C$18,0,(IF(AND(S214&gt;=Законод!$H$18,S214&lt;=Законод!$H$19),S214-Законод!$G$19,IF('01_Доходи'!S214&gt;=Законод!$I$18,Законод!$H$20,0)))),IF($B$210="Лікар-терапевт",IF(S214&lt;Законод!$C$26,0,(IF(AND(S214&gt;=Законод!$H$26,S214&lt;=Законод!$H$27),S214-Законод!$G$27,IF(S214&gt;=Законод!$I$26,Законод!$H$28,0)))),0)))</f>
        <v>0</v>
      </c>
      <c r="T219" s="966"/>
      <c r="U219" s="965" t="s">
        <v>423</v>
      </c>
      <c r="V219" s="965"/>
      <c r="W219" s="965"/>
      <c r="X219" s="965"/>
      <c r="Y219" s="965"/>
      <c r="Z219" s="196">
        <f ca="1">IF($B$210="Лікар загальної практики - сімейний лікар",IF(Z214&lt;Законод!$C$22,0,(IF(AND(Z214&gt;=Законод!$H$22,Z214&lt;=Законод!$H$23),Z214-Законод!$G$23,IF('01_Доходи'!Z214&gt;=Законод!$I$22,Законод!$H$24,0)))),IF($B$210="Лікар-педіатр",IF(Z214&lt;Законод!$C$18,0,(IF(AND(Z214&gt;=Законод!$H$18,Z214&lt;=Законод!$H$19),Z214-Законод!$G$19,IF('01_Доходи'!Z214&gt;=Законод!$I$18,Законод!$H$20,0)))),IF($B$210="Лікар-терапевт",IF(Z214&lt;Законод!$C$26,0,(IF(AND(Z214&gt;=Законод!$H$26,Z214&lt;=Законод!$H$27),Z214-Законод!$G$27,IF(Z214&gt;=Законод!$I$26,Законод!$H$28,0)))),0)))</f>
        <v>0</v>
      </c>
      <c r="AA219" s="966"/>
      <c r="AB219" s="965" t="s">
        <v>423</v>
      </c>
      <c r="AC219" s="965"/>
      <c r="AD219" s="965"/>
      <c r="AE219" s="965"/>
      <c r="AF219" s="965"/>
      <c r="AG219" s="196">
        <f ca="1">IF($B$210="Лікар загальної практики - сімейний лікар",IF(AG214&lt;Законод!$C$22,0,(IF(AND(AG214&gt;=Законод!$H$22,AG214&lt;=Законод!$H$23),AG214-Законод!$G$23,IF('01_Доходи'!AG214&gt;=Законод!$I$22,Законод!$H$24,0)))),IF($B$210="Лікар-педіатр",IF(AG214&lt;Законод!$C$18,0,(IF(AND(AG214&gt;=Законод!$H$18,AG214&lt;=Законод!$H$19),AG214-Законод!$G$19,IF('01_Доходи'!AG214&gt;=Законод!$I$18,Законод!$H$20,0)))),IF($B$210="Лікар-терапевт",IF(AG214&lt;Законод!$C$26,0,(IF(AND(AG214&gt;=Законод!$H$26,AG214&lt;=Законод!$H$27),AG214-Законод!$G$27,IF(AG214&gt;=Законод!$I$26,Законод!$H$28,0)))),0)))</f>
        <v>0</v>
      </c>
      <c r="AH219" s="966"/>
      <c r="AI219" s="201"/>
      <c r="AJ219" s="945"/>
      <c r="AK219" s="960"/>
      <c r="AL219" s="960"/>
      <c r="AM219" s="927"/>
      <c r="AN219" s="210">
        <f ca="1">IF(B210="Лікар загальної практики - сімейний лікар",L219*Законод!$C$9/4*Законод!$H$16,IF(B210="Лікар-педіатр",L219*Законод!$C$9/4*Законод!$H$16,IF(B210="Лікар-терапевт",L219*Законод!$C$9/4*Законод!$H$16,0)))</f>
        <v>0</v>
      </c>
      <c r="AO219" s="210">
        <f ca="1">IF(B210="Лікар загальної практики - сімейний лікар",S219*Законод!$C$9/4*Законод!$H$16,IF(B210="Лікар-педіатр",S219*Законод!$C$9/4*Законод!$H$16,IF(B210="Лікар-терапевт",S219*Законод!$C$9/4*Законод!$H$16,0)))</f>
        <v>0</v>
      </c>
      <c r="AP219" s="210">
        <f ca="1">IF(B210="Лікар загальної практики - сімейний лікар",Z219*Законод!$C$9/4*Законод!$H$16,IF(B210="Лікар-педіатр",Z219*Законод!$C$9/4*Законод!$H$16,IF(B210="Лікар-терапевт",Z219*Законод!$C$9/4*Законод!$H$16,0)))</f>
        <v>0</v>
      </c>
      <c r="AQ219" s="210">
        <f ca="1">IF(B210="Лікар загальної практики - сімейний лікар",AG219*Законод!$C$9/4*Законод!$H$16,IF(B210="Лікар-педіатр",AG219*Законод!$C$9/4*Законод!$H$16,IF(B210="Лікар-терапевт",AG219*Законод!$C$9/4*Законод!$H$16,0)))</f>
        <v>0</v>
      </c>
      <c r="AR219" s="211">
        <f t="shared" si="37"/>
        <v>0</v>
      </c>
    </row>
    <row r="220" spans="1:44" s="50" customFormat="1" ht="31.9" customHeight="1">
      <c r="A220" s="197"/>
      <c r="B220" s="969"/>
      <c r="C220" s="974"/>
      <c r="D220" s="971"/>
      <c r="E220" s="971"/>
      <c r="F220" s="238" t="str">
        <f ca="1">IF(B210="Лікар-педіатр",Законод!$I$17,IF(B210="Лікар загальної практики - сімейний лікар",Законод!$I$21,IF(B210="Лікар-терапевт",Законод!$I$25,"х")))</f>
        <v>понад ліміт (2521-2700)</v>
      </c>
      <c r="G220" s="965" t="s">
        <v>423</v>
      </c>
      <c r="H220" s="965"/>
      <c r="I220" s="965"/>
      <c r="J220" s="965"/>
      <c r="K220" s="965"/>
      <c r="L220" s="196">
        <f ca="1">IF($B$210="Лікар загальної практики - сімейний лікар",IF(L214&lt;Законод!$C$22,0,(IF(AND(L214&gt;=Законод!$I$22,L214&lt;=Законод!$I$23),L214-Законод!$H$23,IF('01_Доходи'!L214&gt;=Законод!$I$22,Законод!$I$24,0)))),IF($B$210="Лікар-педіатр",IF(L214&lt;Законод!$C$18,0,(IF(AND(L214&gt;=Законод!$I$18,L214&lt;=Законод!$I$19),L214-Законод!$H$19,IF('01_Доходи'!L214&gt;=Законод!$I$18,Законод!$H$20,0)))),IF($B$210="Лікар-терапевт",IF(L214&lt;Законод!$C$26,0,(IF(AND(L214&gt;=Законод!$I$26,L214&lt;=Законод!$I$27),L214-Законод!$H$27,IF('01_Доходи'!L214&gt;=Законод!$I$26,Законод!$H$28,0)))),0)))</f>
        <v>0</v>
      </c>
      <c r="M220" s="966"/>
      <c r="N220" s="965" t="s">
        <v>423</v>
      </c>
      <c r="O220" s="965"/>
      <c r="P220" s="965"/>
      <c r="Q220" s="965"/>
      <c r="R220" s="965"/>
      <c r="S220" s="196">
        <f ca="1">IF($B$210="Лікар загальної практики - сімейний лікар",IF(S214&lt;Законод!$C$22,0,(IF(AND(S214&gt;=Законод!$I$22,S214&lt;=Законод!$I$23),S214-Законод!$H$23,IF('01_Доходи'!S214&gt;=Законод!$I$22,Законод!$I$24,0)))),IF($B$210="Лікар-педіатр",IF(S214&lt;Законод!$C$18,0,(IF(AND(S214&gt;=Законод!$I$18,S214&lt;=Законод!$I$19),S214-Законод!$H$19,IF('01_Доходи'!S214&gt;=Законод!$I$18,Законод!$H$20,0)))),IF($B$210="Лікар-терапевт",IF(S214&lt;Законод!$C$26,0,(IF(AND(S214&gt;=Законод!$I$26,S214&lt;=Законод!$I$27),S214-Законод!$H$27,IF('01_Доходи'!S214&gt;=Законод!$I$26,Законод!$H$28,0)))),0)))</f>
        <v>0</v>
      </c>
      <c r="T220" s="966"/>
      <c r="U220" s="965" t="s">
        <v>423</v>
      </c>
      <c r="V220" s="965"/>
      <c r="W220" s="965"/>
      <c r="X220" s="965"/>
      <c r="Y220" s="965"/>
      <c r="Z220" s="196">
        <f ca="1">IF($B$210="Лікар загальної практики - сімейний лікар",IF(Z214&lt;Законод!$C$22,0,(IF(AND(Z214&gt;=Законод!$I$22,Z214&lt;=Законод!$I$23),Z214-Законод!$H$23,IF('01_Доходи'!Z214&gt;=Законод!$I$22,Законод!$I$24,0)))),IF($B$210="Лікар-педіатр",IF(Z214&lt;Законод!$C$18,0,(IF(AND(Z214&gt;=Законод!$I$18,Z214&lt;=Законод!$I$19),Z214-Законод!$H$19,IF('01_Доходи'!Z214&gt;=Законод!$I$18,Законод!$H$20,0)))),IF($B$210="Лікар-терапевт",IF(Z214&lt;Законод!$C$26,0,(IF(AND(Z214&gt;=Законод!$I$26,Z214&lt;=Законод!$I$27),Z214-Законод!$H$27,IF('01_Доходи'!Z214&gt;=Законод!$I$26,Законод!$H$28,0)))),0)))</f>
        <v>0</v>
      </c>
      <c r="AA220" s="966"/>
      <c r="AB220" s="965" t="s">
        <v>423</v>
      </c>
      <c r="AC220" s="965"/>
      <c r="AD220" s="965"/>
      <c r="AE220" s="965"/>
      <c r="AF220" s="965"/>
      <c r="AG220" s="196">
        <f ca="1">IF($B$210="Лікар загальної практики - сімейний лікар",IF(AG214&lt;Законод!$C$22,0,(IF(AND(AG214&gt;=Законод!$I$22,AG214&lt;=Законод!$I$23),AG214-Законод!$H$23,IF('01_Доходи'!AG214&gt;=Законод!$I$22,Законод!$I$24,0)))),IF($B$210="Лікар-педіатр",IF(AG214&lt;Законод!$C$18,0,(IF(AND(AG214&gt;=Законод!$I$18,AG214&lt;=Законод!$I$19),AG214-Законод!$H$19,IF('01_Доходи'!AG214&gt;=Законод!$I$18,Законод!$H$20,0)))),IF($B$210="Лікар-терапевт",IF(AG214&lt;Законод!$C$26,0,(IF(AND(AG214&gt;=Законод!$I$26,AG214&lt;=Законод!$I$27),AG214-Законод!$H$27,IF('01_Доходи'!AG214&gt;=Законод!$I$26,Законод!$H$28,0)))),0)))</f>
        <v>0</v>
      </c>
      <c r="AH220" s="966"/>
      <c r="AI220" s="201"/>
      <c r="AJ220" s="945"/>
      <c r="AK220" s="960"/>
      <c r="AL220" s="960"/>
      <c r="AM220" s="927"/>
      <c r="AN220" s="210">
        <f ca="1">IF(B210="Лікар загальної практики - сімейний лікар",L220*Законод!$C$9/4*Законод!$I$16,IF(B210="Лікар-педіатр",L220*Законод!$C$9/4*Законод!$I$16,IF(B210="Лікар-терапевт",L220*Законод!$C$9/4*Законод!$I$16,0)))</f>
        <v>0</v>
      </c>
      <c r="AO220" s="210">
        <f ca="1">IF(B210="Лікар загальної практики - сімейний лікар",S220*Законод!$C$9/4*Законод!$I$16,IF(B210="Лікар-педіатр",S220*Законод!$C$9/4*Законод!$I$16,IF(B210="Лікар-терапевт",S220*Законод!$C$9/4*Законод!$I$16,0)))</f>
        <v>0</v>
      </c>
      <c r="AP220" s="210">
        <f ca="1">IF(B210="Лікар загальної практики - сімейний лікар",Z220*Законод!$C$9/4*Законод!$I$16,IF(B210="Лікар-педіатр",Z220*Законод!$C$9/4*Законод!$I$16,IF(B210="Лікар-терапевт",Z220*Законод!$C$9/4*Законод!$I$16,0)))</f>
        <v>0</v>
      </c>
      <c r="AQ220" s="210">
        <f ca="1">IF(B210="Лікар загальної практики - сімейний лікар",AG220*Законод!$C$9/4*Законод!$I$16,IF(B210="Лікар-педіатр",AG220*Законод!$C$9/4*Законод!$I$16,IF(B210="Лікар-терапевт",AG220*Законод!$C$9/4*Законод!$I$16,0)))</f>
        <v>0</v>
      </c>
      <c r="AR220" s="211">
        <f t="shared" si="37"/>
        <v>0</v>
      </c>
    </row>
    <row r="221" spans="1:44" s="218" customFormat="1" ht="31.9" customHeight="1" thickBot="1">
      <c r="A221" s="213"/>
      <c r="B221" s="969"/>
      <c r="C221" s="974"/>
      <c r="D221" s="971"/>
      <c r="E221" s="971"/>
      <c r="F221" s="239" t="str">
        <f ca="1">IF(B210="Лікар-педіатр",Законод!$J$17,IF(B210="Лікар загальної практики - сімейний лікар",Законод!$J$21,IF(B210="Лікар-терапевт",Законод!$J$25,"х")))</f>
        <v>понад ліміт (&gt;=2701)</v>
      </c>
      <c r="G221" s="968" t="s">
        <v>423</v>
      </c>
      <c r="H221" s="968"/>
      <c r="I221" s="968"/>
      <c r="J221" s="968"/>
      <c r="K221" s="968"/>
      <c r="L221" s="196">
        <f ca="1">IF($B$210="Лікар загальної практики - сімейний лікар",IF(L214&gt;=Законод!$J$22,'01_Доходи'!L214-('01_Доходи'!L215+'01_Доходи'!L216+'01_Доходи'!L217+'01_Доходи'!L218+'01_Доходи'!L219+'01_Доходи'!L220),0),IF($B$210="Лікар-педіатр",IF(L214&gt;=Законод!$J$18,'01_Доходи'!L214-('01_Доходи'!L215+'01_Доходи'!L216+'01_Доходи'!L217+'01_Доходи'!L218+'01_Доходи'!L219+'01_Доходи'!L220),0),IF($B$210="Лікар-терапевт",IF('01_Доходи'!L214&gt;=Законод!$J$26,L214-Законод!$I$27,0),0)))</f>
        <v>0</v>
      </c>
      <c r="M221" s="966"/>
      <c r="N221" s="968" t="s">
        <v>423</v>
      </c>
      <c r="O221" s="968"/>
      <c r="P221" s="968"/>
      <c r="Q221" s="968"/>
      <c r="R221" s="968"/>
      <c r="S221" s="196">
        <f ca="1">IF($B$210="Лікар загальної практики - сімейний лікар",IF(S214&gt;=Законод!$J$22,'01_Доходи'!S214-('01_Доходи'!S215+'01_Доходи'!S216+'01_Доходи'!S217+'01_Доходи'!S218+'01_Доходи'!S219+'01_Доходи'!S220),0),IF($B$210="Лікар-педіатр",IF(S214&gt;=Законод!$J$18,'01_Доходи'!S214-('01_Доходи'!S215+'01_Доходи'!S216+'01_Доходи'!S217+'01_Доходи'!S218+'01_Доходи'!S219+'01_Доходи'!S220),0),IF($B$210="Лікар-терапевт",IF('01_Доходи'!S214&gt;=Законод!$J$26,S214-Законод!$I$27,0),0)))</f>
        <v>0</v>
      </c>
      <c r="T221" s="966"/>
      <c r="U221" s="968" t="s">
        <v>423</v>
      </c>
      <c r="V221" s="968"/>
      <c r="W221" s="968"/>
      <c r="X221" s="968"/>
      <c r="Y221" s="968"/>
      <c r="Z221" s="196">
        <f ca="1">IF($B$210="Лікар загальної практики - сімейний лікар",IF(Z214&gt;=Законод!$J$22,'01_Доходи'!Z214-('01_Доходи'!Z215+'01_Доходи'!Z216+'01_Доходи'!Z217+'01_Доходи'!Z218+'01_Доходи'!Z219+'01_Доходи'!Z220),0),IF($B$210="Лікар-педіатр",IF(Z214&gt;=Законод!$J$18,'01_Доходи'!Z214-('01_Доходи'!Z215+'01_Доходи'!Z216+'01_Доходи'!Z217+'01_Доходи'!Z218+'01_Доходи'!Z219+'01_Доходи'!Z220),0),IF($B$210="Лікар-терапевт",IF('01_Доходи'!Z214&gt;=Законод!$J$26,Z214-Законод!$I$27,0),0)))</f>
        <v>0</v>
      </c>
      <c r="AA221" s="966"/>
      <c r="AB221" s="968" t="s">
        <v>423</v>
      </c>
      <c r="AC221" s="968"/>
      <c r="AD221" s="968"/>
      <c r="AE221" s="968"/>
      <c r="AF221" s="968"/>
      <c r="AG221" s="196">
        <f ca="1">IF($B$210="Лікар загальної практики - сімейний лікар",IF(AG214&gt;=Законод!$J$22,'01_Доходи'!AG214-('01_Доходи'!AG215+'01_Доходи'!AG216+'01_Доходи'!AG217+'01_Доходи'!AG218+'01_Доходи'!AG219+'01_Доходи'!AG220),0),IF($B$210="Лікар-педіатр",IF(AG214&gt;=Законод!$J$18,'01_Доходи'!AG214-('01_Доходи'!AG215+'01_Доходи'!AG216+'01_Доходи'!AG217+'01_Доходи'!AG218+'01_Доходи'!AG219+'01_Доходи'!AG220),0),IF($B$210="Лікар-терапевт",IF('01_Доходи'!AG214&gt;=Законод!$J$26,AG214-Законод!$I$27,0),0)))</f>
        <v>0</v>
      </c>
      <c r="AH221" s="966"/>
      <c r="AI221" s="215"/>
      <c r="AJ221" s="946"/>
      <c r="AK221" s="961"/>
      <c r="AL221" s="961"/>
      <c r="AM221" s="928"/>
      <c r="AN221" s="216">
        <f ca="1">IF(B210="Лікар загальної практики - сімейний лікар",L221*Законод!$C$9/4*Законод!$J$16,IF(B210="Лікар-педіатр",L221*Законод!$C$9/4*Законод!$J$16,IF(B210="Лікар-терапевт",L221*Законод!$C$9/4*Законод!$J$16,0)))</f>
        <v>0</v>
      </c>
      <c r="AO221" s="216">
        <f ca="1">IF(B210="Лікар загальної практики - сімейний лікар",S221*Законод!$C$9/4*Законод!$J$16,IF(B210="Лікар-педіатр",S221*Законод!$C$9/4*Законод!$J$16,IF(B210="Лікар-терапевт",S221*Законод!$C$9/4*Законод!$J$16,0)))</f>
        <v>0</v>
      </c>
      <c r="AP221" s="216">
        <f ca="1">IF(B210="Лікар загальної практики - сімейний лікар",S221*Законод!$C$9/4*Законод!$J$16,IF(B210="Лікар-педіатр",S221*Законод!$C$9/4*Законод!$J$16,IF(B210="Лікар-терапевт",S221*Законод!$C$9/4*Законод!$J$16,0)))</f>
        <v>0</v>
      </c>
      <c r="AQ221" s="216">
        <f ca="1">IF(B210="Лікар загальної практики - сімейний лікар",AG221*Законод!$C$9/4*Законод!$J$16,IF(B210="Лікар-педіатр",AG221*Законод!$C$9/4*Законод!$J$16,IF(B210="Лікар-терапевт",AG221*Законод!$C$9/4*Законод!$J$16,0)))</f>
        <v>0</v>
      </c>
      <c r="AR221" s="217">
        <f t="shared" si="37"/>
        <v>0</v>
      </c>
    </row>
    <row r="222" spans="1:44" s="247" customFormat="1" ht="23.45" customHeight="1" thickBot="1">
      <c r="A222" s="243"/>
      <c r="B222" s="244"/>
      <c r="C222" s="244"/>
      <c r="D222" s="244"/>
      <c r="E222" s="244"/>
      <c r="F222" s="245"/>
      <c r="G222" s="246"/>
      <c r="H222" s="246"/>
      <c r="L222" s="248"/>
      <c r="S222" s="248"/>
      <c r="Z222" s="248"/>
      <c r="AG222" s="248"/>
      <c r="AM222" s="249"/>
      <c r="AR222" s="250"/>
    </row>
    <row r="223" spans="1:44" s="191" customFormat="1" ht="27.6" customHeight="1">
      <c r="A223" s="194">
        <f>A210+1</f>
        <v>15</v>
      </c>
      <c r="B223" s="969" t="s">
        <v>313</v>
      </c>
      <c r="C223" s="974" t="s">
        <v>206</v>
      </c>
      <c r="D223" s="971"/>
      <c r="E223" s="971" t="s">
        <v>158</v>
      </c>
      <c r="F223" s="234" t="s">
        <v>659</v>
      </c>
      <c r="G223" s="196">
        <v>0</v>
      </c>
      <c r="H223" s="196">
        <v>0</v>
      </c>
      <c r="I223" s="196">
        <v>590</v>
      </c>
      <c r="J223" s="196">
        <v>910</v>
      </c>
      <c r="K223" s="196">
        <v>374</v>
      </c>
      <c r="L223" s="557">
        <f t="shared" ref="L223:L228" si="38">SUM(G223:K223)</f>
        <v>1874</v>
      </c>
      <c r="M223" s="966">
        <v>1</v>
      </c>
      <c r="N223" s="196">
        <v>0</v>
      </c>
      <c r="O223" s="196">
        <v>0</v>
      </c>
      <c r="P223" s="196">
        <v>590</v>
      </c>
      <c r="Q223" s="196">
        <v>910</v>
      </c>
      <c r="R223" s="196">
        <v>374</v>
      </c>
      <c r="S223" s="196">
        <f t="shared" ref="S223:S228" si="39">SUM(N223:R223)</f>
        <v>1874</v>
      </c>
      <c r="T223" s="966">
        <v>1</v>
      </c>
      <c r="U223" s="196">
        <v>0</v>
      </c>
      <c r="V223" s="196">
        <v>0</v>
      </c>
      <c r="W223" s="196">
        <v>590</v>
      </c>
      <c r="X223" s="196">
        <v>910</v>
      </c>
      <c r="Y223" s="196">
        <v>374</v>
      </c>
      <c r="Z223" s="557">
        <f t="shared" ref="Z223:Z228" si="40">SUM(U223:Y223)</f>
        <v>1874</v>
      </c>
      <c r="AA223" s="966">
        <v>1</v>
      </c>
      <c r="AB223" s="196">
        <v>0</v>
      </c>
      <c r="AC223" s="196">
        <v>0</v>
      </c>
      <c r="AD223" s="196">
        <v>590</v>
      </c>
      <c r="AE223" s="196">
        <v>910</v>
      </c>
      <c r="AF223" s="196">
        <v>374</v>
      </c>
      <c r="AG223" s="196">
        <f>SUM(AD223:AF223)</f>
        <v>1874</v>
      </c>
      <c r="AH223" s="966">
        <v>1</v>
      </c>
      <c r="AI223" s="540">
        <f>A223</f>
        <v>15</v>
      </c>
      <c r="AJ223" s="944" t="str">
        <f>B223</f>
        <v>Лікар-терапевт</v>
      </c>
      <c r="AK223" s="959" t="str">
        <f>C223</f>
        <v>Ткачук Наталія Василівна</v>
      </c>
      <c r="AL223" s="959">
        <f>D223</f>
        <v>0</v>
      </c>
      <c r="AM223" s="929" t="s">
        <v>79</v>
      </c>
      <c r="AN223" s="947">
        <f>SUM(AN228:AN234)</f>
        <v>294344.37042499997</v>
      </c>
      <c r="AO223" s="947">
        <f>SUM(AO228:AO234)</f>
        <v>294344.37042499997</v>
      </c>
      <c r="AP223" s="947">
        <f>SUM(AP228:AP234)</f>
        <v>294344.37042499997</v>
      </c>
      <c r="AQ223" s="947">
        <f>SUM(AQ228:AQ234)</f>
        <v>294344.37042499997</v>
      </c>
      <c r="AR223" s="962">
        <f>SUM(AN223:AQ227)</f>
        <v>1177377.4816999999</v>
      </c>
    </row>
    <row r="224" spans="1:44" s="50" customFormat="1" ht="28.15" customHeight="1">
      <c r="A224" s="197"/>
      <c r="B224" s="969"/>
      <c r="C224" s="974"/>
      <c r="D224" s="971"/>
      <c r="E224" s="971"/>
      <c r="F224" s="234" t="s">
        <v>660</v>
      </c>
      <c r="G224" s="196">
        <v>0</v>
      </c>
      <c r="H224" s="196">
        <v>0</v>
      </c>
      <c r="I224" s="196">
        <v>590</v>
      </c>
      <c r="J224" s="196">
        <v>910</v>
      </c>
      <c r="K224" s="196">
        <v>374</v>
      </c>
      <c r="L224" s="557">
        <f t="shared" si="38"/>
        <v>1874</v>
      </c>
      <c r="M224" s="966"/>
      <c r="N224" s="196">
        <v>0</v>
      </c>
      <c r="O224" s="196">
        <v>0</v>
      </c>
      <c r="P224" s="196">
        <v>590</v>
      </c>
      <c r="Q224" s="196">
        <v>910</v>
      </c>
      <c r="R224" s="196">
        <v>374</v>
      </c>
      <c r="S224" s="196">
        <f t="shared" si="39"/>
        <v>1874</v>
      </c>
      <c r="T224" s="966"/>
      <c r="U224" s="196">
        <v>0</v>
      </c>
      <c r="V224" s="196">
        <v>0</v>
      </c>
      <c r="W224" s="196">
        <v>590</v>
      </c>
      <c r="X224" s="196">
        <v>910</v>
      </c>
      <c r="Y224" s="196">
        <v>374</v>
      </c>
      <c r="Z224" s="557">
        <f t="shared" si="40"/>
        <v>1874</v>
      </c>
      <c r="AA224" s="966"/>
      <c r="AB224" s="196">
        <v>0</v>
      </c>
      <c r="AC224" s="196">
        <v>0</v>
      </c>
      <c r="AD224" s="196">
        <v>590</v>
      </c>
      <c r="AE224" s="196">
        <v>910</v>
      </c>
      <c r="AF224" s="196">
        <v>374</v>
      </c>
      <c r="AG224" s="196">
        <f>SUM(AD224:AF224)</f>
        <v>1874</v>
      </c>
      <c r="AH224" s="966"/>
      <c r="AI224" s="198"/>
      <c r="AJ224" s="945"/>
      <c r="AK224" s="960"/>
      <c r="AL224" s="960"/>
      <c r="AM224" s="930"/>
      <c r="AN224" s="948"/>
      <c r="AO224" s="948"/>
      <c r="AP224" s="948"/>
      <c r="AQ224" s="948"/>
      <c r="AR224" s="963"/>
    </row>
    <row r="225" spans="1:44" s="90" customFormat="1" ht="31.15" customHeight="1">
      <c r="A225" s="240"/>
      <c r="B225" s="969"/>
      <c r="C225" s="974"/>
      <c r="D225" s="971"/>
      <c r="E225" s="971"/>
      <c r="F225" s="241" t="s">
        <v>661</v>
      </c>
      <c r="G225" s="196">
        <v>0</v>
      </c>
      <c r="H225" s="196">
        <v>0</v>
      </c>
      <c r="I225" s="196">
        <v>590</v>
      </c>
      <c r="J225" s="196">
        <v>910</v>
      </c>
      <c r="K225" s="196">
        <v>374</v>
      </c>
      <c r="L225" s="200">
        <f t="shared" si="38"/>
        <v>1874</v>
      </c>
      <c r="M225" s="966"/>
      <c r="N225" s="196">
        <v>0</v>
      </c>
      <c r="O225" s="196">
        <v>0</v>
      </c>
      <c r="P225" s="196">
        <v>590</v>
      </c>
      <c r="Q225" s="196">
        <v>910</v>
      </c>
      <c r="R225" s="196">
        <v>374</v>
      </c>
      <c r="S225" s="196">
        <f t="shared" si="39"/>
        <v>1874</v>
      </c>
      <c r="T225" s="966"/>
      <c r="U225" s="196">
        <v>0</v>
      </c>
      <c r="V225" s="196">
        <v>0</v>
      </c>
      <c r="W225" s="196">
        <v>590</v>
      </c>
      <c r="X225" s="196">
        <v>910</v>
      </c>
      <c r="Y225" s="196">
        <v>374</v>
      </c>
      <c r="Z225" s="200">
        <f t="shared" si="40"/>
        <v>1874</v>
      </c>
      <c r="AA225" s="966"/>
      <c r="AB225" s="196">
        <v>0</v>
      </c>
      <c r="AC225" s="196">
        <v>0</v>
      </c>
      <c r="AD225" s="196">
        <v>590</v>
      </c>
      <c r="AE225" s="196">
        <v>910</v>
      </c>
      <c r="AF225" s="196">
        <v>374</v>
      </c>
      <c r="AG225" s="196">
        <f>SUM(AD225:AF225)</f>
        <v>1874</v>
      </c>
      <c r="AH225" s="966"/>
      <c r="AI225" s="242"/>
      <c r="AJ225" s="945"/>
      <c r="AK225" s="960"/>
      <c r="AL225" s="960"/>
      <c r="AM225" s="930"/>
      <c r="AN225" s="948"/>
      <c r="AO225" s="948"/>
      <c r="AP225" s="948"/>
      <c r="AQ225" s="948"/>
      <c r="AR225" s="963"/>
    </row>
    <row r="226" spans="1:44" s="50" customFormat="1" ht="31.9" customHeight="1" thickBot="1">
      <c r="A226" s="197"/>
      <c r="B226" s="969"/>
      <c r="C226" s="974"/>
      <c r="D226" s="971"/>
      <c r="E226" s="971"/>
      <c r="F226" s="236" t="s">
        <v>426</v>
      </c>
      <c r="G226" s="203" t="str">
        <f>IF($B$223="Лікар-педіатр",G225/L225,IF($B$223="Лікар-терапевт","х",IF($B$223="Лікар загальної практики - сімейний лікар",G225/L225,0)))</f>
        <v>х</v>
      </c>
      <c r="H226" s="203" t="str">
        <f>IF($B$223="Лікар-педіатр",H225/L225,IF($B$223="Лікар-терапевт","х",IF($B$223="Лікар загальної практики - сімейний лікар",H225/L225,0)))</f>
        <v>х</v>
      </c>
      <c r="I226" s="203">
        <f>IF($B$223="Лікар-педіатр","x",IF($B$223="Лікар-терапевт",I225/L225,IF($B$223="Лікар загальної практики - сімейний лікар",I225/L225,0)))</f>
        <v>0.31483457844183566</v>
      </c>
      <c r="J226" s="203">
        <f>IF($B$223="Лікар-педіатр","x",IF($B$223="Лікар-терапевт",J225/L225,IF($B$223="Лікар загальної практики - сімейний лікар",J225/L225,0)))</f>
        <v>0.48559231590181429</v>
      </c>
      <c r="K226" s="203">
        <f>IF($B$223="Лікар-педіатр","x",IF($B$223="Лікар-терапевт",K225/L225,IF($B$223="Лікар загальної практики - сімейний лікар",K225/L225,0)))</f>
        <v>0.19957310565635006</v>
      </c>
      <c r="L226" s="203">
        <f t="shared" si="38"/>
        <v>1</v>
      </c>
      <c r="M226" s="966"/>
      <c r="N226" s="203" t="str">
        <f>IF($B$223="Лікар-педіатр",N225/S225,IF($B$223="Лікар-терапевт","х",IF($B$223="Лікар загальної практики - сімейний лікар",N225/S225,0)))</f>
        <v>х</v>
      </c>
      <c r="O226" s="203" t="str">
        <f>IF($B$223="Лікар-педіатр",O225/S225,IF($B$223="Лікар-терапевт","х",IF($B$223="Лікар загальної практики - сімейний лікар",O225/S225,0)))</f>
        <v>х</v>
      </c>
      <c r="P226" s="203">
        <f>IF($B$223="Лікар-педіатр","x",IF($B$223="Лікар-терапевт",P225/S225,IF($B$223="Лікар загальної практики - сімейний лікар",P225/S225,0)))</f>
        <v>0.31483457844183566</v>
      </c>
      <c r="Q226" s="203">
        <f>IF($B$223="Лікар-педіатр","x",IF($B$223="Лікар-терапевт",Q225/S225,IF($B$223="Лікар загальної практики - сімейний лікар",Q225/S225,0)))</f>
        <v>0.48559231590181429</v>
      </c>
      <c r="R226" s="203">
        <f>IF($B$223="Лікар-педіатр","x",IF($B$223="Лікар-терапевт",R225/S225,IF($B$223="Лікар загальної практики - сімейний лікар",R225/S225,0)))</f>
        <v>0.19957310565635006</v>
      </c>
      <c r="S226" s="203">
        <f t="shared" si="39"/>
        <v>1</v>
      </c>
      <c r="T226" s="966"/>
      <c r="U226" s="203" t="str">
        <f>IF($B$223="Лікар-педіатр",U225/Z225,IF($B$223="Лікар-терапевт","х",IF($B$223="Лікар загальної практики - сімейний лікар",U225/Z225,0)))</f>
        <v>х</v>
      </c>
      <c r="V226" s="203" t="str">
        <f>IF($B$223="Лікар-педіатр",V225/Z225,IF($B$223="Лікар-терапевт","х",IF($B$223="Лікар загальної практики - сімейний лікар",V225/Z225,0)))</f>
        <v>х</v>
      </c>
      <c r="W226" s="203">
        <f>IF($B$223="Лікар-педіатр","x",IF($B$223="Лікар-терапевт",W225/Z225,IF($B$223="Лікар загальної практики - сімейний лікар",W225/Z225,0)))</f>
        <v>0.31483457844183566</v>
      </c>
      <c r="X226" s="203">
        <f>IF($B$223="Лікар-педіатр","x",IF($B$223="Лікар-терапевт",X225/Z225,IF($B$223="Лікар загальної практики - сімейний лікар",X225/Z225,0)))</f>
        <v>0.48559231590181429</v>
      </c>
      <c r="Y226" s="203">
        <f>IF($B$223="Лікар-педіатр","x",IF($B$223="Лікар-терапевт",Y225/Z225,IF($B$223="Лікар загальної практики - сімейний лікар",Y225/Z225,0)))</f>
        <v>0.19957310565635006</v>
      </c>
      <c r="Z226" s="203">
        <f t="shared" si="40"/>
        <v>1</v>
      </c>
      <c r="AA226" s="966"/>
      <c r="AB226" s="203" t="str">
        <f>IF($B$223="Лікар-педіатр",AB225/AG225,IF($B$223="Лікар-терапевт","х",IF($B$223="Лікар загальної практики - сімейний лікар",AB225/AG225,0)))</f>
        <v>х</v>
      </c>
      <c r="AC226" s="203" t="str">
        <f>IF($B$223="Лікар-педіатр",AC225/AG225,IF($B$223="Лікар-терапевт","х",IF($B$223="Лікар загальної практики - сімейний лікар",AC225/AG225,0)))</f>
        <v>х</v>
      </c>
      <c r="AD226" s="203">
        <f>IF($B$223="Лікар-педіатр","x",IF($B$223="Лікар-терапевт",AD225/AG225,IF($B$223="Лікар загальної практики - сімейний лікар",AD225/AG225,0)))</f>
        <v>0.31483457844183566</v>
      </c>
      <c r="AE226" s="203">
        <f>IF($B$223="Лікар-педіатр","x",IF($B$223="Лікар-терапевт",AE225/AG225,IF($B$223="Лікар загальної практики - сімейний лікар",AE225/AG225,0)))</f>
        <v>0.48559231590181429</v>
      </c>
      <c r="AF226" s="203">
        <f>IF($B$223="Лікар-педіатр","x",IF($B$223="Лікар-терапевт",AF225/AG225,IF($B$223="Лікар загальної практики - сімейний лікар",AF225/AG225,0)))</f>
        <v>0.19957310565635006</v>
      </c>
      <c r="AG226" s="203">
        <f>SUM(AB226:AF226)</f>
        <v>1</v>
      </c>
      <c r="AH226" s="966"/>
      <c r="AI226" s="201"/>
      <c r="AJ226" s="945"/>
      <c r="AK226" s="960"/>
      <c r="AL226" s="960"/>
      <c r="AM226" s="930"/>
      <c r="AN226" s="948"/>
      <c r="AO226" s="948"/>
      <c r="AP226" s="948"/>
      <c r="AQ226" s="948"/>
      <c r="AR226" s="963"/>
    </row>
    <row r="227" spans="1:44" s="50" customFormat="1" ht="45" customHeight="1" thickBot="1">
      <c r="A227" s="197"/>
      <c r="B227" s="969"/>
      <c r="C227" s="974"/>
      <c r="D227" s="971"/>
      <c r="E227" s="972"/>
      <c r="F227" s="204" t="s">
        <v>662</v>
      </c>
      <c r="G227" s="205" t="str">
        <f>IF($B$223="Лікар загальної практики - сімейний лікар",AVERAGE(G223:G225),IF($B$223="Лікар-педіатр",AVERAGE(G223:G225),IF($B$223="Лікар-терапевт","х",0)))</f>
        <v>х</v>
      </c>
      <c r="H227" s="205" t="str">
        <f>IF($B$223="Лікар загальної практики - сімейний лікар",AVERAGE(H223:H225),IF($B$223="Лікар-педіатр",AVERAGE(H223:H225),IF($B$223="Лікар-терапевт","х",0)))</f>
        <v>х</v>
      </c>
      <c r="I227" s="205">
        <f>IF($B$223="Лікар загальної практики - сімейний лікар",AVERAGE(I223:I225),IF($B$223="Лікар-педіатр","x",IF($B$223="Лікар-терапевт",AVERAGE(I223:I225),0)))</f>
        <v>590</v>
      </c>
      <c r="J227" s="205">
        <f>IF($B$223="Лікар загальної практики - сімейний лікар",AVERAGE(J223:J225),IF($B$223="Лікар-педіатр","x",IF($B$223="Лікар-терапевт",AVERAGE(J223:J225),0)))</f>
        <v>910</v>
      </c>
      <c r="K227" s="205">
        <f>IF($B$223="Лікар загальної практики - сімейний лікар",AVERAGE(K223:K225),IF($B$223="Лікар-педіатр","x",IF($B$223="Лікар-терапевт",AVERAGE(K223:K225),0)))</f>
        <v>374</v>
      </c>
      <c r="L227" s="206">
        <f t="shared" si="38"/>
        <v>1874</v>
      </c>
      <c r="M227" s="973"/>
      <c r="N227" s="205" t="str">
        <f>IF($B$223="Лікар загальної практики - сімейний лікар",AVERAGE(N223:N225),IF($B$223="Лікар-педіатр",AVERAGE(N223:N225),IF($B$223="Лікар-терапевт","х",0)))</f>
        <v>х</v>
      </c>
      <c r="O227" s="205" t="str">
        <f>IF($B$223="Лікар загальної практики - сімейний лікар",AVERAGE(O223:O225),IF($B$223="Лікар-педіатр",AVERAGE(O223:O225),IF($B$223="Лікар-терапевт","х",0)))</f>
        <v>х</v>
      </c>
      <c r="P227" s="205">
        <f>IF($B$223="Лікар загальної практики - сімейний лікар",AVERAGE(P223:P225),IF($B$223="Лікар-педіатр","x",IF($B$223="Лікар-терапевт",AVERAGE(P223:P225),0)))</f>
        <v>590</v>
      </c>
      <c r="Q227" s="205">
        <f>IF($B$223="Лікар загальної практики - сімейний лікар",AVERAGE(Q223:Q225),IF($B$223="Лікар-педіатр","x",IF($B$223="Лікар-терапевт",AVERAGE(Q223:Q225),0)))</f>
        <v>910</v>
      </c>
      <c r="R227" s="205">
        <f>IF($B$223="Лікар загальної практики - сімейний лікар",AVERAGE(R223:R225),IF($B$223="Лікар-педіатр","x",IF($B$223="Лікар-терапевт",AVERAGE(R223:R225),0)))</f>
        <v>374</v>
      </c>
      <c r="S227" s="206">
        <f t="shared" si="39"/>
        <v>1874</v>
      </c>
      <c r="T227" s="973"/>
      <c r="U227" s="205" t="str">
        <f>IF($B$223="Лікар загальної практики - сімейний лікар",AVERAGE(U223:U225),IF($B$223="Лікар-педіатр",AVERAGE(U223:U225),IF($B$223="Лікар-терапевт","х",0)))</f>
        <v>х</v>
      </c>
      <c r="V227" s="205" t="str">
        <f>IF($B$223="Лікар загальної практики - сімейний лікар",AVERAGE(V223:V225),IF($B$223="Лікар-педіатр",AVERAGE(V223:V225),IF($B$223="Лікар-терапевт","х",0)))</f>
        <v>х</v>
      </c>
      <c r="W227" s="205">
        <f>IF($B$223="Лікар загальної практики - сімейний лікар",AVERAGE(W223:W225),IF($B$223="Лікар-педіатр","x",IF($B$223="Лікар-терапевт",AVERAGE(W223:W225),0)))</f>
        <v>590</v>
      </c>
      <c r="X227" s="205">
        <f>IF($B$223="Лікар загальної практики - сімейний лікар",AVERAGE(X223:X225),IF($B$223="Лікар-педіатр","x",IF($B$223="Лікар-терапевт",AVERAGE(X223:X225),0)))</f>
        <v>910</v>
      </c>
      <c r="Y227" s="205">
        <f>IF($B$223="Лікар загальної практики - сімейний лікар",AVERAGE(Y223:Y225),IF($B$223="Лікар-педіатр","x",IF($B$223="Лікар-терапевт",AVERAGE(Y223:Y225),0)))</f>
        <v>374</v>
      </c>
      <c r="Z227" s="206">
        <f t="shared" si="40"/>
        <v>1874</v>
      </c>
      <c r="AA227" s="973"/>
      <c r="AB227" s="205" t="str">
        <f>IF($B$223="Лікар загальної практики - сімейний лікар",AVERAGE(AB223:AB225),IF($B$223="Лікар-педіатр",AVERAGE(AB223:AB225),IF($B$223="Лікар-терапевт","х",0)))</f>
        <v>х</v>
      </c>
      <c r="AC227" s="205" t="str">
        <f>IF($B$223="Лікар загальної практики - сімейний лікар",AVERAGE(AC223:AC225),IF($B$223="Лікар-педіатр",AVERAGE(AC223:AC225),IF($B$223="Лікар-терапевт","х",0)))</f>
        <v>х</v>
      </c>
      <c r="AD227" s="205">
        <f>IF($B$223="Лікар загальної практики - сімейний лікар",AVERAGE(AD223:AD225),IF($B$223="Лікар-педіатр","x",IF($B$223="Лікар-терапевт",AVERAGE(AD223:AD225),0)))</f>
        <v>590</v>
      </c>
      <c r="AE227" s="205">
        <f>IF($B$223="Лікар загальної практики - сімейний лікар",AVERAGE(AE223:AE225),IF($B$223="Лікар-педіатр","x",IF($B$223="Лікар-терапевт",AVERAGE(AE223:AE225),0)))</f>
        <v>910</v>
      </c>
      <c r="AF227" s="205">
        <f>IF($B$223="Лікар загальної практики - сімейний лікар",AVERAGE(AF223:AF225),IF($B$223="Лікар-педіатр","x",IF($B$223="Лікар-терапевт",AVERAGE(AF223:AF225),0)))</f>
        <v>374</v>
      </c>
      <c r="AG227" s="206">
        <f>SUM(AB227:AF227)</f>
        <v>1874</v>
      </c>
      <c r="AH227" s="967"/>
      <c r="AI227" s="201"/>
      <c r="AJ227" s="945"/>
      <c r="AK227" s="960"/>
      <c r="AL227" s="960"/>
      <c r="AM227" s="931"/>
      <c r="AN227" s="949"/>
      <c r="AO227" s="949"/>
      <c r="AP227" s="949"/>
      <c r="AQ227" s="949"/>
      <c r="AR227" s="964"/>
    </row>
    <row r="228" spans="1:44" s="50" customFormat="1" ht="40.5">
      <c r="A228" s="197"/>
      <c r="B228" s="969"/>
      <c r="C228" s="974"/>
      <c r="D228" s="971"/>
      <c r="E228" s="971"/>
      <c r="F228" s="237" t="str">
        <f ca="1">IF(B223="Лікар-педіатр",Законод!$C$17,IF(B223="Лікар загальної практики - сімейний лікар",Законод!$C$21,IF(B223="Лікар-терапевт",Законод!$C$25,"х")))</f>
        <v>ліміт (до 2000)</v>
      </c>
      <c r="G228" s="208" t="str">
        <f ca="1">IF($B$223="Лікар загальної практики - сімейний лікар",IF(L227&lt;=Законод!$C$22,G227,Законод!$C$22*'01_Доходи'!G226),IF($B$223="Лікар-педіатр",IF(L227&lt;=Законод!$C$18,G227,Законод!$C$18*'01_Доходи'!G226),IF($B$223="Лікар-терапевт","x",0)))</f>
        <v>x</v>
      </c>
      <c r="H228" s="208" t="str">
        <f ca="1">IF($B$223="Лікар загальної практики - сімейний лікар",IF(L227&lt;=Законод!$C$22,H227,Законод!$C$22*'01_Доходи'!H226),IF($B$223="Лікар-педіатр",IF(L227&lt;=Законод!$C$18,H227,Законод!$C$18*'01_Доходи'!H226),IF($B$223="Лікар-терапевт","x",0)))</f>
        <v>x</v>
      </c>
      <c r="I228" s="208">
        <f ca="1">IF($B$223="Лікар загальної практики - сімейний лікар",IF(L227&lt;=Законод!$C$22,I227,Законод!$C$22*'01_Доходи'!I226),IF($B$223="Лікар-педіатр","x",IF($B$223="Лікар-терапевт",IF(L227&lt;=Законод!$C$26,I227,Законод!$C$26*'01_Доходи'!I226),0)))</f>
        <v>590</v>
      </c>
      <c r="J228" s="208">
        <f ca="1">IF($B$223="Лікар загальної практики - сімейний лікар",IF(L227&lt;=Законод!$C$22,J227,Законод!$C$22*'01_Доходи'!J226),IF($B$223="Лікар-педіатр","x",IF($B$223="Лікар-терапевт",IF(L227&lt;=Законод!$C$26,J227,Законод!$C$26*'01_Доходи'!J226),0)))</f>
        <v>910</v>
      </c>
      <c r="K228" s="208">
        <f ca="1">IF($B$223="Лікар загальної практики - сімейний лікар",IF(L227&lt;=Законод!$C$22,K227,Законод!$C$22*'01_Доходи'!K226),IF($B$223="Лікар-педіатр","x",IF($B$223="Лікар-терапевт",IF(L227&lt;=Законод!$C$26,K227,Законод!$C$26*'01_Доходи'!K226),0)))</f>
        <v>374</v>
      </c>
      <c r="L228" s="209">
        <f t="shared" si="38"/>
        <v>1874</v>
      </c>
      <c r="M228" s="966"/>
      <c r="N228" s="208" t="str">
        <f ca="1">IF($B$223="Лікар загальної практики - сімейний лікар",IF(S227&lt;=Законод!$C$22,N227,Законод!$C$22*'01_Доходи'!N226),IF($B$223="Лікар-педіатр",IF(S227&lt;=Законод!$C$18,N227,Законод!$C$18*'01_Доходи'!N226),IF($B$223="Лікар-терапевт","x",0)))</f>
        <v>x</v>
      </c>
      <c r="O228" s="208" t="str">
        <f ca="1">IF($B$223="Лікар загальної практики - сімейний лікар",IF(S227&lt;=Законод!$C$22,O227,Законод!$C$22*'01_Доходи'!O226),IF($B$223="Лікар-педіатр",IF(S227&lt;=Законод!$C$18,O227,Законод!$C$18*'01_Доходи'!O226),IF($B$223="Лікар-терапевт","x",0)))</f>
        <v>x</v>
      </c>
      <c r="P228" s="208">
        <f ca="1">IF($B$223="Лікар загальної практики - сімейний лікар",IF(S227&lt;=Законод!$C$22,P227,Законод!$C$22*'01_Доходи'!P226),IF($B$223="Лікар-педіатр","x",IF($B$223="Лікар-терапевт",IF(S227&lt;=Законод!$C$26,P227,Законод!$C$26*'01_Доходи'!P226),0)))</f>
        <v>590</v>
      </c>
      <c r="Q228" s="208">
        <f ca="1">IF($B$223="Лікар загальної практики - сімейний лікар",IF(S227&lt;=Законод!$C$22,Q227,Законод!$C$22*'01_Доходи'!Q226),IF($B$223="Лікар-педіатр","x",IF($B$223="Лікар-терапевт",IF(S227&lt;=Законод!$C$26,Q227,Законод!$C$26*'01_Доходи'!Q226),0)))</f>
        <v>910</v>
      </c>
      <c r="R228" s="208">
        <f ca="1">IF($B$223="Лікар загальної практики - сімейний лікар",IF(S227&lt;=Законод!$C$22,R227,Законод!$C$22*'01_Доходи'!R226),IF($B$223="Лікар-педіатр","x",IF($B$223="Лікар-терапевт",IF(S227&lt;=Законод!$C$26,R227,Законод!$C$26*'01_Доходи'!R226),0)))</f>
        <v>374</v>
      </c>
      <c r="S228" s="209">
        <f t="shared" si="39"/>
        <v>1874</v>
      </c>
      <c r="T228" s="966"/>
      <c r="U228" s="208" t="str">
        <f ca="1">IF($B$223="Лікар загальної практики - сімейний лікар",IF(Z227&lt;=Законод!$C$22,U227,Законод!$C$22*'01_Доходи'!U226),IF($B$223="Лікар-педіатр",IF(Z227&lt;=Законод!$C$18,U227,Законод!$C$18*'01_Доходи'!U226),IF($B$223="Лікар-терапевт","x",0)))</f>
        <v>x</v>
      </c>
      <c r="V228" s="208" t="str">
        <f ca="1">IF($B$223="Лікар загальної практики - сімейний лікар",IF(Z227&lt;=Законод!$C$22,V227,Законод!$C$22*'01_Доходи'!V226),IF($B$223="Лікар-педіатр",IF(Z227&lt;=Законод!$C$18,V227,Законод!$C$18*'01_Доходи'!V226),IF($B$223="Лікар-терапевт","x",0)))</f>
        <v>x</v>
      </c>
      <c r="W228" s="208">
        <f ca="1">IF($B$223="Лікар загальної практики - сімейний лікар",IF(Z227&lt;=Законод!$C$22,W227,Законод!$C$22*'01_Доходи'!W226),IF($B$223="Лікар-педіатр","x",IF($B$223="Лікар-терапевт",IF(Z227&lt;=Законод!$C$26,W227,Законод!$C$26*'01_Доходи'!W226),0)))</f>
        <v>590</v>
      </c>
      <c r="X228" s="208">
        <f ca="1">IF($B$223="Лікар загальної практики - сімейний лікар",IF(Z227&lt;=Законод!$C$22,X227,Законод!$C$22*'01_Доходи'!X226),IF($B$223="Лікар-педіатр","x",IF($B$223="Лікар-терапевт",IF(Z227&lt;=Законод!$C$26,X227,Законод!$C$26*'01_Доходи'!X226),0)))</f>
        <v>910</v>
      </c>
      <c r="Y228" s="208">
        <f ca="1">IF($B$223="Лікар загальної практики - сімейний лікар",IF(Z227&lt;=Законод!$C$22,Y227,Законод!$C$22*'01_Доходи'!Y226),IF($B$223="Лікар-педіатр","x",IF($B$223="Лікар-терапевт",IF(Z227&lt;=Законод!$C$26,Y227,Законод!$C$26*'01_Доходи'!Y226),0)))</f>
        <v>374</v>
      </c>
      <c r="Z228" s="209">
        <f t="shared" si="40"/>
        <v>1874</v>
      </c>
      <c r="AA228" s="966"/>
      <c r="AB228" s="208" t="str">
        <f ca="1">IF($B$223="Лікар загальної практики - сімейний лікар",IF(AG227&lt;=Законод!$C$22,AB227,Законод!$C$22*'01_Доходи'!AB226),IF($B$223="Лікар-педіатр",IF(AG227&lt;=Законод!$C$18,AB227,Законод!$C$18*'01_Доходи'!AB226),IF($B$223="Лікар-терапевт","x",0)))</f>
        <v>x</v>
      </c>
      <c r="AC228" s="208" t="str">
        <f ca="1">IF($B$223="Лікар загальної практики - сімейний лікар",IF(AG227&lt;=Законод!$C$22,AC227,Законод!$C$22*'01_Доходи'!AC226),IF($B$223="Лікар-педіатр",IF(AG227&lt;=Законод!$C$18,AC227,Законод!$C$18*'01_Доходи'!AC226),IF($B$223="Лікар-терапевт","x",0)))</f>
        <v>x</v>
      </c>
      <c r="AD228" s="208">
        <f ca="1">IF($B$223="Лікар загальної практики - сімейний лікар",IF(AG227&lt;=Законод!$C$22,AD227,Законод!$C$22*'01_Доходи'!AD226),IF($B$223="Лікар-педіатр","x",IF($B$223="Лікар-терапевт",IF(AG227&lt;=Законод!$C$26,AD227,Законод!$C$26*'01_Доходи'!AD226),0)))</f>
        <v>590</v>
      </c>
      <c r="AE228" s="208">
        <f ca="1">IF($B$223="Лікар загальної практики - сімейний лікар",IF(AG227&lt;=Законод!$C$22,AE227,Законод!$C$22*'01_Доходи'!AE226),IF($B$223="Лікар-педіатр","x",IF($B$223="Лікар-терапевт",IF(AG227&lt;=Законод!$C$26,AE227,Законод!$C$26*'01_Доходи'!AE226),0)))</f>
        <v>910</v>
      </c>
      <c r="AF228" s="208">
        <f ca="1">IF($B$223="Лікар загальної практики - сімейний лікар",IF(AG227&lt;=Законод!$C$22,AF227,Законод!$C$22*'01_Доходи'!AF226),IF($B$223="Лікар-педіатр","x",IF($B$223="Лікар-терапевт",IF(AG227&lt;=Законод!$C$26,AF227,Законод!$C$26*'01_Доходи'!AF226),0)))</f>
        <v>374</v>
      </c>
      <c r="AG228" s="209">
        <f ca="1">SUM(AB228:AF228)</f>
        <v>1874</v>
      </c>
      <c r="AH228" s="966"/>
      <c r="AI228" s="201"/>
      <c r="AJ228" s="945"/>
      <c r="AK228" s="960"/>
      <c r="AL228" s="960"/>
      <c r="AM228" s="348" t="s">
        <v>451</v>
      </c>
      <c r="AN228" s="210">
        <f ca="1">IF(B223="Лікар загальної практики - сімейний лікар",G228*Законод!$C$11+'01_Доходи'!H228*Законод!$D$11+'01_Доходи'!I228*Законод!$E$11+'01_Доходи'!J228*Законод!$F$11+'01_Доходи'!K228*Законод!$G$11,IF(B223="Лікар-педіатр",G228*Законод!$C$11+'01_Доходи'!H228*Законод!$D$11,IF(B223="Лікар-терапевт",'01_Доходи'!I228*Законод!$E$11+'01_Доходи'!J228*Законод!$F$11+'01_Доходи'!K228*Законод!$G$11,0)))</f>
        <v>294344.37042499997</v>
      </c>
      <c r="AO228" s="210">
        <f ca="1">IF(B223="Лікар загальної практики - сімейний лікар",N228*Законод!$C$11+'01_Доходи'!O228*Законод!$D$11+'01_Доходи'!P228*Законод!$E$11+'01_Доходи'!Q228*Законод!$F$11+'01_Доходи'!R228*Законод!$G$11,IF(B223="Лікар-педіатр",N228*Законод!$C$11+'01_Доходи'!O228*Законод!$D$11,IF(B223="Лікар-терапевт",'01_Доходи'!P228*Законод!$E$11+'01_Доходи'!Q228*Законод!$F$11+'01_Доходи'!R228*Законод!$G$11,0)))</f>
        <v>294344.37042499997</v>
      </c>
      <c r="AP228" s="210">
        <f ca="1">IF(B223="Лікар загальної практики - сімейний лікар",U228*Законод!$C$11+'01_Доходи'!V228*Законод!$D$11+'01_Доходи'!W228*Законод!$E$11+'01_Доходи'!X228*Законод!$F$11+'01_Доходи'!Y228*Законод!$G$11,IF(B223="Лікар-педіатр",U228*Законод!$C$11+'01_Доходи'!V228*Законод!$D$11,IF(B223="Лікар-терапевт",'01_Доходи'!W228*Законод!$E$11+'01_Доходи'!X228*Законод!$F$11+'01_Доходи'!Y228*Законод!$G$11,0)))</f>
        <v>294344.37042499997</v>
      </c>
      <c r="AQ228" s="210">
        <f ca="1">IF(B223="Лікар загальної практики - сімейний лікар",AB228*Законод!$C$11+'01_Доходи'!AC228*Законод!$D$11+'01_Доходи'!AD228*Законод!$E$11+'01_Доходи'!AE228*Законод!$F$11+'01_Доходи'!AF228*Законод!$G$11,IF(B223="Лікар-педіатр",AB228*Законод!$C$11+'01_Доходи'!AC228*Законод!$D$11,IF(B223="Лікар-терапевт",'01_Доходи'!AD228*Законод!$E$11+'01_Доходи'!AE228*Законод!$F$11+'01_Доходи'!AF228*Законод!$G$11,0)))</f>
        <v>294344.37042499997</v>
      </c>
      <c r="AR228" s="211">
        <f t="shared" ref="AR228:AR234" si="41">SUM(AN228:AQ228)</f>
        <v>1177377.4816999999</v>
      </c>
    </row>
    <row r="229" spans="1:44" s="50" customFormat="1" ht="31.9" customHeight="1">
      <c r="A229" s="197"/>
      <c r="B229" s="969"/>
      <c r="C229" s="974"/>
      <c r="D229" s="971"/>
      <c r="E229" s="971"/>
      <c r="F229" s="238" t="str">
        <f ca="1">IF(B223="Лікар-педіатр",Законод!$E$17,IF(B223="Лікар загальної практики - сімейний лікар",Законод!$E$21,IF(B223="Лікар-терапевт",Законод!$E$25,"х")))</f>
        <v>понад ліміт (2001-2200)</v>
      </c>
      <c r="G229" s="965" t="s">
        <v>423</v>
      </c>
      <c r="H229" s="965"/>
      <c r="I229" s="965"/>
      <c r="J229" s="965"/>
      <c r="K229" s="965"/>
      <c r="L229" s="196">
        <f ca="1">IF($B$223="Лікар загальної практики - сімейний лікар",IF(L227&lt;Законод!$C$22,0,(IF(AND(L227&gt;=Законод!$E$22,L227&lt;=Законод!$E$23),L227-Законод!$C$22,IF('01_Доходи'!L227&gt;=Законод!$F$22,Законод!$E$24,0)))),IF($B$223="Лікар-педіатр",IF(L227&lt;Законод!$C$18,0,(IF(AND(L227&gt;=Законод!$E$18,L227&lt;=Законод!$E$19),L227-Законод!$C$18,IF('01_Доходи'!L227&gt;=Законод!$F$18,Законод!$E$20,0)))),IF($B$223="Лікар-терапевт",IF(L227&lt;Законод!$C$26,0,(IF(AND(L227&gt;=Законод!$E$26,L227&lt;=Законод!$E$27),L227-Законод!$C$26,IF('01_Доходи'!L227&gt;=Законод!$F$26,Законод!$E$28,0)))),0)))</f>
        <v>0</v>
      </c>
      <c r="M229" s="966"/>
      <c r="N229" s="965" t="s">
        <v>423</v>
      </c>
      <c r="O229" s="965"/>
      <c r="P229" s="965"/>
      <c r="Q229" s="965"/>
      <c r="R229" s="965"/>
      <c r="S229" s="196">
        <f ca="1">IF($B$223="Лікар загальної практики - сімейний лікар",IF(S227&lt;Законод!$C$22,0,(IF(AND(S227&gt;=Законод!$E$22,S227&lt;=Законод!$E$23),S227-Законод!$C$22,IF('01_Доходи'!S227&gt;=Законод!$F$22,Законод!$E$24,0)))),IF($B$223="Лікар-педіатр",IF(S227&lt;Законод!$C$18,0,(IF(AND(S227&gt;=Законод!$E$18,S227&lt;=Законод!$E$19),S227-Законод!$C$18,IF('01_Доходи'!S227&gt;=Законод!$F$18,Законод!$E$20,0)))),IF($B$223="Лікар-терапевт",IF(S227&lt;Законод!$C$26,0,(IF(AND(S227&gt;=Законод!$E$26,S227&lt;=Законод!$E$27),S227-Законод!$C$26,IF('01_Доходи'!S227&gt;=Законод!$F$26,Законод!$E$28,0)))),0)))</f>
        <v>0</v>
      </c>
      <c r="T229" s="966"/>
      <c r="U229" s="965" t="s">
        <v>423</v>
      </c>
      <c r="V229" s="965"/>
      <c r="W229" s="965"/>
      <c r="X229" s="965"/>
      <c r="Y229" s="965"/>
      <c r="Z229" s="196">
        <f ca="1">IF($B$223="Лікар загальної практики - сімейний лікар",IF(Z227&lt;Законод!$C$22,0,(IF(AND(Z227&gt;=Законод!$E$22,Z227&lt;=Законод!$E$23),Z227-Законод!$C$22,IF('01_Доходи'!Z227&gt;=Законод!$F$22,Законод!$E$24,0)))),IF($B$223="Лікар-педіатр",IF(Z227&lt;Законод!$C$18,0,(IF(AND(Z227&gt;=Законод!$E$18,Z227&lt;=Законод!$E$19),Z227-Законод!$C$18,IF('01_Доходи'!Z227&gt;=Законод!$F$18,Законод!$E$20,0)))),IF($B$223="Лікар-терапевт",IF(Z227&lt;Законод!$C$26,0,(IF(AND(Z227&gt;=Законод!$E$26,Z227&lt;=Законод!$E$27),Z227-Законод!$C$26,IF('01_Доходи'!Z227&gt;=Законод!$F$26,Законод!$E$28,0)))),0)))</f>
        <v>0</v>
      </c>
      <c r="AA229" s="966"/>
      <c r="AB229" s="965" t="s">
        <v>423</v>
      </c>
      <c r="AC229" s="965"/>
      <c r="AD229" s="965"/>
      <c r="AE229" s="965"/>
      <c r="AF229" s="965"/>
      <c r="AG229" s="196">
        <f ca="1">IF($B$223="Лікар загальної практики - сімейний лікар",IF(AG227&lt;Законод!$C$22,0,(IF(AND(AG227&gt;=Законод!$E$22,AG227&lt;=Законод!$E$23),AG227-Законод!$C$22,IF('01_Доходи'!AG227&gt;=Законод!$F$22,Законод!$E$24,0)))),IF($B$223="Лікар-педіатр",IF(AG227&lt;Законод!$C$18,0,(IF(AND(AG227&gt;=Законод!$E$18,AG227&lt;=Законод!$E$19),AG227-Законод!$C$18,IF('01_Доходи'!AG227&gt;=Законод!$F$18,Законод!$E$20,0)))),IF($B$223="Лікар-терапевт",IF(AG227&lt;Законод!$C$26,0,(IF(AND(AG227&gt;=Законод!$E$26,AG227&lt;=Законод!$E$27),AG227-Законод!$C$26,IF('01_Доходи'!AG227&gt;=Законод!$F$26,Законод!$E$28,0)))),0)))</f>
        <v>0</v>
      </c>
      <c r="AH229" s="966"/>
      <c r="AI229" s="201"/>
      <c r="AJ229" s="945"/>
      <c r="AK229" s="960"/>
      <c r="AL229" s="960"/>
      <c r="AM229" s="926" t="s">
        <v>452</v>
      </c>
      <c r="AN229" s="210">
        <f ca="1">IF(B223="Лікар загальної практики - сімейний лікар",L229*Законод!$C$9/4*Законод!$E$16,IF(B223="Лікар-педіатр",L229*Законод!$C$9/4*Законод!$E$16,IF(B223="Лікар-терапевт",L229*Законод!$C$9/4*Законод!$E$16,0)))</f>
        <v>0</v>
      </c>
      <c r="AO229" s="210">
        <f ca="1">IF(B223="Лікар загальної практики - сімейний лікар",S229*Законод!$C$9/4*Законод!$E$16,IF(B223="Лікар-педіатр",S229*Законод!$C$9/4*Законод!$E$16,IF(B223="Лікар-терапевт",S229*Законод!$C$9/4*Законод!$E$16,0)))</f>
        <v>0</v>
      </c>
      <c r="AP229" s="210">
        <f ca="1">IF(B223="Лікар загальної практики - сімейний лікар",Z229*Законод!$C$9/4*Законод!$E$16,IF(B223="Лікар-педіатр",Z229*Законод!$C$9/4*Законод!$E$16,IF(B223="Лікар-терапевт",Z229*Законод!$C$9/4*Законод!$E$16,0)))</f>
        <v>0</v>
      </c>
      <c r="AQ229" s="210">
        <f ca="1">IF(B223="Лікар загальної практики - сімейний лікар",AG229*Законод!$C$9/4*Законод!$E$16,IF(B223="Лікар-педіатр",AG229*Законод!$C$9/4*Законод!$E$16,IF(B223="Лікар-терапевт",AG229*Законод!$C$9/4*Законод!$E$16,0)))</f>
        <v>0</v>
      </c>
      <c r="AR229" s="211">
        <f t="shared" si="41"/>
        <v>0</v>
      </c>
    </row>
    <row r="230" spans="1:44" s="50" customFormat="1" ht="31.9" customHeight="1">
      <c r="A230" s="197"/>
      <c r="B230" s="969"/>
      <c r="C230" s="974"/>
      <c r="D230" s="971"/>
      <c r="E230" s="971"/>
      <c r="F230" s="238" t="str">
        <f ca="1">IF(B223="Лікар-педіатр",Законод!$F$17,IF(B223="Лікар загальної практики - сімейний лікар",Законод!$F$21,IF(B223="Лікар-терапевт",Законод!$F$25,"х")))</f>
        <v>понад ліміт (2201-2400)</v>
      </c>
      <c r="G230" s="965" t="s">
        <v>423</v>
      </c>
      <c r="H230" s="965"/>
      <c r="I230" s="965"/>
      <c r="J230" s="965"/>
      <c r="K230" s="965"/>
      <c r="L230" s="196">
        <f ca="1">IF($B$223="Лікар загальної практики - сімейний лікар",IF(L227&lt;Законод!$C$22,0,(IF(AND(L227&gt;=Законод!$F$22,L227&lt;=Законод!$F$23),L227-Законод!$E$23,IF('01_Доходи'!L227&gt;=Законод!$G$22,Законод!$F$24,0)))),IF($B$223="Лікар-педіатр",IF(L227&lt;Законод!$C$18,0,(IF(AND(L227&gt;=Законод!$F$18,L227&lt;=Законод!$F$19),L227-Законод!$E$19,IF('01_Доходи'!L227&gt;=Законод!$G$18,Законод!$F$20,0)))),IF($B$223="Лікар-терапевт",IF(L227&lt;Законод!$C$26,0,(IF(AND(L227&gt;=Законод!$F$26,L227&lt;=Законод!$F$27),L227-Законод!$E$27,IF('01_Доходи'!L227&gt;=Законод!$G$26,Законод!$F$28,0)))),0)))</f>
        <v>0</v>
      </c>
      <c r="M230" s="966"/>
      <c r="N230" s="965" t="s">
        <v>423</v>
      </c>
      <c r="O230" s="965"/>
      <c r="P230" s="965"/>
      <c r="Q230" s="965"/>
      <c r="R230" s="965"/>
      <c r="S230" s="196">
        <f ca="1">IF($B$223="Лікар загальної практики - сімейний лікар",IF(S227&lt;Законод!$C$22,0,(IF(AND(S227&gt;=Законод!$F$22,S227&lt;=Законод!$F$23),S227-Законод!$E$23,IF('01_Доходи'!S227&gt;=Законод!$G$22,Законод!$F$24,0)))),IF($B$223="Лікар-педіатр",IF(S227&lt;Законод!$C$18,0,(IF(AND(S227&gt;=Законод!$F$18,S227&lt;=Законод!$F$19),S227-Законод!$E$19,IF('01_Доходи'!S227&gt;=Законод!$G$18,Законод!$F$20,0)))),IF($B$223="Лікар-терапевт",IF(S227&lt;Законод!$C$26,0,(IF(AND(S227&gt;=Законод!$F$26,S227&lt;=Законод!$F$27),S227-Законод!$E$27,IF('01_Доходи'!S227&gt;=Законод!$G$26,Законод!$F$28,0)))),0)))</f>
        <v>0</v>
      </c>
      <c r="T230" s="966"/>
      <c r="U230" s="965" t="s">
        <v>423</v>
      </c>
      <c r="V230" s="965"/>
      <c r="W230" s="965"/>
      <c r="X230" s="965"/>
      <c r="Y230" s="965"/>
      <c r="Z230" s="196">
        <f ca="1">IF($B$223="Лікар загальної практики - сімейний лікар",IF(Z227&lt;Законод!$C$22,0,(IF(AND(Z227&gt;=Законод!$F$22,Z227&lt;=Законод!$F$23),Z227-Законод!$E$23,IF('01_Доходи'!Z227&gt;=Законод!$G$22,Законод!$F$24,0)))),IF($B$223="Лікар-педіатр",IF(Z227&lt;Законод!$C$18,0,(IF(AND(Z227&gt;=Законод!$F$18,Z227&lt;=Законод!$F$19),Z227-Законод!$E$19,IF('01_Доходи'!Z227&gt;=Законод!$G$18,Законод!$F$20,0)))),IF($B$223="Лікар-терапевт",IF(Z227&lt;Законод!$C$26,0,(IF(AND(Z227&gt;=Законод!$F$26,Z227&lt;=Законод!$F$27),Z227-Законод!$E$27,IF('01_Доходи'!Z227&gt;=Законод!$G$26,Законод!$F$28,0)))),0)))</f>
        <v>0</v>
      </c>
      <c r="AA230" s="966"/>
      <c r="AB230" s="965" t="s">
        <v>423</v>
      </c>
      <c r="AC230" s="965"/>
      <c r="AD230" s="965"/>
      <c r="AE230" s="965"/>
      <c r="AF230" s="965"/>
      <c r="AG230" s="196">
        <f ca="1">IF($B$223="Лікар загальної практики - сімейний лікар",IF(AG227&lt;Законод!$C$22,0,(IF(AND(AG227&gt;=Законод!$F$22,AG227&lt;=Законод!$F$23),AG227-Законод!$E$23,IF('01_Доходи'!AG227&gt;=Законод!$G$22,Законод!$F$24,0)))),IF($B$223="Лікар-педіатр",IF(AG227&lt;Законод!$C$18,0,(IF(AND(AG227&gt;=Законод!$F$18,AG227&lt;=Законод!$F$19),AG227-Законод!$E$19,IF('01_Доходи'!AG227&gt;=Законод!$G$18,Законод!$F$20,0)))),IF($B$223="Лікар-терапевт",IF(AG227&lt;Законод!$C$26,0,(IF(AND(AG227&gt;=Законод!$F$26,AG227&lt;=Законод!$F$27),AG227-Законод!$E$27,IF('01_Доходи'!AG227&gt;=Законод!$G$26,Законод!$F$28,0)))),0)))</f>
        <v>0</v>
      </c>
      <c r="AH230" s="966"/>
      <c r="AI230" s="201"/>
      <c r="AJ230" s="945"/>
      <c r="AK230" s="960"/>
      <c r="AL230" s="960"/>
      <c r="AM230" s="927"/>
      <c r="AN230" s="210">
        <f ca="1">IF(B223="Лікар загальної практики - сімейний лікар",L230*Законод!$C$9/4*Законод!$F$16,IF(B223="Лікар-педіатр",L230*Законод!$C$9/4*Законод!$F$16,IF(B223="Лікар-терапевт",L230*Законод!$C$9/4*Законод!$F$16,0)))</f>
        <v>0</v>
      </c>
      <c r="AO230" s="210">
        <f ca="1">IF(B223="Лікар загальної практики - сімейний лікар",S230*Законод!$C$9/4*Законод!$F$16,IF(B223="Лікар-педіатр",S230*Законод!$C$9/4*Законод!$F$16,IF(B223="Лікар-терапевт",S230*Законод!$C$9/4*Законод!$F$16,0)))</f>
        <v>0</v>
      </c>
      <c r="AP230" s="210">
        <f ca="1">IF(B223="Лікар загальної практики - сімейний лікар",Z230*Законод!$C$9/4*Законод!$F$16,IF(B223="Лікар-педіатр",Z230*Законод!$C$9/4*Законод!$F$16,IF(B223="Лікар-терапевт",Z230*Законод!$C$9/4*Законод!$F$16,0)))</f>
        <v>0</v>
      </c>
      <c r="AQ230" s="210">
        <f ca="1">IF(B223="Лікар загальної практики - сімейний лікар",AG230*Законод!$C$9/4*Законод!$F$16,IF(B223="Лікар-педіатр",AG230*Законод!$C$9/4*Законод!$F$16,IF(B223="Лікар-терапевт",AG230*Законод!$C$9/4*Законод!$F$16,0)))</f>
        <v>0</v>
      </c>
      <c r="AR230" s="211">
        <f t="shared" si="41"/>
        <v>0</v>
      </c>
    </row>
    <row r="231" spans="1:44" s="50" customFormat="1" ht="31.9" customHeight="1">
      <c r="A231" s="197"/>
      <c r="B231" s="969"/>
      <c r="C231" s="974"/>
      <c r="D231" s="971"/>
      <c r="E231" s="971"/>
      <c r="F231" s="238" t="str">
        <f ca="1">IF(B223="Лікар-педіатр",Законод!$G$17,IF(B223="Лікар загальної практики - сімейний лікар",Законод!$G$21,IF(B223="Лікар-терапевт",Законод!$G$25,"х")))</f>
        <v>понад ліміт (2401-2600)</v>
      </c>
      <c r="G231" s="965" t="s">
        <v>423</v>
      </c>
      <c r="H231" s="965"/>
      <c r="I231" s="965"/>
      <c r="J231" s="965"/>
      <c r="K231" s="965"/>
      <c r="L231" s="196">
        <f ca="1">IF($B$223="Лікар загальної практики - сімейний лікар",IF(L227&lt;Законод!$C$22,0,(IF(AND(L227&gt;=Законод!$G$22,L227&lt;=Законод!$G$23),L227-Законод!$F$23,IF('01_Доходи'!L227&gt;=Законод!$H$22,Законод!$G$24,0)))),IF($B$223="Лікар-педіатр",IF(L227&lt;Законод!$C$18,0,(IF(AND(L227&gt;=Законод!$G$18,L227&lt;=Законод!$G$19),L227-Законод!$F$19,IF('01_Доходи'!L227&gt;=Законод!$H$18,Законод!$G$20,0)))),IF($B$223="Лікар-терапевт",IF(L227&lt;Законод!$C$26,0,(IF(AND(L227&gt;=Законод!$G$26,L227&lt;=Законод!$G$27),L227-Законод!$F$27,IF('01_Доходи'!L227&gt;=Законод!$H$26,Законод!$G$28,0)))),0)))</f>
        <v>0</v>
      </c>
      <c r="M231" s="966"/>
      <c r="N231" s="965" t="s">
        <v>423</v>
      </c>
      <c r="O231" s="965"/>
      <c r="P231" s="965"/>
      <c r="Q231" s="965"/>
      <c r="R231" s="965"/>
      <c r="S231" s="196">
        <f ca="1">IF($B$223="Лікар загальної практики - сімейний лікар",IF(S227&lt;Законод!$C$22,0,(IF(AND(S227&gt;=Законод!$G$22,S227&lt;=Законод!$G$23),S227-Законод!$F$23,IF('01_Доходи'!S227&gt;=Законод!$H$22,Законод!$G$24,0)))),IF($B$223="Лікар-педіатр",IF(S227&lt;Законод!$C$18,0,(IF(AND(S227&gt;=Законод!$G$18,S227&lt;=Законод!$G$19),S227-Законод!$F$19,IF('01_Доходи'!S227&gt;=Законод!$H$18,Законод!$G$20,0)))),IF($B$223="Лікар-терапевт",IF(S227&lt;Законод!$C$26,0,(IF(AND(S227&gt;=Законод!$G$26,S227&lt;=Законод!$G$27),S227-Законод!$F$27,IF('01_Доходи'!S227&gt;=Законод!$H$26,Законод!$G$28,0)))),0)))</f>
        <v>0</v>
      </c>
      <c r="T231" s="966"/>
      <c r="U231" s="965" t="s">
        <v>423</v>
      </c>
      <c r="V231" s="965"/>
      <c r="W231" s="965"/>
      <c r="X231" s="965"/>
      <c r="Y231" s="965"/>
      <c r="Z231" s="196">
        <f ca="1">IF($B$223="Лікар загальної практики - сімейний лікар",IF(Z227&lt;Законод!$C$22,0,(IF(AND(Z227&gt;=Законод!$G$22,Z227&lt;=Законод!$G$23),Z227-Законод!$F$23,IF('01_Доходи'!Z227&gt;=Законод!$H$22,Законод!$G$24,0)))),IF($B$223="Лікар-педіатр",IF(Z227&lt;Законод!$C$18,0,(IF(AND(Z227&gt;=Законод!$G$18,Z227&lt;=Законод!$G$19),Z227-Законод!$F$19,IF('01_Доходи'!Z227&gt;=Законод!$H$18,Законод!$G$20,0)))),IF($B$223="Лікар-терапевт",IF(Z227&lt;Законод!$C$26,0,(IF(AND(Z227&gt;=Законод!$G$26,Z227&lt;=Законод!$G$27),Z227-Законод!$F$27,IF('01_Доходи'!Z227&gt;=Законод!$H$26,Законод!$G$28,0)))),0)))</f>
        <v>0</v>
      </c>
      <c r="AA231" s="966"/>
      <c r="AB231" s="965" t="s">
        <v>423</v>
      </c>
      <c r="AC231" s="965"/>
      <c r="AD231" s="965"/>
      <c r="AE231" s="965"/>
      <c r="AF231" s="965"/>
      <c r="AG231" s="196">
        <f ca="1">IF($B$223="Лікар загальної практики - сімейний лікар",IF(AG227&lt;Законод!$C$22,0,(IF(AND(AG227&gt;=Законод!$G$22,AG227&lt;=Законод!$G$23),AG227-Законод!$F$23,IF('01_Доходи'!AG227&gt;=Законод!$H$22,Законод!$G$24,0)))),IF($B$223="Лікар-педіатр",IF(AG227&lt;Законод!$C$18,0,(IF(AND(AG227&gt;=Законод!$G$18,AG227&lt;=Законод!$G$19),AG227-Законод!$F$19,IF('01_Доходи'!AG227&gt;=Законод!$H$18,Законод!$G$20,0)))),IF($B$223="Лікар-терапевт",IF(AG227&lt;Законод!$C$26,0,(IF(AND(AG227&gt;=Законод!$G$26,AG227&lt;=Законод!$G$27),AG227-Законод!$F$27,IF('01_Доходи'!AG227&gt;=Законод!$H$26,Законод!$G$28,0)))),0)))</f>
        <v>0</v>
      </c>
      <c r="AH231" s="966"/>
      <c r="AI231" s="201"/>
      <c r="AJ231" s="945"/>
      <c r="AK231" s="960"/>
      <c r="AL231" s="960"/>
      <c r="AM231" s="927"/>
      <c r="AN231" s="210">
        <f ca="1">IF(B223="Лікар загальної практики - сімейний лікар",L231*Законод!$C$9/4*Законод!$G$16,IF(B223="Лікар-педіатр",L231*Законод!$C$9/4*Законод!$G$16,IF(B223="Лікар-терапевт",L231*Законод!$C$9/4*Законод!$G$16,0)))</f>
        <v>0</v>
      </c>
      <c r="AO231" s="210">
        <f ca="1">IF(B223="Лікар загальної практики - сімейний лікар",S231*Законод!$C$9/4*Законод!$G$16,IF(B223="Лікар-педіатр",S231*Законод!$C$9/4*Законод!$G$16,IF(B223="Лікар-терапевт",S231*Законод!$C$9/4*Законод!$G$16,0)))</f>
        <v>0</v>
      </c>
      <c r="AP231" s="210">
        <f ca="1">IF(B223="Лікар загальної практики - сімейний лікар",Z231*Законод!$C$9/4*Законод!$G$16,IF(B223="Лікар-педіатр",Z231*Законод!$C$9/4*Законод!$G$16,IF(B223="Лікар-терапевт",Z231*Законод!$C$9/4*Законод!$G$16,0)))</f>
        <v>0</v>
      </c>
      <c r="AQ231" s="210">
        <f ca="1">IF(B223="Лікар загальної практики - сімейний лікар",AG231*Законод!$C$9/4*Законод!$G$16,IF(B223="Лікар-педіатр",AG231*Законод!$C$9/4*Законод!$G$16,IF(B223="Лікар-терапевт",AG231*Законод!$C$9/4*Законод!$G$16,0)))</f>
        <v>0</v>
      </c>
      <c r="AR231" s="211">
        <f t="shared" si="41"/>
        <v>0</v>
      </c>
    </row>
    <row r="232" spans="1:44" s="50" customFormat="1" ht="31.9" customHeight="1">
      <c r="A232" s="197"/>
      <c r="B232" s="969"/>
      <c r="C232" s="974"/>
      <c r="D232" s="971"/>
      <c r="E232" s="971"/>
      <c r="F232" s="238" t="str">
        <f ca="1">IF(B223="Лікар-педіатр",Законод!$H$17,IF(B223="Лікар загальної практики - сімейний лікар",Законод!$H$21,IF(B223="Лікар-терапевт",Законод!$H$25,"х")))</f>
        <v>понад ліміт (2601-2800)</v>
      </c>
      <c r="G232" s="965" t="s">
        <v>423</v>
      </c>
      <c r="H232" s="965"/>
      <c r="I232" s="965"/>
      <c r="J232" s="965"/>
      <c r="K232" s="965"/>
      <c r="L232" s="196">
        <f ca="1">IF($B$223="Лікар загальної практики - сімейний лікар",IF(L227&lt;Законод!$C$22,0,(IF(AND(L227&gt;=Законод!$H$22,L227&lt;=Законод!$H$23),L227-Законод!$G$23,IF('01_Доходи'!L227&gt;=Законод!$I$22,Законод!$H$24,0)))),IF($B$223="Лікар-педіатр",IF(L227&lt;Законод!$C$18,0,(IF(AND(L227&gt;=Законод!$H$18,L227&lt;=Законод!$H$19),L227-Законод!$G$19,IF('01_Доходи'!L227&gt;=Законод!$I$18,Законод!$H$20,0)))),IF($B$223="Лікар-терапевт",IF(L227&lt;Законод!$C$26,0,(IF(AND(L227&gt;=Законод!$H$26,L227&lt;=Законод!$H$27),L227-Законод!$G$27,IF(L227&gt;=Законод!$I$26,Законод!$H$28,0)))),0)))</f>
        <v>0</v>
      </c>
      <c r="M232" s="966"/>
      <c r="N232" s="965" t="s">
        <v>423</v>
      </c>
      <c r="O232" s="965"/>
      <c r="P232" s="965"/>
      <c r="Q232" s="965"/>
      <c r="R232" s="965"/>
      <c r="S232" s="196">
        <f ca="1">IF($B$223="Лікар загальної практики - сімейний лікар",IF(S227&lt;Законод!$C$22,0,(IF(AND(S227&gt;=Законод!$H$22,S227&lt;=Законод!$H$23),S227-Законод!$G$23,IF('01_Доходи'!S227&gt;=Законод!$I$22,Законод!$H$24,0)))),IF($B$223="Лікар-педіатр",IF(S227&lt;Законод!$C$18,0,(IF(AND(S227&gt;=Законод!$H$18,S227&lt;=Законод!$H$19),S227-Законод!$G$19,IF('01_Доходи'!S227&gt;=Законод!$I$18,Законод!$H$20,0)))),IF($B$223="Лікар-терапевт",IF(S227&lt;Законод!$C$26,0,(IF(AND(S227&gt;=Законод!$H$26,S227&lt;=Законод!$H$27),S227-Законод!$G$27,IF(S227&gt;=Законод!$I$26,Законод!$H$28,0)))),0)))</f>
        <v>0</v>
      </c>
      <c r="T232" s="966"/>
      <c r="U232" s="965" t="s">
        <v>423</v>
      </c>
      <c r="V232" s="965"/>
      <c r="W232" s="965"/>
      <c r="X232" s="965"/>
      <c r="Y232" s="965"/>
      <c r="Z232" s="196">
        <f ca="1">IF($B$223="Лікар загальної практики - сімейний лікар",IF(Z227&lt;Законод!$C$22,0,(IF(AND(Z227&gt;=Законод!$H$22,Z227&lt;=Законод!$H$23),Z227-Законод!$G$23,IF('01_Доходи'!Z227&gt;=Законод!$I$22,Законод!$H$24,0)))),IF($B$223="Лікар-педіатр",IF(Z227&lt;Законод!$C$18,0,(IF(AND(Z227&gt;=Законод!$H$18,Z227&lt;=Законод!$H$19),Z227-Законод!$G$19,IF('01_Доходи'!Z227&gt;=Законод!$I$18,Законод!$H$20,0)))),IF($B$223="Лікар-терапевт",IF(Z227&lt;Законод!$C$26,0,(IF(AND(Z227&gt;=Законод!$H$26,Z227&lt;=Законод!$H$27),Z227-Законод!$G$27,IF(Z227&gt;=Законод!$I$26,Законод!$H$28,0)))),0)))</f>
        <v>0</v>
      </c>
      <c r="AA232" s="966"/>
      <c r="AB232" s="965" t="s">
        <v>423</v>
      </c>
      <c r="AC232" s="965"/>
      <c r="AD232" s="965"/>
      <c r="AE232" s="965"/>
      <c r="AF232" s="965"/>
      <c r="AG232" s="196">
        <f ca="1">IF($B$223="Лікар загальної практики - сімейний лікар",IF(AG227&lt;Законод!$C$22,0,(IF(AND(AG227&gt;=Законод!$H$22,AG227&lt;=Законод!$H$23),AG227-Законод!$G$23,IF('01_Доходи'!AG227&gt;=Законод!$I$22,Законод!$H$24,0)))),IF($B$223="Лікар-педіатр",IF(AG227&lt;Законод!$C$18,0,(IF(AND(AG227&gt;=Законод!$H$18,AG227&lt;=Законод!$H$19),AG227-Законод!$G$19,IF('01_Доходи'!AG227&gt;=Законод!$I$18,Законод!$H$20,0)))),IF($B$223="Лікар-терапевт",IF(AG227&lt;Законод!$C$26,0,(IF(AND(AG227&gt;=Законод!$H$26,AG227&lt;=Законод!$H$27),AG227-Законод!$G$27,IF(AG227&gt;=Законод!$I$26,Законод!$H$28,0)))),0)))</f>
        <v>0</v>
      </c>
      <c r="AH232" s="966"/>
      <c r="AI232" s="201"/>
      <c r="AJ232" s="945"/>
      <c r="AK232" s="960"/>
      <c r="AL232" s="960"/>
      <c r="AM232" s="927"/>
      <c r="AN232" s="210">
        <f ca="1">IF(B223="Лікар загальної практики - сімейний лікар",L232*Законод!$C$9/4*Законод!$H$16,IF(B223="Лікар-педіатр",L232*Законод!$C$9/4*Законод!$H$16,IF(B223="Лікар-терапевт",L232*Законод!$C$9/4*Законод!$H$16,0)))</f>
        <v>0</v>
      </c>
      <c r="AO232" s="210">
        <f ca="1">IF(B223="Лікар загальної практики - сімейний лікар",S232*Законод!$C$9/4*Законод!$H$16,IF(B223="Лікар-педіатр",S232*Законод!$C$9/4*Законод!$H$16,IF(B223="Лікар-терапевт",S232*Законод!$C$9/4*Законод!$H$16,0)))</f>
        <v>0</v>
      </c>
      <c r="AP232" s="210">
        <f ca="1">IF(B223="Лікар загальної практики - сімейний лікар",Z232*Законод!$C$9/4*Законод!$H$16,IF(B223="Лікар-педіатр",Z232*Законод!$C$9/4*Законод!$H$16,IF(B223="Лікар-терапевт",Z232*Законод!$C$9/4*Законод!$H$16,0)))</f>
        <v>0</v>
      </c>
      <c r="AQ232" s="210">
        <f ca="1">IF(B223="Лікар загальної практики - сімейний лікар",AG232*Законод!$C$9/4*Законод!$H$16,IF(B223="Лікар-педіатр",AG232*Законод!$C$9/4*Законод!$H$16,IF(B223="Лікар-терапевт",AG232*Законод!$C$9/4*Законод!$H$16,0)))</f>
        <v>0</v>
      </c>
      <c r="AR232" s="211">
        <f t="shared" si="41"/>
        <v>0</v>
      </c>
    </row>
    <row r="233" spans="1:44" s="50" customFormat="1" ht="31.9" customHeight="1">
      <c r="A233" s="197"/>
      <c r="B233" s="969"/>
      <c r="C233" s="974"/>
      <c r="D233" s="971"/>
      <c r="E233" s="971"/>
      <c r="F233" s="238" t="str">
        <f ca="1">IF(B223="Лікар-педіатр",Законод!$I$17,IF(B223="Лікар загальної практики - сімейний лікар",Законод!$I$21,IF(B223="Лікар-терапевт",Законод!$I$25,"х")))</f>
        <v>понад ліміт (2801-3000)</v>
      </c>
      <c r="G233" s="965" t="s">
        <v>423</v>
      </c>
      <c r="H233" s="965"/>
      <c r="I233" s="965"/>
      <c r="J233" s="965"/>
      <c r="K233" s="965"/>
      <c r="L233" s="196">
        <f ca="1">IF($B$223="Лікар загальної практики - сімейний лікар",IF(L227&lt;Законод!$C$22,0,(IF(AND(L227&gt;=Законод!$I$22,L227&lt;=Законод!$I$23),L227-Законод!$H$23,IF('01_Доходи'!L227&gt;=Законод!$I$22,Законод!$I$24,0)))),IF($B$223="Лікар-педіатр",IF(L227&lt;Законод!$C$18,0,(IF(AND(L227&gt;=Законод!$I$18,L227&lt;=Законод!$I$19),L227-Законод!$H$19,IF('01_Доходи'!L227&gt;=Законод!$I$18,Законод!$H$20,0)))),IF($B$223="Лікар-терапевт",IF(L227&lt;Законод!$C$26,0,(IF(AND(L227&gt;=Законод!$I$26,L227&lt;=Законод!$I$27),L227-Законод!$H$27,IF('01_Доходи'!L227&gt;=Законод!$I$26,Законод!$H$28,0)))),0)))</f>
        <v>0</v>
      </c>
      <c r="M233" s="966"/>
      <c r="N233" s="965" t="s">
        <v>423</v>
      </c>
      <c r="O233" s="965"/>
      <c r="P233" s="965"/>
      <c r="Q233" s="965"/>
      <c r="R233" s="965"/>
      <c r="S233" s="196">
        <f ca="1">IF($B$223="Лікар загальної практики - сімейний лікар",IF(S227&lt;Законод!$C$22,0,(IF(AND(S227&gt;=Законод!$I$22,S227&lt;=Законод!$I$23),S227-Законод!$H$23,IF('01_Доходи'!S227&gt;=Законод!$I$22,Законод!$I$24,0)))),IF($B$223="Лікар-педіатр",IF(S227&lt;Законод!$C$18,0,(IF(AND(S227&gt;=Законод!$I$18,S227&lt;=Законод!$I$19),S227-Законод!$H$19,IF('01_Доходи'!S227&gt;=Законод!$I$18,Законод!$H$20,0)))),IF($B$223="Лікар-терапевт",IF(S227&lt;Законод!$C$26,0,(IF(AND(S227&gt;=Законод!$I$26,S227&lt;=Законод!$I$27),S227-Законод!$H$27,IF('01_Доходи'!S227&gt;=Законод!$I$26,Законод!$H$28,0)))),0)))</f>
        <v>0</v>
      </c>
      <c r="T233" s="966"/>
      <c r="U233" s="965" t="s">
        <v>423</v>
      </c>
      <c r="V233" s="965"/>
      <c r="W233" s="965"/>
      <c r="X233" s="965"/>
      <c r="Y233" s="965"/>
      <c r="Z233" s="196">
        <f ca="1">IF($B$223="Лікар загальної практики - сімейний лікар",IF(Z227&lt;Законод!$C$22,0,(IF(AND(Z227&gt;=Законод!$I$22,Z227&lt;=Законод!$I$23),Z227-Законод!$H$23,IF('01_Доходи'!Z227&gt;=Законод!$I$22,Законод!$I$24,0)))),IF($B$223="Лікар-педіатр",IF(Z227&lt;Законод!$C$18,0,(IF(AND(Z227&gt;=Законод!$I$18,Z227&lt;=Законод!$I$19),Z227-Законод!$H$19,IF('01_Доходи'!Z227&gt;=Законод!$I$18,Законод!$H$20,0)))),IF($B$223="Лікар-терапевт",IF(Z227&lt;Законод!$C$26,0,(IF(AND(Z227&gt;=Законод!$I$26,Z227&lt;=Законод!$I$27),Z227-Законод!$H$27,IF('01_Доходи'!Z227&gt;=Законод!$I$26,Законод!$H$28,0)))),0)))</f>
        <v>0</v>
      </c>
      <c r="AA233" s="966"/>
      <c r="AB233" s="965" t="s">
        <v>423</v>
      </c>
      <c r="AC233" s="965"/>
      <c r="AD233" s="965"/>
      <c r="AE233" s="965"/>
      <c r="AF233" s="965"/>
      <c r="AG233" s="196">
        <f ca="1">IF($B$223="Лікар загальної практики - сімейний лікар",IF(AG227&lt;Законод!$C$22,0,(IF(AND(AG227&gt;=Законод!$I$22,AG227&lt;=Законод!$I$23),AG227-Законод!$H$23,IF('01_Доходи'!AG227&gt;=Законод!$I$22,Законод!$I$24,0)))),IF($B$223="Лікар-педіатр",IF(AG227&lt;Законод!$C$18,0,(IF(AND(AG227&gt;=Законод!$I$18,AG227&lt;=Законод!$I$19),AG227-Законод!$H$19,IF('01_Доходи'!AG227&gt;=Законод!$I$18,Законод!$H$20,0)))),IF($B$223="Лікар-терапевт",IF(AG227&lt;Законод!$C$26,0,(IF(AND(AG227&gt;=Законод!$I$26,AG227&lt;=Законод!$I$27),AG227-Законод!$H$27,IF('01_Доходи'!AG227&gt;=Законод!$I$26,Законод!$H$28,0)))),0)))</f>
        <v>0</v>
      </c>
      <c r="AH233" s="966"/>
      <c r="AI233" s="201"/>
      <c r="AJ233" s="945"/>
      <c r="AK233" s="960"/>
      <c r="AL233" s="960"/>
      <c r="AM233" s="927"/>
      <c r="AN233" s="210">
        <f ca="1">IF(B223="Лікар загальної практики - сімейний лікар",L233*Законод!$C$9/4*Законод!$I$16,IF(B223="Лікар-педіатр",L233*Законод!$C$9/4*Законод!$I$16,IF(B223="Лікар-терапевт",L233*Законод!$C$9/4*Законод!$I$16,0)))</f>
        <v>0</v>
      </c>
      <c r="AO233" s="210">
        <f ca="1">IF(B223="Лікар загальної практики - сімейний лікар",S233*Законод!$C$9/4*Законод!$I$16,IF(B223="Лікар-педіатр",S233*Законод!$C$9/4*Законод!$I$16,IF(B223="Лікар-терапевт",S233*Законод!$C$9/4*Законод!$I$16,0)))</f>
        <v>0</v>
      </c>
      <c r="AP233" s="210">
        <f ca="1">IF(B223="Лікар загальної практики - сімейний лікар",Z233*Законод!$C$9/4*Законод!$I$16,IF(B223="Лікар-педіатр",Z233*Законод!$C$9/4*Законод!$I$16,IF(B223="Лікар-терапевт",Z233*Законод!$C$9/4*Законод!$I$16,0)))</f>
        <v>0</v>
      </c>
      <c r="AQ233" s="210">
        <f ca="1">IF(B223="Лікар загальної практики - сімейний лікар",AG233*Законод!$C$9/4*Законод!$I$16,IF(B223="Лікар-педіатр",AG233*Законод!$C$9/4*Законод!$I$16,IF(B223="Лікар-терапевт",AG233*Законод!$C$9/4*Законод!$I$16,0)))</f>
        <v>0</v>
      </c>
      <c r="AR233" s="211">
        <f t="shared" si="41"/>
        <v>0</v>
      </c>
    </row>
    <row r="234" spans="1:44" s="218" customFormat="1" ht="31.9" customHeight="1" thickBot="1">
      <c r="A234" s="213"/>
      <c r="B234" s="969"/>
      <c r="C234" s="974"/>
      <c r="D234" s="971"/>
      <c r="E234" s="971"/>
      <c r="F234" s="239" t="str">
        <f ca="1">IF(B223="Лікар-педіатр",Законод!$J$17,IF(B223="Лікар загальної практики - сімейний лікар",Законод!$J$21,IF(B223="Лікар-терапевт",Законод!$J$25,"х")))</f>
        <v>понад ліміт (&gt;=3001)</v>
      </c>
      <c r="G234" s="968" t="s">
        <v>423</v>
      </c>
      <c r="H234" s="968"/>
      <c r="I234" s="968"/>
      <c r="J234" s="968"/>
      <c r="K234" s="968"/>
      <c r="L234" s="196">
        <f ca="1">IF($B$223="Лікар загальної практики - сімейний лікар",IF(L227&gt;=Законод!$J$22,'01_Доходи'!L227-('01_Доходи'!L228+'01_Доходи'!L229+'01_Доходи'!L230+'01_Доходи'!L231+'01_Доходи'!L232+'01_Доходи'!L233),0),IF($B$223="Лікар-педіатр",IF(L227&gt;=Законод!$J$18,'01_Доходи'!L227-('01_Доходи'!L228+'01_Доходи'!L229+'01_Доходи'!L230+'01_Доходи'!L231+'01_Доходи'!L232+'01_Доходи'!L233),0),IF($B$223="Лікар-терапевт",IF('01_Доходи'!L227&gt;=Законод!$J$26,L227-Законод!$I$27,0),0)))</f>
        <v>0</v>
      </c>
      <c r="M234" s="966"/>
      <c r="N234" s="968" t="s">
        <v>423</v>
      </c>
      <c r="O234" s="968"/>
      <c r="P234" s="968"/>
      <c r="Q234" s="968"/>
      <c r="R234" s="968"/>
      <c r="S234" s="196">
        <f ca="1">IF($B$223="Лікар загальної практики - сімейний лікар",IF(S227&gt;=Законод!$J$22,'01_Доходи'!S227-('01_Доходи'!S228+'01_Доходи'!S229+'01_Доходи'!S230+'01_Доходи'!S231+'01_Доходи'!S232+'01_Доходи'!S233),0),IF($B$223="Лікар-педіатр",IF(S227&gt;=Законод!$J$18,'01_Доходи'!S227-('01_Доходи'!S228+'01_Доходи'!S229+'01_Доходи'!S230+'01_Доходи'!S231+'01_Доходи'!S232+'01_Доходи'!S233),0),IF($B$223="Лікар-терапевт",IF('01_Доходи'!S227&gt;=Законод!$J$26,S227-Законод!$I$27,0),0)))</f>
        <v>0</v>
      </c>
      <c r="T234" s="966"/>
      <c r="U234" s="968" t="s">
        <v>423</v>
      </c>
      <c r="V234" s="968"/>
      <c r="W234" s="968"/>
      <c r="X234" s="968"/>
      <c r="Y234" s="968"/>
      <c r="Z234" s="196">
        <f ca="1">IF($B$223="Лікар загальної практики - сімейний лікар",IF(Z227&gt;=Законод!$J$22,'01_Доходи'!Z227-('01_Доходи'!Z228+'01_Доходи'!Z229+'01_Доходи'!Z230+'01_Доходи'!Z231+'01_Доходи'!Z232+'01_Доходи'!Z233),0),IF($B$223="Лікар-педіатр",IF(Z227&gt;=Законод!$J$18,'01_Доходи'!Z227-('01_Доходи'!Z228+'01_Доходи'!Z229+'01_Доходи'!Z230+'01_Доходи'!Z231+'01_Доходи'!Z232+'01_Доходи'!Z233),0),IF($B$223="Лікар-терапевт",IF('01_Доходи'!Z227&gt;=Законод!$J$26,Z227-Законод!$I$27,0),0)))</f>
        <v>0</v>
      </c>
      <c r="AA234" s="966"/>
      <c r="AB234" s="968" t="s">
        <v>423</v>
      </c>
      <c r="AC234" s="968"/>
      <c r="AD234" s="968"/>
      <c r="AE234" s="968"/>
      <c r="AF234" s="968"/>
      <c r="AG234" s="196">
        <f ca="1">IF($B$223="Лікар загальної практики - сімейний лікар",IF(AG227&gt;=Законод!$J$22,'01_Доходи'!AG227-('01_Доходи'!AG228+'01_Доходи'!AG229+'01_Доходи'!AG230+'01_Доходи'!AG231+'01_Доходи'!AG232+'01_Доходи'!AG233),0),IF($B$223="Лікар-педіатр",IF(AG227&gt;=Законод!$J$18,'01_Доходи'!AG227-('01_Доходи'!AG228+'01_Доходи'!AG229+'01_Доходи'!AG230+'01_Доходи'!AG231+'01_Доходи'!AG232+'01_Доходи'!AG233),0),IF($B$223="Лікар-терапевт",IF('01_Доходи'!AG227&gt;=Законод!$J$26,AG227-Законод!$I$27,0),0)))</f>
        <v>0</v>
      </c>
      <c r="AH234" s="966"/>
      <c r="AI234" s="215"/>
      <c r="AJ234" s="946"/>
      <c r="AK234" s="961"/>
      <c r="AL234" s="961"/>
      <c r="AM234" s="928"/>
      <c r="AN234" s="216">
        <f ca="1">IF(B223="Лікар загальної практики - сімейний лікар",L234*Законод!$C$9/4*Законод!$J$16,IF(B223="Лікар-педіатр",L234*Законод!$C$9/4*Законод!$J$16,IF(B223="Лікар-терапевт",L234*Законод!$C$9/4*Законод!$J$16,0)))</f>
        <v>0</v>
      </c>
      <c r="AO234" s="216">
        <f ca="1">IF(B223="Лікар загальної практики - сімейний лікар",S234*Законод!$C$9/4*Законод!$J$16,IF(B223="Лікар-педіатр",S234*Законод!$C$9/4*Законод!$J$16,IF(B223="Лікар-терапевт",S234*Законод!$C$9/4*Законод!$J$16,0)))</f>
        <v>0</v>
      </c>
      <c r="AP234" s="216">
        <f ca="1">IF(B223="Лікар загальної практики - сімейний лікар",S234*Законод!$C$9/4*Законод!$J$16,IF(B223="Лікар-педіатр",S234*Законод!$C$9/4*Законод!$J$16,IF(B223="Лікар-терапевт",S234*Законод!$C$9/4*Законод!$J$16,0)))</f>
        <v>0</v>
      </c>
      <c r="AQ234" s="216">
        <f ca="1">IF(B223="Лікар загальної практики - сімейний лікар",AG234*Законод!$C$9/4*Законод!$J$16,IF(B223="Лікар-педіатр",AG234*Законод!$C$9/4*Законод!$J$16,IF(B223="Лікар-терапевт",AG234*Законод!$C$9/4*Законод!$J$16,0)))</f>
        <v>0</v>
      </c>
      <c r="AR234" s="217">
        <f t="shared" si="41"/>
        <v>0</v>
      </c>
    </row>
    <row r="235" spans="1:44" s="247" customFormat="1" ht="23.45" customHeight="1" thickBot="1">
      <c r="A235" s="243"/>
      <c r="B235" s="244"/>
      <c r="C235" s="244"/>
      <c r="D235" s="244"/>
      <c r="E235" s="244"/>
      <c r="F235" s="245"/>
      <c r="G235" s="246"/>
      <c r="H235" s="246"/>
      <c r="L235" s="248"/>
      <c r="S235" s="248"/>
      <c r="Z235" s="248"/>
      <c r="AG235" s="248"/>
      <c r="AM235" s="249"/>
      <c r="AR235" s="250"/>
    </row>
    <row r="236" spans="1:44" s="191" customFormat="1" ht="27.6" customHeight="1">
      <c r="A236" s="194">
        <f>A223+1</f>
        <v>16</v>
      </c>
      <c r="B236" s="969" t="s">
        <v>313</v>
      </c>
      <c r="C236" s="974" t="s">
        <v>174</v>
      </c>
      <c r="D236" s="971"/>
      <c r="E236" s="971" t="str">
        <f>E223</f>
        <v>Рожищенська АЗПСМ №1</v>
      </c>
      <c r="F236" s="234" t="s">
        <v>659</v>
      </c>
      <c r="G236" s="196" t="str">
        <f>IF($B$236="Лікар-педіатр",G239*L236,IF($B$236="Лікар-терапевт","х",IF($B$236="Лікар загальної практики - сімейний лікар",G239*L236,0)))</f>
        <v>х</v>
      </c>
      <c r="H236" s="196" t="str">
        <f>IF($B$236="Лікар-педіатр",H239*L236,IF($B$236="Лікар-терапевт","х",IF($B$236="Лікар загальної практики - сімейний лікар",H239*L236,0)))</f>
        <v>х</v>
      </c>
      <c r="I236" s="196">
        <f>577+30</f>
        <v>607</v>
      </c>
      <c r="J236" s="196">
        <f>903+37</f>
        <v>940</v>
      </c>
      <c r="K236" s="196">
        <f>520+26</f>
        <v>546</v>
      </c>
      <c r="L236" s="557">
        <f>SUM(I236:K236)</f>
        <v>2093</v>
      </c>
      <c r="M236" s="966">
        <v>1</v>
      </c>
      <c r="N236" s="196" t="str">
        <f>IF($B$236="Лікар-педіатр",N239*S236,IF($B$236="Лікар-терапевт","х",IF($B$236="Лікар загальної практики - сімейний лікар",N239*S236,0)))</f>
        <v>х</v>
      </c>
      <c r="O236" s="196" t="str">
        <f>IF($B$236="Лікар-педіатр",O239*S236,IF($B$236="Лікар-терапевт","х",IF($B$236="Лікар загальної практики - сімейний лікар",O239*S236,0)))</f>
        <v>х</v>
      </c>
      <c r="P236" s="196">
        <f>577+30</f>
        <v>607</v>
      </c>
      <c r="Q236" s="196">
        <f>903+37</f>
        <v>940</v>
      </c>
      <c r="R236" s="196">
        <f>520+26</f>
        <v>546</v>
      </c>
      <c r="S236" s="557">
        <f>SUM(P236:R236)</f>
        <v>2093</v>
      </c>
      <c r="T236" s="966">
        <v>1</v>
      </c>
      <c r="U236" s="196" t="str">
        <f>IF($B$236="Лікар-педіатр",U239*Z236,IF($B$236="Лікар-терапевт","х",IF($B$236="Лікар загальної практики - сімейний лікар",U239*Z236,0)))</f>
        <v>х</v>
      </c>
      <c r="V236" s="196" t="str">
        <f>IF($B$236="Лікар-педіатр",V239*Z236,IF($B$236="Лікар-терапевт","х",IF($B$236="Лікар загальної практики - сімейний лікар",V239*Z236,0)))</f>
        <v>х</v>
      </c>
      <c r="W236" s="196">
        <f>577+30</f>
        <v>607</v>
      </c>
      <c r="X236" s="196">
        <f>903+37</f>
        <v>940</v>
      </c>
      <c r="Y236" s="196">
        <f>520+26</f>
        <v>546</v>
      </c>
      <c r="Z236" s="557">
        <f>SUM(W236:Y236)</f>
        <v>2093</v>
      </c>
      <c r="AA236" s="966">
        <v>1</v>
      </c>
      <c r="AB236" s="196" t="str">
        <f>IF($B$236="Лікар-педіатр",AB239*AG236,IF($B$236="Лікар-терапевт","х",IF($B$236="Лікар загальної практики - сімейний лікар",AB239*AG236,0)))</f>
        <v>х</v>
      </c>
      <c r="AC236" s="196" t="str">
        <f>IF($B$236="Лікар-педіатр",AC239*AG236,IF($B$236="Лікар-терапевт","х",IF($B$236="Лікар загальної практики - сімейний лікар",AC239*AG236,0)))</f>
        <v>х</v>
      </c>
      <c r="AD236" s="196">
        <f>577+30</f>
        <v>607</v>
      </c>
      <c r="AE236" s="196">
        <f>903+37</f>
        <v>940</v>
      </c>
      <c r="AF236" s="196">
        <f>520+26</f>
        <v>546</v>
      </c>
      <c r="AG236" s="557">
        <f>SUM(AD236:AF236)</f>
        <v>2093</v>
      </c>
      <c r="AH236" s="966">
        <v>1</v>
      </c>
      <c r="AI236" s="540">
        <f>A236</f>
        <v>16</v>
      </c>
      <c r="AJ236" s="944" t="str">
        <f>B236</f>
        <v>Лікар-терапевт</v>
      </c>
      <c r="AK236" s="959" t="str">
        <f>C236</f>
        <v>Печко Надія Василівна</v>
      </c>
      <c r="AL236" s="959">
        <f>D236</f>
        <v>0</v>
      </c>
      <c r="AM236" s="929" t="s">
        <v>79</v>
      </c>
      <c r="AN236" s="947">
        <f>SUM(AN241:AN247)</f>
        <v>343104.54741891637</v>
      </c>
      <c r="AO236" s="947">
        <f>SUM(AO241:AO247)</f>
        <v>343104.54741891637</v>
      </c>
      <c r="AP236" s="947">
        <f>SUM(AP241:AP247)</f>
        <v>343104.54741891637</v>
      </c>
      <c r="AQ236" s="947">
        <f>SUM(AQ241:AQ247)</f>
        <v>343104.54741891637</v>
      </c>
      <c r="AR236" s="962">
        <f>SUM(AN236:AQ240)</f>
        <v>1372418.1896756655</v>
      </c>
    </row>
    <row r="237" spans="1:44" s="50" customFormat="1" ht="28.15" customHeight="1">
      <c r="A237" s="197"/>
      <c r="B237" s="969"/>
      <c r="C237" s="974"/>
      <c r="D237" s="971"/>
      <c r="E237" s="971"/>
      <c r="F237" s="234" t="s">
        <v>660</v>
      </c>
      <c r="G237" s="196" t="str">
        <f>IF($B$236="Лікар-педіатр",G239*L237,IF($B$236="Лікар-терапевт","х",IF($B$236="Лікар загальної практики - сімейний лікар",G239*L237,0)))</f>
        <v>х</v>
      </c>
      <c r="H237" s="196" t="str">
        <f>IF($B$236="Лікар-педіатр",H239*L237,IF($B$236="Лікар-терапевт","х",IF($B$236="Лікар загальної практики - сімейний лікар",H239*L237,0)))</f>
        <v>х</v>
      </c>
      <c r="I237" s="196">
        <f>568+80</f>
        <v>648</v>
      </c>
      <c r="J237" s="196">
        <f>908+75</f>
        <v>983</v>
      </c>
      <c r="K237" s="196">
        <f>524+23</f>
        <v>547</v>
      </c>
      <c r="L237" s="557">
        <f>SUM(I237:K237)</f>
        <v>2178</v>
      </c>
      <c r="M237" s="966"/>
      <c r="N237" s="196" t="str">
        <f>IF($B$236="Лікар-педіатр",N239*S237,IF($B$236="Лікар-терапевт","х",IF($B$236="Лікар загальної практики - сімейний лікар",N239*S237,0)))</f>
        <v>х</v>
      </c>
      <c r="O237" s="196" t="str">
        <f>IF($B$236="Лікар-педіатр",O239*S237,IF($B$236="Лікар-терапевт","х",IF($B$236="Лікар загальної практики - сімейний лікар",O239*S237,0)))</f>
        <v>х</v>
      </c>
      <c r="P237" s="196">
        <f>568+80</f>
        <v>648</v>
      </c>
      <c r="Q237" s="196">
        <f>908+75</f>
        <v>983</v>
      </c>
      <c r="R237" s="196">
        <f>524+23</f>
        <v>547</v>
      </c>
      <c r="S237" s="557">
        <f>SUM(P237:R237)</f>
        <v>2178</v>
      </c>
      <c r="T237" s="966"/>
      <c r="U237" s="196" t="str">
        <f>IF($B$236="Лікар-педіатр",U239*Z237,IF($B$236="Лікар-терапевт","х",IF($B$236="Лікар загальної практики - сімейний лікар",U239*Z237,0)))</f>
        <v>х</v>
      </c>
      <c r="V237" s="196" t="str">
        <f>IF($B$236="Лікар-педіатр",V239*Z237,IF($B$236="Лікар-терапевт","х",IF($B$236="Лікар загальної практики - сімейний лікар",V239*Z237,0)))</f>
        <v>х</v>
      </c>
      <c r="W237" s="196">
        <f>568+80</f>
        <v>648</v>
      </c>
      <c r="X237" s="196">
        <f>908+75</f>
        <v>983</v>
      </c>
      <c r="Y237" s="196">
        <f>524+23</f>
        <v>547</v>
      </c>
      <c r="Z237" s="557">
        <f>SUM(W237:Y237)</f>
        <v>2178</v>
      </c>
      <c r="AA237" s="966"/>
      <c r="AB237" s="196" t="str">
        <f>IF($B$236="Лікар-педіатр",AB239*AG237,IF($B$236="Лікар-терапевт","х",IF($B$236="Лікар загальної практики - сімейний лікар",AB239*AG237,0)))</f>
        <v>х</v>
      </c>
      <c r="AC237" s="196" t="str">
        <f>IF($B$236="Лікар-педіатр",AC239*AG237,IF($B$236="Лікар-терапевт","х",IF($B$236="Лікар загальної практики - сімейний лікар",AC239*AG237,0)))</f>
        <v>х</v>
      </c>
      <c r="AD237" s="196">
        <f>568+80</f>
        <v>648</v>
      </c>
      <c r="AE237" s="196">
        <f>908+75</f>
        <v>983</v>
      </c>
      <c r="AF237" s="196">
        <f>524+23</f>
        <v>547</v>
      </c>
      <c r="AG237" s="557">
        <f>SUM(AD237:AF237)</f>
        <v>2178</v>
      </c>
      <c r="AH237" s="966"/>
      <c r="AI237" s="198"/>
      <c r="AJ237" s="945"/>
      <c r="AK237" s="960"/>
      <c r="AL237" s="960"/>
      <c r="AM237" s="930"/>
      <c r="AN237" s="948"/>
      <c r="AO237" s="948"/>
      <c r="AP237" s="948"/>
      <c r="AQ237" s="948"/>
      <c r="AR237" s="963"/>
    </row>
    <row r="238" spans="1:44" s="90" customFormat="1" ht="31.15" customHeight="1">
      <c r="A238" s="240"/>
      <c r="B238" s="969"/>
      <c r="C238" s="974"/>
      <c r="D238" s="971"/>
      <c r="E238" s="971"/>
      <c r="F238" s="241" t="s">
        <v>661</v>
      </c>
      <c r="G238" s="199" t="str">
        <f>IF(B236="Лікар загальної практики - сімейний лікар"," ",IF(B236="Лікар-педіатр"," ",IF(B236="Лікар-терапевт","х",0)))</f>
        <v>х</v>
      </c>
      <c r="H238" s="199" t="str">
        <f>IF(B236="Лікар загальної практики - сімейний лікар"," ",IF(B236="Лікар-педіатр"," ",IF(B236="Лікар-терапевт","х",0)))</f>
        <v>х</v>
      </c>
      <c r="I238" s="196">
        <f>568+80</f>
        <v>648</v>
      </c>
      <c r="J238" s="196">
        <f>908+75</f>
        <v>983</v>
      </c>
      <c r="K238" s="196">
        <f>524+23</f>
        <v>547</v>
      </c>
      <c r="L238" s="557">
        <f>SUM(I238:K238)</f>
        <v>2178</v>
      </c>
      <c r="M238" s="966"/>
      <c r="N238" s="199" t="str">
        <f>IF(B236="Лікар загальної практики - сімейний лікар"," ",IF(B236="Лікар-педіатр"," ",IF(B236="Лікар-терапевт","х",0)))</f>
        <v>х</v>
      </c>
      <c r="O238" s="199" t="str">
        <f>IF(B236="Лікар загальної практики - сімейний лікар"," ",IF(B236="Лікар-педіатр"," ",IF(B236="Лікар-терапевт","х",0)))</f>
        <v>х</v>
      </c>
      <c r="P238" s="196">
        <f>568+80</f>
        <v>648</v>
      </c>
      <c r="Q238" s="196">
        <f>908+75</f>
        <v>983</v>
      </c>
      <c r="R238" s="196">
        <f>524+23</f>
        <v>547</v>
      </c>
      <c r="S238" s="557">
        <f>SUM(P238:R238)</f>
        <v>2178</v>
      </c>
      <c r="T238" s="966"/>
      <c r="U238" s="199" t="str">
        <f>IF(B236="Лікар загальної практики - сімейний лікар"," ",IF(B236="Лікар-педіатр"," ",IF(B236="Лікар-терапевт","х",0)))</f>
        <v>х</v>
      </c>
      <c r="V238" s="199" t="str">
        <f>IF(B236="Лікар загальної практики - сімейний лікар"," ",IF(B236="Лікар-педіатр"," ",IF(B236="Лікар-терапевт","х",0)))</f>
        <v>х</v>
      </c>
      <c r="W238" s="196">
        <f>568+80</f>
        <v>648</v>
      </c>
      <c r="X238" s="196">
        <f>908+75</f>
        <v>983</v>
      </c>
      <c r="Y238" s="196">
        <f>524+23</f>
        <v>547</v>
      </c>
      <c r="Z238" s="557">
        <f>SUM(W238:Y238)</f>
        <v>2178</v>
      </c>
      <c r="AA238" s="966"/>
      <c r="AB238" s="199" t="str">
        <f>IF(B236="Лікар загальної практики - сімейний лікар"," ",IF(B236="Лікар-педіатр"," ",IF(B236="Лікар-терапевт","х",0)))</f>
        <v>х</v>
      </c>
      <c r="AC238" s="199" t="str">
        <f>IF(B236="Лікар загальної практики - сімейний лікар"," ",IF(B236="Лікар-педіатр"," ",IF(B236="Лікар-терапевт","х",0)))</f>
        <v>х</v>
      </c>
      <c r="AD238" s="196">
        <f>568+80</f>
        <v>648</v>
      </c>
      <c r="AE238" s="196">
        <f>908+75</f>
        <v>983</v>
      </c>
      <c r="AF238" s="196">
        <f>524+23</f>
        <v>547</v>
      </c>
      <c r="AG238" s="557">
        <f>SUM(AD238:AF238)</f>
        <v>2178</v>
      </c>
      <c r="AH238" s="966"/>
      <c r="AI238" s="242"/>
      <c r="AJ238" s="945"/>
      <c r="AK238" s="960"/>
      <c r="AL238" s="960"/>
      <c r="AM238" s="930"/>
      <c r="AN238" s="948"/>
      <c r="AO238" s="948"/>
      <c r="AP238" s="948"/>
      <c r="AQ238" s="948"/>
      <c r="AR238" s="963"/>
    </row>
    <row r="239" spans="1:44" s="50" customFormat="1" ht="31.9" customHeight="1" thickBot="1">
      <c r="A239" s="197"/>
      <c r="B239" s="969"/>
      <c r="C239" s="974"/>
      <c r="D239" s="971"/>
      <c r="E239" s="971"/>
      <c r="F239" s="236" t="s">
        <v>426</v>
      </c>
      <c r="G239" s="203" t="str">
        <f>IF($B$236="Лікар-педіатр",G238/L238,IF($B$236="Лікар-терапевт","х",IF($B$236="Лікар загальної практики - сімейний лікар",G238/L238,0)))</f>
        <v>х</v>
      </c>
      <c r="H239" s="203" t="str">
        <f>IF($B$236="Лікар-педіатр",H238/L238,IF($B$236="Лікар-терапевт","х",IF($B$236="Лікар загальної практики - сімейний лікар",H238/L238,0)))</f>
        <v>х</v>
      </c>
      <c r="I239" s="203">
        <f>IF($B$236="Лікар-педіатр","x",IF($B$236="Лікар-терапевт",I238/L238,IF($B$236="Лікар загальної практики - сімейний лікар",I238/L238,0)))</f>
        <v>0.2975206611570248</v>
      </c>
      <c r="J239" s="203">
        <f>IF($B$236="Лікар-педіатр","x",IF($B$236="Лікар-терапевт",J238/L238,IF($B$236="Лікар загальної практики - сімейний лікар",J238/L238,0)))</f>
        <v>0.45133149678604223</v>
      </c>
      <c r="K239" s="203">
        <f>IF($B$236="Лікар-педіатр","x",IF($B$236="Лікар-терапевт",K238/L238,IF($B$236="Лікар загальної практики - сімейний лікар",K238/L238,0)))</f>
        <v>0.25114784205693297</v>
      </c>
      <c r="L239" s="203">
        <f>SUM(G239:K239)</f>
        <v>1</v>
      </c>
      <c r="M239" s="966"/>
      <c r="N239" s="203" t="str">
        <f>IF($B$236="Лікар-педіатр",N238/S238,IF($B$236="Лікар-терапевт","х",IF($B$236="Лікар загальної практики - сімейний лікар",N238/S238,0)))</f>
        <v>х</v>
      </c>
      <c r="O239" s="203" t="str">
        <f>IF($B$236="Лікар-педіатр",O238/S238,IF($B$236="Лікар-терапевт","х",IF($B$236="Лікар загальної практики - сімейний лікар",O238/S238,0)))</f>
        <v>х</v>
      </c>
      <c r="P239" s="203">
        <f>IF($B$236="Лікар-педіатр","x",IF($B$236="Лікар-терапевт",P238/S238,IF($B$236="Лікар загальної практики - сімейний лікар",P238/S238,0)))</f>
        <v>0.2975206611570248</v>
      </c>
      <c r="Q239" s="203">
        <f>IF($B$236="Лікар-педіатр","x",IF($B$236="Лікар-терапевт",Q238/S238,IF($B$236="Лікар загальної практики - сімейний лікар",Q238/S238,0)))</f>
        <v>0.45133149678604223</v>
      </c>
      <c r="R239" s="203">
        <f>IF($B$236="Лікар-педіатр","x",IF($B$236="Лікар-терапевт",R238/S238,IF($B$236="Лікар загальної практики - сімейний лікар",R238/S238,0)))</f>
        <v>0.25114784205693297</v>
      </c>
      <c r="S239" s="203">
        <f>SUM(N239:R239)</f>
        <v>1</v>
      </c>
      <c r="T239" s="966"/>
      <c r="U239" s="203" t="str">
        <f>IF($B$236="Лікар-педіатр",U238/Z238,IF($B$236="Лікар-терапевт","х",IF($B$236="Лікар загальної практики - сімейний лікар",U238/Z238,0)))</f>
        <v>х</v>
      </c>
      <c r="V239" s="203" t="str">
        <f>IF($B$236="Лікар-педіатр",V238/Z238,IF($B$236="Лікар-терапевт","х",IF($B$236="Лікар загальної практики - сімейний лікар",V238/Z238,0)))</f>
        <v>х</v>
      </c>
      <c r="W239" s="203">
        <f>IF($B$236="Лікар-педіатр","x",IF($B$236="Лікар-терапевт",W238/Z238,IF($B$236="Лікар загальної практики - сімейний лікар",W238/Z238,0)))</f>
        <v>0.2975206611570248</v>
      </c>
      <c r="X239" s="203">
        <f>IF($B$236="Лікар-педіатр","x",IF($B$236="Лікар-терапевт",X238/Z238,IF($B$236="Лікар загальної практики - сімейний лікар",X238/Z238,0)))</f>
        <v>0.45133149678604223</v>
      </c>
      <c r="Y239" s="203">
        <f>IF($B$236="Лікар-педіатр","x",IF($B$236="Лікар-терапевт",Y238/Z238,IF($B$236="Лікар загальної практики - сімейний лікар",Y238/Z238,0)))</f>
        <v>0.25114784205693297</v>
      </c>
      <c r="Z239" s="203">
        <f>SUM(U239:Y239)</f>
        <v>1</v>
      </c>
      <c r="AA239" s="966"/>
      <c r="AB239" s="203" t="str">
        <f>IF($B$236="Лікар-педіатр",AB238/AG238,IF($B$236="Лікар-терапевт","х",IF($B$236="Лікар загальної практики - сімейний лікар",AB238/AG238,0)))</f>
        <v>х</v>
      </c>
      <c r="AC239" s="203" t="str">
        <f>IF($B$236="Лікар-педіатр",AC238/AG238,IF($B$236="Лікар-терапевт","х",IF($B$236="Лікар загальної практики - сімейний лікар",AC238/AG238,0)))</f>
        <v>х</v>
      </c>
      <c r="AD239" s="203">
        <f>IF($B$236="Лікар-педіатр","x",IF($B$236="Лікар-терапевт",AD238/AG238,IF($B$236="Лікар загальної практики - сімейний лікар",AD238/AG238,0)))</f>
        <v>0.2975206611570248</v>
      </c>
      <c r="AE239" s="203">
        <f>IF($B$236="Лікар-педіатр","x",IF($B$236="Лікар-терапевт",AE238/AG238,IF($B$236="Лікар загальної практики - сімейний лікар",AE238/AG238,0)))</f>
        <v>0.45133149678604223</v>
      </c>
      <c r="AF239" s="203">
        <f>IF($B$236="Лікар-педіатр","x",IF($B$236="Лікар-терапевт",AF238/AG238,IF($B$236="Лікар загальної практики - сімейний лікар",AF238/AG238,0)))</f>
        <v>0.25114784205693297</v>
      </c>
      <c r="AG239" s="203">
        <f>SUM(AB239:AF239)</f>
        <v>1</v>
      </c>
      <c r="AH239" s="966"/>
      <c r="AI239" s="201"/>
      <c r="AJ239" s="945"/>
      <c r="AK239" s="960"/>
      <c r="AL239" s="960"/>
      <c r="AM239" s="930"/>
      <c r="AN239" s="948"/>
      <c r="AO239" s="948"/>
      <c r="AP239" s="948"/>
      <c r="AQ239" s="948"/>
      <c r="AR239" s="963"/>
    </row>
    <row r="240" spans="1:44" s="50" customFormat="1" ht="45" customHeight="1" thickBot="1">
      <c r="A240" s="197"/>
      <c r="B240" s="969"/>
      <c r="C240" s="974"/>
      <c r="D240" s="971"/>
      <c r="E240" s="972"/>
      <c r="F240" s="204" t="s">
        <v>662</v>
      </c>
      <c r="G240" s="205" t="str">
        <f>IF($B$236="Лікар загальної практики - сімейний лікар",AVERAGE(G236:G238),IF($B$236="Лікар-педіатр",AVERAGE(G236:G238),IF($B$236="Лікар-терапевт","х",0)))</f>
        <v>х</v>
      </c>
      <c r="H240" s="205" t="str">
        <f>IF($B$236="Лікар загальної практики - сімейний лікар",AVERAGE(H236:H238),IF($B$236="Лікар-педіатр",AVERAGE(H236:H238),IF($B$236="Лікар-терапевт","х",0)))</f>
        <v>х</v>
      </c>
      <c r="I240" s="205">
        <f>IF($B$236="Лікар загальної практики - сімейний лікар",AVERAGE(I236:I238),IF($B$236="Лікар-педіатр","x",IF($B$236="Лікар-терапевт",AVERAGE(I236:I238),0)))</f>
        <v>634.33333333333337</v>
      </c>
      <c r="J240" s="205">
        <f>IF($B$236="Лікар загальної практики - сімейний лікар",AVERAGE(J236:J238),IF($B$236="Лікар-педіатр","x",IF($B$236="Лікар-терапевт",AVERAGE(J236:J238),0)))</f>
        <v>968.66666666666663</v>
      </c>
      <c r="K240" s="205">
        <f>IF($B$236="Лікар загальної практики - сімейний лікар",AVERAGE(K236:K238),IF($B$236="Лікар-педіатр","x",IF($B$236="Лікар-терапевт",AVERAGE(K236:K238),0)))</f>
        <v>546.66666666666663</v>
      </c>
      <c r="L240" s="206">
        <f>SUM(G240:K240)</f>
        <v>2149.6666666666665</v>
      </c>
      <c r="M240" s="973"/>
      <c r="N240" s="205" t="str">
        <f>IF($B$236="Лікар загальної практики - сімейний лікар",AVERAGE(N236:N238),IF($B$236="Лікар-педіатр",AVERAGE(N236:N238),IF($B$236="Лікар-терапевт","х",0)))</f>
        <v>х</v>
      </c>
      <c r="O240" s="205" t="str">
        <f>IF($B$236="Лікар загальної практики - сімейний лікар",AVERAGE(O236:O238),IF($B$236="Лікар-педіатр",AVERAGE(O236:O238),IF($B$236="Лікар-терапевт","х",0)))</f>
        <v>х</v>
      </c>
      <c r="P240" s="205">
        <f>IF($B$236="Лікар загальної практики - сімейний лікар",AVERAGE(P236:P238),IF($B$236="Лікар-педіатр","x",IF($B$236="Лікар-терапевт",AVERAGE(P236:P238),0)))</f>
        <v>634.33333333333337</v>
      </c>
      <c r="Q240" s="205">
        <f>IF($B$236="Лікар загальної практики - сімейний лікар",AVERAGE(Q236:Q238),IF($B$236="Лікар-педіатр","x",IF($B$236="Лікар-терапевт",AVERAGE(Q236:Q238),0)))</f>
        <v>968.66666666666663</v>
      </c>
      <c r="R240" s="205">
        <f>IF($B$236="Лікар загальної практики - сімейний лікар",AVERAGE(R236:R238),IF($B$236="Лікар-педіатр","x",IF($B$236="Лікар-терапевт",AVERAGE(R236:R238),0)))</f>
        <v>546.66666666666663</v>
      </c>
      <c r="S240" s="206">
        <f>SUM(N240:R240)</f>
        <v>2149.6666666666665</v>
      </c>
      <c r="T240" s="973"/>
      <c r="U240" s="205" t="str">
        <f>IF($B$236="Лікар загальної практики - сімейний лікар",AVERAGE(U236:U238),IF($B$236="Лікар-педіатр",AVERAGE(U236:U238),IF($B$236="Лікар-терапевт","х",0)))</f>
        <v>х</v>
      </c>
      <c r="V240" s="205" t="str">
        <f>IF($B$236="Лікар загальної практики - сімейний лікар",AVERAGE(V236:V238),IF($B$236="Лікар-педіатр",AVERAGE(V236:V238),IF($B$236="Лікар-терапевт","х",0)))</f>
        <v>х</v>
      </c>
      <c r="W240" s="205">
        <f>IF($B$236="Лікар загальної практики - сімейний лікар",AVERAGE(W236:W238),IF($B$236="Лікар-педіатр","x",IF($B$236="Лікар-терапевт",AVERAGE(W236:W238),0)))</f>
        <v>634.33333333333337</v>
      </c>
      <c r="X240" s="205">
        <f>IF($B$236="Лікар загальної практики - сімейний лікар",AVERAGE(X236:X238),IF($B$236="Лікар-педіатр","x",IF($B$236="Лікар-терапевт",AVERAGE(X236:X238),0)))</f>
        <v>968.66666666666663</v>
      </c>
      <c r="Y240" s="205">
        <f>IF($B$236="Лікар загальної практики - сімейний лікар",AVERAGE(Y236:Y238),IF($B$236="Лікар-педіатр","x",IF($B$236="Лікар-терапевт",AVERAGE(Y236:Y238),0)))</f>
        <v>546.66666666666663</v>
      </c>
      <c r="Z240" s="206">
        <f>SUM(U240:Y240)</f>
        <v>2149.6666666666665</v>
      </c>
      <c r="AA240" s="973"/>
      <c r="AB240" s="205" t="str">
        <f>IF($B$236="Лікар загальної практики - сімейний лікар",AVERAGE(AB236:AB238),IF($B$236="Лікар-педіатр",AVERAGE(AB236:AB238),IF($B$236="Лікар-терапевт","х",0)))</f>
        <v>х</v>
      </c>
      <c r="AC240" s="205" t="str">
        <f>IF($B$236="Лікар загальної практики - сімейний лікар",AVERAGE(AC236:AC238),IF($B$236="Лікар-педіатр",AVERAGE(AC236:AC238),IF($B$236="Лікар-терапевт","х",0)))</f>
        <v>х</v>
      </c>
      <c r="AD240" s="205">
        <f>IF($B$236="Лікар загальної практики - сімейний лікар",AVERAGE(AD236:AD238),IF($B$236="Лікар-педіатр","x",IF($B$236="Лікар-терапевт",AVERAGE(AD236:AD238),0)))</f>
        <v>634.33333333333337</v>
      </c>
      <c r="AE240" s="205">
        <f>IF($B$236="Лікар загальної практики - сімейний лікар",AVERAGE(AE236:AE238),IF($B$236="Лікар-педіатр","x",IF($B$236="Лікар-терапевт",AVERAGE(AE236:AE238),0)))</f>
        <v>968.66666666666663</v>
      </c>
      <c r="AF240" s="205">
        <f>IF($B$236="Лікар загальної практики - сімейний лікар",AVERAGE(AF236:AF238),IF($B$236="Лікар-педіатр","x",IF($B$236="Лікар-терапевт",AVERAGE(AF236:AF238),0)))</f>
        <v>546.66666666666663</v>
      </c>
      <c r="AG240" s="206">
        <f>SUM(AB240:AF240)</f>
        <v>2149.6666666666665</v>
      </c>
      <c r="AH240" s="967"/>
      <c r="AI240" s="201"/>
      <c r="AJ240" s="945"/>
      <c r="AK240" s="960"/>
      <c r="AL240" s="960"/>
      <c r="AM240" s="931"/>
      <c r="AN240" s="949"/>
      <c r="AO240" s="949"/>
      <c r="AP240" s="949"/>
      <c r="AQ240" s="949"/>
      <c r="AR240" s="964"/>
    </row>
    <row r="241" spans="1:44" s="50" customFormat="1" ht="40.5">
      <c r="A241" s="197"/>
      <c r="B241" s="969"/>
      <c r="C241" s="974"/>
      <c r="D241" s="971"/>
      <c r="E241" s="971"/>
      <c r="F241" s="237" t="str">
        <f ca="1">IF(B236="Лікар-педіатр",Законод!$C$17,IF(B236="Лікар загальної практики - сімейний лікар",Законод!$C$21,IF(B236="Лікар-терапевт",Законод!$C$25,"х")))</f>
        <v>ліміт (до 2000)</v>
      </c>
      <c r="G241" s="208" t="str">
        <f ca="1">IF($B$236="Лікар загальної практики - сімейний лікар",IF(L240&lt;=Законод!$C$22,G240,Законод!$C$22*'01_Доходи'!G239),IF($B$236="Лікар-педіатр",IF(L240&lt;=Законод!$C$18,G240,Законод!$C$18*'01_Доходи'!G239),IF($B$236="Лікар-терапевт","x",0)))</f>
        <v>x</v>
      </c>
      <c r="H241" s="208" t="str">
        <f ca="1">IF($B$236="Лікар загальної практики - сімейний лікар",IF(L240&lt;=Законод!$C$22,H240,Законод!$C$22*'01_Доходи'!H239),IF($B$236="Лікар-педіатр",IF(L240&lt;=Законод!$C$18,H240,Законод!$C$18*'01_Доходи'!H239),IF($B$236="Лікар-терапевт","x",0)))</f>
        <v>x</v>
      </c>
      <c r="I241" s="208">
        <f ca="1">IF($B$236="Лікар загальної практики - сімейний лікар",IF(L240&lt;=Законод!$C$22,I240,Законод!$C$22*'01_Доходи'!I239),IF($B$236="Лікар-педіатр","x",IF($B$236="Лікар-терапевт",IF(L240&lt;=Законод!$C$26,I240,Законод!$C$26*'01_Доходи'!I239),0)))</f>
        <v>595.04132231404958</v>
      </c>
      <c r="J241" s="208">
        <f ca="1">IF($B$236="Лікар загальної практики - сімейний лікар",IF(L240&lt;=Законод!$C$22,J240,Законод!$C$22*'01_Доходи'!J239),IF($B$236="Лікар-педіатр","x",IF($B$236="Лікар-терапевт",IF(L240&lt;=Законод!$C$26,J240,Законод!$C$26*'01_Доходи'!J239),0)))</f>
        <v>902.66299357208447</v>
      </c>
      <c r="K241" s="208">
        <f ca="1">IF($B$236="Лікар загальної практики - сімейний лікар",IF(L240&lt;=Законод!$C$22,K240,Законод!$C$22*'01_Доходи'!K239),IF($B$236="Лікар-педіатр","x",IF($B$236="Лікар-терапевт",IF(L240&lt;=Законод!$C$26,K240,Законод!$C$26*'01_Доходи'!K239),0)))</f>
        <v>502.29568411386595</v>
      </c>
      <c r="L241" s="209">
        <f ca="1">SUM(G241:K241)</f>
        <v>2000</v>
      </c>
      <c r="M241" s="966"/>
      <c r="N241" s="208" t="str">
        <f ca="1">IF($B$236="Лікар загальної практики - сімейний лікар",IF(S240&lt;=Законод!$C$22,N240,Законод!$C$22*'01_Доходи'!N239),IF($B$236="Лікар-педіатр",IF(S240&lt;=Законод!$C$18,N240,Законод!$C$18*'01_Доходи'!N239),IF($B$236="Лікар-терапевт","x",0)))</f>
        <v>x</v>
      </c>
      <c r="O241" s="208" t="str">
        <f ca="1">IF($B$236="Лікар загальної практики - сімейний лікар",IF(S240&lt;=Законод!$C$22,O240,Законод!$C$22*'01_Доходи'!O239),IF($B$236="Лікар-педіатр",IF(S240&lt;=Законод!$C$18,O240,Законод!$C$18*'01_Доходи'!O239),IF($B$236="Лікар-терапевт","x",0)))</f>
        <v>x</v>
      </c>
      <c r="P241" s="208">
        <f ca="1">IF($B$236="Лікар загальної практики - сімейний лікар",IF(S240&lt;=Законод!$C$22,P240,Законод!$C$22*'01_Доходи'!P239),IF($B$236="Лікар-педіатр","x",IF($B$236="Лікар-терапевт",IF(S240&lt;=Законод!$C$26,P240,Законод!$C$26*'01_Доходи'!P239),0)))</f>
        <v>595.04132231404958</v>
      </c>
      <c r="Q241" s="208">
        <f ca="1">IF($B$236="Лікар загальної практики - сімейний лікар",IF(S240&lt;=Законод!$C$22,Q240,Законод!$C$22*'01_Доходи'!Q239),IF($B$236="Лікар-педіатр","x",IF($B$236="Лікар-терапевт",IF(S240&lt;=Законод!$C$26,Q240,Законод!$C$26*'01_Доходи'!Q239),0)))</f>
        <v>902.66299357208447</v>
      </c>
      <c r="R241" s="208">
        <f ca="1">IF($B$236="Лікар загальної практики - сімейний лікар",IF(S240&lt;=Законод!$C$22,R240,Законод!$C$22*'01_Доходи'!R239),IF($B$236="Лікар-педіатр","x",IF($B$236="Лікар-терапевт",IF(S240&lt;=Законод!$C$26,R240,Законод!$C$26*'01_Доходи'!R239),0)))</f>
        <v>502.29568411386595</v>
      </c>
      <c r="S241" s="209">
        <f ca="1">SUM(N241:R241)</f>
        <v>2000</v>
      </c>
      <c r="T241" s="966"/>
      <c r="U241" s="208" t="str">
        <f ca="1">IF($B$236="Лікар загальної практики - сімейний лікар",IF(Z240&lt;=Законод!$C$22,U240,Законод!$C$22*'01_Доходи'!U239),IF($B$236="Лікар-педіатр",IF(Z240&lt;=Законод!$C$18,U240,Законод!$C$18*'01_Доходи'!U239),IF($B$236="Лікар-терапевт","x",0)))</f>
        <v>x</v>
      </c>
      <c r="V241" s="208" t="str">
        <f ca="1">IF($B$236="Лікар загальної практики - сімейний лікар",IF(Z240&lt;=Законод!$C$22,V240,Законод!$C$22*'01_Доходи'!V239),IF($B$236="Лікар-педіатр",IF(Z240&lt;=Законод!$C$18,V240,Законод!$C$18*'01_Доходи'!V239),IF($B$236="Лікар-терапевт","x",0)))</f>
        <v>x</v>
      </c>
      <c r="W241" s="208">
        <f ca="1">IF($B$236="Лікар загальної практики - сімейний лікар",IF(Z240&lt;=Законод!$C$22,W240,Законод!$C$22*'01_Доходи'!W239),IF($B$236="Лікар-педіатр","x",IF($B$236="Лікар-терапевт",IF(Z240&lt;=Законод!$C$26,W240,Законод!$C$26*'01_Доходи'!W239),0)))</f>
        <v>595.04132231404958</v>
      </c>
      <c r="X241" s="208">
        <f ca="1">IF($B$236="Лікар загальної практики - сімейний лікар",IF(Z240&lt;=Законод!$C$22,X240,Законод!$C$22*'01_Доходи'!X239),IF($B$236="Лікар-педіатр","x",IF($B$236="Лікар-терапевт",IF(Z240&lt;=Законод!$C$26,X240,Законод!$C$26*'01_Доходи'!X239),0)))</f>
        <v>902.66299357208447</v>
      </c>
      <c r="Y241" s="208">
        <f ca="1">IF($B$236="Лікар загальної практики - сімейний лікар",IF(Z240&lt;=Законод!$C$22,Y240,Законод!$C$22*'01_Доходи'!Y239),IF($B$236="Лікар-педіатр","x",IF($B$236="Лікар-терапевт",IF(Z240&lt;=Законод!$C$26,Y240,Законод!$C$26*'01_Доходи'!Y239),0)))</f>
        <v>502.29568411386595</v>
      </c>
      <c r="Z241" s="209">
        <f ca="1">SUM(U241:Y241)</f>
        <v>2000</v>
      </c>
      <c r="AA241" s="966"/>
      <c r="AB241" s="208" t="str">
        <f ca="1">IF($B$236="Лікар загальної практики - сімейний лікар",IF(AG240&lt;=Законод!$C$22,AB240,Законод!$C$22*'01_Доходи'!AB239),IF($B$236="Лікар-педіатр",IF(AG240&lt;=Законод!$C$18,AB240,Законод!$C$18*'01_Доходи'!AB239),IF($B$236="Лікар-терапевт","x",0)))</f>
        <v>x</v>
      </c>
      <c r="AC241" s="208" t="str">
        <f ca="1">IF($B$236="Лікар загальної практики - сімейний лікар",IF(AG240&lt;=Законод!$C$22,AC240,Законод!$C$22*'01_Доходи'!AC239),IF($B$236="Лікар-педіатр",IF(AG240&lt;=Законод!$C$18,AC240,Законод!$C$18*'01_Доходи'!AC239),IF($B$236="Лікар-терапевт","x",0)))</f>
        <v>x</v>
      </c>
      <c r="AD241" s="208">
        <f ca="1">IF($B$236="Лікар загальної практики - сімейний лікар",IF(AG240&lt;=Законод!$C$22,AD240,Законод!$C$22*'01_Доходи'!AD239),IF($B$236="Лікар-педіатр","x",IF($B$236="Лікар-терапевт",IF(AG240&lt;=Законод!$C$26,AD240,Законод!$C$26*'01_Доходи'!AD239),0)))</f>
        <v>595.04132231404958</v>
      </c>
      <c r="AE241" s="208">
        <f ca="1">IF($B$236="Лікар загальної практики - сімейний лікар",IF(AG240&lt;=Законод!$C$22,AE240,Законод!$C$22*'01_Доходи'!AE239),IF($B$236="Лікар-педіатр","x",IF($B$236="Лікар-терапевт",IF(AG240&lt;=Законод!$C$26,AE240,Законод!$C$26*'01_Доходи'!AE239),0)))</f>
        <v>902.66299357208447</v>
      </c>
      <c r="AF241" s="208">
        <f ca="1">IF($B$236="Лікар загальної практики - сімейний лікар",IF(AG240&lt;=Законод!$C$22,AF240,Законод!$C$22*'01_Доходи'!AF239),IF($B$236="Лікар-педіатр","x",IF($B$236="Лікар-терапевт",IF(AG240&lt;=Законод!$C$26,AF240,Законод!$C$26*'01_Доходи'!AF239),0)))</f>
        <v>502.29568411386595</v>
      </c>
      <c r="AG241" s="209">
        <f ca="1">SUM(AB241:AF241)</f>
        <v>2000</v>
      </c>
      <c r="AH241" s="966"/>
      <c r="AI241" s="201"/>
      <c r="AJ241" s="945"/>
      <c r="AK241" s="960"/>
      <c r="AL241" s="960"/>
      <c r="AM241" s="348" t="s">
        <v>451</v>
      </c>
      <c r="AN241" s="210">
        <f ca="1">IF(B236="Лікар загальної практики - сімейний лікар",G241*Законод!$C$11+'01_Доходи'!H241*Законод!$D$11+'01_Доходи'!I241*Законод!$E$11+'01_Доходи'!J241*Законод!$F$11+'01_Доходи'!K241*Законод!$G$11,IF(B236="Лікар-педіатр",G241*Законод!$C$11+'01_Доходи'!H241*Законод!$D$11,IF(B236="Лікар-терапевт",'01_Доходи'!I241*Законод!$E$11+'01_Доходи'!J241*Законод!$F$11+'01_Доходи'!K241*Законод!$G$11,0)))</f>
        <v>324973.31378558307</v>
      </c>
      <c r="AO241" s="210">
        <f ca="1">IF(B236="Лікар загальної практики - сімейний лікар",N241*Законод!$C$11+'01_Доходи'!O241*Законод!$D$11+'01_Доходи'!P241*Законод!$E$11+'01_Доходи'!Q241*Законод!$F$11+'01_Доходи'!R241*Законод!$G$11,IF(B236="Лікар-педіатр",N241*Законод!$C$11+'01_Доходи'!O241*Законод!$D$11,IF(B236="Лікар-терапевт",'01_Доходи'!P241*Законод!$E$11+'01_Доходи'!Q241*Законод!$F$11+'01_Доходи'!R241*Законод!$G$11,0)))</f>
        <v>324973.31378558307</v>
      </c>
      <c r="AP241" s="210">
        <f ca="1">IF(B236="Лікар загальної практики - сімейний лікар",U241*Законод!$C$11+'01_Доходи'!V241*Законод!$D$11+'01_Доходи'!W241*Законод!$E$11+'01_Доходи'!X241*Законод!$F$11+'01_Доходи'!Y241*Законод!$G$11,IF(B236="Лікар-педіатр",U241*Законод!$C$11+'01_Доходи'!V241*Законод!$D$11,IF(B236="Лікар-терапевт",'01_Доходи'!W241*Законод!$E$11+'01_Доходи'!X241*Законод!$F$11+'01_Доходи'!Y241*Законод!$G$11,0)))</f>
        <v>324973.31378558307</v>
      </c>
      <c r="AQ241" s="210">
        <f ca="1">IF(B236="Лікар загальної практики - сімейний лікар",AB241*Законод!$C$11+'01_Доходи'!AC241*Законод!$D$11+'01_Доходи'!AD241*Законод!$E$11+'01_Доходи'!AE241*Законод!$F$11+'01_Доходи'!AF241*Законод!$G$11,IF(B236="Лікар-педіатр",AB241*Законод!$C$11+'01_Доходи'!AC241*Законод!$D$11,IF(B236="Лікар-терапевт",'01_Доходи'!AD241*Законод!$E$11+'01_Доходи'!AE241*Законод!$F$11+'01_Доходи'!AF241*Законод!$G$11,0)))</f>
        <v>324973.31378558307</v>
      </c>
      <c r="AR241" s="211">
        <f t="shared" ref="AR241:AR247" si="42">SUM(AN241:AQ241)</f>
        <v>1299893.2551423323</v>
      </c>
    </row>
    <row r="242" spans="1:44" s="50" customFormat="1" ht="31.9" customHeight="1">
      <c r="A242" s="197"/>
      <c r="B242" s="969"/>
      <c r="C242" s="974"/>
      <c r="D242" s="971"/>
      <c r="E242" s="971"/>
      <c r="F242" s="238" t="str">
        <f ca="1">IF(B236="Лікар-педіатр",Законод!$E$17,IF(B236="Лікар загальної практики - сімейний лікар",Законод!$E$21,IF(B236="Лікар-терапевт",Законод!$E$25,"х")))</f>
        <v>понад ліміт (2001-2200)</v>
      </c>
      <c r="G242" s="965" t="s">
        <v>423</v>
      </c>
      <c r="H242" s="965"/>
      <c r="I242" s="965"/>
      <c r="J242" s="965"/>
      <c r="K242" s="965"/>
      <c r="L242" s="196">
        <f ca="1">IF($B$236="Лікар загальної практики - сімейний лікар",IF(L240&lt;Законод!$C$22,0,(IF(AND(L240&gt;=Законод!$E$22,L240&lt;=Законод!$E$23),L240-Законод!$C$22,IF('01_Доходи'!L240&gt;=Законод!$F$22,Законод!$E$24,0)))),IF($B$236="Лікар-педіатр",IF(L240&lt;Законод!$C$18,0,(IF(AND(L240&gt;=Законод!$E$18,L240&lt;=Законод!$E$19),L240-Законод!$C$18,IF('01_Доходи'!L240&gt;=Законод!$F$18,Законод!$E$20,0)))),IF($B$236="Лікар-терапевт",IF(L240&lt;Законод!$C$26,0,(IF(AND(L240&gt;=Законод!$E$26,L240&lt;=Законод!$E$27),L240-Законод!$C$26,IF('01_Доходи'!L240&gt;=Законод!$F$26,Законод!$E$28,0)))),0)))</f>
        <v>149.66666666666652</v>
      </c>
      <c r="M242" s="966"/>
      <c r="N242" s="965" t="s">
        <v>423</v>
      </c>
      <c r="O242" s="965"/>
      <c r="P242" s="965"/>
      <c r="Q242" s="965"/>
      <c r="R242" s="965"/>
      <c r="S242" s="196">
        <f ca="1">IF($B$236="Лікар загальної практики - сімейний лікар",IF(S240&lt;Законод!$C$22,0,(IF(AND(S240&gt;=Законод!$E$22,S240&lt;=Законод!$E$23),S240-Законод!$C$22,IF('01_Доходи'!S240&gt;=Законод!$F$22,Законод!$E$24,0)))),IF($B$236="Лікар-педіатр",IF(S240&lt;Законод!$C$18,0,(IF(AND(S240&gt;=Законод!$E$18,S240&lt;=Законод!$E$19),S240-Законод!$C$18,IF('01_Доходи'!S240&gt;=Законод!$F$18,Законод!$E$20,0)))),IF($B$236="Лікар-терапевт",IF(S240&lt;Законод!$C$26,0,(IF(AND(S240&gt;=Законод!$E$26,S240&lt;=Законод!$E$27),S240-Законод!$C$26,IF('01_Доходи'!S240&gt;=Законод!$F$26,Законод!$E$28,0)))),0)))</f>
        <v>149.66666666666652</v>
      </c>
      <c r="T242" s="966"/>
      <c r="U242" s="965" t="s">
        <v>423</v>
      </c>
      <c r="V242" s="965"/>
      <c r="W242" s="965"/>
      <c r="X242" s="965"/>
      <c r="Y242" s="965"/>
      <c r="Z242" s="196">
        <f ca="1">IF($B$236="Лікар загальної практики - сімейний лікар",IF(Z240&lt;Законод!$C$22,0,(IF(AND(Z240&gt;=Законод!$E$22,Z240&lt;=Законод!$E$23),Z240-Законод!$C$22,IF('01_Доходи'!Z240&gt;=Законод!$F$22,Законод!$E$24,0)))),IF($B$236="Лікар-педіатр",IF(Z240&lt;Законод!$C$18,0,(IF(AND(Z240&gt;=Законод!$E$18,Z240&lt;=Законод!$E$19),Z240-Законод!$C$18,IF('01_Доходи'!Z240&gt;=Законод!$F$18,Законод!$E$20,0)))),IF($B$236="Лікар-терапевт",IF(Z240&lt;Законод!$C$26,0,(IF(AND(Z240&gt;=Законод!$E$26,Z240&lt;=Законод!$E$27),Z240-Законод!$C$26,IF('01_Доходи'!Z240&gt;=Законод!$F$26,Законод!$E$28,0)))),0)))</f>
        <v>149.66666666666652</v>
      </c>
      <c r="AA242" s="966"/>
      <c r="AB242" s="965" t="s">
        <v>423</v>
      </c>
      <c r="AC242" s="965"/>
      <c r="AD242" s="965"/>
      <c r="AE242" s="965"/>
      <c r="AF242" s="965"/>
      <c r="AG242" s="196">
        <f ca="1">IF($B$236="Лікар загальної практики - сімейний лікар",IF(AG240&lt;Законод!$C$22,0,(IF(AND(AG240&gt;=Законод!$E$22,AG240&lt;=Законод!$E$23),AG240-Законод!$C$22,IF('01_Доходи'!AG240&gt;=Законод!$F$22,Законод!$E$24,0)))),IF($B$236="Лікар-педіатр",IF(AG240&lt;Законод!$C$18,0,(IF(AND(AG240&gt;=Законод!$E$18,AG240&lt;=Законод!$E$19),AG240-Законод!$C$18,IF('01_Доходи'!AG240&gt;=Законод!$F$18,Законод!$E$20,0)))),IF($B$236="Лікар-терапевт",IF(AG240&lt;Законод!$C$26,0,(IF(AND(AG240&gt;=Законод!$E$26,AG240&lt;=Законод!$E$27),AG240-Законод!$C$26,IF('01_Доходи'!AG240&gt;=Законод!$F$26,Законод!$E$28,0)))),0)))</f>
        <v>149.66666666666652</v>
      </c>
      <c r="AH242" s="966"/>
      <c r="AI242" s="201"/>
      <c r="AJ242" s="945"/>
      <c r="AK242" s="960"/>
      <c r="AL242" s="960"/>
      <c r="AM242" s="926" t="s">
        <v>452</v>
      </c>
      <c r="AN242" s="210">
        <f ca="1">IF(B236="Лікар загальної практики - сімейний лікар",L242*Законод!$C$9/4*Законод!$E$16,IF(B236="Лікар-педіатр",L242*Законод!$C$9/4*Законод!$E$16,IF(B236="Лікар-терапевт",L242*Законод!$C$9/4*Законод!$E$16,0)))</f>
        <v>18131.233633333315</v>
      </c>
      <c r="AO242" s="210">
        <f ca="1">IF(B236="Лікар загальної практики - сімейний лікар",S242*Законод!$C$9/4*Законод!$E$16,IF(B236="Лікар-педіатр",S242*Законод!$C$9/4*Законод!$E$16,IF(B236="Лікар-терапевт",S242*Законод!$C$9/4*Законод!$E$16,0)))</f>
        <v>18131.233633333315</v>
      </c>
      <c r="AP242" s="210">
        <f ca="1">IF(B236="Лікар загальної практики - сімейний лікар",Z242*Законод!$C$9/4*Законод!$E$16,IF(B236="Лікар-педіатр",Z242*Законод!$C$9/4*Законод!$E$16,IF(B236="Лікар-терапевт",Z242*Законод!$C$9/4*Законод!$E$16,0)))</f>
        <v>18131.233633333315</v>
      </c>
      <c r="AQ242" s="210">
        <f ca="1">IF(B236="Лікар загальної практики - сімейний лікар",AG242*Законод!$C$9/4*Законод!$E$16,IF(B236="Лікар-педіатр",AG242*Законод!$C$9/4*Законод!$E$16,IF(B236="Лікар-терапевт",AG242*Законод!$C$9/4*Законод!$E$16,0)))</f>
        <v>18131.233633333315</v>
      </c>
      <c r="AR242" s="211">
        <f t="shared" si="42"/>
        <v>72524.93453333326</v>
      </c>
    </row>
    <row r="243" spans="1:44" s="50" customFormat="1" ht="31.9" customHeight="1">
      <c r="A243" s="197"/>
      <c r="B243" s="969"/>
      <c r="C243" s="974"/>
      <c r="D243" s="971"/>
      <c r="E243" s="971"/>
      <c r="F243" s="238" t="str">
        <f ca="1">IF(B236="Лікар-педіатр",Законод!$F$17,IF(B236="Лікар загальної практики - сімейний лікар",Законод!$F$21,IF(B236="Лікар-терапевт",Законод!$F$25,"х")))</f>
        <v>понад ліміт (2201-2400)</v>
      </c>
      <c r="G243" s="965" t="s">
        <v>423</v>
      </c>
      <c r="H243" s="965"/>
      <c r="I243" s="965"/>
      <c r="J243" s="965"/>
      <c r="K243" s="965"/>
      <c r="L243" s="196">
        <f ca="1">IF($B$236="Лікар загальної практики - сімейний лікар",IF(L240&lt;Законод!$C$22,0,(IF(AND(L240&gt;=Законод!$F$22,L240&lt;=Законод!$F$23),L240-Законод!$E$23,IF('01_Доходи'!L240&gt;=Законод!$G$22,Законод!$F$24,0)))),IF($B$236="Лікар-педіатр",IF(L240&lt;Законод!$C$18,0,(IF(AND(L240&gt;=Законод!$F$18,L240&lt;=Законод!$F$19),L240-Законод!$E$19,IF('01_Доходи'!L240&gt;=Законод!$G$18,Законод!$F$20,0)))),IF($B$236="Лікар-терапевт",IF(L240&lt;Законод!$C$26,0,(IF(AND(L240&gt;=Законод!$F$26,L240&lt;=Законод!$F$27),L240-Законод!$E$27,IF('01_Доходи'!L240&gt;=Законод!$G$26,Законод!$F$28,0)))),0)))</f>
        <v>0</v>
      </c>
      <c r="M243" s="966"/>
      <c r="N243" s="965" t="s">
        <v>423</v>
      </c>
      <c r="O243" s="965"/>
      <c r="P243" s="965"/>
      <c r="Q243" s="965"/>
      <c r="R243" s="965"/>
      <c r="S243" s="196">
        <f ca="1">IF($B$236="Лікар загальної практики - сімейний лікар",IF(S240&lt;Законод!$C$22,0,(IF(AND(S240&gt;=Законод!$F$22,S240&lt;=Законод!$F$23),S240-Законод!$E$23,IF('01_Доходи'!S240&gt;=Законод!$G$22,Законод!$F$24,0)))),IF($B$236="Лікар-педіатр",IF(S240&lt;Законод!$C$18,0,(IF(AND(S240&gt;=Законод!$F$18,S240&lt;=Законод!$F$19),S240-Законод!$E$19,IF('01_Доходи'!S240&gt;=Законод!$G$18,Законод!$F$20,0)))),IF($B$236="Лікар-терапевт",IF(S240&lt;Законод!$C$26,0,(IF(AND(S240&gt;=Законод!$F$26,S240&lt;=Законод!$F$27),S240-Законод!$E$27,IF('01_Доходи'!S240&gt;=Законод!$G$26,Законод!$F$28,0)))),0)))</f>
        <v>0</v>
      </c>
      <c r="T243" s="966"/>
      <c r="U243" s="965" t="s">
        <v>423</v>
      </c>
      <c r="V243" s="965"/>
      <c r="W243" s="965"/>
      <c r="X243" s="965"/>
      <c r="Y243" s="965"/>
      <c r="Z243" s="196">
        <f ca="1">IF($B$236="Лікар загальної практики - сімейний лікар",IF(Z240&lt;Законод!$C$22,0,(IF(AND(Z240&gt;=Законод!$F$22,Z240&lt;=Законод!$F$23),Z240-Законод!$E$23,IF('01_Доходи'!Z240&gt;=Законод!$G$22,Законод!$F$24,0)))),IF($B$236="Лікар-педіатр",IF(Z240&lt;Законод!$C$18,0,(IF(AND(Z240&gt;=Законод!$F$18,Z240&lt;=Законод!$F$19),Z240-Законод!$E$19,IF('01_Доходи'!Z240&gt;=Законод!$G$18,Законод!$F$20,0)))),IF($B$236="Лікар-терапевт",IF(Z240&lt;Законод!$C$26,0,(IF(AND(Z240&gt;=Законод!$F$26,Z240&lt;=Законод!$F$27),Z240-Законод!$E$27,IF('01_Доходи'!Z240&gt;=Законод!$G$26,Законод!$F$28,0)))),0)))</f>
        <v>0</v>
      </c>
      <c r="AA243" s="966"/>
      <c r="AB243" s="965" t="s">
        <v>423</v>
      </c>
      <c r="AC243" s="965"/>
      <c r="AD243" s="965"/>
      <c r="AE243" s="965"/>
      <c r="AF243" s="965"/>
      <c r="AG243" s="196">
        <f ca="1">IF($B$236="Лікар загальної практики - сімейний лікар",IF(AG240&lt;Законод!$C$22,0,(IF(AND(AG240&gt;=Законод!$F$22,AG240&lt;=Законод!$F$23),AG240-Законод!$E$23,IF('01_Доходи'!AG240&gt;=Законод!$G$22,Законод!$F$24,0)))),IF($B$236="Лікар-педіатр",IF(AG240&lt;Законод!$C$18,0,(IF(AND(AG240&gt;=Законод!$F$18,AG240&lt;=Законод!$F$19),AG240-Законод!$E$19,IF('01_Доходи'!AG240&gt;=Законод!$G$18,Законод!$F$20,0)))),IF($B$236="Лікар-терапевт",IF(AG240&lt;Законод!$C$26,0,(IF(AND(AG240&gt;=Законод!$F$26,AG240&lt;=Законод!$F$27),AG240-Законод!$E$27,IF('01_Доходи'!AG240&gt;=Законод!$G$26,Законод!$F$28,0)))),0)))</f>
        <v>0</v>
      </c>
      <c r="AH243" s="966"/>
      <c r="AI243" s="201"/>
      <c r="AJ243" s="945"/>
      <c r="AK243" s="960"/>
      <c r="AL243" s="960"/>
      <c r="AM243" s="927"/>
      <c r="AN243" s="210">
        <f ca="1">IF(B236="Лікар загальної практики - сімейний лікар",L243*Законод!$C$9/4*Законод!$F$16,IF(B236="Лікар-педіатр",L243*Законод!$C$9/4*Законод!$F$16,IF(B236="Лікар-терапевт",L243*Законод!$C$9/4*Законод!$F$16,0)))</f>
        <v>0</v>
      </c>
      <c r="AO243" s="210">
        <f ca="1">IF(B236="Лікар загальної практики - сімейний лікар",S243*Законод!$C$9/4*Законод!$F$16,IF(B236="Лікар-педіатр",S243*Законод!$C$9/4*Законод!$F$16,IF(B236="Лікар-терапевт",S243*Законод!$C$9/4*Законод!$F$16,0)))</f>
        <v>0</v>
      </c>
      <c r="AP243" s="210">
        <f ca="1">IF(B236="Лікар загальної практики - сімейний лікар",Z243*Законод!$C$9/4*Законод!$F$16,IF(B236="Лікар-педіатр",Z243*Законод!$C$9/4*Законод!$F$16,IF(B236="Лікар-терапевт",Z243*Законод!$C$9/4*Законод!$F$16,0)))</f>
        <v>0</v>
      </c>
      <c r="AQ243" s="210">
        <f ca="1">IF(B236="Лікар загальної практики - сімейний лікар",AG243*Законод!$C$9/4*Законод!$F$16,IF(B236="Лікар-педіатр",AG243*Законод!$C$9/4*Законод!$F$16,IF(B236="Лікар-терапевт",AG243*Законод!$C$9/4*Законод!$F$16,0)))</f>
        <v>0</v>
      </c>
      <c r="AR243" s="211">
        <f t="shared" si="42"/>
        <v>0</v>
      </c>
    </row>
    <row r="244" spans="1:44" s="50" customFormat="1" ht="31.9" customHeight="1">
      <c r="A244" s="197"/>
      <c r="B244" s="969"/>
      <c r="C244" s="974"/>
      <c r="D244" s="971"/>
      <c r="E244" s="971"/>
      <c r="F244" s="238" t="str">
        <f ca="1">IF(B236="Лікар-педіатр",Законод!$G$17,IF(B236="Лікар загальної практики - сімейний лікар",Законод!$G$21,IF(B236="Лікар-терапевт",Законод!$G$25,"х")))</f>
        <v>понад ліміт (2401-2600)</v>
      </c>
      <c r="G244" s="965" t="s">
        <v>423</v>
      </c>
      <c r="H244" s="965"/>
      <c r="I244" s="965"/>
      <c r="J244" s="965"/>
      <c r="K244" s="965"/>
      <c r="L244" s="196">
        <f ca="1">IF($B$236="Лікар загальної практики - сімейний лікар",IF(L240&lt;Законод!$C$22,0,(IF(AND(L240&gt;=Законод!$G$22,L240&lt;=Законод!$G$23),L240-Законод!$F$23,IF('01_Доходи'!L240&gt;=Законод!$H$22,Законод!$G$24,0)))),IF($B$236="Лікар-педіатр",IF(L240&lt;Законод!$C$18,0,(IF(AND(L240&gt;=Законод!$G$18,L240&lt;=Законод!$G$19),L240-Законод!$F$19,IF('01_Доходи'!L240&gt;=Законод!$H$18,Законод!$G$20,0)))),IF($B$236="Лікар-терапевт",IF(L240&lt;Законод!$C$26,0,(IF(AND(L240&gt;=Законод!$G$26,L240&lt;=Законод!$G$27),L240-Законод!$F$27,IF('01_Доходи'!L240&gt;=Законод!$H$26,Законод!$G$28,0)))),0)))</f>
        <v>0</v>
      </c>
      <c r="M244" s="966"/>
      <c r="N244" s="965" t="s">
        <v>423</v>
      </c>
      <c r="O244" s="965"/>
      <c r="P244" s="965"/>
      <c r="Q244" s="965"/>
      <c r="R244" s="965"/>
      <c r="S244" s="196">
        <f ca="1">IF($B$236="Лікар загальної практики - сімейний лікар",IF(S240&lt;Законод!$C$22,0,(IF(AND(S240&gt;=Законод!$G$22,S240&lt;=Законод!$G$23),S240-Законод!$F$23,IF('01_Доходи'!S240&gt;=Законод!$H$22,Законод!$G$24,0)))),IF($B$236="Лікар-педіатр",IF(S240&lt;Законод!$C$18,0,(IF(AND(S240&gt;=Законод!$G$18,S240&lt;=Законод!$G$19),S240-Законод!$F$19,IF('01_Доходи'!S240&gt;=Законод!$H$18,Законод!$G$20,0)))),IF($B$236="Лікар-терапевт",IF(S240&lt;Законод!$C$26,0,(IF(AND(S240&gt;=Законод!$G$26,S240&lt;=Законод!$G$27),S240-Законод!$F$27,IF('01_Доходи'!S240&gt;=Законод!$H$26,Законод!$G$28,0)))),0)))</f>
        <v>0</v>
      </c>
      <c r="T244" s="966"/>
      <c r="U244" s="965" t="s">
        <v>423</v>
      </c>
      <c r="V244" s="965"/>
      <c r="W244" s="965"/>
      <c r="X244" s="965"/>
      <c r="Y244" s="965"/>
      <c r="Z244" s="196">
        <f ca="1">IF($B$236="Лікар загальної практики - сімейний лікар",IF(Z240&lt;Законод!$C$22,0,(IF(AND(Z240&gt;=Законод!$G$22,Z240&lt;=Законод!$G$23),Z240-Законод!$F$23,IF('01_Доходи'!Z240&gt;=Законод!$H$22,Законод!$G$24,0)))),IF($B$236="Лікар-педіатр",IF(Z240&lt;Законод!$C$18,0,(IF(AND(Z240&gt;=Законод!$G$18,Z240&lt;=Законод!$G$19),Z240-Законод!$F$19,IF('01_Доходи'!Z240&gt;=Законод!$H$18,Законод!$G$20,0)))),IF($B$236="Лікар-терапевт",IF(Z240&lt;Законод!$C$26,0,(IF(AND(Z240&gt;=Законод!$G$26,Z240&lt;=Законод!$G$27),Z240-Законод!$F$27,IF('01_Доходи'!Z240&gt;=Законод!$H$26,Законод!$G$28,0)))),0)))</f>
        <v>0</v>
      </c>
      <c r="AA244" s="966"/>
      <c r="AB244" s="965" t="s">
        <v>423</v>
      </c>
      <c r="AC244" s="965"/>
      <c r="AD244" s="965"/>
      <c r="AE244" s="965"/>
      <c r="AF244" s="965"/>
      <c r="AG244" s="196">
        <f ca="1">IF($B$236="Лікар загальної практики - сімейний лікар",IF(AG240&lt;Законод!$C$22,0,(IF(AND(AG240&gt;=Законод!$G$22,AG240&lt;=Законод!$G$23),AG240-Законод!$F$23,IF('01_Доходи'!AG240&gt;=Законод!$H$22,Законод!$G$24,0)))),IF($B$236="Лікар-педіатр",IF(AG240&lt;Законод!$C$18,0,(IF(AND(AG240&gt;=Законод!$G$18,AG240&lt;=Законод!$G$19),AG240-Законод!$F$19,IF('01_Доходи'!AG240&gt;=Законод!$H$18,Законод!$G$20,0)))),IF($B$236="Лікар-терапевт",IF(AG240&lt;Законод!$C$26,0,(IF(AND(AG240&gt;=Законод!$G$26,AG240&lt;=Законод!$G$27),AG240-Законод!$F$27,IF('01_Доходи'!AG240&gt;=Законод!$H$26,Законод!$G$28,0)))),0)))</f>
        <v>0</v>
      </c>
      <c r="AH244" s="966"/>
      <c r="AI244" s="201"/>
      <c r="AJ244" s="945"/>
      <c r="AK244" s="960"/>
      <c r="AL244" s="960"/>
      <c r="AM244" s="927"/>
      <c r="AN244" s="210">
        <f ca="1">IF(B236="Лікар загальної практики - сімейний лікар",L244*Законод!$C$9/4*Законод!$G$16,IF(B236="Лікар-педіатр",L244*Законод!$C$9/4*Законод!$G$16,IF(B236="Лікар-терапевт",L244*Законод!$C$9/4*Законод!$G$16,0)))</f>
        <v>0</v>
      </c>
      <c r="AO244" s="210">
        <f ca="1">IF(B236="Лікар загальної практики - сімейний лікар",S244*Законод!$C$9/4*Законод!$G$16,IF(B236="Лікар-педіатр",S244*Законод!$C$9/4*Законод!$G$16,IF(B236="Лікар-терапевт",S244*Законод!$C$9/4*Законод!$G$16,0)))</f>
        <v>0</v>
      </c>
      <c r="AP244" s="210">
        <f ca="1">IF(B236="Лікар загальної практики - сімейний лікар",Z244*Законод!$C$9/4*Законод!$G$16,IF(B236="Лікар-педіатр",Z244*Законод!$C$9/4*Законод!$G$16,IF(B236="Лікар-терапевт",Z244*Законод!$C$9/4*Законод!$G$16,0)))</f>
        <v>0</v>
      </c>
      <c r="AQ244" s="210">
        <f ca="1">IF(B236="Лікар загальної практики - сімейний лікар",AG244*Законод!$C$9/4*Законод!$G$16,IF(B236="Лікар-педіатр",AG244*Законод!$C$9/4*Законод!$G$16,IF(B236="Лікар-терапевт",AG244*Законод!$C$9/4*Законод!$G$16,0)))</f>
        <v>0</v>
      </c>
      <c r="AR244" s="211">
        <f t="shared" si="42"/>
        <v>0</v>
      </c>
    </row>
    <row r="245" spans="1:44" s="50" customFormat="1" ht="31.9" customHeight="1">
      <c r="A245" s="197"/>
      <c r="B245" s="969"/>
      <c r="C245" s="974"/>
      <c r="D245" s="971"/>
      <c r="E245" s="971"/>
      <c r="F245" s="238" t="str">
        <f ca="1">IF(B236="Лікар-педіатр",Законод!$H$17,IF(B236="Лікар загальної практики - сімейний лікар",Законод!$H$21,IF(B236="Лікар-терапевт",Законод!$H$25,"х")))</f>
        <v>понад ліміт (2601-2800)</v>
      </c>
      <c r="G245" s="965" t="s">
        <v>423</v>
      </c>
      <c r="H245" s="965"/>
      <c r="I245" s="965"/>
      <c r="J245" s="965"/>
      <c r="K245" s="965"/>
      <c r="L245" s="196">
        <f ca="1">IF($B$236="Лікар загальної практики - сімейний лікар",IF(L240&lt;Законод!$C$22,0,(IF(AND(L240&gt;=Законод!$H$22,L240&lt;=Законод!$H$23),L240-Законод!$G$23,IF('01_Доходи'!L240&gt;=Законод!$I$22,Законод!$H$24,0)))),IF($B$236="Лікар-педіатр",IF(L240&lt;Законод!$C$18,0,(IF(AND(L240&gt;=Законод!$H$18,L240&lt;=Законод!$H$19),L240-Законод!$G$19,IF('01_Доходи'!L240&gt;=Законод!$I$18,Законод!$H$20,0)))),IF($B$236="Лікар-терапевт",IF(L240&lt;Законод!$C$26,0,(IF(AND(L240&gt;=Законод!$H$26,L240&lt;=Законод!$H$27),L240-Законод!$G$27,IF(L240&gt;=Законод!$I$26,Законод!$H$28,0)))),0)))</f>
        <v>0</v>
      </c>
      <c r="M245" s="966"/>
      <c r="N245" s="965" t="s">
        <v>423</v>
      </c>
      <c r="O245" s="965"/>
      <c r="P245" s="965"/>
      <c r="Q245" s="965"/>
      <c r="R245" s="965"/>
      <c r="S245" s="196">
        <f ca="1">IF($B$236="Лікар загальної практики - сімейний лікар",IF(S240&lt;Законод!$C$22,0,(IF(AND(S240&gt;=Законод!$H$22,S240&lt;=Законод!$H$23),S240-Законод!$G$23,IF('01_Доходи'!S240&gt;=Законод!$I$22,Законод!$H$24,0)))),IF($B$236="Лікар-педіатр",IF(S240&lt;Законод!$C$18,0,(IF(AND(S240&gt;=Законод!$H$18,S240&lt;=Законод!$H$19),S240-Законод!$G$19,IF('01_Доходи'!S240&gt;=Законод!$I$18,Законод!$H$20,0)))),IF($B$236="Лікар-терапевт",IF(S240&lt;Законод!$C$26,0,(IF(AND(S240&gt;=Законод!$H$26,S240&lt;=Законод!$H$27),S240-Законод!$G$27,IF(S240&gt;=Законод!$I$26,Законод!$H$28,0)))),0)))</f>
        <v>0</v>
      </c>
      <c r="T245" s="966"/>
      <c r="U245" s="965" t="s">
        <v>423</v>
      </c>
      <c r="V245" s="965"/>
      <c r="W245" s="965"/>
      <c r="X245" s="965"/>
      <c r="Y245" s="965"/>
      <c r="Z245" s="196">
        <f ca="1">IF($B$236="Лікар загальної практики - сімейний лікар",IF(Z240&lt;Законод!$C$22,0,(IF(AND(Z240&gt;=Законод!$H$22,Z240&lt;=Законод!$H$23),Z240-Законод!$G$23,IF('01_Доходи'!Z240&gt;=Законод!$I$22,Законод!$H$24,0)))),IF($B$236="Лікар-педіатр",IF(Z240&lt;Законод!$C$18,0,(IF(AND(Z240&gt;=Законод!$H$18,Z240&lt;=Законод!$H$19),Z240-Законод!$G$19,IF('01_Доходи'!Z240&gt;=Законод!$I$18,Законод!$H$20,0)))),IF($B$236="Лікар-терапевт",IF(Z240&lt;Законод!$C$26,0,(IF(AND(Z240&gt;=Законод!$H$26,Z240&lt;=Законод!$H$27),Z240-Законод!$G$27,IF(Z240&gt;=Законод!$I$26,Законод!$H$28,0)))),0)))</f>
        <v>0</v>
      </c>
      <c r="AA245" s="966"/>
      <c r="AB245" s="965" t="s">
        <v>423</v>
      </c>
      <c r="AC245" s="965"/>
      <c r="AD245" s="965"/>
      <c r="AE245" s="965"/>
      <c r="AF245" s="965"/>
      <c r="AG245" s="196">
        <f ca="1">IF($B$236="Лікар загальної практики - сімейний лікар",IF(AG240&lt;Законод!$C$22,0,(IF(AND(AG240&gt;=Законод!$H$22,AG240&lt;=Законод!$H$23),AG240-Законод!$G$23,IF('01_Доходи'!AG240&gt;=Законод!$I$22,Законод!$H$24,0)))),IF($B$236="Лікар-педіатр",IF(AG240&lt;Законод!$C$18,0,(IF(AND(AG240&gt;=Законод!$H$18,AG240&lt;=Законод!$H$19),AG240-Законод!$G$19,IF('01_Доходи'!AG240&gt;=Законод!$I$18,Законод!$H$20,0)))),IF($B$236="Лікар-терапевт",IF(AG240&lt;Законод!$C$26,0,(IF(AND(AG240&gt;=Законод!$H$26,AG240&lt;=Законод!$H$27),AG240-Законод!$G$27,IF(AG240&gt;=Законод!$I$26,Законод!$H$28,0)))),0)))</f>
        <v>0</v>
      </c>
      <c r="AH245" s="966"/>
      <c r="AI245" s="201"/>
      <c r="AJ245" s="945"/>
      <c r="AK245" s="960"/>
      <c r="AL245" s="960"/>
      <c r="AM245" s="927"/>
      <c r="AN245" s="210">
        <f ca="1">IF(B236="Лікар загальної практики - сімейний лікар",L245*Законод!$C$9/4*Законод!$H$16,IF(B236="Лікар-педіатр",L245*Законод!$C$9/4*Законод!$H$16,IF(B236="Лікар-терапевт",L245*Законод!$C$9/4*Законод!$H$16,0)))</f>
        <v>0</v>
      </c>
      <c r="AO245" s="210">
        <f ca="1">IF(B236="Лікар загальної практики - сімейний лікар",S245*Законод!$C$9/4*Законод!$H$16,IF(B236="Лікар-педіатр",S245*Законод!$C$9/4*Законод!$H$16,IF(B236="Лікар-терапевт",S245*Законод!$C$9/4*Законод!$H$16,0)))</f>
        <v>0</v>
      </c>
      <c r="AP245" s="210">
        <f ca="1">IF(B236="Лікар загальної практики - сімейний лікар",Z245*Законод!$C$9/4*Законод!$H$16,IF(B236="Лікар-педіатр",Z245*Законод!$C$9/4*Законод!$H$16,IF(B236="Лікар-терапевт",Z245*Законод!$C$9/4*Законод!$H$16,0)))</f>
        <v>0</v>
      </c>
      <c r="AQ245" s="210">
        <f ca="1">IF(B236="Лікар загальної практики - сімейний лікар",AG245*Законод!$C$9/4*Законод!$H$16,IF(B236="Лікар-педіатр",AG245*Законод!$C$9/4*Законод!$H$16,IF(B236="Лікар-терапевт",AG245*Законод!$C$9/4*Законод!$H$16,0)))</f>
        <v>0</v>
      </c>
      <c r="AR245" s="211">
        <f t="shared" si="42"/>
        <v>0</v>
      </c>
    </row>
    <row r="246" spans="1:44" s="50" customFormat="1" ht="31.9" customHeight="1">
      <c r="A246" s="197"/>
      <c r="B246" s="969"/>
      <c r="C246" s="974"/>
      <c r="D246" s="971"/>
      <c r="E246" s="971"/>
      <c r="F246" s="238" t="str">
        <f ca="1">IF(B236="Лікар-педіатр",Законод!$I$17,IF(B236="Лікар загальної практики - сімейний лікар",Законод!$I$21,IF(B236="Лікар-терапевт",Законод!$I$25,"х")))</f>
        <v>понад ліміт (2801-3000)</v>
      </c>
      <c r="G246" s="965" t="s">
        <v>423</v>
      </c>
      <c r="H246" s="965"/>
      <c r="I246" s="965"/>
      <c r="J246" s="965"/>
      <c r="K246" s="965"/>
      <c r="L246" s="196">
        <f ca="1">IF($B$236="Лікар загальної практики - сімейний лікар",IF(L240&lt;Законод!$C$22,0,(IF(AND(L240&gt;=Законод!$I$22,L240&lt;=Законод!$I$23),L240-Законод!$H$23,IF('01_Доходи'!L240&gt;=Законод!$I$22,Законод!$I$24,0)))),IF($B$236="Лікар-педіатр",IF(L240&lt;Законод!$C$18,0,(IF(AND(L240&gt;=Законод!$I$18,L240&lt;=Законод!$I$19),L240-Законод!$H$19,IF('01_Доходи'!L240&gt;=Законод!$I$18,Законод!$H$20,0)))),IF($B$236="Лікар-терапевт",IF(L240&lt;Законод!$C$26,0,(IF(AND(L240&gt;=Законод!$I$26,L240&lt;=Законод!$I$27),L240-Законод!$H$27,IF('01_Доходи'!L240&gt;=Законод!$I$26,Законод!$H$28,0)))),0)))</f>
        <v>0</v>
      </c>
      <c r="M246" s="966"/>
      <c r="N246" s="965" t="s">
        <v>423</v>
      </c>
      <c r="O246" s="965"/>
      <c r="P246" s="965"/>
      <c r="Q246" s="965"/>
      <c r="R246" s="965"/>
      <c r="S246" s="196">
        <f ca="1">IF($B$236="Лікар загальної практики - сімейний лікар",IF(S240&lt;Законод!$C$22,0,(IF(AND(S240&gt;=Законод!$I$22,S240&lt;=Законод!$I$23),S240-Законод!$H$23,IF('01_Доходи'!S240&gt;=Законод!$I$22,Законод!$I$24,0)))),IF($B$236="Лікар-педіатр",IF(S240&lt;Законод!$C$18,0,(IF(AND(S240&gt;=Законод!$I$18,S240&lt;=Законод!$I$19),S240-Законод!$H$19,IF('01_Доходи'!S240&gt;=Законод!$I$18,Законод!$H$20,0)))),IF($B$236="Лікар-терапевт",IF(S240&lt;Законод!$C$26,0,(IF(AND(S240&gt;=Законод!$I$26,S240&lt;=Законод!$I$27),S240-Законод!$H$27,IF('01_Доходи'!S240&gt;=Законод!$I$26,Законод!$H$28,0)))),0)))</f>
        <v>0</v>
      </c>
      <c r="T246" s="966"/>
      <c r="U246" s="965" t="s">
        <v>423</v>
      </c>
      <c r="V246" s="965"/>
      <c r="W246" s="965"/>
      <c r="X246" s="965"/>
      <c r="Y246" s="965"/>
      <c r="Z246" s="196">
        <f ca="1">IF($B$236="Лікар загальної практики - сімейний лікар",IF(Z240&lt;Законод!$C$22,0,(IF(AND(Z240&gt;=Законод!$I$22,Z240&lt;=Законод!$I$23),Z240-Законод!$H$23,IF('01_Доходи'!Z240&gt;=Законод!$I$22,Законод!$I$24,0)))),IF($B$236="Лікар-педіатр",IF(Z240&lt;Законод!$C$18,0,(IF(AND(Z240&gt;=Законод!$I$18,Z240&lt;=Законод!$I$19),Z240-Законод!$H$19,IF('01_Доходи'!Z240&gt;=Законод!$I$18,Законод!$H$20,0)))),IF($B$236="Лікар-терапевт",IF(Z240&lt;Законод!$C$26,0,(IF(AND(Z240&gt;=Законод!$I$26,Z240&lt;=Законод!$I$27),Z240-Законод!$H$27,IF('01_Доходи'!Z240&gt;=Законод!$I$26,Законод!$H$28,0)))),0)))</f>
        <v>0</v>
      </c>
      <c r="AA246" s="966"/>
      <c r="AB246" s="965" t="s">
        <v>423</v>
      </c>
      <c r="AC246" s="965"/>
      <c r="AD246" s="965"/>
      <c r="AE246" s="965"/>
      <c r="AF246" s="965"/>
      <c r="AG246" s="196">
        <f ca="1">IF($B$236="Лікар загальної практики - сімейний лікар",IF(AG240&lt;Законод!$C$22,0,(IF(AND(AG240&gt;=Законод!$I$22,AG240&lt;=Законод!$I$23),AG240-Законод!$H$23,IF('01_Доходи'!AG240&gt;=Законод!$I$22,Законод!$I$24,0)))),IF($B$236="Лікар-педіатр",IF(AG240&lt;Законод!$C$18,0,(IF(AND(AG240&gt;=Законод!$I$18,AG240&lt;=Законод!$I$19),AG240-Законод!$H$19,IF('01_Доходи'!AG240&gt;=Законод!$I$18,Законод!$H$20,0)))),IF($B$236="Лікар-терапевт",IF(AG240&lt;Законод!$C$26,0,(IF(AND(AG240&gt;=Законод!$I$26,AG240&lt;=Законод!$I$27),AG240-Законод!$H$27,IF('01_Доходи'!AG240&gt;=Законод!$I$26,Законод!$H$28,0)))),0)))</f>
        <v>0</v>
      </c>
      <c r="AH246" s="966"/>
      <c r="AI246" s="201"/>
      <c r="AJ246" s="945"/>
      <c r="AK246" s="960"/>
      <c r="AL246" s="960"/>
      <c r="AM246" s="927"/>
      <c r="AN246" s="210">
        <f ca="1">IF(B236="Лікар загальної практики - сімейний лікар",L246*Законод!$C$9/4*Законод!$I$16,IF(B236="Лікар-педіатр",L246*Законод!$C$9/4*Законод!$I$16,IF(B236="Лікар-терапевт",L246*Законод!$C$9/4*Законод!$I$16,0)))</f>
        <v>0</v>
      </c>
      <c r="AO246" s="210">
        <f ca="1">IF(B236="Лікар загальної практики - сімейний лікар",S246*Законод!$C$9/4*Законод!$I$16,IF(B236="Лікар-педіатр",S246*Законод!$C$9/4*Законод!$I$16,IF(B236="Лікар-терапевт",S246*Законод!$C$9/4*Законод!$I$16,0)))</f>
        <v>0</v>
      </c>
      <c r="AP246" s="210">
        <f ca="1">IF(B236="Лікар загальної практики - сімейний лікар",Z246*Законод!$C$9/4*Законод!$I$16,IF(B236="Лікар-педіатр",Z246*Законод!$C$9/4*Законод!$I$16,IF(B236="Лікар-терапевт",Z246*Законод!$C$9/4*Законод!$I$16,0)))</f>
        <v>0</v>
      </c>
      <c r="AQ246" s="210">
        <f ca="1">IF(B236="Лікар загальної практики - сімейний лікар",AG246*Законод!$C$9/4*Законод!$I$16,IF(B236="Лікар-педіатр",AG246*Законод!$C$9/4*Законод!$I$16,IF(B236="Лікар-терапевт",AG246*Законод!$C$9/4*Законод!$I$16,0)))</f>
        <v>0</v>
      </c>
      <c r="AR246" s="211">
        <f t="shared" si="42"/>
        <v>0</v>
      </c>
    </row>
    <row r="247" spans="1:44" s="218" customFormat="1" ht="31.9" customHeight="1" thickBot="1">
      <c r="A247" s="213"/>
      <c r="B247" s="969"/>
      <c r="C247" s="974"/>
      <c r="D247" s="971"/>
      <c r="E247" s="971"/>
      <c r="F247" s="239" t="str">
        <f ca="1">IF(B236="Лікар-педіатр",Законод!$J$17,IF(B236="Лікар загальної практики - сімейний лікар",Законод!$J$21,IF(B236="Лікар-терапевт",Законод!$J$25,"х")))</f>
        <v>понад ліміт (&gt;=3001)</v>
      </c>
      <c r="G247" s="968" t="s">
        <v>423</v>
      </c>
      <c r="H247" s="968"/>
      <c r="I247" s="968"/>
      <c r="J247" s="968"/>
      <c r="K247" s="968"/>
      <c r="L247" s="196">
        <f ca="1">IF($B$236="Лікар загальної практики - сімейний лікар",IF(L240&gt;=Законод!$J$22,'01_Доходи'!L240-('01_Доходи'!L241+'01_Доходи'!L242+'01_Доходи'!L243+'01_Доходи'!L244+'01_Доходи'!L245+'01_Доходи'!L246),0),IF($B$236="Лікар-педіатр",IF(L240&gt;=Законод!$J$18,'01_Доходи'!L240-('01_Доходи'!L241+'01_Доходи'!L242+'01_Доходи'!L243+'01_Доходи'!L244+'01_Доходи'!L245+'01_Доходи'!L246),0),IF($B$236="Лікар-терапевт",IF('01_Доходи'!L240&gt;=Законод!$J$26,L240-Законод!$I$27,0),0)))</f>
        <v>0</v>
      </c>
      <c r="M247" s="966"/>
      <c r="N247" s="968" t="s">
        <v>423</v>
      </c>
      <c r="O247" s="968"/>
      <c r="P247" s="968"/>
      <c r="Q247" s="968"/>
      <c r="R247" s="968"/>
      <c r="S247" s="196">
        <f ca="1">IF($B$236="Лікар загальної практики - сімейний лікар",IF(S240&gt;=Законод!$J$22,'01_Доходи'!S240-('01_Доходи'!S241+'01_Доходи'!S242+'01_Доходи'!S243+'01_Доходи'!S244+'01_Доходи'!S245+'01_Доходи'!S246),0),IF($B$236="Лікар-педіатр",IF(S240&gt;=Законод!$J$18,'01_Доходи'!S240-('01_Доходи'!S241+'01_Доходи'!S242+'01_Доходи'!S243+'01_Доходи'!S244+'01_Доходи'!S245+'01_Доходи'!S246),0),IF($B$236="Лікар-терапевт",IF('01_Доходи'!S240&gt;=Законод!$J$26,S240-Законод!$I$27,0),0)))</f>
        <v>0</v>
      </c>
      <c r="T247" s="966"/>
      <c r="U247" s="968" t="s">
        <v>423</v>
      </c>
      <c r="V247" s="968"/>
      <c r="W247" s="968"/>
      <c r="X247" s="968"/>
      <c r="Y247" s="968"/>
      <c r="Z247" s="196">
        <f ca="1">IF($B$236="Лікар загальної практики - сімейний лікар",IF(Z240&gt;=Законод!$J$22,'01_Доходи'!Z240-('01_Доходи'!Z241+'01_Доходи'!Z242+'01_Доходи'!Z243+'01_Доходи'!Z244+'01_Доходи'!Z245+'01_Доходи'!Z246),0),IF($B$236="Лікар-педіатр",IF(Z240&gt;=Законод!$J$18,'01_Доходи'!Z240-('01_Доходи'!Z241+'01_Доходи'!Z242+'01_Доходи'!Z243+'01_Доходи'!Z244+'01_Доходи'!Z245+'01_Доходи'!Z246),0),IF($B$236="Лікар-терапевт",IF('01_Доходи'!Z240&gt;=Законод!$J$26,Z240-Законод!$I$27,0),0)))</f>
        <v>0</v>
      </c>
      <c r="AA247" s="966"/>
      <c r="AB247" s="968" t="s">
        <v>423</v>
      </c>
      <c r="AC247" s="968"/>
      <c r="AD247" s="968"/>
      <c r="AE247" s="968"/>
      <c r="AF247" s="968"/>
      <c r="AG247" s="196">
        <f ca="1">IF($B$236="Лікар загальної практики - сімейний лікар",IF(AG240&gt;=Законод!$J$22,'01_Доходи'!AG240-('01_Доходи'!AG241+'01_Доходи'!AG242+'01_Доходи'!AG243+'01_Доходи'!AG244+'01_Доходи'!AG245+'01_Доходи'!AG246),0),IF($B$236="Лікар-педіатр",IF(AG240&gt;=Законод!$J$18,'01_Доходи'!AG240-('01_Доходи'!AG241+'01_Доходи'!AG242+'01_Доходи'!AG243+'01_Доходи'!AG244+'01_Доходи'!AG245+'01_Доходи'!AG246),0),IF($B$236="Лікар-терапевт",IF('01_Доходи'!AG240&gt;=Законод!$J$26,AG240-Законод!$I$27,0),0)))</f>
        <v>0</v>
      </c>
      <c r="AH247" s="966"/>
      <c r="AI247" s="215"/>
      <c r="AJ247" s="946"/>
      <c r="AK247" s="961"/>
      <c r="AL247" s="961"/>
      <c r="AM247" s="928"/>
      <c r="AN247" s="216">
        <f ca="1">IF(B236="Лікар загальної практики - сімейний лікар",L247*Законод!$C$9/4*Законод!$J$16,IF(B236="Лікар-педіатр",L247*Законод!$C$9/4*Законод!$J$16,IF(B236="Лікар-терапевт",L247*Законод!$C$9/4*Законод!$J$16,0)))</f>
        <v>0</v>
      </c>
      <c r="AO247" s="216">
        <f ca="1">IF(B236="Лікар загальної практики - сімейний лікар",S247*Законод!$C$9/4*Законод!$J$16,IF(B236="Лікар-педіатр",S247*Законод!$C$9/4*Законод!$J$16,IF(B236="Лікар-терапевт",S247*Законод!$C$9/4*Законод!$J$16,0)))</f>
        <v>0</v>
      </c>
      <c r="AP247" s="216">
        <f ca="1">IF(B236="Лікар загальної практики - сімейний лікар",S247*Законод!$C$9/4*Законод!$J$16,IF(B236="Лікар-педіатр",S247*Законод!$C$9/4*Законод!$J$16,IF(B236="Лікар-терапевт",S247*Законод!$C$9/4*Законод!$J$16,0)))</f>
        <v>0</v>
      </c>
      <c r="AQ247" s="216">
        <f ca="1">IF(B236="Лікар загальної практики - сімейний лікар",AG247*Законод!$C$9/4*Законод!$J$16,IF(B236="Лікар-педіатр",AG247*Законод!$C$9/4*Законод!$J$16,IF(B236="Лікар-терапевт",AG247*Законод!$C$9/4*Законод!$J$16,0)))</f>
        <v>0</v>
      </c>
      <c r="AR247" s="217">
        <f t="shared" si="42"/>
        <v>0</v>
      </c>
    </row>
    <row r="248" spans="1:44" s="247" customFormat="1" ht="23.45" customHeight="1" thickBot="1">
      <c r="A248" s="243"/>
      <c r="B248" s="244"/>
      <c r="C248" s="244"/>
      <c r="D248" s="244"/>
      <c r="E248" s="244"/>
      <c r="F248" s="245"/>
      <c r="G248" s="246"/>
      <c r="H248" s="246"/>
      <c r="L248" s="248"/>
      <c r="S248" s="248"/>
      <c r="Z248" s="248"/>
      <c r="AG248" s="248"/>
      <c r="AM248" s="249"/>
      <c r="AR248" s="250"/>
    </row>
    <row r="249" spans="1:44" s="191" customFormat="1" ht="27.6" customHeight="1">
      <c r="A249" s="194">
        <f>A236+1</f>
        <v>17</v>
      </c>
      <c r="B249" s="969" t="s">
        <v>314</v>
      </c>
      <c r="C249" s="974" t="s">
        <v>207</v>
      </c>
      <c r="D249" s="971"/>
      <c r="E249" s="971" t="str">
        <f>E236</f>
        <v>Рожищенська АЗПСМ №1</v>
      </c>
      <c r="F249" s="234" t="s">
        <v>659</v>
      </c>
      <c r="G249" s="196">
        <v>294</v>
      </c>
      <c r="H249" s="196">
        <v>541</v>
      </c>
      <c r="I249" s="196">
        <v>0</v>
      </c>
      <c r="J249" s="196">
        <v>0</v>
      </c>
      <c r="K249" s="196">
        <v>0</v>
      </c>
      <c r="L249" s="557">
        <f t="shared" ref="L249:L254" si="43">SUM(G249:K249)</f>
        <v>835</v>
      </c>
      <c r="M249" s="966">
        <v>1</v>
      </c>
      <c r="N249" s="196">
        <v>294</v>
      </c>
      <c r="O249" s="196">
        <v>541</v>
      </c>
      <c r="P249" s="196">
        <v>0</v>
      </c>
      <c r="Q249" s="196">
        <v>0</v>
      </c>
      <c r="R249" s="196">
        <v>0</v>
      </c>
      <c r="S249" s="557">
        <f t="shared" ref="S249:S254" si="44">SUM(N249:R249)</f>
        <v>835</v>
      </c>
      <c r="T249" s="966">
        <v>1</v>
      </c>
      <c r="U249" s="196">
        <v>294</v>
      </c>
      <c r="V249" s="196">
        <v>541</v>
      </c>
      <c r="W249" s="196">
        <v>0</v>
      </c>
      <c r="X249" s="196">
        <v>0</v>
      </c>
      <c r="Y249" s="196">
        <v>0</v>
      </c>
      <c r="Z249" s="557">
        <f t="shared" ref="Z249:Z254" si="45">SUM(U249:Y249)</f>
        <v>835</v>
      </c>
      <c r="AA249" s="966">
        <v>1</v>
      </c>
      <c r="AB249" s="196">
        <v>294</v>
      </c>
      <c r="AC249" s="196">
        <v>541</v>
      </c>
      <c r="AD249" s="196">
        <v>0</v>
      </c>
      <c r="AE249" s="196">
        <v>0</v>
      </c>
      <c r="AF249" s="196">
        <v>0</v>
      </c>
      <c r="AG249" s="557">
        <f t="shared" ref="AG249:AG254" si="46">SUM(AB249:AF249)</f>
        <v>835</v>
      </c>
      <c r="AH249" s="966">
        <v>1</v>
      </c>
      <c r="AI249" s="540">
        <f>A249</f>
        <v>17</v>
      </c>
      <c r="AJ249" s="944" t="str">
        <f>B249</f>
        <v>Лікар-педіатр</v>
      </c>
      <c r="AK249" s="959" t="str">
        <f>C249</f>
        <v>Ющук Ксенія Вікторівна</v>
      </c>
      <c r="AL249" s="959">
        <f>D249</f>
        <v>0</v>
      </c>
      <c r="AM249" s="929" t="s">
        <v>79</v>
      </c>
      <c r="AN249" s="947">
        <f>SUM(AN254:AN260)</f>
        <v>286794.10372499999</v>
      </c>
      <c r="AO249" s="947">
        <f>SUM(AO254:AO260)</f>
        <v>286794.10372499999</v>
      </c>
      <c r="AP249" s="947">
        <f>SUM(AP254:AP260)</f>
        <v>286794.10372499999</v>
      </c>
      <c r="AQ249" s="947">
        <f>SUM(AQ254:AQ260)</f>
        <v>286794.10372499999</v>
      </c>
      <c r="AR249" s="962">
        <f>SUM(AN249:AQ253)</f>
        <v>1147176.4149</v>
      </c>
    </row>
    <row r="250" spans="1:44" s="50" customFormat="1" ht="28.15" customHeight="1">
      <c r="A250" s="197"/>
      <c r="B250" s="969"/>
      <c r="C250" s="974"/>
      <c r="D250" s="971"/>
      <c r="E250" s="971"/>
      <c r="F250" s="234" t="s">
        <v>660</v>
      </c>
      <c r="G250" s="196">
        <v>294</v>
      </c>
      <c r="H250" s="196">
        <v>541</v>
      </c>
      <c r="I250" s="196">
        <v>0</v>
      </c>
      <c r="J250" s="196">
        <v>0</v>
      </c>
      <c r="K250" s="196">
        <v>0</v>
      </c>
      <c r="L250" s="557">
        <f t="shared" si="43"/>
        <v>835</v>
      </c>
      <c r="M250" s="966"/>
      <c r="N250" s="196">
        <v>294</v>
      </c>
      <c r="O250" s="196">
        <v>541</v>
      </c>
      <c r="P250" s="196">
        <v>0</v>
      </c>
      <c r="Q250" s="196">
        <v>0</v>
      </c>
      <c r="R250" s="196">
        <v>0</v>
      </c>
      <c r="S250" s="557">
        <f t="shared" si="44"/>
        <v>835</v>
      </c>
      <c r="T250" s="966"/>
      <c r="U250" s="196">
        <v>294</v>
      </c>
      <c r="V250" s="196">
        <v>541</v>
      </c>
      <c r="W250" s="196">
        <v>0</v>
      </c>
      <c r="X250" s="196">
        <v>0</v>
      </c>
      <c r="Y250" s="196">
        <v>0</v>
      </c>
      <c r="Z250" s="557">
        <f t="shared" si="45"/>
        <v>835</v>
      </c>
      <c r="AA250" s="966"/>
      <c r="AB250" s="196">
        <v>294</v>
      </c>
      <c r="AC250" s="196">
        <v>541</v>
      </c>
      <c r="AD250" s="196">
        <v>0</v>
      </c>
      <c r="AE250" s="196">
        <v>0</v>
      </c>
      <c r="AF250" s="196">
        <v>0</v>
      </c>
      <c r="AG250" s="557">
        <f t="shared" si="46"/>
        <v>835</v>
      </c>
      <c r="AH250" s="966"/>
      <c r="AI250" s="198"/>
      <c r="AJ250" s="945"/>
      <c r="AK250" s="960"/>
      <c r="AL250" s="960"/>
      <c r="AM250" s="930"/>
      <c r="AN250" s="948"/>
      <c r="AO250" s="948"/>
      <c r="AP250" s="948"/>
      <c r="AQ250" s="948"/>
      <c r="AR250" s="963"/>
    </row>
    <row r="251" spans="1:44" s="90" customFormat="1" ht="31.15" customHeight="1">
      <c r="A251" s="240"/>
      <c r="B251" s="969"/>
      <c r="C251" s="974"/>
      <c r="D251" s="971"/>
      <c r="E251" s="971"/>
      <c r="F251" s="241" t="s">
        <v>661</v>
      </c>
      <c r="G251" s="196">
        <v>294</v>
      </c>
      <c r="H251" s="196">
        <v>541</v>
      </c>
      <c r="I251" s="196">
        <v>0</v>
      </c>
      <c r="J251" s="196">
        <v>0</v>
      </c>
      <c r="K251" s="196">
        <v>0</v>
      </c>
      <c r="L251" s="557">
        <f t="shared" si="43"/>
        <v>835</v>
      </c>
      <c r="M251" s="966"/>
      <c r="N251" s="196">
        <v>294</v>
      </c>
      <c r="O251" s="196">
        <v>541</v>
      </c>
      <c r="P251" s="196">
        <v>0</v>
      </c>
      <c r="Q251" s="196">
        <v>0</v>
      </c>
      <c r="R251" s="196">
        <v>0</v>
      </c>
      <c r="S251" s="557">
        <f t="shared" si="44"/>
        <v>835</v>
      </c>
      <c r="T251" s="966"/>
      <c r="U251" s="196">
        <v>294</v>
      </c>
      <c r="V251" s="196">
        <v>541</v>
      </c>
      <c r="W251" s="196">
        <v>0</v>
      </c>
      <c r="X251" s="196">
        <v>0</v>
      </c>
      <c r="Y251" s="196">
        <v>0</v>
      </c>
      <c r="Z251" s="200">
        <f t="shared" si="45"/>
        <v>835</v>
      </c>
      <c r="AA251" s="966"/>
      <c r="AB251" s="196">
        <v>294</v>
      </c>
      <c r="AC251" s="196">
        <v>541</v>
      </c>
      <c r="AD251" s="199">
        <v>0</v>
      </c>
      <c r="AE251" s="199">
        <v>0</v>
      </c>
      <c r="AF251" s="199">
        <v>0</v>
      </c>
      <c r="AG251" s="557">
        <f t="shared" si="46"/>
        <v>835</v>
      </c>
      <c r="AH251" s="966"/>
      <c r="AI251" s="242"/>
      <c r="AJ251" s="945"/>
      <c r="AK251" s="960"/>
      <c r="AL251" s="960"/>
      <c r="AM251" s="930"/>
      <c r="AN251" s="948"/>
      <c r="AO251" s="948"/>
      <c r="AP251" s="948"/>
      <c r="AQ251" s="948"/>
      <c r="AR251" s="963"/>
    </row>
    <row r="252" spans="1:44" s="50" customFormat="1" ht="31.9" customHeight="1" thickBot="1">
      <c r="A252" s="197"/>
      <c r="B252" s="969"/>
      <c r="C252" s="974"/>
      <c r="D252" s="971"/>
      <c r="E252" s="971"/>
      <c r="F252" s="236" t="s">
        <v>426</v>
      </c>
      <c r="G252" s="203">
        <f>IF($B$249="Лікар-педіатр",G251/L251,IF($B$249="Лікар-терапевт","х",IF($B$249="Лікар загальної практики - сімейний лікар",G251/L251,0)))</f>
        <v>0.35209580838323351</v>
      </c>
      <c r="H252" s="203">
        <f>IF($B$249="Лікар-педіатр",H251/L251,IF($B$249="Лікар-терапевт","х",IF($B$249="Лікар загальної практики - сімейний лікар",H251/L251,0)))</f>
        <v>0.64790419161676649</v>
      </c>
      <c r="I252" s="203" t="str">
        <f>IF($B$249="Лікар-педіатр","x",IF($B$249="Лікар-терапевт",I251/L251,IF($B$249="Лікар загальної практики - сімейний лікар",I251/L251,0)))</f>
        <v>x</v>
      </c>
      <c r="J252" s="203" t="str">
        <f>IF($B$249="Лікар-педіатр","x",IF($B$249="Лікар-терапевт",J251/L251,IF($B$249="Лікар загальної практики - сімейний лікар",J251/L251,0)))</f>
        <v>x</v>
      </c>
      <c r="K252" s="203" t="str">
        <f>IF($B$249="Лікар-педіатр","x",IF($B$249="Лікар-терапевт",K251/L251,IF($B$249="Лікар загальної практики - сімейний лікар",K251/L251,0)))</f>
        <v>x</v>
      </c>
      <c r="L252" s="203">
        <f t="shared" si="43"/>
        <v>1</v>
      </c>
      <c r="M252" s="966"/>
      <c r="N252" s="203">
        <f>IF($B$249="Лікар-педіатр",N251/S251,IF($B$249="Лікар-терапевт","х",IF($B$249="Лікар загальної практики - сімейний лікар",N251/S251,0)))</f>
        <v>0.35209580838323351</v>
      </c>
      <c r="O252" s="203">
        <f>IF($B$249="Лікар-педіатр",O251/S251,IF($B$249="Лікар-терапевт","х",IF($B$249="Лікар загальної практики - сімейний лікар",O251/S251,0)))</f>
        <v>0.64790419161676649</v>
      </c>
      <c r="P252" s="203" t="str">
        <f>IF($B$249="Лікар-педіатр","x",IF($B$249="Лікар-терапевт",P251/S251,IF($B$249="Лікар загальної практики - сімейний лікар",P251/S251,0)))</f>
        <v>x</v>
      </c>
      <c r="Q252" s="203" t="str">
        <f>IF($B$249="Лікар-педіатр","x",IF($B$249="Лікар-терапевт",Q251/S251,IF($B$249="Лікар загальної практики - сімейний лікар",Q251/S251,0)))</f>
        <v>x</v>
      </c>
      <c r="R252" s="203" t="str">
        <f>IF($B$249="Лікар-педіатр","x",IF($B$249="Лікар-терапевт",R251/S251,IF($B$249="Лікар загальної практики - сімейний лікар",R251/S251,0)))</f>
        <v>x</v>
      </c>
      <c r="S252" s="203">
        <f t="shared" si="44"/>
        <v>1</v>
      </c>
      <c r="T252" s="966"/>
      <c r="U252" s="203">
        <f>IF($B$249="Лікар-педіатр",U251/Z251,IF($B$249="Лікар-терапевт","х",IF($B$249="Лікар загальної практики - сімейний лікар",U251/Z251,0)))</f>
        <v>0.35209580838323351</v>
      </c>
      <c r="V252" s="203">
        <f>IF($B$249="Лікар-педіатр",V251/Z251,IF($B$249="Лікар-терапевт","х",IF($B$249="Лікар загальної практики - сімейний лікар",V251/Z251,0)))</f>
        <v>0.64790419161676649</v>
      </c>
      <c r="W252" s="203" t="str">
        <f>IF($B$249="Лікар-педіатр","x",IF($B$249="Лікар-терапевт",W251/Z251,IF($B$249="Лікар загальної практики - сімейний лікар",W251/Z251,0)))</f>
        <v>x</v>
      </c>
      <c r="X252" s="203" t="str">
        <f>IF($B$249="Лікар-педіатр","x",IF($B$249="Лікар-терапевт",X251/Z251,IF($B$249="Лікар загальної практики - сімейний лікар",X251/Z251,0)))</f>
        <v>x</v>
      </c>
      <c r="Y252" s="203" t="str">
        <f>IF($B$249="Лікар-педіатр","x",IF($B$249="Лікар-терапевт",Y251/Z251,IF($B$249="Лікар загальної практики - сімейний лікар",Y251/Z251,0)))</f>
        <v>x</v>
      </c>
      <c r="Z252" s="203">
        <f t="shared" si="45"/>
        <v>1</v>
      </c>
      <c r="AA252" s="966"/>
      <c r="AB252" s="203">
        <f>IF($B$249="Лікар-педіатр",AB251/AG251,IF($B$249="Лікар-терапевт","х",IF($B$249="Лікар загальної практики - сімейний лікар",AB251/AG251,0)))</f>
        <v>0.35209580838323351</v>
      </c>
      <c r="AC252" s="203">
        <f>IF($B$249="Лікар-педіатр",AC251/AG251,IF($B$249="Лікар-терапевт","х",IF($B$249="Лікар загальної практики - сімейний лікар",AC251/AG251,0)))</f>
        <v>0.64790419161676649</v>
      </c>
      <c r="AD252" s="203" t="str">
        <f>IF($B$249="Лікар-педіатр","x",IF($B$249="Лікар-терапевт",AD251/AG251,IF($B$249="Лікар загальної практики - сімейний лікар",AD251/AG251,0)))</f>
        <v>x</v>
      </c>
      <c r="AE252" s="203" t="str">
        <f>IF($B$249="Лікар-педіатр","x",IF($B$249="Лікар-терапевт",AE251/AG251,IF($B$249="Лікар загальної практики - сімейний лікар",AE251/AG251,0)))</f>
        <v>x</v>
      </c>
      <c r="AF252" s="203" t="str">
        <f>IF($B$249="Лікар-педіатр","x",IF($B$249="Лікар-терапевт",AF251/AG251,IF($B$249="Лікар загальної практики - сімейний лікар",AF251/AG251,0)))</f>
        <v>x</v>
      </c>
      <c r="AG252" s="203">
        <f t="shared" si="46"/>
        <v>1</v>
      </c>
      <c r="AH252" s="966"/>
      <c r="AI252" s="201"/>
      <c r="AJ252" s="945"/>
      <c r="AK252" s="960"/>
      <c r="AL252" s="960"/>
      <c r="AM252" s="930"/>
      <c r="AN252" s="948"/>
      <c r="AO252" s="948"/>
      <c r="AP252" s="948"/>
      <c r="AQ252" s="948"/>
      <c r="AR252" s="963"/>
    </row>
    <row r="253" spans="1:44" s="50" customFormat="1" ht="45" customHeight="1" thickBot="1">
      <c r="A253" s="197"/>
      <c r="B253" s="969"/>
      <c r="C253" s="974"/>
      <c r="D253" s="971"/>
      <c r="E253" s="972"/>
      <c r="F253" s="204" t="s">
        <v>662</v>
      </c>
      <c r="G253" s="205">
        <f>IF($B$249="Лікар загальної практики - сімейний лікар",AVERAGE(G249:G251),IF($B$249="Лікар-педіатр",AVERAGE(G249:G251),IF($B$249="Лікар-терапевт","х",0)))</f>
        <v>294</v>
      </c>
      <c r="H253" s="205">
        <f>IF($B$249="Лікар загальної практики - сімейний лікар",AVERAGE(H249:H251),IF($B$249="Лікар-педіатр",AVERAGE(H249:H251),IF($B$249="Лікар-терапевт","х",0)))</f>
        <v>541</v>
      </c>
      <c r="I253" s="205" t="str">
        <f>IF($B$249="Лікар загальної практики - сімейний лікар",AVERAGE(I249:I251),IF($B$249="Лікар-педіатр","x",IF($B$249="Лікар-терапевт",AVERAGE(I249:I251),0)))</f>
        <v>x</v>
      </c>
      <c r="J253" s="205" t="str">
        <f>IF($B$249="Лікар загальної практики - сімейний лікар",AVERAGE(J249:J251),IF($B$249="Лікар-педіатр","x",IF($B$249="Лікар-терапевт",AVERAGE(J249:J251),0)))</f>
        <v>x</v>
      </c>
      <c r="K253" s="205" t="str">
        <f>IF($B$249="Лікар загальної практики - сімейний лікар",AVERAGE(K249:K251),IF($B$249="Лікар-педіатр","x",IF($B$249="Лікар-терапевт",AVERAGE(K249:K251),0)))</f>
        <v>x</v>
      </c>
      <c r="L253" s="206">
        <f t="shared" si="43"/>
        <v>835</v>
      </c>
      <c r="M253" s="973"/>
      <c r="N253" s="205">
        <f>IF($B$249="Лікар загальної практики - сімейний лікар",AVERAGE(N249:N251),IF($B$249="Лікар-педіатр",AVERAGE(N249:N251),IF($B$249="Лікар-терапевт","х",0)))</f>
        <v>294</v>
      </c>
      <c r="O253" s="205">
        <f>IF($B$249="Лікар загальної практики - сімейний лікар",AVERAGE(O249:O251),IF($B$249="Лікар-педіатр",AVERAGE(O249:O251),IF($B$249="Лікар-терапевт","х",0)))</f>
        <v>541</v>
      </c>
      <c r="P253" s="205" t="str">
        <f>IF($B$249="Лікар загальної практики - сімейний лікар",AVERAGE(P249:P251),IF($B$249="Лікар-педіатр","x",IF($B$249="Лікар-терапевт",AVERAGE(P249:P251),0)))</f>
        <v>x</v>
      </c>
      <c r="Q253" s="205" t="str">
        <f>IF($B$249="Лікар загальної практики - сімейний лікар",AVERAGE(Q249:Q251),IF($B$249="Лікар-педіатр","x",IF($B$249="Лікар-терапевт",AVERAGE(Q249:Q251),0)))</f>
        <v>x</v>
      </c>
      <c r="R253" s="205" t="str">
        <f>IF($B$249="Лікар загальної практики - сімейний лікар",AVERAGE(R249:R251),IF($B$249="Лікар-педіатр","x",IF($B$249="Лікар-терапевт",AVERAGE(R249:R251),0)))</f>
        <v>x</v>
      </c>
      <c r="S253" s="206">
        <f t="shared" si="44"/>
        <v>835</v>
      </c>
      <c r="T253" s="973"/>
      <c r="U253" s="205">
        <f>IF($B$249="Лікар загальної практики - сімейний лікар",AVERAGE(U249:U251),IF($B$249="Лікар-педіатр",AVERAGE(U249:U251),IF($B$249="Лікар-терапевт","х",0)))</f>
        <v>294</v>
      </c>
      <c r="V253" s="205">
        <f>IF($B$249="Лікар загальної практики - сімейний лікар",AVERAGE(V249:V251),IF($B$249="Лікар-педіатр",AVERAGE(V249:V251),IF($B$249="Лікар-терапевт","х",0)))</f>
        <v>541</v>
      </c>
      <c r="W253" s="205" t="str">
        <f>IF($B$249="Лікар загальної практики - сімейний лікар",AVERAGE(W249:W251),IF($B$249="Лікар-педіатр","x",IF($B$249="Лікар-терапевт",AVERAGE(W249:W251),0)))</f>
        <v>x</v>
      </c>
      <c r="X253" s="205" t="str">
        <f>IF($B$249="Лікар загальної практики - сімейний лікар",AVERAGE(X249:X251),IF($B$249="Лікар-педіатр","x",IF($B$249="Лікар-терапевт",AVERAGE(X249:X251),0)))</f>
        <v>x</v>
      </c>
      <c r="Y253" s="205" t="str">
        <f>IF($B$249="Лікар загальної практики - сімейний лікар",AVERAGE(Y249:Y251),IF($B$249="Лікар-педіатр","x",IF($B$249="Лікар-терапевт",AVERAGE(Y249:Y251),0)))</f>
        <v>x</v>
      </c>
      <c r="Z253" s="206">
        <f t="shared" si="45"/>
        <v>835</v>
      </c>
      <c r="AA253" s="973"/>
      <c r="AB253" s="205">
        <f>IF($B$249="Лікар загальної практики - сімейний лікар",AVERAGE(AB249:AB251),IF($B$249="Лікар-педіатр",AVERAGE(AB249:AB251),IF($B$249="Лікар-терапевт","х",0)))</f>
        <v>294</v>
      </c>
      <c r="AC253" s="205">
        <f>IF($B$249="Лікар загальної практики - сімейний лікар",AVERAGE(AC249:AC251),IF($B$249="Лікар-педіатр",AVERAGE(AC249:AC251),IF($B$249="Лікар-терапевт","х",0)))</f>
        <v>541</v>
      </c>
      <c r="AD253" s="205" t="str">
        <f>IF($B$249="Лікар загальної практики - сімейний лікар",AVERAGE(AD249:AD251),IF($B$249="Лікар-педіатр","x",IF($B$249="Лікар-терапевт",AVERAGE(AD249:AD251),0)))</f>
        <v>x</v>
      </c>
      <c r="AE253" s="205" t="str">
        <f>IF($B$249="Лікар загальної практики - сімейний лікар",AVERAGE(AE249:AE251),IF($B$249="Лікар-педіатр","x",IF($B$249="Лікар-терапевт",AVERAGE(AE249:AE251),0)))</f>
        <v>x</v>
      </c>
      <c r="AF253" s="205" t="str">
        <f>IF($B$249="Лікар загальної практики - сімейний лікар",AVERAGE(AF249:AF251),IF($B$249="Лікар-педіатр","x",IF($B$249="Лікар-терапевт",AVERAGE(AF249:AF251),0)))</f>
        <v>x</v>
      </c>
      <c r="AG253" s="206">
        <f t="shared" si="46"/>
        <v>835</v>
      </c>
      <c r="AH253" s="967"/>
      <c r="AI253" s="201"/>
      <c r="AJ253" s="945"/>
      <c r="AK253" s="960"/>
      <c r="AL253" s="960"/>
      <c r="AM253" s="931"/>
      <c r="AN253" s="949"/>
      <c r="AO253" s="949"/>
      <c r="AP253" s="949"/>
      <c r="AQ253" s="949"/>
      <c r="AR253" s="964"/>
    </row>
    <row r="254" spans="1:44" s="50" customFormat="1" ht="40.5">
      <c r="A254" s="197"/>
      <c r="B254" s="969"/>
      <c r="C254" s="974"/>
      <c r="D254" s="971"/>
      <c r="E254" s="971"/>
      <c r="F254" s="237" t="str">
        <f ca="1">IF(B249="Лікар-педіатр",Законод!$C$17,IF(B249="Лікар загальної практики - сімейний лікар",Законод!$C$21,IF(B249="Лікар-терапевт",Законод!$C$25,"х")))</f>
        <v>ліміт (до 900)</v>
      </c>
      <c r="G254" s="208">
        <f ca="1">IF($B$249="Лікар загальної практики - сімейний лікар",IF(L253&lt;=Законод!$C$22,G253,Законод!$C$22*'01_Доходи'!G252),IF($B$249="Лікар-педіатр",IF(L253&lt;=Законод!$C$18,G253,Законод!$C$18*'01_Доходи'!G252),IF($B$249="Лікар-терапевт","x",0)))</f>
        <v>294</v>
      </c>
      <c r="H254" s="208">
        <f ca="1">IF($B$249="Лікар загальної практики - сімейний лікар",IF(L253&lt;=Законод!$C$22,H253,Законод!$C$22*'01_Доходи'!H252),IF($B$249="Лікар-педіатр",IF(L253&lt;=Законод!$C$18,H253,Законод!$C$18*'01_Доходи'!H252),IF($B$249="Лікар-терапевт","x",0)))</f>
        <v>541</v>
      </c>
      <c r="I254" s="208" t="str">
        <f ca="1">IF($B$249="Лікар загальної практики - сімейний лікар",IF(L253&lt;=Законод!$C$22,I253,Законод!$C$22*'01_Доходи'!I252),IF($B$249="Лікар-педіатр","x",IF($B$249="Лікар-терапевт",IF(L253&lt;=Законод!$C$26,I253,Законод!$C$26*'01_Доходи'!I252),0)))</f>
        <v>x</v>
      </c>
      <c r="J254" s="208" t="str">
        <f ca="1">IF($B$249="Лікар загальної практики - сімейний лікар",IF(L253&lt;=Законод!$C$22,J253,Законод!$C$22*'01_Доходи'!J252),IF($B$249="Лікар-педіатр","x",IF($B$249="Лікар-терапевт",IF(L253&lt;=Законод!$C$26,J253,Законод!$C$26*'01_Доходи'!J252),0)))</f>
        <v>x</v>
      </c>
      <c r="K254" s="208" t="str">
        <f ca="1">IF($B$249="Лікар загальної практики - сімейний лікар",IF(L253&lt;=Законод!$C$22,K253,Законод!$C$22*'01_Доходи'!K252),IF($B$249="Лікар-педіатр","x",IF($B$249="Лікар-терапевт",IF(L253&lt;=Законод!$C$26,K253,Законод!$C$26*'01_Доходи'!K252),0)))</f>
        <v>x</v>
      </c>
      <c r="L254" s="209">
        <f t="shared" si="43"/>
        <v>835</v>
      </c>
      <c r="M254" s="966"/>
      <c r="N254" s="208">
        <f ca="1">IF($B$249="Лікар загальної практики - сімейний лікар",IF(S253&lt;=Законод!$C$22,N253,Законод!$C$22*'01_Доходи'!N252),IF($B$249="Лікар-педіатр",IF(S253&lt;=Законод!$C$18,N253,Законод!$C$18*'01_Доходи'!N252),IF($B$249="Лікар-терапевт","x",0)))</f>
        <v>294</v>
      </c>
      <c r="O254" s="208">
        <f ca="1">IF($B$249="Лікар загальної практики - сімейний лікар",IF(S253&lt;=Законод!$C$22,O253,Законод!$C$22*'01_Доходи'!O252),IF($B$249="Лікар-педіатр",IF(S253&lt;=Законод!$C$18,O253,Законод!$C$18*'01_Доходи'!O252),IF($B$249="Лікар-терапевт","x",0)))</f>
        <v>541</v>
      </c>
      <c r="P254" s="208" t="str">
        <f ca="1">IF($B$249="Лікар загальної практики - сімейний лікар",IF(S253&lt;=Законод!$C$22,P253,Законод!$C$22*'01_Доходи'!P252),IF($B$249="Лікар-педіатр","x",IF($B$249="Лікар-терапевт",IF(S253&lt;=Законод!$C$26,P253,Законод!$C$26*'01_Доходи'!P252),0)))</f>
        <v>x</v>
      </c>
      <c r="Q254" s="208" t="str">
        <f ca="1">IF($B$249="Лікар загальної практики - сімейний лікар",IF(S253&lt;=Законод!$C$22,Q253,Законод!$C$22*'01_Доходи'!Q252),IF($B$249="Лікар-педіатр","x",IF($B$249="Лікар-терапевт",IF(S253&lt;=Законод!$C$26,Q253,Законод!$C$26*'01_Доходи'!Q252),0)))</f>
        <v>x</v>
      </c>
      <c r="R254" s="208" t="str">
        <f ca="1">IF($B$249="Лікар загальної практики - сімейний лікар",IF(S253&lt;=Законод!$C$22,R253,Законод!$C$22*'01_Доходи'!R252),IF($B$249="Лікар-педіатр","x",IF($B$249="Лікар-терапевт",IF(S253&lt;=Законод!$C$26,R253,Законод!$C$26*'01_Доходи'!R252),0)))</f>
        <v>x</v>
      </c>
      <c r="S254" s="209">
        <f t="shared" si="44"/>
        <v>835</v>
      </c>
      <c r="T254" s="966"/>
      <c r="U254" s="208">
        <f ca="1">IF($B$249="Лікар загальної практики - сімейний лікар",IF(Z253&lt;=Законод!$C$22,U253,Законод!$C$22*'01_Доходи'!U252),IF($B$249="Лікар-педіатр",IF(Z253&lt;=Законод!$C$18,U253,Законод!$C$18*'01_Доходи'!U252),IF($B$249="Лікар-терапевт","x",0)))</f>
        <v>294</v>
      </c>
      <c r="V254" s="208">
        <f ca="1">IF($B$249="Лікар загальної практики - сімейний лікар",IF(Z253&lt;=Законод!$C$22,V253,Законод!$C$22*'01_Доходи'!V252),IF($B$249="Лікар-педіатр",IF(Z253&lt;=Законод!$C$18,V253,Законод!$C$18*'01_Доходи'!V252),IF($B$249="Лікар-терапевт","x",0)))</f>
        <v>541</v>
      </c>
      <c r="W254" s="208" t="str">
        <f ca="1">IF($B$249="Лікар загальної практики - сімейний лікар",IF(Z253&lt;=Законод!$C$22,W253,Законод!$C$22*'01_Доходи'!W252),IF($B$249="Лікар-педіатр","x",IF($B$249="Лікар-терапевт",IF(Z253&lt;=Законод!$C$26,W253,Законод!$C$26*'01_Доходи'!W252),0)))</f>
        <v>x</v>
      </c>
      <c r="X254" s="208" t="str">
        <f ca="1">IF($B$249="Лікар загальної практики - сімейний лікар",IF(Z253&lt;=Законод!$C$22,X253,Законод!$C$22*'01_Доходи'!X252),IF($B$249="Лікар-педіатр","x",IF($B$249="Лікар-терапевт",IF(Z253&lt;=Законод!$C$26,X253,Законод!$C$26*'01_Доходи'!X252),0)))</f>
        <v>x</v>
      </c>
      <c r="Y254" s="208" t="str">
        <f ca="1">IF($B$249="Лікар загальної практики - сімейний лікар",IF(Z253&lt;=Законод!$C$22,Y253,Законод!$C$22*'01_Доходи'!Y252),IF($B$249="Лікар-педіатр","x",IF($B$249="Лікар-терапевт",IF(Z253&lt;=Законод!$C$26,Y253,Законод!$C$26*'01_Доходи'!Y252),0)))</f>
        <v>x</v>
      </c>
      <c r="Z254" s="209">
        <f t="shared" si="45"/>
        <v>835</v>
      </c>
      <c r="AA254" s="966"/>
      <c r="AB254" s="208">
        <f ca="1">IF($B$249="Лікар загальної практики - сімейний лікар",IF(AG253&lt;=Законод!$C$22,AB253,Законод!$C$22*'01_Доходи'!AB252),IF($B$249="Лікар-педіатр",IF(AG253&lt;=Законод!$C$18,AB253,Законод!$C$18*'01_Доходи'!AB252),IF($B$249="Лікар-терапевт","x",0)))</f>
        <v>294</v>
      </c>
      <c r="AC254" s="208">
        <f ca="1">IF($B$249="Лікар загальної практики - сімейний лікар",IF(AG253&lt;=Законод!$C$22,AC253,Законод!$C$22*'01_Доходи'!AC252),IF($B$249="Лікар-педіатр",IF(AG253&lt;=Законод!$C$18,AC253,Законод!$C$18*'01_Доходи'!AC252),IF($B$249="Лікар-терапевт","x",0)))</f>
        <v>541</v>
      </c>
      <c r="AD254" s="208" t="str">
        <f ca="1">IF($B$249="Лікар загальної практики - сімейний лікар",IF(AG253&lt;=Законод!$C$22,AD253,Законод!$C$22*'01_Доходи'!AD252),IF($B$249="Лікар-педіатр","x",IF($B$249="Лікар-терапевт",IF(AG253&lt;=Законод!$C$26,AD253,Законод!$C$26*'01_Доходи'!AD252),0)))</f>
        <v>x</v>
      </c>
      <c r="AE254" s="208" t="str">
        <f ca="1">IF($B$249="Лікар загальної практики - сімейний лікар",IF(AG253&lt;=Законод!$C$22,AE253,Законод!$C$22*'01_Доходи'!AE252),IF($B$249="Лікар-педіатр","x",IF($B$249="Лікар-терапевт",IF(AG253&lt;=Законод!$C$26,AE253,Законод!$C$26*'01_Доходи'!AE252),0)))</f>
        <v>x</v>
      </c>
      <c r="AF254" s="208" t="str">
        <f ca="1">IF($B$249="Лікар загальної практики - сімейний лікар",IF(AG253&lt;=Законод!$C$22,AF253,Законод!$C$22*'01_Доходи'!AF252),IF($B$249="Лікар-педіатр","x",IF($B$249="Лікар-терапевт",IF(AG253&lt;=Законод!$C$26,AF253,Законод!$C$26*'01_Доходи'!AF252),0)))</f>
        <v>x</v>
      </c>
      <c r="AG254" s="209">
        <f t="shared" si="46"/>
        <v>835</v>
      </c>
      <c r="AH254" s="966"/>
      <c r="AI254" s="201"/>
      <c r="AJ254" s="945"/>
      <c r="AK254" s="960"/>
      <c r="AL254" s="960"/>
      <c r="AM254" s="348" t="s">
        <v>451</v>
      </c>
      <c r="AN254" s="210">
        <f ca="1">IF(B249="Лікар загальної практики - сімейний лікар",G254*Законод!$C$11+'01_Доходи'!H254*Законод!$D$11+'01_Доходи'!I254*Законод!$E$11+'01_Доходи'!J254*Законод!$F$11+'01_Доходи'!K254*Законод!$G$11,IF(B249="Лікар-педіатр",G254*Законод!$C$11+'01_Доходи'!H254*Законод!$D$11,IF(B249="Лікар-терапевт",'01_Доходи'!I254*Законод!$E$11+'01_Доходи'!J254*Законод!$F$11+'01_Доходи'!K254*Законод!$G$11,0)))</f>
        <v>286794.10372499999</v>
      </c>
      <c r="AO254" s="210">
        <f ca="1">IF(B249="Лікар загальної практики - сімейний лікар",N254*Законод!$C$11+'01_Доходи'!O254*Законод!$D$11+'01_Доходи'!P254*Законод!$E$11+'01_Доходи'!Q254*Законод!$F$11+'01_Доходи'!R254*Законод!$G$11,IF(B249="Лікар-педіатр",N254*Законод!$C$11+'01_Доходи'!O254*Законод!$D$11,IF(B249="Лікар-терапевт",'01_Доходи'!P254*Законод!$E$11+'01_Доходи'!Q254*Законод!$F$11+'01_Доходи'!R254*Законод!$G$11,0)))</f>
        <v>286794.10372499999</v>
      </c>
      <c r="AP254" s="210">
        <f ca="1">IF(B249="Лікар загальної практики - сімейний лікар",U254*Законод!$C$11+'01_Доходи'!V254*Законод!$D$11+'01_Доходи'!W254*Законод!$E$11+'01_Доходи'!X254*Законод!$F$11+'01_Доходи'!Y254*Законод!$G$11,IF(B249="Лікар-педіатр",U254*Законод!$C$11+'01_Доходи'!V254*Законод!$D$11,IF(B249="Лікар-терапевт",'01_Доходи'!W254*Законод!$E$11+'01_Доходи'!X254*Законод!$F$11+'01_Доходи'!Y254*Законод!$G$11,0)))</f>
        <v>286794.10372499999</v>
      </c>
      <c r="AQ254" s="210">
        <f ca="1">IF(B249="Лікар загальної практики - сімейний лікар",AB254*Законод!$C$11+'01_Доходи'!AC254*Законод!$D$11+'01_Доходи'!AD254*Законод!$E$11+'01_Доходи'!AE254*Законод!$F$11+'01_Доходи'!AF254*Законод!$G$11,IF(B249="Лікар-педіатр",AB254*Законод!$C$11+'01_Доходи'!AC254*Законод!$D$11,IF(B249="Лікар-терапевт",'01_Доходи'!AD254*Законод!$E$11+'01_Доходи'!AE254*Законод!$F$11+'01_Доходи'!AF254*Законод!$G$11,0)))</f>
        <v>286794.10372499999</v>
      </c>
      <c r="AR254" s="211">
        <f t="shared" ref="AR254:AR260" si="47">SUM(AN254:AQ254)</f>
        <v>1147176.4149</v>
      </c>
    </row>
    <row r="255" spans="1:44" s="50" customFormat="1" ht="31.9" customHeight="1">
      <c r="A255" s="197"/>
      <c r="B255" s="969"/>
      <c r="C255" s="974"/>
      <c r="D255" s="971"/>
      <c r="E255" s="971"/>
      <c r="F255" s="238" t="str">
        <f ca="1">IF(B249="Лікар-педіатр",Законод!$E$17,IF(B249="Лікар загальної практики - сімейний лікар",Законод!$E$21,IF(B249="Лікар-терапевт",Законод!$E$25,"х")))</f>
        <v>понад ліміт (901-990)</v>
      </c>
      <c r="G255" s="965" t="s">
        <v>423</v>
      </c>
      <c r="H255" s="965"/>
      <c r="I255" s="965"/>
      <c r="J255" s="965"/>
      <c r="K255" s="965"/>
      <c r="L255" s="196">
        <f ca="1">IF($B$249="Лікар загальної практики - сімейний лікар",IF(L253&lt;Законод!$C$22,0,(IF(AND(L253&gt;=Законод!$E$22,L253&lt;=Законод!$E$23),L253-Законод!$C$22,IF('01_Доходи'!L253&gt;=Законод!$F$22,Законод!$E$24,0)))),IF($B$249="Лікар-педіатр",IF(L253&lt;Законод!$C$18,0,(IF(AND(L253&gt;=Законод!$E$18,L253&lt;=Законод!$E$19),L253-Законод!$C$18,IF('01_Доходи'!L253&gt;=Законод!$F$18,Законод!$E$20,0)))),IF($B$249="Лікар-терапевт",IF(L253&lt;Законод!$C$26,0,(IF(AND(L253&gt;=Законод!$E$26,L253&lt;=Законод!$E$27),L253-Законод!$C$26,IF('01_Доходи'!L253&gt;=Законод!$F$26,Законод!$E$28,0)))),0)))</f>
        <v>0</v>
      </c>
      <c r="M255" s="966"/>
      <c r="N255" s="965" t="s">
        <v>423</v>
      </c>
      <c r="O255" s="965"/>
      <c r="P255" s="965"/>
      <c r="Q255" s="965"/>
      <c r="R255" s="965"/>
      <c r="S255" s="196">
        <f ca="1">IF($B$249="Лікар загальної практики - сімейний лікар",IF(S253&lt;Законод!$C$22,0,(IF(AND(S253&gt;=Законод!$E$22,S253&lt;=Законод!$E$23),S253-Законод!$C$22,IF('01_Доходи'!S253&gt;=Законод!$F$22,Законод!$E$24,0)))),IF($B$249="Лікар-педіатр",IF(S253&lt;Законод!$C$18,0,(IF(AND(S253&gt;=Законод!$E$18,S253&lt;=Законод!$E$19),S253-Законод!$C$18,IF('01_Доходи'!S253&gt;=Законод!$F$18,Законод!$E$20,0)))),IF($B$249="Лікар-терапевт",IF(S253&lt;Законод!$C$26,0,(IF(AND(S253&gt;=Законод!$E$26,S253&lt;=Законод!$E$27),S253-Законод!$C$26,IF('01_Доходи'!S253&gt;=Законод!$F$26,Законод!$E$28,0)))),0)))</f>
        <v>0</v>
      </c>
      <c r="T255" s="966"/>
      <c r="U255" s="965" t="s">
        <v>423</v>
      </c>
      <c r="V255" s="965"/>
      <c r="W255" s="965"/>
      <c r="X255" s="965"/>
      <c r="Y255" s="965"/>
      <c r="Z255" s="196">
        <f ca="1">IF($B$249="Лікар загальної практики - сімейний лікар",IF(Z253&lt;Законод!$C$22,0,(IF(AND(Z253&gt;=Законод!$E$22,Z253&lt;=Законод!$E$23),Z253-Законод!$C$22,IF('01_Доходи'!Z253&gt;=Законод!$F$22,Законод!$E$24,0)))),IF($B$249="Лікар-педіатр",IF(Z253&lt;Законод!$C$18,0,(IF(AND(Z253&gt;=Законод!$E$18,Z253&lt;=Законод!$E$19),Z253-Законод!$C$18,IF('01_Доходи'!Z253&gt;=Законод!$F$18,Законод!$E$20,0)))),IF($B$249="Лікар-терапевт",IF(Z253&lt;Законод!$C$26,0,(IF(AND(Z253&gt;=Законод!$E$26,Z253&lt;=Законод!$E$27),Z253-Законод!$C$26,IF('01_Доходи'!Z253&gt;=Законод!$F$26,Законод!$E$28,0)))),0)))</f>
        <v>0</v>
      </c>
      <c r="AA255" s="966"/>
      <c r="AB255" s="965" t="s">
        <v>423</v>
      </c>
      <c r="AC255" s="965"/>
      <c r="AD255" s="965"/>
      <c r="AE255" s="965"/>
      <c r="AF255" s="965"/>
      <c r="AG255" s="196">
        <f ca="1">IF($B$249="Лікар загальної практики - сімейний лікар",IF(AG253&lt;Законод!$C$22,0,(IF(AND(AG253&gt;=Законод!$E$22,AG253&lt;=Законод!$E$23),AG253-Законод!$C$22,IF('01_Доходи'!AG253&gt;=Законод!$F$22,Законод!$E$24,0)))),IF($B$249="Лікар-педіатр",IF(AG253&lt;Законод!$C$18,0,(IF(AND(AG253&gt;=Законод!$E$18,AG253&lt;=Законод!$E$19),AG253-Законод!$C$18,IF('01_Доходи'!AG253&gt;=Законод!$F$18,Законод!$E$20,0)))),IF($B$249="Лікар-терапевт",IF(AG253&lt;Законод!$C$26,0,(IF(AND(AG253&gt;=Законод!$E$26,AG253&lt;=Законод!$E$27),AG253-Законод!$C$26,IF('01_Доходи'!AG253&gt;=Законод!$F$26,Законод!$E$28,0)))),0)))</f>
        <v>0</v>
      </c>
      <c r="AH255" s="966"/>
      <c r="AI255" s="201"/>
      <c r="AJ255" s="945"/>
      <c r="AK255" s="960"/>
      <c r="AL255" s="960"/>
      <c r="AM255" s="926" t="s">
        <v>452</v>
      </c>
      <c r="AN255" s="210">
        <f ca="1">IF(B249="Лікар загальної практики - сімейний лікар",L255*Законод!$C$9/4*Законод!$E$16,IF(B249="Лікар-педіатр",L255*Законод!$C$9/4*Законод!$E$16,IF(B249="Лікар-терапевт",L255*Законод!$C$9/4*Законод!$E$16,0)))</f>
        <v>0</v>
      </c>
      <c r="AO255" s="210">
        <f ca="1">IF(B249="Лікар загальної практики - сімейний лікар",S255*Законод!$C$9/4*Законод!$E$16,IF(B249="Лікар-педіатр",S255*Законод!$C$9/4*Законод!$E$16,IF(B249="Лікар-терапевт",S255*Законод!$C$9/4*Законод!$E$16,0)))</f>
        <v>0</v>
      </c>
      <c r="AP255" s="210">
        <f ca="1">IF(B249="Лікар загальної практики - сімейний лікар",Z255*Законод!$C$9/4*Законод!$E$16,IF(B249="Лікар-педіатр",Z255*Законод!$C$9/4*Законод!$E$16,IF(B249="Лікар-терапевт",Z255*Законод!$C$9/4*Законод!$E$16,0)))</f>
        <v>0</v>
      </c>
      <c r="AQ255" s="210">
        <f ca="1">IF(B249="Лікар загальної практики - сімейний лікар",AG255*Законод!$C$9/4*Законод!$E$16,IF(B249="Лікар-педіатр",AG255*Законод!$C$9/4*Законод!$E$16,IF(B249="Лікар-терапевт",AG255*Законод!$C$9/4*Законод!$E$16,0)))</f>
        <v>0</v>
      </c>
      <c r="AR255" s="211">
        <f t="shared" si="47"/>
        <v>0</v>
      </c>
    </row>
    <row r="256" spans="1:44" s="50" customFormat="1" ht="31.9" customHeight="1">
      <c r="A256" s="197"/>
      <c r="B256" s="969"/>
      <c r="C256" s="974"/>
      <c r="D256" s="971"/>
      <c r="E256" s="971"/>
      <c r="F256" s="238" t="str">
        <f ca="1">IF(B249="Лікар-педіатр",Законод!$F$17,IF(B249="Лікар загальної практики - сімейний лікар",Законод!$F$21,IF(B249="Лікар-терапевт",Законод!$F$25,"х")))</f>
        <v>понад ліміт (991-1080)</v>
      </c>
      <c r="G256" s="965" t="s">
        <v>423</v>
      </c>
      <c r="H256" s="965"/>
      <c r="I256" s="965"/>
      <c r="J256" s="965"/>
      <c r="K256" s="965"/>
      <c r="L256" s="196">
        <f ca="1">IF($B$249="Лікар загальної практики - сімейний лікар",IF(L253&lt;Законод!$C$22,0,(IF(AND(L253&gt;=Законод!$F$22,L253&lt;=Законод!$F$23),L253-Законод!$E$23,IF('01_Доходи'!L253&gt;=Законод!$G$22,Законод!$F$24,0)))),IF($B$249="Лікар-педіатр",IF(L253&lt;Законод!$C$18,0,(IF(AND(L253&gt;=Законод!$F$18,L253&lt;=Законод!$F$19),L253-Законод!$E$19,IF('01_Доходи'!L253&gt;=Законод!$G$18,Законод!$F$20,0)))),IF($B$249="Лікар-терапевт",IF(L253&lt;Законод!$C$26,0,(IF(AND(L253&gt;=Законод!$F$26,L253&lt;=Законод!$F$27),L253-Законод!$E$27,IF('01_Доходи'!L253&gt;=Законод!$G$26,Законод!$F$28,0)))),0)))</f>
        <v>0</v>
      </c>
      <c r="M256" s="966"/>
      <c r="N256" s="965" t="s">
        <v>423</v>
      </c>
      <c r="O256" s="965"/>
      <c r="P256" s="965"/>
      <c r="Q256" s="965"/>
      <c r="R256" s="965"/>
      <c r="S256" s="196">
        <f ca="1">IF($B$249="Лікар загальної практики - сімейний лікар",IF(S253&lt;Законод!$C$22,0,(IF(AND(S253&gt;=Законод!$F$22,S253&lt;=Законод!$F$23),S253-Законод!$E$23,IF('01_Доходи'!S253&gt;=Законод!$G$22,Законод!$F$24,0)))),IF($B$249="Лікар-педіатр",IF(S253&lt;Законод!$C$18,0,(IF(AND(S253&gt;=Законод!$F$18,S253&lt;=Законод!$F$19),S253-Законод!$E$19,IF('01_Доходи'!S253&gt;=Законод!$G$18,Законод!$F$20,0)))),IF($B$249="Лікар-терапевт",IF(S253&lt;Законод!$C$26,0,(IF(AND(S253&gt;=Законод!$F$26,S253&lt;=Законод!$F$27),S253-Законод!$E$27,IF('01_Доходи'!S253&gt;=Законод!$G$26,Законод!$F$28,0)))),0)))</f>
        <v>0</v>
      </c>
      <c r="T256" s="966"/>
      <c r="U256" s="965" t="s">
        <v>423</v>
      </c>
      <c r="V256" s="965"/>
      <c r="W256" s="965"/>
      <c r="X256" s="965"/>
      <c r="Y256" s="965"/>
      <c r="Z256" s="196">
        <f ca="1">IF($B$249="Лікар загальної практики - сімейний лікар",IF(Z253&lt;Законод!$C$22,0,(IF(AND(Z253&gt;=Законод!$F$22,Z253&lt;=Законод!$F$23),Z253-Законод!$E$23,IF('01_Доходи'!Z253&gt;=Законод!$G$22,Законод!$F$24,0)))),IF($B$249="Лікар-педіатр",IF(Z253&lt;Законод!$C$18,0,(IF(AND(Z253&gt;=Законод!$F$18,Z253&lt;=Законод!$F$19),Z253-Законод!$E$19,IF('01_Доходи'!Z253&gt;=Законод!$G$18,Законод!$F$20,0)))),IF($B$249="Лікар-терапевт",IF(Z253&lt;Законод!$C$26,0,(IF(AND(Z253&gt;=Законод!$F$26,Z253&lt;=Законод!$F$27),Z253-Законод!$E$27,IF('01_Доходи'!Z253&gt;=Законод!$G$26,Законод!$F$28,0)))),0)))</f>
        <v>0</v>
      </c>
      <c r="AA256" s="966"/>
      <c r="AB256" s="965" t="s">
        <v>423</v>
      </c>
      <c r="AC256" s="965"/>
      <c r="AD256" s="965"/>
      <c r="AE256" s="965"/>
      <c r="AF256" s="965"/>
      <c r="AG256" s="196">
        <f ca="1">IF($B$249="Лікар загальної практики - сімейний лікар",IF(AG253&lt;Законод!$C$22,0,(IF(AND(AG253&gt;=Законод!$F$22,AG253&lt;=Законод!$F$23),AG253-Законод!$E$23,IF('01_Доходи'!AG253&gt;=Законод!$G$22,Законод!$F$24,0)))),IF($B$249="Лікар-педіатр",IF(AG253&lt;Законод!$C$18,0,(IF(AND(AG253&gt;=Законод!$F$18,AG253&lt;=Законод!$F$19),AG253-Законод!$E$19,IF('01_Доходи'!AG253&gt;=Законод!$G$18,Законод!$F$20,0)))),IF($B$249="Лікар-терапевт",IF(AG253&lt;Законод!$C$26,0,(IF(AND(AG253&gt;=Законод!$F$26,AG253&lt;=Законод!$F$27),AG253-Законод!$E$27,IF('01_Доходи'!AG253&gt;=Законод!$G$26,Законод!$F$28,0)))),0)))</f>
        <v>0</v>
      </c>
      <c r="AH256" s="966"/>
      <c r="AI256" s="201"/>
      <c r="AJ256" s="945"/>
      <c r="AK256" s="960"/>
      <c r="AL256" s="960"/>
      <c r="AM256" s="927"/>
      <c r="AN256" s="210">
        <f ca="1">IF(B249="Лікар загальної практики - сімейний лікар",L256*Законод!$C$9/4*Законод!$F$16,IF(B249="Лікар-педіатр",L256*Законод!$C$9/4*Законод!$F$16,IF(B249="Лікар-терапевт",L256*Законод!$C$9/4*Законод!$F$16,0)))</f>
        <v>0</v>
      </c>
      <c r="AO256" s="210">
        <f ca="1">IF(B249="Лікар загальної практики - сімейний лікар",S256*Законод!$C$9/4*Законод!$F$16,IF(B249="Лікар-педіатр",S256*Законод!$C$9/4*Законод!$F$16,IF(B249="Лікар-терапевт",S256*Законод!$C$9/4*Законод!$F$16,0)))</f>
        <v>0</v>
      </c>
      <c r="AP256" s="210">
        <f ca="1">IF(B249="Лікар загальної практики - сімейний лікар",Z256*Законод!$C$9/4*Законод!$F$16,IF(B249="Лікар-педіатр",Z256*Законод!$C$9/4*Законод!$F$16,IF(B249="Лікар-терапевт",Z256*Законод!$C$9/4*Законод!$F$16,0)))</f>
        <v>0</v>
      </c>
      <c r="AQ256" s="210">
        <f ca="1">IF(B249="Лікар загальної практики - сімейний лікар",AG256*Законод!$C$9/4*Законод!$F$16,IF(B249="Лікар-педіатр",AG256*Законод!$C$9/4*Законод!$F$16,IF(B249="Лікар-терапевт",AG256*Законод!$C$9/4*Законод!$F$16,0)))</f>
        <v>0</v>
      </c>
      <c r="AR256" s="211">
        <f t="shared" si="47"/>
        <v>0</v>
      </c>
    </row>
    <row r="257" spans="1:44" s="50" customFormat="1" ht="31.9" customHeight="1">
      <c r="A257" s="197"/>
      <c r="B257" s="969"/>
      <c r="C257" s="974"/>
      <c r="D257" s="971"/>
      <c r="E257" s="971"/>
      <c r="F257" s="238" t="str">
        <f ca="1">IF(B249="Лікар-педіатр",Законод!$G$17,IF(B249="Лікар загальної практики - сімейний лікар",Законод!$G$21,IF(B249="Лікар-терапевт",Законод!$G$25,"х")))</f>
        <v>понад ліміт (1081-1170)</v>
      </c>
      <c r="G257" s="965" t="s">
        <v>423</v>
      </c>
      <c r="H257" s="965"/>
      <c r="I257" s="965"/>
      <c r="J257" s="965"/>
      <c r="K257" s="965"/>
      <c r="L257" s="196">
        <f ca="1">IF($B$249="Лікар загальної практики - сімейний лікар",IF(L253&lt;Законод!$C$22,0,(IF(AND(L253&gt;=Законод!$G$22,L253&lt;=Законод!$G$23),L253-Законод!$F$23,IF('01_Доходи'!L253&gt;=Законод!$H$22,Законод!$G$24,0)))),IF($B$249="Лікар-педіатр",IF(L253&lt;Законод!$C$18,0,(IF(AND(L253&gt;=Законод!$G$18,L253&lt;=Законод!$G$19),L253-Законод!$F$19,IF('01_Доходи'!L253&gt;=Законод!$H$18,Законод!$G$20,0)))),IF($B$249="Лікар-терапевт",IF(L253&lt;Законод!$C$26,0,(IF(AND(L253&gt;=Законод!$G$26,L253&lt;=Законод!$G$27),L253-Законод!$F$27,IF('01_Доходи'!L253&gt;=Законод!$H$26,Законод!$G$28,0)))),0)))</f>
        <v>0</v>
      </c>
      <c r="M257" s="966"/>
      <c r="N257" s="965" t="s">
        <v>423</v>
      </c>
      <c r="O257" s="965"/>
      <c r="P257" s="965"/>
      <c r="Q257" s="965"/>
      <c r="R257" s="965"/>
      <c r="S257" s="196">
        <f ca="1">IF($B$249="Лікар загальної практики - сімейний лікар",IF(S253&lt;Законод!$C$22,0,(IF(AND(S253&gt;=Законод!$G$22,S253&lt;=Законод!$G$23),S253-Законод!$F$23,IF('01_Доходи'!S253&gt;=Законод!$H$22,Законод!$G$24,0)))),IF($B$249="Лікар-педіатр",IF(S253&lt;Законод!$C$18,0,(IF(AND(S253&gt;=Законод!$G$18,S253&lt;=Законод!$G$19),S253-Законод!$F$19,IF('01_Доходи'!S253&gt;=Законод!$H$18,Законод!$G$20,0)))),IF($B$249="Лікар-терапевт",IF(S253&lt;Законод!$C$26,0,(IF(AND(S253&gt;=Законод!$G$26,S253&lt;=Законод!$G$27),S253-Законод!$F$27,IF('01_Доходи'!S253&gt;=Законод!$H$26,Законод!$G$28,0)))),0)))</f>
        <v>0</v>
      </c>
      <c r="T257" s="966"/>
      <c r="U257" s="965" t="s">
        <v>423</v>
      </c>
      <c r="V257" s="965"/>
      <c r="W257" s="965"/>
      <c r="X257" s="965"/>
      <c r="Y257" s="965"/>
      <c r="Z257" s="196">
        <f ca="1">IF($B$249="Лікар загальної практики - сімейний лікар",IF(Z253&lt;Законод!$C$22,0,(IF(AND(Z253&gt;=Законод!$G$22,Z253&lt;=Законод!$G$23),Z253-Законод!$F$23,IF('01_Доходи'!Z253&gt;=Законод!$H$22,Законод!$G$24,0)))),IF($B$249="Лікар-педіатр",IF(Z253&lt;Законод!$C$18,0,(IF(AND(Z253&gt;=Законод!$G$18,Z253&lt;=Законод!$G$19),Z253-Законод!$F$19,IF('01_Доходи'!Z253&gt;=Законод!$H$18,Законод!$G$20,0)))),IF($B$249="Лікар-терапевт",IF(Z253&lt;Законод!$C$26,0,(IF(AND(Z253&gt;=Законод!$G$26,Z253&lt;=Законод!$G$27),Z253-Законод!$F$27,IF('01_Доходи'!Z253&gt;=Законод!$H$26,Законод!$G$28,0)))),0)))</f>
        <v>0</v>
      </c>
      <c r="AA257" s="966"/>
      <c r="AB257" s="965" t="s">
        <v>423</v>
      </c>
      <c r="AC257" s="965"/>
      <c r="AD257" s="965"/>
      <c r="AE257" s="965"/>
      <c r="AF257" s="965"/>
      <c r="AG257" s="196">
        <f ca="1">IF($B$249="Лікар загальної практики - сімейний лікар",IF(AG253&lt;Законод!$C$22,0,(IF(AND(AG253&gt;=Законод!$G$22,AG253&lt;=Законод!$G$23),AG253-Законод!$F$23,IF('01_Доходи'!AG253&gt;=Законод!$H$22,Законод!$G$24,0)))),IF($B$249="Лікар-педіатр",IF(AG253&lt;Законод!$C$18,0,(IF(AND(AG253&gt;=Законод!$G$18,AG253&lt;=Законод!$G$19),AG253-Законод!$F$19,IF('01_Доходи'!AG253&gt;=Законод!$H$18,Законод!$G$20,0)))),IF($B$249="Лікар-терапевт",IF(AG253&lt;Законод!$C$26,0,(IF(AND(AG253&gt;=Законод!$G$26,AG253&lt;=Законод!$G$27),AG253-Законод!$F$27,IF('01_Доходи'!AG253&gt;=Законод!$H$26,Законод!$G$28,0)))),0)))</f>
        <v>0</v>
      </c>
      <c r="AH257" s="966"/>
      <c r="AI257" s="201"/>
      <c r="AJ257" s="945"/>
      <c r="AK257" s="960"/>
      <c r="AL257" s="960"/>
      <c r="AM257" s="927"/>
      <c r="AN257" s="210">
        <f ca="1">IF(B249="Лікар загальної практики - сімейний лікар",L257*Законод!$C$9/4*Законод!$G$16,IF(B249="Лікар-педіатр",L257*Законод!$C$9/4*Законод!$G$16,IF(B249="Лікар-терапевт",L257*Законод!$C$9/4*Законод!$G$16,0)))</f>
        <v>0</v>
      </c>
      <c r="AO257" s="210">
        <f ca="1">IF(B249="Лікар загальної практики - сімейний лікар",S257*Законод!$C$9/4*Законод!$G$16,IF(B249="Лікар-педіатр",S257*Законод!$C$9/4*Законод!$G$16,IF(B249="Лікар-терапевт",S257*Законод!$C$9/4*Законод!$G$16,0)))</f>
        <v>0</v>
      </c>
      <c r="AP257" s="210">
        <f ca="1">IF(B249="Лікар загальної практики - сімейний лікар",Z257*Законод!$C$9/4*Законод!$G$16,IF(B249="Лікар-педіатр",Z257*Законод!$C$9/4*Законод!$G$16,IF(B249="Лікар-терапевт",Z257*Законод!$C$9/4*Законод!$G$16,0)))</f>
        <v>0</v>
      </c>
      <c r="AQ257" s="210">
        <f ca="1">IF(B249="Лікар загальної практики - сімейний лікар",AG257*Законод!$C$9/4*Законод!$G$16,IF(B249="Лікар-педіатр",AG257*Законод!$C$9/4*Законод!$G$16,IF(B249="Лікар-терапевт",AG257*Законод!$C$9/4*Законод!$G$16,0)))</f>
        <v>0</v>
      </c>
      <c r="AR257" s="211">
        <f t="shared" si="47"/>
        <v>0</v>
      </c>
    </row>
    <row r="258" spans="1:44" s="50" customFormat="1" ht="31.9" customHeight="1">
      <c r="A258" s="197"/>
      <c r="B258" s="969"/>
      <c r="C258" s="974"/>
      <c r="D258" s="971"/>
      <c r="E258" s="971"/>
      <c r="F258" s="238" t="str">
        <f ca="1">IF(B249="Лікар-педіатр",Законод!$H$17,IF(B249="Лікар загальної практики - сімейний лікар",Законод!$H$21,IF(B249="Лікар-терапевт",Законод!$H$25,"х")))</f>
        <v>понад ліміт (1171-1260)</v>
      </c>
      <c r="G258" s="965" t="s">
        <v>423</v>
      </c>
      <c r="H258" s="965"/>
      <c r="I258" s="965"/>
      <c r="J258" s="965"/>
      <c r="K258" s="965"/>
      <c r="L258" s="196">
        <f ca="1">IF($B$249="Лікар загальної практики - сімейний лікар",IF(L253&lt;Законод!$C$22,0,(IF(AND(L253&gt;=Законод!$H$22,L253&lt;=Законод!$H$23),L253-Законод!$G$23,IF('01_Доходи'!L253&gt;=Законод!$I$22,Законод!$H$24,0)))),IF($B$249="Лікар-педіатр",IF(L253&lt;Законод!$C$18,0,(IF(AND(L253&gt;=Законод!$H$18,L253&lt;=Законод!$H$19),L253-Законод!$G$19,IF('01_Доходи'!L253&gt;=Законод!$I$18,Законод!$H$20,0)))),IF($B$249="Лікар-терапевт",IF(L253&lt;Законод!$C$26,0,(IF(AND(L253&gt;=Законод!$H$26,L253&lt;=Законод!$H$27),L253-Законод!$G$27,IF(L253&gt;=Законод!$I$26,Законод!$H$28,0)))),0)))</f>
        <v>0</v>
      </c>
      <c r="M258" s="966"/>
      <c r="N258" s="965" t="s">
        <v>423</v>
      </c>
      <c r="O258" s="965"/>
      <c r="P258" s="965"/>
      <c r="Q258" s="965"/>
      <c r="R258" s="965"/>
      <c r="S258" s="196">
        <f ca="1">IF($B$249="Лікар загальної практики - сімейний лікар",IF(S253&lt;Законод!$C$22,0,(IF(AND(S253&gt;=Законод!$H$22,S253&lt;=Законод!$H$23),S253-Законод!$G$23,IF('01_Доходи'!S253&gt;=Законод!$I$22,Законод!$H$24,0)))),IF($B$249="Лікар-педіатр",IF(S253&lt;Законод!$C$18,0,(IF(AND(S253&gt;=Законод!$H$18,S253&lt;=Законод!$H$19),S253-Законод!$G$19,IF('01_Доходи'!S253&gt;=Законод!$I$18,Законод!$H$20,0)))),IF($B$249="Лікар-терапевт",IF(S253&lt;Законод!$C$26,0,(IF(AND(S253&gt;=Законод!$H$26,S253&lt;=Законод!$H$27),S253-Законод!$G$27,IF(S253&gt;=Законод!$I$26,Законод!$H$28,0)))),0)))</f>
        <v>0</v>
      </c>
      <c r="T258" s="966"/>
      <c r="U258" s="965" t="s">
        <v>423</v>
      </c>
      <c r="V258" s="965"/>
      <c r="W258" s="965"/>
      <c r="X258" s="965"/>
      <c r="Y258" s="965"/>
      <c r="Z258" s="196">
        <f ca="1">IF($B$249="Лікар загальної практики - сімейний лікар",IF(Z253&lt;Законод!$C$22,0,(IF(AND(Z253&gt;=Законод!$H$22,Z253&lt;=Законод!$H$23),Z253-Законод!$G$23,IF('01_Доходи'!Z253&gt;=Законод!$I$22,Законод!$H$24,0)))),IF($B$249="Лікар-педіатр",IF(Z253&lt;Законод!$C$18,0,(IF(AND(Z253&gt;=Законод!$H$18,Z253&lt;=Законод!$H$19),Z253-Законод!$G$19,IF('01_Доходи'!Z253&gt;=Законод!$I$18,Законод!$H$20,0)))),IF($B$249="Лікар-терапевт",IF(Z253&lt;Законод!$C$26,0,(IF(AND(Z253&gt;=Законод!$H$26,Z253&lt;=Законод!$H$27),Z253-Законод!$G$27,IF(Z253&gt;=Законод!$I$26,Законод!$H$28,0)))),0)))</f>
        <v>0</v>
      </c>
      <c r="AA258" s="966"/>
      <c r="AB258" s="965" t="s">
        <v>423</v>
      </c>
      <c r="AC258" s="965"/>
      <c r="AD258" s="965"/>
      <c r="AE258" s="965"/>
      <c r="AF258" s="965"/>
      <c r="AG258" s="196">
        <f ca="1">IF($B$249="Лікар загальної практики - сімейний лікар",IF(AG253&lt;Законод!$C$22,0,(IF(AND(AG253&gt;=Законод!$H$22,AG253&lt;=Законод!$H$23),AG253-Законод!$G$23,IF('01_Доходи'!AG253&gt;=Законод!$I$22,Законод!$H$24,0)))),IF($B$249="Лікар-педіатр",IF(AG253&lt;Законод!$C$18,0,(IF(AND(AG253&gt;=Законод!$H$18,AG253&lt;=Законод!$H$19),AG253-Законод!$G$19,IF('01_Доходи'!AG253&gt;=Законод!$I$18,Законод!$H$20,0)))),IF($B$249="Лікар-терапевт",IF(AG253&lt;Законод!$C$26,0,(IF(AND(AG253&gt;=Законод!$H$26,AG253&lt;=Законод!$H$27),AG253-Законод!$G$27,IF(AG253&gt;=Законод!$I$26,Законод!$H$28,0)))),0)))</f>
        <v>0</v>
      </c>
      <c r="AH258" s="966"/>
      <c r="AI258" s="201"/>
      <c r="AJ258" s="945"/>
      <c r="AK258" s="960"/>
      <c r="AL258" s="960"/>
      <c r="AM258" s="927"/>
      <c r="AN258" s="210">
        <f ca="1">IF(B249="Лікар загальної практики - сімейний лікар",L258*Законод!$C$9/4*Законод!$H$16,IF(B249="Лікар-педіатр",L258*Законод!$C$9/4*Законод!$H$16,IF(B249="Лікар-терапевт",L258*Законод!$C$9/4*Законод!$H$16,0)))</f>
        <v>0</v>
      </c>
      <c r="AO258" s="210">
        <f ca="1">IF(B249="Лікар загальної практики - сімейний лікар",S258*Законод!$C$9/4*Законод!$H$16,IF(B249="Лікар-педіатр",S258*Законод!$C$9/4*Законод!$H$16,IF(B249="Лікар-терапевт",S258*Законод!$C$9/4*Законод!$H$16,0)))</f>
        <v>0</v>
      </c>
      <c r="AP258" s="210">
        <f ca="1">IF(B249="Лікар загальної практики - сімейний лікар",Z258*Законод!$C$9/4*Законод!$H$16,IF(B249="Лікар-педіатр",Z258*Законод!$C$9/4*Законод!$H$16,IF(B249="Лікар-терапевт",Z258*Законод!$C$9/4*Законод!$H$16,0)))</f>
        <v>0</v>
      </c>
      <c r="AQ258" s="210">
        <f ca="1">IF(B249="Лікар загальної практики - сімейний лікар",AG258*Законод!$C$9/4*Законод!$H$16,IF(B249="Лікар-педіатр",AG258*Законод!$C$9/4*Законод!$H$16,IF(B249="Лікар-терапевт",AG258*Законод!$C$9/4*Законод!$H$16,0)))</f>
        <v>0</v>
      </c>
      <c r="AR258" s="211">
        <f t="shared" si="47"/>
        <v>0</v>
      </c>
    </row>
    <row r="259" spans="1:44" s="50" customFormat="1" ht="31.9" customHeight="1">
      <c r="A259" s="197"/>
      <c r="B259" s="969"/>
      <c r="C259" s="974"/>
      <c r="D259" s="971"/>
      <c r="E259" s="971"/>
      <c r="F259" s="238" t="str">
        <f ca="1">IF(B249="Лікар-педіатр",Законод!$I$17,IF(B249="Лікар загальної практики - сімейний лікар",Законод!$I$21,IF(B249="Лікар-терапевт",Законод!$I$25,"х")))</f>
        <v>понад ліміт (1261-1350)</v>
      </c>
      <c r="G259" s="965" t="s">
        <v>423</v>
      </c>
      <c r="H259" s="965"/>
      <c r="I259" s="965"/>
      <c r="J259" s="965"/>
      <c r="K259" s="965"/>
      <c r="L259" s="196">
        <f ca="1">IF($B$249="Лікар загальної практики - сімейний лікар",IF(L253&lt;Законод!$C$22,0,(IF(AND(L253&gt;=Законод!$I$22,L253&lt;=Законод!$I$23),L253-Законод!$H$23,IF('01_Доходи'!L253&gt;=Законод!$I$22,Законод!$I$24,0)))),IF($B$249="Лікар-педіатр",IF(L253&lt;Законод!$C$18,0,(IF(AND(L253&gt;=Законод!$I$18,L253&lt;=Законод!$I$19),L253-Законод!$H$19,IF('01_Доходи'!L253&gt;=Законод!$I$18,Законод!$H$20,0)))),IF($B$249="Лікар-терапевт",IF(L253&lt;Законод!$C$26,0,(IF(AND(L253&gt;=Законод!$I$26,L253&lt;=Законод!$I$27),L253-Законод!$H$27,IF('01_Доходи'!L253&gt;=Законод!$I$26,Законод!$H$28,0)))),0)))</f>
        <v>0</v>
      </c>
      <c r="M259" s="966"/>
      <c r="N259" s="965" t="s">
        <v>423</v>
      </c>
      <c r="O259" s="965"/>
      <c r="P259" s="965"/>
      <c r="Q259" s="965"/>
      <c r="R259" s="965"/>
      <c r="S259" s="196">
        <f ca="1">IF($B$249="Лікар загальної практики - сімейний лікар",IF(S253&lt;Законод!$C$22,0,(IF(AND(S253&gt;=Законод!$I$22,S253&lt;=Законод!$I$23),S253-Законод!$H$23,IF('01_Доходи'!S253&gt;=Законод!$I$22,Законод!$I$24,0)))),IF($B$249="Лікар-педіатр",IF(S253&lt;Законод!$C$18,0,(IF(AND(S253&gt;=Законод!$I$18,S253&lt;=Законод!$I$19),S253-Законод!$H$19,IF('01_Доходи'!S253&gt;=Законод!$I$18,Законод!$H$20,0)))),IF($B$249="Лікар-терапевт",IF(S253&lt;Законод!$C$26,0,(IF(AND(S253&gt;=Законод!$I$26,S253&lt;=Законод!$I$27),S253-Законод!$H$27,IF('01_Доходи'!S253&gt;=Законод!$I$26,Законод!$H$28,0)))),0)))</f>
        <v>0</v>
      </c>
      <c r="T259" s="966"/>
      <c r="U259" s="965" t="s">
        <v>423</v>
      </c>
      <c r="V259" s="965"/>
      <c r="W259" s="965"/>
      <c r="X259" s="965"/>
      <c r="Y259" s="965"/>
      <c r="Z259" s="196">
        <f ca="1">IF($B$249="Лікар загальної практики - сімейний лікар",IF(Z253&lt;Законод!$C$22,0,(IF(AND(Z253&gt;=Законод!$I$22,Z253&lt;=Законод!$I$23),Z253-Законод!$H$23,IF('01_Доходи'!Z253&gt;=Законод!$I$22,Законод!$I$24,0)))),IF($B$249="Лікар-педіатр",IF(Z253&lt;Законод!$C$18,0,(IF(AND(Z253&gt;=Законод!$I$18,Z253&lt;=Законод!$I$19),Z253-Законод!$H$19,IF('01_Доходи'!Z253&gt;=Законод!$I$18,Законод!$H$20,0)))),IF($B$249="Лікар-терапевт",IF(Z253&lt;Законод!$C$26,0,(IF(AND(Z253&gt;=Законод!$I$26,Z253&lt;=Законод!$I$27),Z253-Законод!$H$27,IF('01_Доходи'!Z253&gt;=Законод!$I$26,Законод!$H$28,0)))),0)))</f>
        <v>0</v>
      </c>
      <c r="AA259" s="966"/>
      <c r="AB259" s="965" t="s">
        <v>423</v>
      </c>
      <c r="AC259" s="965"/>
      <c r="AD259" s="965"/>
      <c r="AE259" s="965"/>
      <c r="AF259" s="965"/>
      <c r="AG259" s="196">
        <f ca="1">IF($B$249="Лікар загальної практики - сімейний лікар",IF(AG253&lt;Законод!$C$22,0,(IF(AND(AG253&gt;=Законод!$I$22,AG253&lt;=Законод!$I$23),AG253-Законод!$H$23,IF('01_Доходи'!AG253&gt;=Законод!$I$22,Законод!$I$24,0)))),IF($B$249="Лікар-педіатр",IF(AG253&lt;Законод!$C$18,0,(IF(AND(AG253&gt;=Законод!$I$18,AG253&lt;=Законод!$I$19),AG253-Законод!$H$19,IF('01_Доходи'!AG253&gt;=Законод!$I$18,Законод!$H$20,0)))),IF($B$249="Лікар-терапевт",IF(AG253&lt;Законод!$C$26,0,(IF(AND(AG253&gt;=Законод!$I$26,AG253&lt;=Законод!$I$27),AG253-Законод!$H$27,IF('01_Доходи'!AG253&gt;=Законод!$I$26,Законод!$H$28,0)))),0)))</f>
        <v>0</v>
      </c>
      <c r="AH259" s="966"/>
      <c r="AI259" s="201"/>
      <c r="AJ259" s="945"/>
      <c r="AK259" s="960"/>
      <c r="AL259" s="960"/>
      <c r="AM259" s="927"/>
      <c r="AN259" s="210">
        <f ca="1">IF(B249="Лікар загальної практики - сімейний лікар",L259*Законод!$C$9/4*Законод!$I$16,IF(B249="Лікар-педіатр",L259*Законод!$C$9/4*Законод!$I$16,IF(B249="Лікар-терапевт",L259*Законод!$C$9/4*Законод!$I$16,0)))</f>
        <v>0</v>
      </c>
      <c r="AO259" s="210">
        <f ca="1">IF(B249="Лікар загальної практики - сімейний лікар",S259*Законод!$C$9/4*Законод!$I$16,IF(B249="Лікар-педіатр",S259*Законод!$C$9/4*Законод!$I$16,IF(B249="Лікар-терапевт",S259*Законод!$C$9/4*Законод!$I$16,0)))</f>
        <v>0</v>
      </c>
      <c r="AP259" s="210">
        <f ca="1">IF(B249="Лікар загальної практики - сімейний лікар",Z259*Законод!$C$9/4*Законод!$I$16,IF(B249="Лікар-педіатр",Z259*Законод!$C$9/4*Законод!$I$16,IF(B249="Лікар-терапевт",Z259*Законод!$C$9/4*Законод!$I$16,0)))</f>
        <v>0</v>
      </c>
      <c r="AQ259" s="210">
        <f ca="1">IF(B249="Лікар загальної практики - сімейний лікар",AG259*Законод!$C$9/4*Законод!$I$16,IF(B249="Лікар-педіатр",AG259*Законод!$C$9/4*Законод!$I$16,IF(B249="Лікар-терапевт",AG259*Законод!$C$9/4*Законод!$I$16,0)))</f>
        <v>0</v>
      </c>
      <c r="AR259" s="211">
        <f t="shared" si="47"/>
        <v>0</v>
      </c>
    </row>
    <row r="260" spans="1:44" s="218" customFormat="1" ht="31.9" customHeight="1" thickBot="1">
      <c r="A260" s="213"/>
      <c r="B260" s="969"/>
      <c r="C260" s="974"/>
      <c r="D260" s="971"/>
      <c r="E260" s="971"/>
      <c r="F260" s="239" t="str">
        <f ca="1">IF(B249="Лікар-педіатр",Законод!$J$17,IF(B249="Лікар загальної практики - сімейний лікар",Законод!$J$21,IF(B249="Лікар-терапевт",Законод!$J$25,"х")))</f>
        <v>понад ліміт (&gt;=1351)</v>
      </c>
      <c r="G260" s="968" t="s">
        <v>423</v>
      </c>
      <c r="H260" s="968"/>
      <c r="I260" s="968"/>
      <c r="J260" s="968"/>
      <c r="K260" s="968"/>
      <c r="L260" s="196">
        <f ca="1">IF($B$249="Лікар загальної практики - сімейний лікар",IF(L253&gt;=Законод!$J$22,'01_Доходи'!L253-('01_Доходи'!L254+'01_Доходи'!L255+'01_Доходи'!L256+'01_Доходи'!L257+'01_Доходи'!L258+'01_Доходи'!L259),0),IF($B$249="Лікар-педіатр",IF(L253&gt;=Законод!$J$18,'01_Доходи'!L253-('01_Доходи'!L254+'01_Доходи'!L255+'01_Доходи'!L256+'01_Доходи'!L257+'01_Доходи'!L258+'01_Доходи'!L259),0),IF($B$249="Лікар-терапевт",IF('01_Доходи'!L253&gt;=Законод!$J$26,L253-Законод!$I$27,0),0)))</f>
        <v>0</v>
      </c>
      <c r="M260" s="966"/>
      <c r="N260" s="968" t="s">
        <v>423</v>
      </c>
      <c r="O260" s="968"/>
      <c r="P260" s="968"/>
      <c r="Q260" s="968"/>
      <c r="R260" s="968"/>
      <c r="S260" s="196">
        <f ca="1">IF($B$249="Лікар загальної практики - сімейний лікар",IF(S253&gt;=Законод!$J$22,'01_Доходи'!S253-('01_Доходи'!S254+'01_Доходи'!S255+'01_Доходи'!S256+'01_Доходи'!S257+'01_Доходи'!S258+'01_Доходи'!S259),0),IF($B$249="Лікар-педіатр",IF(S253&gt;=Законод!$J$18,'01_Доходи'!S253-('01_Доходи'!S254+'01_Доходи'!S255+'01_Доходи'!S256+'01_Доходи'!S257+'01_Доходи'!S258+'01_Доходи'!S259),0),IF($B$249="Лікар-терапевт",IF('01_Доходи'!S253&gt;=Законод!$J$26,S253-Законод!$I$27,0),0)))</f>
        <v>0</v>
      </c>
      <c r="T260" s="966"/>
      <c r="U260" s="968" t="s">
        <v>423</v>
      </c>
      <c r="V260" s="968"/>
      <c r="W260" s="968"/>
      <c r="X260" s="968"/>
      <c r="Y260" s="968"/>
      <c r="Z260" s="196">
        <f ca="1">IF($B$249="Лікар загальної практики - сімейний лікар",IF(Z253&gt;=Законод!$J$22,'01_Доходи'!Z253-('01_Доходи'!Z254+'01_Доходи'!Z255+'01_Доходи'!Z256+'01_Доходи'!Z257+'01_Доходи'!Z258+'01_Доходи'!Z259),0),IF($B$249="Лікар-педіатр",IF(Z253&gt;=Законод!$J$18,'01_Доходи'!Z253-('01_Доходи'!Z254+'01_Доходи'!Z255+'01_Доходи'!Z256+'01_Доходи'!Z257+'01_Доходи'!Z258+'01_Доходи'!Z259),0),IF($B$249="Лікар-терапевт",IF('01_Доходи'!Z253&gt;=Законод!$J$26,Z253-Законод!$I$27,0),0)))</f>
        <v>0</v>
      </c>
      <c r="AA260" s="966"/>
      <c r="AB260" s="968" t="s">
        <v>423</v>
      </c>
      <c r="AC260" s="968"/>
      <c r="AD260" s="968"/>
      <c r="AE260" s="968"/>
      <c r="AF260" s="968"/>
      <c r="AG260" s="196">
        <f ca="1">IF($B$249="Лікар загальної практики - сімейний лікар",IF(AG253&gt;=Законод!$J$22,'01_Доходи'!AG253-('01_Доходи'!AG254+'01_Доходи'!AG255+'01_Доходи'!AG256+'01_Доходи'!AG257+'01_Доходи'!AG258+'01_Доходи'!AG259),0),IF($B$249="Лікар-педіатр",IF(AG253&gt;=Законод!$J$18,'01_Доходи'!AG253-('01_Доходи'!AG254+'01_Доходи'!AG255+'01_Доходи'!AG256+'01_Доходи'!AG257+'01_Доходи'!AG258+'01_Доходи'!AG259),0),IF($B$249="Лікар-терапевт",IF('01_Доходи'!AG253&gt;=Законод!$J$26,AG253-Законод!$I$27,0),0)))</f>
        <v>0</v>
      </c>
      <c r="AH260" s="966"/>
      <c r="AI260" s="215"/>
      <c r="AJ260" s="946"/>
      <c r="AK260" s="961"/>
      <c r="AL260" s="961"/>
      <c r="AM260" s="928"/>
      <c r="AN260" s="216">
        <f ca="1">IF(B249="Лікар загальної практики - сімейний лікар",L260*Законод!$C$9/4*Законод!$J$16,IF(B249="Лікар-педіатр",L260*Законод!$C$9/4*Законод!$J$16,IF(B249="Лікар-терапевт",L260*Законод!$C$9/4*Законод!$J$16,0)))</f>
        <v>0</v>
      </c>
      <c r="AO260" s="216">
        <f ca="1">IF(B249="Лікар загальної практики - сімейний лікар",S260*Законод!$C$9/4*Законод!$J$16,IF(B249="Лікар-педіатр",S260*Законод!$C$9/4*Законод!$J$16,IF(B249="Лікар-терапевт",S260*Законод!$C$9/4*Законод!$J$16,0)))</f>
        <v>0</v>
      </c>
      <c r="AP260" s="216">
        <f ca="1">IF(B249="Лікар загальної практики - сімейний лікар",S260*Законод!$C$9/4*Законод!$J$16,IF(B249="Лікар-педіатр",S260*Законод!$C$9/4*Законод!$J$16,IF(B249="Лікар-терапевт",S260*Законод!$C$9/4*Законод!$J$16,0)))</f>
        <v>0</v>
      </c>
      <c r="AQ260" s="216">
        <f ca="1">IF(B249="Лікар загальної практики - сімейний лікар",AG260*Законод!$C$9/4*Законод!$J$16,IF(B249="Лікар-педіатр",AG260*Законод!$C$9/4*Законод!$J$16,IF(B249="Лікар-терапевт",AG260*Законод!$C$9/4*Законод!$J$16,0)))</f>
        <v>0</v>
      </c>
      <c r="AR260" s="217">
        <f t="shared" si="47"/>
        <v>0</v>
      </c>
    </row>
    <row r="261" spans="1:44" s="247" customFormat="1" ht="23.45" customHeight="1" thickBot="1">
      <c r="A261" s="243"/>
      <c r="B261" s="244"/>
      <c r="C261" s="244"/>
      <c r="D261" s="244"/>
      <c r="E261" s="244"/>
      <c r="F261" s="245"/>
      <c r="G261" s="246"/>
      <c r="H261" s="246"/>
      <c r="L261" s="248"/>
      <c r="S261" s="248"/>
      <c r="Z261" s="248"/>
      <c r="AG261" s="248"/>
      <c r="AM261" s="249"/>
      <c r="AR261" s="250"/>
    </row>
    <row r="262" spans="1:44" s="191" customFormat="1" ht="27.6" customHeight="1">
      <c r="A262" s="194">
        <f>A249+1</f>
        <v>18</v>
      </c>
      <c r="B262" s="969" t="s">
        <v>314</v>
      </c>
      <c r="C262" s="974" t="s">
        <v>175</v>
      </c>
      <c r="D262" s="971"/>
      <c r="E262" s="971" t="s">
        <v>90</v>
      </c>
      <c r="F262" s="234" t="s">
        <v>659</v>
      </c>
      <c r="G262" s="196">
        <f>257+40</f>
        <v>297</v>
      </c>
      <c r="H262" s="196">
        <f>638+55</f>
        <v>693</v>
      </c>
      <c r="I262" s="196" t="str">
        <f>IF($B$262="Лікар-педіатр","x",IF($B$262="Лікар-терапевт",I265*L262,IF($B$262="Лікар загальної практики - сімейний лікар",I265*L262,0)))</f>
        <v>x</v>
      </c>
      <c r="J262" s="196" t="str">
        <f>IF($B$262="Лікар-педіатр","x",IF($B$262="Лікар-терапевт",J265*L262,IF($B$262="Лікар загальної практики - сімейний лікар",J265*L262,0)))</f>
        <v>x</v>
      </c>
      <c r="K262" s="196" t="str">
        <f>IF($B$262="Лікар-педіатр","x",IF($B$262="Лікар-терапевт",K265*L262,IF($B$262="Лікар загальної практики - сімейний лікар",K265*L262,0)))</f>
        <v>x</v>
      </c>
      <c r="L262" s="557">
        <f>SUM(G262:H262)</f>
        <v>990</v>
      </c>
      <c r="M262" s="966">
        <v>1</v>
      </c>
      <c r="N262" s="196">
        <f>257+40</f>
        <v>297</v>
      </c>
      <c r="O262" s="196">
        <f>638+55</f>
        <v>693</v>
      </c>
      <c r="P262" s="196" t="str">
        <f>IF($B$262="Лікар-педіатр","x",IF($B$262="Лікар-терапевт",P265*S262,IF($B$262="Лікар загальної практики - сімейний лікар",P265*S262,0)))</f>
        <v>x</v>
      </c>
      <c r="Q262" s="196" t="str">
        <f>IF($B$262="Лікар-педіатр","x",IF($B$262="Лікар-терапевт",Q265*S262,IF($B$262="Лікар загальної практики - сімейний лікар",Q265*S262,0)))</f>
        <v>x</v>
      </c>
      <c r="R262" s="196" t="str">
        <f>IF($B$262="Лікар-педіатр","x",IF($B$262="Лікар-терапевт",R265*S262,IF($B$262="Лікар загальної практики - сімейний лікар",R265*S262,0)))</f>
        <v>x</v>
      </c>
      <c r="S262" s="557">
        <f>SUM(N262:O262)</f>
        <v>990</v>
      </c>
      <c r="T262" s="966">
        <v>1</v>
      </c>
      <c r="U262" s="196">
        <f>257+40</f>
        <v>297</v>
      </c>
      <c r="V262" s="196">
        <f>638+55</f>
        <v>693</v>
      </c>
      <c r="W262" s="196" t="str">
        <f>IF($B$262="Лікар-педіатр","x",IF($B$262="Лікар-терапевт",W265*Z262,IF($B$262="Лікар загальної практики - сімейний лікар",W265*Z262,0)))</f>
        <v>x</v>
      </c>
      <c r="X262" s="196" t="str">
        <f>IF($B$262="Лікар-педіатр","x",IF($B$262="Лікар-терапевт",X265*Z262,IF($B$262="Лікар загальної практики - сімейний лікар",X265*Z262,0)))</f>
        <v>x</v>
      </c>
      <c r="Y262" s="196" t="str">
        <f>IF($B$262="Лікар-педіатр","x",IF($B$262="Лікар-терапевт",Y265*Z262,IF($B$262="Лікар загальної практики - сімейний лікар",Y265*Z262,0)))</f>
        <v>x</v>
      </c>
      <c r="Z262" s="557">
        <f>SUM(U262+V262)</f>
        <v>990</v>
      </c>
      <c r="AA262" s="966">
        <v>1</v>
      </c>
      <c r="AB262" s="196">
        <f>257+40</f>
        <v>297</v>
      </c>
      <c r="AC262" s="196">
        <f>638+55</f>
        <v>693</v>
      </c>
      <c r="AD262" s="196" t="str">
        <f>IF($B$262="Лікар-педіатр","x",IF($B$262="Лікар-терапевт",AD265*AG262,IF($B$262="Лікар загальної практики - сімейний лікар",AD265*AG262,0)))</f>
        <v>x</v>
      </c>
      <c r="AE262" s="196" t="str">
        <f>IF($B$262="Лікар-педіатр","x",IF($B$262="Лікар-терапевт",AE265*AG262,IF($B$262="Лікар загальної практики - сімейний лікар",AE265*AG262,0)))</f>
        <v>x</v>
      </c>
      <c r="AF262" s="196" t="str">
        <f>IF($B$262="Лікар-педіатр","x",IF($B$262="Лікар-терапевт",AF265*AG262,IF($B$262="Лікар загальної практики - сімейний лікар",AF265*AG262,0)))</f>
        <v>x</v>
      </c>
      <c r="AG262" s="557">
        <f>SUM(AB262+AC262)</f>
        <v>990</v>
      </c>
      <c r="AH262" s="966">
        <v>1</v>
      </c>
      <c r="AI262" s="540">
        <f>A262</f>
        <v>18</v>
      </c>
      <c r="AJ262" s="944" t="str">
        <f>B262</f>
        <v>Лікар-педіатр</v>
      </c>
      <c r="AK262" s="959" t="str">
        <f>C262</f>
        <v>Соловей Святослав Миколайович</v>
      </c>
      <c r="AL262" s="959">
        <f>D262</f>
        <v>0</v>
      </c>
      <c r="AM262" s="929" t="s">
        <v>79</v>
      </c>
      <c r="AN262" s="947">
        <f>SUM(AN267:AN273)</f>
        <v>309796.53637499997</v>
      </c>
      <c r="AO262" s="947">
        <f>SUM(AO267:AO273)</f>
        <v>309796.53637499997</v>
      </c>
      <c r="AP262" s="947">
        <f>SUM(AP267:AP273)</f>
        <v>309796.53637499997</v>
      </c>
      <c r="AQ262" s="947">
        <f>SUM(AQ267:AQ273)</f>
        <v>309796.53637499997</v>
      </c>
      <c r="AR262" s="962">
        <f>SUM(AN262:AQ266)</f>
        <v>1239186.1454999999</v>
      </c>
    </row>
    <row r="263" spans="1:44" s="50" customFormat="1" ht="28.15" customHeight="1">
      <c r="A263" s="197"/>
      <c r="B263" s="969"/>
      <c r="C263" s="974"/>
      <c r="D263" s="971"/>
      <c r="E263" s="971"/>
      <c r="F263" s="234" t="s">
        <v>660</v>
      </c>
      <c r="G263" s="196">
        <f>257+40</f>
        <v>297</v>
      </c>
      <c r="H263" s="196">
        <f>638+55</f>
        <v>693</v>
      </c>
      <c r="I263" s="196" t="str">
        <f>IF($B$262="Лікар-педіатр","x",IF($B$262="Лікар-терапевт",I265*L263,IF($B$262="Лікар загальної практики - сімейний лікар",I265*L263,0)))</f>
        <v>x</v>
      </c>
      <c r="J263" s="196" t="str">
        <f>IF($B$262="Лікар-педіатр","x",IF($B$262="Лікар-терапевт",J265*L263,IF($B$262="Лікар загальної практики - сімейний лікар",J265*L263,0)))</f>
        <v>x</v>
      </c>
      <c r="K263" s="196" t="str">
        <f>IF($B$262="Лікар-педіатр","x",IF($B$262="Лікар-терапевт",K265*L263,IF($B$262="Лікар загальної практики - сімейний лікар",K265*L263,0)))</f>
        <v>x</v>
      </c>
      <c r="L263" s="557">
        <f>SUM(G263:H263)</f>
        <v>990</v>
      </c>
      <c r="M263" s="966"/>
      <c r="N263" s="196">
        <f>257+40</f>
        <v>297</v>
      </c>
      <c r="O263" s="196">
        <f>638+55</f>
        <v>693</v>
      </c>
      <c r="P263" s="196" t="str">
        <f>IF($B$262="Лікар-педіатр","x",IF($B$262="Лікар-терапевт",P265*S263,IF($B$262="Лікар загальної практики - сімейний лікар",P265*S263,0)))</f>
        <v>x</v>
      </c>
      <c r="Q263" s="196" t="str">
        <f>IF($B$262="Лікар-педіатр","x",IF($B$262="Лікар-терапевт",Q265*S263,IF($B$262="Лікар загальної практики - сімейний лікар",Q265*S263,0)))</f>
        <v>x</v>
      </c>
      <c r="R263" s="196" t="str">
        <f>IF($B$262="Лікар-педіатр","x",IF($B$262="Лікар-терапевт",R265*S263,IF($B$262="Лікар загальної практики - сімейний лікар",R265*S263,0)))</f>
        <v>x</v>
      </c>
      <c r="S263" s="557">
        <f>SUM(N263:O263)</f>
        <v>990</v>
      </c>
      <c r="T263" s="966"/>
      <c r="U263" s="196">
        <f>257+40</f>
        <v>297</v>
      </c>
      <c r="V263" s="196">
        <f>638+55</f>
        <v>693</v>
      </c>
      <c r="W263" s="196" t="str">
        <f>IF($B$262="Лікар-педіатр","x",IF($B$262="Лікар-терапевт",W265*Z263,IF($B$262="Лікар загальної практики - сімейний лікар",W265*Z263,0)))</f>
        <v>x</v>
      </c>
      <c r="X263" s="196" t="str">
        <f>IF($B$262="Лікар-педіатр","x",IF($B$262="Лікар-терапевт",X265*Z263,IF($B$262="Лікар загальної практики - сімейний лікар",X265*Z263,0)))</f>
        <v>x</v>
      </c>
      <c r="Y263" s="196" t="str">
        <f>IF($B$262="Лікар-педіатр","x",IF($B$262="Лікар-терапевт",Y265*Z263,IF($B$262="Лікар загальної практики - сімейний лікар",Y265*Z263,0)))</f>
        <v>x</v>
      </c>
      <c r="Z263" s="557">
        <f>SUM(U263+V263)</f>
        <v>990</v>
      </c>
      <c r="AA263" s="966"/>
      <c r="AB263" s="196">
        <f>257+40</f>
        <v>297</v>
      </c>
      <c r="AC263" s="196">
        <f>638+55</f>
        <v>693</v>
      </c>
      <c r="AD263" s="196" t="str">
        <f>IF($B$262="Лікар-педіатр","x",IF($B$262="Лікар-терапевт",AD265*AG263,IF($B$262="Лікар загальної практики - сімейний лікар",AD265*AG263,0)))</f>
        <v>x</v>
      </c>
      <c r="AE263" s="196" t="str">
        <f>IF($B$262="Лікар-педіатр","x",IF($B$262="Лікар-терапевт",AE265*AG263,IF($B$262="Лікар загальної практики - сімейний лікар",AE265*AG263,0)))</f>
        <v>x</v>
      </c>
      <c r="AF263" s="196" t="str">
        <f>IF($B$262="Лікар-педіатр","x",IF($B$262="Лікар-терапевт",AF265*AG263,IF($B$262="Лікар загальної практики - сімейний лікар",AF265*AG263,0)))</f>
        <v>x</v>
      </c>
      <c r="AG263" s="557">
        <f>SUM(AB263+AC263)</f>
        <v>990</v>
      </c>
      <c r="AH263" s="966"/>
      <c r="AI263" s="198"/>
      <c r="AJ263" s="945"/>
      <c r="AK263" s="960"/>
      <c r="AL263" s="960"/>
      <c r="AM263" s="930"/>
      <c r="AN263" s="948"/>
      <c r="AO263" s="948"/>
      <c r="AP263" s="948"/>
      <c r="AQ263" s="948"/>
      <c r="AR263" s="963"/>
    </row>
    <row r="264" spans="1:44" s="90" customFormat="1" ht="31.15" customHeight="1">
      <c r="A264" s="240"/>
      <c r="B264" s="969"/>
      <c r="C264" s="974"/>
      <c r="D264" s="971"/>
      <c r="E264" s="971"/>
      <c r="F264" s="241" t="s">
        <v>661</v>
      </c>
      <c r="G264" s="196">
        <f>257+40</f>
        <v>297</v>
      </c>
      <c r="H264" s="196">
        <f>638+55</f>
        <v>693</v>
      </c>
      <c r="I264" s="199" t="str">
        <f>IF(B262="Лікар загальної практики - сімейний лікар"," ",IF(B262="Лікар-педіатр","х",IF(B262="Лікар-терапевт"," ",0)))</f>
        <v>х</v>
      </c>
      <c r="J264" s="199" t="str">
        <f>IF(B262="Лікар загальної практики - сімейний лікар"," ",IF(B262="Лікар-педіатр","х",IF(B262="Лікар-терапевт"," ",0)))</f>
        <v>х</v>
      </c>
      <c r="K264" s="199" t="str">
        <f>IF(B262="Лікар загальної практики - сімейний лікар"," ",IF(B262="Лікар-педіатр","х",IF(B262="Лікар-терапевт"," ",0)))</f>
        <v>х</v>
      </c>
      <c r="L264" s="200">
        <f>SUM(G264:K264)</f>
        <v>990</v>
      </c>
      <c r="M264" s="966"/>
      <c r="N264" s="196">
        <f>257+40</f>
        <v>297</v>
      </c>
      <c r="O264" s="196">
        <f>638+55</f>
        <v>693</v>
      </c>
      <c r="P264" s="199" t="str">
        <f>IF(B262="Лікар загальної практики - сімейний лікар"," ",IF(B262="Лікар-педіатр","х",IF(B262="Лікар-терапевт"," ",0)))</f>
        <v>х</v>
      </c>
      <c r="Q264" s="199" t="str">
        <f>IF(B262="Лікар загальної практики - сімейний лікар"," ",IF(B262="Лікар-педіатр","х",IF(B262="Лікар-терапевт"," ",0)))</f>
        <v>х</v>
      </c>
      <c r="R264" s="199" t="str">
        <f>IF(B262="Лікар загальної практики - сімейний лікар"," ",IF(B262="Лікар-педіатр","х",IF(B262="Лікар-терапевт"," ",0)))</f>
        <v>х</v>
      </c>
      <c r="S264" s="200">
        <f>SUM(N264:R264)</f>
        <v>990</v>
      </c>
      <c r="T264" s="966"/>
      <c r="U264" s="196">
        <f>257+40</f>
        <v>297</v>
      </c>
      <c r="V264" s="196">
        <f>638+55</f>
        <v>693</v>
      </c>
      <c r="W264" s="199" t="str">
        <f>IF(B262="Лікар загальної практики - сімейний лікар"," ",IF(B262="Лікар-педіатр","х",IF(B262="Лікар-терапевт"," ",0)))</f>
        <v>х</v>
      </c>
      <c r="X264" s="199" t="str">
        <f>IF(B262="Лікар загальної практики - сімейний лікар"," ",IF(B262="Лікар-педіатр","х",IF(B262="Лікар-терапевт"," ",0)))</f>
        <v>х</v>
      </c>
      <c r="Y264" s="199" t="str">
        <f>IF(B262="Лікар загальної практики - сімейний лікар"," ",IF(B262="Лікар-педіатр","х",IF(B262="Лікар-терапевт"," ",0)))</f>
        <v>х</v>
      </c>
      <c r="Z264" s="200">
        <f>SUM(U264:Y264)</f>
        <v>990</v>
      </c>
      <c r="AA264" s="966"/>
      <c r="AB264" s="196">
        <f>257+40</f>
        <v>297</v>
      </c>
      <c r="AC264" s="196">
        <f>638+55</f>
        <v>693</v>
      </c>
      <c r="AD264" s="199" t="str">
        <f>IF(B262="Лікар загальної практики - сімейний лікар"," ",IF(B262="Лікар-педіатр","х",IF(B262="Лікар-терапевт"," ",0)))</f>
        <v>х</v>
      </c>
      <c r="AE264" s="199" t="str">
        <f>IF(B262="Лікар загальної практики - сімейний лікар"," ",IF(B262="Лікар-педіатр","х",IF(B262="Лікар-терапевт"," ",0)))</f>
        <v>х</v>
      </c>
      <c r="AF264" s="199" t="str">
        <f>IF(B262="Лікар загальної практики - сімейний лікар"," ",IF(B262="Лікар-педіатр","х",IF(B262="Лікар-терапевт"," ",0)))</f>
        <v>х</v>
      </c>
      <c r="AG264" s="200">
        <f>SUM(AB264:AF264)</f>
        <v>990</v>
      </c>
      <c r="AH264" s="966"/>
      <c r="AI264" s="242"/>
      <c r="AJ264" s="945"/>
      <c r="AK264" s="960"/>
      <c r="AL264" s="960"/>
      <c r="AM264" s="930"/>
      <c r="AN264" s="948"/>
      <c r="AO264" s="948"/>
      <c r="AP264" s="948"/>
      <c r="AQ264" s="948"/>
      <c r="AR264" s="963"/>
    </row>
    <row r="265" spans="1:44" s="50" customFormat="1" ht="31.9" customHeight="1" thickBot="1">
      <c r="A265" s="197"/>
      <c r="B265" s="969"/>
      <c r="C265" s="974"/>
      <c r="D265" s="971"/>
      <c r="E265" s="971"/>
      <c r="F265" s="236" t="s">
        <v>426</v>
      </c>
      <c r="G265" s="203">
        <f>IF($B$262="Лікар-педіатр",G264/L264,IF($B$262="Лікар-терапевт","х",IF($B$262="Лікар загальної практики - сімейний лікар",G264/L264,0)))</f>
        <v>0.3</v>
      </c>
      <c r="H265" s="203">
        <f>IF($B$262="Лікар-педіатр",H264/L264,IF($B$262="Лікар-терапевт","х",IF($B$262="Лікар загальної практики - сімейний лікар",H264/L264,0)))</f>
        <v>0.7</v>
      </c>
      <c r="I265" s="203" t="str">
        <f>IF($B$262="Лікар-педіатр","x",IF($B$262="Лікар-терапевт",I264/L264,IF($B$262="Лікар загальної практики - сімейний лікар",I264/L264,0)))</f>
        <v>x</v>
      </c>
      <c r="J265" s="203" t="str">
        <f>IF($B$262="Лікар-педіатр","x",IF($B$262="Лікар-терапевт",J264/L264,IF($B$262="Лікар загальної практики - сімейний лікар",J264/L264,0)))</f>
        <v>x</v>
      </c>
      <c r="K265" s="203" t="str">
        <f>IF($B$262="Лікар-педіатр","x",IF($B$262="Лікар-терапевт",K264/L264,IF($B$262="Лікар загальної практики - сімейний лікар",K264/L264,0)))</f>
        <v>x</v>
      </c>
      <c r="L265" s="203">
        <f>SUM(G265:K265)</f>
        <v>1</v>
      </c>
      <c r="M265" s="966"/>
      <c r="N265" s="203">
        <f>IF($B$262="Лікар-педіатр",N264/S264,IF($B$262="Лікар-терапевт","х",IF($B$262="Лікар загальної практики - сімейний лікар",N264/S264,0)))</f>
        <v>0.3</v>
      </c>
      <c r="O265" s="203">
        <f>IF($B$262="Лікар-педіатр",O264/S264,IF($B$262="Лікар-терапевт","х",IF($B$262="Лікар загальної практики - сімейний лікар",O264/S264,0)))</f>
        <v>0.7</v>
      </c>
      <c r="P265" s="203" t="str">
        <f>IF($B$262="Лікар-педіатр","x",IF($B$262="Лікар-терапевт",P264/S264,IF($B$262="Лікар загальної практики - сімейний лікар",P264/S264,0)))</f>
        <v>x</v>
      </c>
      <c r="Q265" s="203" t="str">
        <f>IF($B$262="Лікар-педіатр","x",IF($B$262="Лікар-терапевт",Q264/S264,IF($B$262="Лікар загальної практики - сімейний лікар",Q264/S264,0)))</f>
        <v>x</v>
      </c>
      <c r="R265" s="203" t="str">
        <f>IF($B$262="Лікар-педіатр","x",IF($B$262="Лікар-терапевт",R264/S264,IF($B$262="Лікар загальної практики - сімейний лікар",R264/S264,0)))</f>
        <v>x</v>
      </c>
      <c r="S265" s="203">
        <f>SUM(N265:R265)</f>
        <v>1</v>
      </c>
      <c r="T265" s="966"/>
      <c r="U265" s="203">
        <f>IF($B$262="Лікар-педіатр",U264/Z264,IF($B$262="Лікар-терапевт","х",IF($B$262="Лікар загальної практики - сімейний лікар",U264/Z264,0)))</f>
        <v>0.3</v>
      </c>
      <c r="V265" s="203">
        <f>IF($B$262="Лікар-педіатр",V264/Z264,IF($B$262="Лікар-терапевт","х",IF($B$262="Лікар загальної практики - сімейний лікар",V264/Z264,0)))</f>
        <v>0.7</v>
      </c>
      <c r="W265" s="203" t="str">
        <f>IF($B$262="Лікар-педіатр","x",IF($B$262="Лікар-терапевт",W264/Z264,IF($B$262="Лікар загальної практики - сімейний лікар",W264/Z264,0)))</f>
        <v>x</v>
      </c>
      <c r="X265" s="203" t="str">
        <f>IF($B$262="Лікар-педіатр","x",IF($B$262="Лікар-терапевт",X264/Z264,IF($B$262="Лікар загальної практики - сімейний лікар",X264/Z264,0)))</f>
        <v>x</v>
      </c>
      <c r="Y265" s="203" t="str">
        <f>IF($B$262="Лікар-педіатр","x",IF($B$262="Лікар-терапевт",Y264/Z264,IF($B$262="Лікар загальної практики - сімейний лікар",Y264/Z264,0)))</f>
        <v>x</v>
      </c>
      <c r="Z265" s="203">
        <f>SUM(U265:Y265)</f>
        <v>1</v>
      </c>
      <c r="AA265" s="966"/>
      <c r="AB265" s="203">
        <f>IF($B$262="Лікар-педіатр",AB264/AG264,IF($B$262="Лікар-терапевт","х",IF($B$262="Лікар загальної практики - сімейний лікар",AB264/AG264,0)))</f>
        <v>0.3</v>
      </c>
      <c r="AC265" s="203">
        <f>IF($B$262="Лікар-педіатр",AC264/AG264,IF($B$262="Лікар-терапевт","х",IF($B$262="Лікар загальної практики - сімейний лікар",AC264/AG264,0)))</f>
        <v>0.7</v>
      </c>
      <c r="AD265" s="203" t="str">
        <f>IF($B$262="Лікар-педіатр","x",IF($B$262="Лікар-терапевт",AD264/AG264,IF($B$262="Лікар загальної практики - сімейний лікар",AD264/AG264,0)))</f>
        <v>x</v>
      </c>
      <c r="AE265" s="203" t="str">
        <f>IF($B$262="Лікар-педіатр","x",IF($B$262="Лікар-терапевт",AE264/AG264,IF($B$262="Лікар загальної практики - сімейний лікар",AE264/AG264,0)))</f>
        <v>x</v>
      </c>
      <c r="AF265" s="203" t="str">
        <f>IF($B$262="Лікар-педіатр","x",IF($B$262="Лікар-терапевт",AF264/AG264,IF($B$262="Лікар загальної практики - сімейний лікар",AF264/AG264,0)))</f>
        <v>x</v>
      </c>
      <c r="AG265" s="203">
        <f>SUM(AB265:AF265)</f>
        <v>1</v>
      </c>
      <c r="AH265" s="966"/>
      <c r="AI265" s="201"/>
      <c r="AJ265" s="945"/>
      <c r="AK265" s="960"/>
      <c r="AL265" s="960"/>
      <c r="AM265" s="930"/>
      <c r="AN265" s="948"/>
      <c r="AO265" s="948"/>
      <c r="AP265" s="948"/>
      <c r="AQ265" s="948"/>
      <c r="AR265" s="963"/>
    </row>
    <row r="266" spans="1:44" s="50" customFormat="1" ht="45" customHeight="1" thickBot="1">
      <c r="A266" s="197"/>
      <c r="B266" s="969"/>
      <c r="C266" s="974"/>
      <c r="D266" s="971"/>
      <c r="E266" s="972"/>
      <c r="F266" s="204" t="s">
        <v>662</v>
      </c>
      <c r="G266" s="205">
        <f>IF($B$262="Лікар загальної практики - сімейний лікар",AVERAGE(G262:G264),IF($B$262="Лікар-педіатр",AVERAGE(G262:G264),IF($B$262="Лікар-терапевт","х",0)))</f>
        <v>297</v>
      </c>
      <c r="H266" s="205">
        <f>IF($B$262="Лікар загальної практики - сімейний лікар",AVERAGE(H262:H264),IF($B$262="Лікар-педіатр",AVERAGE(H262:H264),IF($B$262="Лікар-терапевт","х",0)))</f>
        <v>693</v>
      </c>
      <c r="I266" s="205" t="str">
        <f>IF($B$262="Лікар загальної практики - сімейний лікар",AVERAGE(I262:I264),IF($B$262="Лікар-педіатр","x",IF($B$262="Лікар-терапевт",AVERAGE(I262:I264),0)))</f>
        <v>x</v>
      </c>
      <c r="J266" s="205" t="str">
        <f>IF($B$262="Лікар загальної практики - сімейний лікар",AVERAGE(J262:J264),IF($B$262="Лікар-педіатр","x",IF($B$262="Лікар-терапевт",AVERAGE(J262:J264),0)))</f>
        <v>x</v>
      </c>
      <c r="K266" s="205" t="str">
        <f>IF($B$262="Лікар загальної практики - сімейний лікар",AVERAGE(K262:K264),IF($B$262="Лікар-педіатр","x",IF($B$262="Лікар-терапевт",AVERAGE(K262:K264),0)))</f>
        <v>x</v>
      </c>
      <c r="L266" s="206">
        <f>SUM(G266:K266)</f>
        <v>990</v>
      </c>
      <c r="M266" s="973"/>
      <c r="N266" s="205">
        <f>IF($B$262="Лікар загальної практики - сімейний лікар",AVERAGE(N262:N264),IF($B$262="Лікар-педіатр",AVERAGE(N262:N264),IF($B$262="Лікар-терапевт","х",0)))</f>
        <v>297</v>
      </c>
      <c r="O266" s="205">
        <f>IF($B$262="Лікар загальної практики - сімейний лікар",AVERAGE(O262:O264),IF($B$262="Лікар-педіатр",AVERAGE(O262:O264),IF($B$262="Лікар-терапевт","х",0)))</f>
        <v>693</v>
      </c>
      <c r="P266" s="205" t="str">
        <f>IF($B$262="Лікар загальної практики - сімейний лікар",AVERAGE(P262:P264),IF($B$262="Лікар-педіатр","x",IF($B$262="Лікар-терапевт",AVERAGE(P262:P264),0)))</f>
        <v>x</v>
      </c>
      <c r="Q266" s="205" t="str">
        <f>IF($B$262="Лікар загальної практики - сімейний лікар",AVERAGE(Q262:Q264),IF($B$262="Лікар-педіатр","x",IF($B$262="Лікар-терапевт",AVERAGE(Q262:Q264),0)))</f>
        <v>x</v>
      </c>
      <c r="R266" s="205" t="str">
        <f>IF($B$262="Лікар загальної практики - сімейний лікар",AVERAGE(R262:R264),IF($B$262="Лікар-педіатр","x",IF($B$262="Лікар-терапевт",AVERAGE(R262:R264),0)))</f>
        <v>x</v>
      </c>
      <c r="S266" s="206">
        <f>SUM(N266:R266)</f>
        <v>990</v>
      </c>
      <c r="T266" s="973"/>
      <c r="U266" s="205">
        <f>IF($B$262="Лікар загальної практики - сімейний лікар",AVERAGE(U262:U264),IF($B$262="Лікар-педіатр",AVERAGE(U262:U264),IF($B$262="Лікар-терапевт","х",0)))</f>
        <v>297</v>
      </c>
      <c r="V266" s="205">
        <f>IF($B$262="Лікар загальної практики - сімейний лікар",AVERAGE(V262:V264),IF($B$262="Лікар-педіатр",AVERAGE(V262:V264),IF($B$262="Лікар-терапевт","х",0)))</f>
        <v>693</v>
      </c>
      <c r="W266" s="205" t="str">
        <f>IF($B$262="Лікар загальної практики - сімейний лікар",AVERAGE(W262:W264),IF($B$262="Лікар-педіатр","x",IF($B$262="Лікар-терапевт",AVERAGE(W262:W264),0)))</f>
        <v>x</v>
      </c>
      <c r="X266" s="205" t="str">
        <f>IF($B$262="Лікар загальної практики - сімейний лікар",AVERAGE(X262:X264),IF($B$262="Лікар-педіатр","x",IF($B$262="Лікар-терапевт",AVERAGE(X262:X264),0)))</f>
        <v>x</v>
      </c>
      <c r="Y266" s="205" t="str">
        <f>IF($B$262="Лікар загальної практики - сімейний лікар",AVERAGE(Y262:Y264),IF($B$262="Лікар-педіатр","x",IF($B$262="Лікар-терапевт",AVERAGE(Y262:Y264),0)))</f>
        <v>x</v>
      </c>
      <c r="Z266" s="206">
        <f>SUM(U266:Y266)</f>
        <v>990</v>
      </c>
      <c r="AA266" s="973"/>
      <c r="AB266" s="205">
        <f>IF($B$262="Лікар загальної практики - сімейний лікар",AVERAGE(AB262:AB264),IF($B$262="Лікар-педіатр",AVERAGE(AB262:AB264),IF($B$262="Лікар-терапевт","х",0)))</f>
        <v>297</v>
      </c>
      <c r="AC266" s="205">
        <f>IF($B$262="Лікар загальної практики - сімейний лікар",AVERAGE(AC262:AC264),IF($B$262="Лікар-педіатр",AVERAGE(AC262:AC264),IF($B$262="Лікар-терапевт","х",0)))</f>
        <v>693</v>
      </c>
      <c r="AD266" s="205" t="str">
        <f>IF($B$262="Лікар загальної практики - сімейний лікар",AVERAGE(AD262:AD264),IF($B$262="Лікар-педіатр","x",IF($B$262="Лікар-терапевт",AVERAGE(AD262:AD264),0)))</f>
        <v>x</v>
      </c>
      <c r="AE266" s="205" t="str">
        <f>IF($B$262="Лікар загальної практики - сімейний лікар",AVERAGE(AE262:AE264),IF($B$262="Лікар-педіатр","x",IF($B$262="Лікар-терапевт",AVERAGE(AE262:AE264),0)))</f>
        <v>x</v>
      </c>
      <c r="AF266" s="205" t="str">
        <f>IF($B$262="Лікар загальної практики - сімейний лікар",AVERAGE(AF262:AF264),IF($B$262="Лікар-педіатр","x",IF($B$262="Лікар-терапевт",AVERAGE(AF262:AF264),0)))</f>
        <v>x</v>
      </c>
      <c r="AG266" s="206">
        <f>SUM(AB266:AF266)</f>
        <v>990</v>
      </c>
      <c r="AH266" s="967"/>
      <c r="AI266" s="201"/>
      <c r="AJ266" s="945"/>
      <c r="AK266" s="960"/>
      <c r="AL266" s="960"/>
      <c r="AM266" s="931"/>
      <c r="AN266" s="949"/>
      <c r="AO266" s="949"/>
      <c r="AP266" s="949"/>
      <c r="AQ266" s="949"/>
      <c r="AR266" s="964"/>
    </row>
    <row r="267" spans="1:44" s="50" customFormat="1" ht="40.5">
      <c r="A267" s="197"/>
      <c r="B267" s="969"/>
      <c r="C267" s="974"/>
      <c r="D267" s="971"/>
      <c r="E267" s="971"/>
      <c r="F267" s="237" t="str">
        <f ca="1">IF(B262="Лікар-педіатр",Законод!$C$17,IF(B262="Лікар загальної практики - сімейний лікар",Законод!$C$21,IF(B262="Лікар-терапевт",Законод!$C$25,"х")))</f>
        <v>ліміт (до 900)</v>
      </c>
      <c r="G267" s="208">
        <f ca="1">IF($B$262="Лікар загальної практики - сімейний лікар",IF(L266&lt;=Законод!$C$22,G266,Законод!$C$22*'01_Доходи'!G265),IF($B$262="Лікар-педіатр",IF(L266&lt;=Законод!$C$18,G266,Законод!$C$18*'01_Доходи'!G265),IF($B$262="Лікар-терапевт","x",0)))</f>
        <v>270</v>
      </c>
      <c r="H267" s="208">
        <f ca="1">IF($B$262="Лікар загальної практики - сімейний лікар",IF(L266&lt;=Законод!$C$22,H266,Законод!$C$22*'01_Доходи'!H265),IF($B$262="Лікар-педіатр",IF(L266&lt;=Законод!$C$18,H266,Законод!$C$18*'01_Доходи'!H265),IF($B$262="Лікар-терапевт","x",0)))</f>
        <v>630</v>
      </c>
      <c r="I267" s="208" t="str">
        <f ca="1">IF($B$262="Лікар загальної практики - сімейний лікар",IF(L266&lt;=Законод!$C$22,I266,Законод!$C$22*'01_Доходи'!I265),IF($B$262="Лікар-педіатр","x",IF($B$262="Лікар-терапевт",IF(L266&lt;=Законод!$C$26,I266,Законод!$C$26*'01_Доходи'!I265),0)))</f>
        <v>x</v>
      </c>
      <c r="J267" s="208" t="str">
        <f ca="1">IF($B$262="Лікар загальної практики - сімейний лікар",IF(L266&lt;=Законод!$C$22,J266,Законод!$C$22*'01_Доходи'!J265),IF($B$262="Лікар-педіатр","x",IF($B$262="Лікар-терапевт",IF(L266&lt;=Законод!$C$26,J266,Законод!$C$26*'01_Доходи'!J265),0)))</f>
        <v>x</v>
      </c>
      <c r="K267" s="208" t="str">
        <f ca="1">IF($B$262="Лікар загальної практики - сімейний лікар",IF(L266&lt;=Законод!$C$22,K266,Законод!$C$22*'01_Доходи'!K265),IF($B$262="Лікар-педіатр","x",IF($B$262="Лікар-терапевт",IF(L266&lt;=Законод!$C$26,K266,Законод!$C$26*'01_Доходи'!K265),0)))</f>
        <v>x</v>
      </c>
      <c r="L267" s="209">
        <f ca="1">SUM(G267:K267)</f>
        <v>900</v>
      </c>
      <c r="M267" s="966"/>
      <c r="N267" s="208">
        <f ca="1">IF($B$262="Лікар загальної практики - сімейний лікар",IF(S266&lt;=Законод!$C$22,N266,Законод!$C$22*'01_Доходи'!N265),IF($B$262="Лікар-педіатр",IF(S266&lt;=Законод!$C$18,N266,Законод!$C$18*'01_Доходи'!N265),IF($B$262="Лікар-терапевт","x",0)))</f>
        <v>270</v>
      </c>
      <c r="O267" s="208">
        <f ca="1">IF($B$262="Лікар загальної практики - сімейний лікар",IF(S266&lt;=Законод!$C$22,O266,Законод!$C$22*'01_Доходи'!O265),IF($B$262="Лікар-педіатр",IF(S266&lt;=Законод!$C$18,O266,Законод!$C$18*'01_Доходи'!O265),IF($B$262="Лікар-терапевт","x",0)))</f>
        <v>630</v>
      </c>
      <c r="P267" s="208" t="str">
        <f ca="1">IF($B$262="Лікар загальної практики - сімейний лікар",IF(S266&lt;=Законод!$C$22,P266,Законод!$C$22*'01_Доходи'!P265),IF($B$262="Лікар-педіатр","x",IF($B$262="Лікар-терапевт",IF(S266&lt;=Законод!$C$26,P266,Законод!$C$26*'01_Доходи'!P265),0)))</f>
        <v>x</v>
      </c>
      <c r="Q267" s="208" t="str">
        <f ca="1">IF($B$262="Лікар загальної практики - сімейний лікар",IF(S266&lt;=Законод!$C$22,Q266,Законод!$C$22*'01_Доходи'!Q265),IF($B$262="Лікар-педіатр","x",IF($B$262="Лікар-терапевт",IF(S266&lt;=Законод!$C$26,Q266,Законод!$C$26*'01_Доходи'!Q265),0)))</f>
        <v>x</v>
      </c>
      <c r="R267" s="208" t="str">
        <f ca="1">IF($B$262="Лікар загальної практики - сімейний лікар",IF(S266&lt;=Законод!$C$22,R266,Законод!$C$22*'01_Доходи'!R265),IF($B$262="Лікар-педіатр","x",IF($B$262="Лікар-терапевт",IF(S266&lt;=Законод!$C$26,R266,Законод!$C$26*'01_Доходи'!R265),0)))</f>
        <v>x</v>
      </c>
      <c r="S267" s="209">
        <f ca="1">SUM(N267:R267)</f>
        <v>900</v>
      </c>
      <c r="T267" s="966"/>
      <c r="U267" s="208">
        <f ca="1">IF($B$262="Лікар загальної практики - сімейний лікар",IF(Z266&lt;=Законод!$C$22,U266,Законод!$C$22*'01_Доходи'!U265),IF($B$262="Лікар-педіатр",IF(Z266&lt;=Законод!$C$18,U266,Законод!$C$18*'01_Доходи'!U265),IF($B$262="Лікар-терапевт","x",0)))</f>
        <v>270</v>
      </c>
      <c r="V267" s="208">
        <f ca="1">IF($B$262="Лікар загальної практики - сімейний лікар",IF(Z266&lt;=Законод!$C$22,V266,Законод!$C$22*'01_Доходи'!V265),IF($B$262="Лікар-педіатр",IF(Z266&lt;=Законод!$C$18,V266,Законод!$C$18*'01_Доходи'!V265),IF($B$262="Лікар-терапевт","x",0)))</f>
        <v>630</v>
      </c>
      <c r="W267" s="208" t="str">
        <f ca="1">IF($B$262="Лікар загальної практики - сімейний лікар",IF(Z266&lt;=Законод!$C$22,W266,Законод!$C$22*'01_Доходи'!W265),IF($B$262="Лікар-педіатр","x",IF($B$262="Лікар-терапевт",IF(Z266&lt;=Законод!$C$26,W266,Законод!$C$26*'01_Доходи'!W265),0)))</f>
        <v>x</v>
      </c>
      <c r="X267" s="208" t="str">
        <f ca="1">IF($B$262="Лікар загальної практики - сімейний лікар",IF(Z266&lt;=Законод!$C$22,X266,Законод!$C$22*'01_Доходи'!X265),IF($B$262="Лікар-педіатр","x",IF($B$262="Лікар-терапевт",IF(Z266&lt;=Законод!$C$26,X266,Законод!$C$26*'01_Доходи'!X265),0)))</f>
        <v>x</v>
      </c>
      <c r="Y267" s="208" t="str">
        <f ca="1">IF($B$262="Лікар загальної практики - сімейний лікар",IF(Z266&lt;=Законод!$C$22,Y266,Законод!$C$22*'01_Доходи'!Y265),IF($B$262="Лікар-педіатр","x",IF($B$262="Лікар-терапевт",IF(Z266&lt;=Законод!$C$26,Y266,Законод!$C$26*'01_Доходи'!Y265),0)))</f>
        <v>x</v>
      </c>
      <c r="Z267" s="209">
        <f ca="1">SUM(U267:Y267)</f>
        <v>900</v>
      </c>
      <c r="AA267" s="966"/>
      <c r="AB267" s="208">
        <f ca="1">IF($B$262="Лікар загальної практики - сімейний лікар",IF(AG266&lt;=Законод!$C$22,AB266,Законод!$C$22*'01_Доходи'!AB265),IF($B$262="Лікар-педіатр",IF(AG266&lt;=Законод!$C$18,AB266,Законод!$C$18*'01_Доходи'!AB265),IF($B$262="Лікар-терапевт","x",0)))</f>
        <v>270</v>
      </c>
      <c r="AC267" s="208">
        <f ca="1">IF($B$262="Лікар загальної практики - сімейний лікар",IF(AG266&lt;=Законод!$C$22,AC266,Законод!$C$22*'01_Доходи'!AC265),IF($B$262="Лікар-педіатр",IF(AG266&lt;=Законод!$C$18,AC266,Законод!$C$18*'01_Доходи'!AC265),IF($B$262="Лікар-терапевт","x",0)))</f>
        <v>630</v>
      </c>
      <c r="AD267" s="208" t="str">
        <f ca="1">IF($B$262="Лікар загальної практики - сімейний лікар",IF(AG266&lt;=Законод!$C$22,AD266,Законод!$C$22*'01_Доходи'!AD265),IF($B$262="Лікар-педіатр","x",IF($B$262="Лікар-терапевт",IF(AG266&lt;=Законод!$C$26,AD266,Законод!$C$26*'01_Доходи'!AD265),0)))</f>
        <v>x</v>
      </c>
      <c r="AE267" s="208" t="str">
        <f ca="1">IF($B$262="Лікар загальної практики - сімейний лікар",IF(AG266&lt;=Законод!$C$22,AE266,Законод!$C$22*'01_Доходи'!AE265),IF($B$262="Лікар-педіатр","x",IF($B$262="Лікар-терапевт",IF(AG266&lt;=Законод!$C$26,AE266,Законод!$C$26*'01_Доходи'!AE265),0)))</f>
        <v>x</v>
      </c>
      <c r="AF267" s="208" t="str">
        <f ca="1">IF($B$262="Лікар загальної практики - сімейний лікар",IF(AG266&lt;=Законод!$C$22,AF266,Законод!$C$22*'01_Доходи'!AF265),IF($B$262="Лікар-педіатр","x",IF($B$262="Лікар-терапевт",IF(AG266&lt;=Законод!$C$26,AF266,Законод!$C$26*'01_Доходи'!AF265),0)))</f>
        <v>x</v>
      </c>
      <c r="AG267" s="209">
        <f ca="1">SUM(AB267:AF267)</f>
        <v>900</v>
      </c>
      <c r="AH267" s="966"/>
      <c r="AI267" s="201"/>
      <c r="AJ267" s="945"/>
      <c r="AK267" s="960"/>
      <c r="AL267" s="960"/>
      <c r="AM267" s="348" t="s">
        <v>451</v>
      </c>
      <c r="AN267" s="210">
        <f ca="1">IF(B262="Лікар загальної практики - сімейний лікар",G267*Законод!$C$11+'01_Доходи'!H267*Законод!$D$11+'01_Доходи'!I267*Законод!$E$11+'01_Доходи'!J267*Законод!$F$11+'01_Доходи'!K267*Законод!$G$11,IF(B262="Лікар-педіатр",G267*Законод!$C$11+'01_Доходи'!H267*Законод!$D$11,IF(B262="Лікар-терапевт",'01_Доходи'!I267*Законод!$E$11+'01_Доходи'!J267*Законод!$F$11+'01_Доходи'!K267*Законод!$G$11,0)))</f>
        <v>298893.56737499998</v>
      </c>
      <c r="AO267" s="210">
        <f ca="1">IF(B262="Лікар загальної практики - сімейний лікар",N267*Законод!$C$11+'01_Доходи'!O267*Законод!$D$11+'01_Доходи'!P267*Законод!$E$11+'01_Доходи'!Q267*Законод!$F$11+'01_Доходи'!R267*Законод!$G$11,IF(B262="Лікар-педіатр",N267*Законод!$C$11+'01_Доходи'!O267*Законод!$D$11,IF(B262="Лікар-терапевт",'01_Доходи'!P267*Законод!$E$11+'01_Доходи'!Q267*Законод!$F$11+'01_Доходи'!R267*Законод!$G$11,0)))</f>
        <v>298893.56737499998</v>
      </c>
      <c r="AP267" s="210">
        <f ca="1">IF(B262="Лікар загальної практики - сімейний лікар",U267*Законод!$C$11+'01_Доходи'!V267*Законод!$D$11+'01_Доходи'!W267*Законод!$E$11+'01_Доходи'!X267*Законод!$F$11+'01_Доходи'!Y267*Законод!$G$11,IF(B262="Лікар-педіатр",U267*Законод!$C$11+'01_Доходи'!V267*Законод!$D$11,IF(B262="Лікар-терапевт",'01_Доходи'!W267*Законод!$E$11+'01_Доходи'!X267*Законод!$F$11+'01_Доходи'!Y267*Законод!$G$11,0)))</f>
        <v>298893.56737499998</v>
      </c>
      <c r="AQ267" s="210">
        <f ca="1">IF(B262="Лікар загальної практики - сімейний лікар",AB267*Законод!$C$11+'01_Доходи'!AC267*Законод!$D$11+'01_Доходи'!AD267*Законод!$E$11+'01_Доходи'!AE267*Законод!$F$11+'01_Доходи'!AF267*Законод!$G$11,IF(B262="Лікар-педіатр",AB267*Законод!$C$11+'01_Доходи'!AC267*Законод!$D$11,IF(B262="Лікар-терапевт",'01_Доходи'!AD267*Законод!$E$11+'01_Доходи'!AE267*Законод!$F$11+'01_Доходи'!AF267*Законод!$G$11,0)))</f>
        <v>298893.56737499998</v>
      </c>
      <c r="AR267" s="211">
        <f t="shared" ref="AR267:AR273" si="48">SUM(AN267:AQ267)</f>
        <v>1195574.2694999999</v>
      </c>
    </row>
    <row r="268" spans="1:44" s="50" customFormat="1" ht="31.9" customHeight="1">
      <c r="A268" s="197"/>
      <c r="B268" s="969"/>
      <c r="C268" s="974"/>
      <c r="D268" s="971"/>
      <c r="E268" s="971"/>
      <c r="F268" s="238" t="str">
        <f ca="1">IF(B262="Лікар-педіатр",Законод!$E$17,IF(B262="Лікар загальної практики - сімейний лікар",Законод!$E$21,IF(B262="Лікар-терапевт",Законод!$E$25,"х")))</f>
        <v>понад ліміт (901-990)</v>
      </c>
      <c r="G268" s="965" t="s">
        <v>423</v>
      </c>
      <c r="H268" s="965"/>
      <c r="I268" s="965"/>
      <c r="J268" s="965"/>
      <c r="K268" s="965"/>
      <c r="L268" s="196">
        <f ca="1">IF($B$262="Лікар загальної практики - сімейний лікар",IF(L266&lt;Законод!$C$22,0,(IF(AND(L266&gt;=Законод!$E$22,L266&lt;=Законод!$E$23),L266-Законод!$C$22,IF('01_Доходи'!L266&gt;=Законод!$F$22,Законод!$E$24,0)))),IF($B$262="Лікар-педіатр",IF(L266&lt;Законод!$C$18,0,(IF(AND(L266&gt;=Законод!$E$18,L266&lt;=Законод!$E$19),L266-Законод!$C$18,IF('01_Доходи'!L266&gt;=Законод!$F$18,Законод!$E$20,0)))),IF($B$262="Лікар-терапевт",IF(L266&lt;Законод!$C$26,0,(IF(AND(L266&gt;=Законод!$E$26,L266&lt;=Законод!$E$27),L266-Законод!$C$26,IF('01_Доходи'!L266&gt;=Законод!$F$26,Законод!$E$28,0)))),0)))</f>
        <v>90</v>
      </c>
      <c r="M268" s="966"/>
      <c r="N268" s="965" t="s">
        <v>423</v>
      </c>
      <c r="O268" s="965"/>
      <c r="P268" s="965"/>
      <c r="Q268" s="965"/>
      <c r="R268" s="965"/>
      <c r="S268" s="196">
        <f ca="1">IF($B$262="Лікар загальної практики - сімейний лікар",IF(S266&lt;Законод!$C$22,0,(IF(AND(S266&gt;=Законод!$E$22,S266&lt;=Законод!$E$23),S266-Законод!$C$22,IF('01_Доходи'!S266&gt;=Законод!$F$22,Законод!$E$24,0)))),IF($B$262="Лікар-педіатр",IF(S266&lt;Законод!$C$18,0,(IF(AND(S266&gt;=Законод!$E$18,S266&lt;=Законод!$E$19),S266-Законод!$C$18,IF('01_Доходи'!S266&gt;=Законод!$F$18,Законод!$E$20,0)))),IF($B$262="Лікар-терапевт",IF(S266&lt;Законод!$C$26,0,(IF(AND(S266&gt;=Законод!$E$26,S266&lt;=Законод!$E$27),S266-Законод!$C$26,IF('01_Доходи'!S266&gt;=Законод!$F$26,Законод!$E$28,0)))),0)))</f>
        <v>90</v>
      </c>
      <c r="T268" s="966"/>
      <c r="U268" s="965" t="s">
        <v>423</v>
      </c>
      <c r="V268" s="965"/>
      <c r="W268" s="965"/>
      <c r="X268" s="965"/>
      <c r="Y268" s="965"/>
      <c r="Z268" s="196">
        <f ca="1">IF($B$262="Лікар загальної практики - сімейний лікар",IF(Z266&lt;Законод!$C$22,0,(IF(AND(Z266&gt;=Законод!$E$22,Z266&lt;=Законод!$E$23),Z266-Законод!$C$22,IF('01_Доходи'!Z266&gt;=Законод!$F$22,Законод!$E$24,0)))),IF($B$262="Лікар-педіатр",IF(Z266&lt;Законод!$C$18,0,(IF(AND(Z266&gt;=Законод!$E$18,Z266&lt;=Законод!$E$19),Z266-Законод!$C$18,IF('01_Доходи'!Z266&gt;=Законод!$F$18,Законод!$E$20,0)))),IF($B$262="Лікар-терапевт",IF(Z266&lt;Законод!$C$26,0,(IF(AND(Z266&gt;=Законод!$E$26,Z266&lt;=Законод!$E$27),Z266-Законод!$C$26,IF('01_Доходи'!Z266&gt;=Законод!$F$26,Законод!$E$28,0)))),0)))</f>
        <v>90</v>
      </c>
      <c r="AA268" s="966"/>
      <c r="AB268" s="965" t="s">
        <v>423</v>
      </c>
      <c r="AC268" s="965"/>
      <c r="AD268" s="965"/>
      <c r="AE268" s="965"/>
      <c r="AF268" s="965"/>
      <c r="AG268" s="196">
        <f ca="1">IF($B$262="Лікар загальної практики - сімейний лікар",IF(AG266&lt;Законод!$C$22,0,(IF(AND(AG266&gt;=Законод!$E$22,AG266&lt;=Законод!$E$23),AG266-Законод!$C$22,IF('01_Доходи'!AG266&gt;=Законод!$F$22,Законод!$E$24,0)))),IF($B$262="Лікар-педіатр",IF(AG266&lt;Законод!$C$18,0,(IF(AND(AG266&gt;=Законод!$E$18,AG266&lt;=Законод!$E$19),AG266-Законод!$C$18,IF('01_Доходи'!AG266&gt;=Законод!$F$18,Законод!$E$20,0)))),IF($B$262="Лікар-терапевт",IF(AG266&lt;Законод!$C$26,0,(IF(AND(AG266&gt;=Законод!$E$26,AG266&lt;=Законод!$E$27),AG266-Законод!$C$26,IF('01_Доходи'!AG266&gt;=Законод!$F$26,Законод!$E$28,0)))),0)))</f>
        <v>90</v>
      </c>
      <c r="AH268" s="966"/>
      <c r="AI268" s="201"/>
      <c r="AJ268" s="945"/>
      <c r="AK268" s="960"/>
      <c r="AL268" s="960"/>
      <c r="AM268" s="926" t="s">
        <v>452</v>
      </c>
      <c r="AN268" s="210">
        <f ca="1">IF(B262="Лікар загальної практики - сімейний лікар",L268*Законод!$C$9/4*Законод!$E$16,IF(B262="Лікар-педіатр",L268*Законод!$C$9/4*Законод!$E$16,IF(B262="Лікар-терапевт",L268*Законод!$C$9/4*Законод!$E$16,0)))</f>
        <v>10902.968999999999</v>
      </c>
      <c r="AO268" s="210">
        <f ca="1">IF(B262="Лікар загальної практики - сімейний лікар",S268*Законод!$C$9/4*Законод!$E$16,IF(B262="Лікар-педіатр",S268*Законод!$C$9/4*Законод!$E$16,IF(B262="Лікар-терапевт",S268*Законод!$C$9/4*Законод!$E$16,0)))</f>
        <v>10902.968999999999</v>
      </c>
      <c r="AP268" s="210">
        <f ca="1">IF(B262="Лікар загальної практики - сімейний лікар",Z268*Законод!$C$9/4*Законод!$E$16,IF(B262="Лікар-педіатр",Z268*Законод!$C$9/4*Законод!$E$16,IF(B262="Лікар-терапевт",Z268*Законод!$C$9/4*Законод!$E$16,0)))</f>
        <v>10902.968999999999</v>
      </c>
      <c r="AQ268" s="210">
        <f ca="1">IF(B262="Лікар загальної практики - сімейний лікар",AG268*Законод!$C$9/4*Законод!$E$16,IF(B262="Лікар-педіатр",AG268*Законод!$C$9/4*Законод!$E$16,IF(B262="Лікар-терапевт",AG268*Законод!$C$9/4*Законод!$E$16,0)))</f>
        <v>10902.968999999999</v>
      </c>
      <c r="AR268" s="211">
        <f t="shared" si="48"/>
        <v>43611.875999999997</v>
      </c>
    </row>
    <row r="269" spans="1:44" s="50" customFormat="1" ht="31.9" customHeight="1">
      <c r="A269" s="197"/>
      <c r="B269" s="969"/>
      <c r="C269" s="974"/>
      <c r="D269" s="971"/>
      <c r="E269" s="971"/>
      <c r="F269" s="238" t="str">
        <f ca="1">IF(B262="Лікар-педіатр",Законод!$F$17,IF(B262="Лікар загальної практики - сімейний лікар",Законод!$F$21,IF(B262="Лікар-терапевт",Законод!$F$25,"х")))</f>
        <v>понад ліміт (991-1080)</v>
      </c>
      <c r="G269" s="965" t="s">
        <v>423</v>
      </c>
      <c r="H269" s="965"/>
      <c r="I269" s="965"/>
      <c r="J269" s="965"/>
      <c r="K269" s="965"/>
      <c r="L269" s="196">
        <f ca="1">IF($B$262="Лікар загальної практики - сімейний лікар",IF(L266&lt;Законод!$C$22,0,(IF(AND(L266&gt;=Законод!$F$22,L266&lt;=Законод!$F$23),L266-Законод!$E$23,IF('01_Доходи'!L266&gt;=Законод!$G$22,Законод!$F$24,0)))),IF($B$262="Лікар-педіатр",IF(L266&lt;Законод!$C$18,0,(IF(AND(L266&gt;=Законод!$F$18,L266&lt;=Законод!$F$19),L266-Законод!$E$19,IF('01_Доходи'!L266&gt;=Законод!$G$18,Законод!$F$20,0)))),IF($B$262="Лікар-терапевт",IF(L266&lt;Законод!$C$26,0,(IF(AND(L266&gt;=Законод!$F$26,L266&lt;=Законод!$F$27),L266-Законод!$E$27,IF('01_Доходи'!L266&gt;=Законод!$G$26,Законод!$F$28,0)))),0)))</f>
        <v>0</v>
      </c>
      <c r="M269" s="966"/>
      <c r="N269" s="965" t="s">
        <v>423</v>
      </c>
      <c r="O269" s="965"/>
      <c r="P269" s="965"/>
      <c r="Q269" s="965"/>
      <c r="R269" s="965"/>
      <c r="S269" s="196">
        <f ca="1">IF($B$262="Лікар загальної практики - сімейний лікар",IF(S266&lt;Законод!$C$22,0,(IF(AND(S266&gt;=Законод!$F$22,S266&lt;=Законод!$F$23),S266-Законод!$E$23,IF('01_Доходи'!S266&gt;=Законод!$G$22,Законод!$F$24,0)))),IF($B$262="Лікар-педіатр",IF(S266&lt;Законод!$C$18,0,(IF(AND(S266&gt;=Законод!$F$18,S266&lt;=Законод!$F$19),S266-Законод!$E$19,IF('01_Доходи'!S266&gt;=Законод!$G$18,Законод!$F$20,0)))),IF($B$262="Лікар-терапевт",IF(S266&lt;Законод!$C$26,0,(IF(AND(S266&gt;=Законод!$F$26,S266&lt;=Законод!$F$27),S266-Законод!$E$27,IF('01_Доходи'!S266&gt;=Законод!$G$26,Законод!$F$28,0)))),0)))</f>
        <v>0</v>
      </c>
      <c r="T269" s="966"/>
      <c r="U269" s="965" t="s">
        <v>423</v>
      </c>
      <c r="V269" s="965"/>
      <c r="W269" s="965"/>
      <c r="X269" s="965"/>
      <c r="Y269" s="965"/>
      <c r="Z269" s="196">
        <f ca="1">IF($B$262="Лікар загальної практики - сімейний лікар",IF(Z266&lt;Законод!$C$22,0,(IF(AND(Z266&gt;=Законод!$F$22,Z266&lt;=Законод!$F$23),Z266-Законод!$E$23,IF('01_Доходи'!Z266&gt;=Законод!$G$22,Законод!$F$24,0)))),IF($B$262="Лікар-педіатр",IF(Z266&lt;Законод!$C$18,0,(IF(AND(Z266&gt;=Законод!$F$18,Z266&lt;=Законод!$F$19),Z266-Законод!$E$19,IF('01_Доходи'!Z266&gt;=Законод!$G$18,Законод!$F$20,0)))),IF($B$262="Лікар-терапевт",IF(Z266&lt;Законод!$C$26,0,(IF(AND(Z266&gt;=Законод!$F$26,Z266&lt;=Законод!$F$27),Z266-Законод!$E$27,IF('01_Доходи'!Z266&gt;=Законод!$G$26,Законод!$F$28,0)))),0)))</f>
        <v>0</v>
      </c>
      <c r="AA269" s="966"/>
      <c r="AB269" s="965" t="s">
        <v>423</v>
      </c>
      <c r="AC269" s="965"/>
      <c r="AD269" s="965"/>
      <c r="AE269" s="965"/>
      <c r="AF269" s="965"/>
      <c r="AG269" s="196">
        <f ca="1">IF($B$262="Лікар загальної практики - сімейний лікар",IF(AG266&lt;Законод!$C$22,0,(IF(AND(AG266&gt;=Законод!$F$22,AG266&lt;=Законод!$F$23),AG266-Законод!$E$23,IF('01_Доходи'!AG266&gt;=Законод!$G$22,Законод!$F$24,0)))),IF($B$262="Лікар-педіатр",IF(AG266&lt;Законод!$C$18,0,(IF(AND(AG266&gt;=Законод!$F$18,AG266&lt;=Законод!$F$19),AG266-Законод!$E$19,IF('01_Доходи'!AG266&gt;=Законод!$G$18,Законод!$F$20,0)))),IF($B$262="Лікар-терапевт",IF(AG266&lt;Законод!$C$26,0,(IF(AND(AG266&gt;=Законод!$F$26,AG266&lt;=Законод!$F$27),AG266-Законод!$E$27,IF('01_Доходи'!AG266&gt;=Законод!$G$26,Законод!$F$28,0)))),0)))</f>
        <v>0</v>
      </c>
      <c r="AH269" s="966"/>
      <c r="AI269" s="201"/>
      <c r="AJ269" s="945"/>
      <c r="AK269" s="960"/>
      <c r="AL269" s="960"/>
      <c r="AM269" s="927"/>
      <c r="AN269" s="210">
        <f ca="1">IF(B262="Лікар загальної практики - сімейний лікар",L269*Законод!$C$9/4*Законод!$F$16,IF(B262="Лікар-педіатр",L269*Законод!$C$9/4*Законод!$F$16,IF(B262="Лікар-терапевт",L269*Законод!$C$9/4*Законод!$F$16,0)))</f>
        <v>0</v>
      </c>
      <c r="AO269" s="210">
        <f ca="1">IF(B262="Лікар загальної практики - сімейний лікар",S269*Законод!$C$9/4*Законод!$F$16,IF(B262="Лікар-педіатр",S269*Законод!$C$9/4*Законод!$F$16,IF(B262="Лікар-терапевт",S269*Законод!$C$9/4*Законод!$F$16,0)))</f>
        <v>0</v>
      </c>
      <c r="AP269" s="210">
        <f ca="1">IF(B262="Лікар загальної практики - сімейний лікар",Z269*Законод!$C$9/4*Законод!$F$16,IF(B262="Лікар-педіатр",Z269*Законод!$C$9/4*Законод!$F$16,IF(B262="Лікар-терапевт",Z269*Законод!$C$9/4*Законод!$F$16,0)))</f>
        <v>0</v>
      </c>
      <c r="AQ269" s="210">
        <f ca="1">IF(B262="Лікар загальної практики - сімейний лікар",AG269*Законод!$C$9/4*Законод!$F$16,IF(B262="Лікар-педіатр",AG269*Законод!$C$9/4*Законод!$F$16,IF(B262="Лікар-терапевт",AG269*Законод!$C$9/4*Законод!$F$16,0)))</f>
        <v>0</v>
      </c>
      <c r="AR269" s="211">
        <f t="shared" si="48"/>
        <v>0</v>
      </c>
    </row>
    <row r="270" spans="1:44" s="50" customFormat="1" ht="31.9" customHeight="1">
      <c r="A270" s="197"/>
      <c r="B270" s="969"/>
      <c r="C270" s="974"/>
      <c r="D270" s="971"/>
      <c r="E270" s="971"/>
      <c r="F270" s="238" t="str">
        <f ca="1">IF(B262="Лікар-педіатр",Законод!$G$17,IF(B262="Лікар загальної практики - сімейний лікар",Законод!$G$21,IF(B262="Лікар-терапевт",Законод!$G$25,"х")))</f>
        <v>понад ліміт (1081-1170)</v>
      </c>
      <c r="G270" s="965" t="s">
        <v>423</v>
      </c>
      <c r="H270" s="965"/>
      <c r="I270" s="965"/>
      <c r="J270" s="965"/>
      <c r="K270" s="965"/>
      <c r="L270" s="196">
        <f ca="1">IF($B$262="Лікар загальної практики - сімейний лікар",IF(L266&lt;Законод!$C$22,0,(IF(AND(L266&gt;=Законод!$G$22,L266&lt;=Законод!$G$23),L266-Законод!$F$23,IF('01_Доходи'!L266&gt;=Законод!$H$22,Законод!$G$24,0)))),IF($B$262="Лікар-педіатр",IF(L266&lt;Законод!$C$18,0,(IF(AND(L266&gt;=Законод!$G$18,L266&lt;=Законод!$G$19),L266-Законод!$F$19,IF('01_Доходи'!L266&gt;=Законод!$H$18,Законод!$G$20,0)))),IF($B$262="Лікар-терапевт",IF(L266&lt;Законод!$C$26,0,(IF(AND(L266&gt;=Законод!$G$26,L266&lt;=Законод!$G$27),L266-Законод!$F$27,IF('01_Доходи'!L266&gt;=Законод!$H$26,Законод!$G$28,0)))),0)))</f>
        <v>0</v>
      </c>
      <c r="M270" s="966"/>
      <c r="N270" s="965" t="s">
        <v>423</v>
      </c>
      <c r="O270" s="965"/>
      <c r="P270" s="965"/>
      <c r="Q270" s="965"/>
      <c r="R270" s="965"/>
      <c r="S270" s="196">
        <f ca="1">IF($B$262="Лікар загальної практики - сімейний лікар",IF(S266&lt;Законод!$C$22,0,(IF(AND(S266&gt;=Законод!$G$22,S266&lt;=Законод!$G$23),S266-Законод!$F$23,IF('01_Доходи'!S266&gt;=Законод!$H$22,Законод!$G$24,0)))),IF($B$262="Лікар-педіатр",IF(S266&lt;Законод!$C$18,0,(IF(AND(S266&gt;=Законод!$G$18,S266&lt;=Законод!$G$19),S266-Законод!$F$19,IF('01_Доходи'!S266&gt;=Законод!$H$18,Законод!$G$20,0)))),IF($B$262="Лікар-терапевт",IF(S266&lt;Законод!$C$26,0,(IF(AND(S266&gt;=Законод!$G$26,S266&lt;=Законод!$G$27),S266-Законод!$F$27,IF('01_Доходи'!S266&gt;=Законод!$H$26,Законод!$G$28,0)))),0)))</f>
        <v>0</v>
      </c>
      <c r="T270" s="966"/>
      <c r="U270" s="965" t="s">
        <v>423</v>
      </c>
      <c r="V270" s="965"/>
      <c r="W270" s="965"/>
      <c r="X270" s="965"/>
      <c r="Y270" s="965"/>
      <c r="Z270" s="196">
        <f ca="1">IF($B$262="Лікар загальної практики - сімейний лікар",IF(Z266&lt;Законод!$C$22,0,(IF(AND(Z266&gt;=Законод!$G$22,Z266&lt;=Законод!$G$23),Z266-Законод!$F$23,IF('01_Доходи'!Z266&gt;=Законод!$H$22,Законод!$G$24,0)))),IF($B$262="Лікар-педіатр",IF(Z266&lt;Законод!$C$18,0,(IF(AND(Z266&gt;=Законод!$G$18,Z266&lt;=Законод!$G$19),Z266-Законод!$F$19,IF('01_Доходи'!Z266&gt;=Законод!$H$18,Законод!$G$20,0)))),IF($B$262="Лікар-терапевт",IF(Z266&lt;Законод!$C$26,0,(IF(AND(Z266&gt;=Законод!$G$26,Z266&lt;=Законод!$G$27),Z266-Законод!$F$27,IF('01_Доходи'!Z266&gt;=Законод!$H$26,Законод!$G$28,0)))),0)))</f>
        <v>0</v>
      </c>
      <c r="AA270" s="966"/>
      <c r="AB270" s="965" t="s">
        <v>423</v>
      </c>
      <c r="AC270" s="965"/>
      <c r="AD270" s="965"/>
      <c r="AE270" s="965"/>
      <c r="AF270" s="965"/>
      <c r="AG270" s="196">
        <f ca="1">IF($B$262="Лікар загальної практики - сімейний лікар",IF(AG266&lt;Законод!$C$22,0,(IF(AND(AG266&gt;=Законод!$G$22,AG266&lt;=Законод!$G$23),AG266-Законод!$F$23,IF('01_Доходи'!AG266&gt;=Законод!$H$22,Законод!$G$24,0)))),IF($B$262="Лікар-педіатр",IF(AG266&lt;Законод!$C$18,0,(IF(AND(AG266&gt;=Законод!$G$18,AG266&lt;=Законод!$G$19),AG266-Законод!$F$19,IF('01_Доходи'!AG266&gt;=Законод!$H$18,Законод!$G$20,0)))),IF($B$262="Лікар-терапевт",IF(AG266&lt;Законод!$C$26,0,(IF(AND(AG266&gt;=Законод!$G$26,AG266&lt;=Законод!$G$27),AG266-Законод!$F$27,IF('01_Доходи'!AG266&gt;=Законод!$H$26,Законод!$G$28,0)))),0)))</f>
        <v>0</v>
      </c>
      <c r="AH270" s="966"/>
      <c r="AI270" s="201"/>
      <c r="AJ270" s="945"/>
      <c r="AK270" s="960"/>
      <c r="AL270" s="960"/>
      <c r="AM270" s="927"/>
      <c r="AN270" s="210">
        <f ca="1">IF(B262="Лікар загальної практики - сімейний лікар",L270*Законод!$C$9/4*Законод!$G$16,IF(B262="Лікар-педіатр",L270*Законод!$C$9/4*Законод!$G$16,IF(B262="Лікар-терапевт",L270*Законод!$C$9/4*Законод!$G$16,0)))</f>
        <v>0</v>
      </c>
      <c r="AO270" s="210">
        <f ca="1">IF(B262="Лікар загальної практики - сімейний лікар",S270*Законод!$C$9/4*Законод!$G$16,IF(B262="Лікар-педіатр",S270*Законод!$C$9/4*Законод!$G$16,IF(B262="Лікар-терапевт",S270*Законод!$C$9/4*Законод!$G$16,0)))</f>
        <v>0</v>
      </c>
      <c r="AP270" s="210">
        <f ca="1">IF(B262="Лікар загальної практики - сімейний лікар",Z270*Законод!$C$9/4*Законод!$G$16,IF(B262="Лікар-педіатр",Z270*Законод!$C$9/4*Законод!$G$16,IF(B262="Лікар-терапевт",Z270*Законод!$C$9/4*Законод!$G$16,0)))</f>
        <v>0</v>
      </c>
      <c r="AQ270" s="210">
        <f ca="1">IF(B262="Лікар загальної практики - сімейний лікар",AG270*Законод!$C$9/4*Законод!$G$16,IF(B262="Лікар-педіатр",AG270*Законод!$C$9/4*Законод!$G$16,IF(B262="Лікар-терапевт",AG270*Законод!$C$9/4*Законод!$G$16,0)))</f>
        <v>0</v>
      </c>
      <c r="AR270" s="211">
        <f t="shared" si="48"/>
        <v>0</v>
      </c>
    </row>
    <row r="271" spans="1:44" s="50" customFormat="1" ht="31.9" customHeight="1">
      <c r="A271" s="197"/>
      <c r="B271" s="969"/>
      <c r="C271" s="974"/>
      <c r="D271" s="971"/>
      <c r="E271" s="971"/>
      <c r="F271" s="238" t="str">
        <f ca="1">IF(B262="Лікар-педіатр",Законод!$H$17,IF(B262="Лікар загальної практики - сімейний лікар",Законод!$H$21,IF(B262="Лікар-терапевт",Законод!$H$25,"х")))</f>
        <v>понад ліміт (1171-1260)</v>
      </c>
      <c r="G271" s="965" t="s">
        <v>423</v>
      </c>
      <c r="H271" s="965"/>
      <c r="I271" s="965"/>
      <c r="J271" s="965"/>
      <c r="K271" s="965"/>
      <c r="L271" s="196">
        <f ca="1">IF($B$262="Лікар загальної практики - сімейний лікар",IF(L266&lt;Законод!$C$22,0,(IF(AND(L266&gt;=Законод!$H$22,L266&lt;=Законод!$H$23),L266-Законод!$G$23,IF('01_Доходи'!L266&gt;=Законод!$I$22,Законод!$H$24,0)))),IF($B$262="Лікар-педіатр",IF(L266&lt;Законод!$C$18,0,(IF(AND(L266&gt;=Законод!$H$18,L266&lt;=Законод!$H$19),L266-Законод!$G$19,IF('01_Доходи'!L266&gt;=Законод!$I$18,Законод!$H$20,0)))),IF($B$262="Лікар-терапевт",IF(L266&lt;Законод!$C$26,0,(IF(AND(L266&gt;=Законод!$H$26,L266&lt;=Законод!$H$27),L266-Законод!$G$27,IF(L266&gt;=Законод!$I$26,Законод!$H$28,0)))),0)))</f>
        <v>0</v>
      </c>
      <c r="M271" s="966"/>
      <c r="N271" s="965" t="s">
        <v>423</v>
      </c>
      <c r="O271" s="965"/>
      <c r="P271" s="965"/>
      <c r="Q271" s="965"/>
      <c r="R271" s="965"/>
      <c r="S271" s="196">
        <f ca="1">IF($B$262="Лікар загальної практики - сімейний лікар",IF(S266&lt;Законод!$C$22,0,(IF(AND(S266&gt;=Законод!$H$22,S266&lt;=Законод!$H$23),S266-Законод!$G$23,IF('01_Доходи'!S266&gt;=Законод!$I$22,Законод!$H$24,0)))),IF($B$262="Лікар-педіатр",IF(S266&lt;Законод!$C$18,0,(IF(AND(S266&gt;=Законод!$H$18,S266&lt;=Законод!$H$19),S266-Законод!$G$19,IF('01_Доходи'!S266&gt;=Законод!$I$18,Законод!$H$20,0)))),IF($B$262="Лікар-терапевт",IF(S266&lt;Законод!$C$26,0,(IF(AND(S266&gt;=Законод!$H$26,S266&lt;=Законод!$H$27),S266-Законод!$G$27,IF(S266&gt;=Законод!$I$26,Законод!$H$28,0)))),0)))</f>
        <v>0</v>
      </c>
      <c r="T271" s="966"/>
      <c r="U271" s="965" t="s">
        <v>423</v>
      </c>
      <c r="V271" s="965"/>
      <c r="W271" s="965"/>
      <c r="X271" s="965"/>
      <c r="Y271" s="965"/>
      <c r="Z271" s="196">
        <f ca="1">IF($B$262="Лікар загальної практики - сімейний лікар",IF(Z266&lt;Законод!$C$22,0,(IF(AND(Z266&gt;=Законод!$H$22,Z266&lt;=Законод!$H$23),Z266-Законод!$G$23,IF('01_Доходи'!Z266&gt;=Законод!$I$22,Законод!$H$24,0)))),IF($B$262="Лікар-педіатр",IF(Z266&lt;Законод!$C$18,0,(IF(AND(Z266&gt;=Законод!$H$18,Z266&lt;=Законод!$H$19),Z266-Законод!$G$19,IF('01_Доходи'!Z266&gt;=Законод!$I$18,Законод!$H$20,0)))),IF($B$262="Лікар-терапевт",IF(Z266&lt;Законод!$C$26,0,(IF(AND(Z266&gt;=Законод!$H$26,Z266&lt;=Законод!$H$27),Z266-Законод!$G$27,IF(Z266&gt;=Законод!$I$26,Законод!$H$28,0)))),0)))</f>
        <v>0</v>
      </c>
      <c r="AA271" s="966"/>
      <c r="AB271" s="965" t="s">
        <v>423</v>
      </c>
      <c r="AC271" s="965"/>
      <c r="AD271" s="965"/>
      <c r="AE271" s="965"/>
      <c r="AF271" s="965"/>
      <c r="AG271" s="196">
        <f ca="1">IF($B$262="Лікар загальної практики - сімейний лікар",IF(AG266&lt;Законод!$C$22,0,(IF(AND(AG266&gt;=Законод!$H$22,AG266&lt;=Законод!$H$23),AG266-Законод!$G$23,IF('01_Доходи'!AG266&gt;=Законод!$I$22,Законод!$H$24,0)))),IF($B$262="Лікар-педіатр",IF(AG266&lt;Законод!$C$18,0,(IF(AND(AG266&gt;=Законод!$H$18,AG266&lt;=Законод!$H$19),AG266-Законод!$G$19,IF('01_Доходи'!AG266&gt;=Законод!$I$18,Законод!$H$20,0)))),IF($B$262="Лікар-терапевт",IF(AG266&lt;Законод!$C$26,0,(IF(AND(AG266&gt;=Законод!$H$26,AG266&lt;=Законод!$H$27),AG266-Законод!$G$27,IF(AG266&gt;=Законод!$I$26,Законод!$H$28,0)))),0)))</f>
        <v>0</v>
      </c>
      <c r="AH271" s="966"/>
      <c r="AI271" s="201"/>
      <c r="AJ271" s="945"/>
      <c r="AK271" s="960"/>
      <c r="AL271" s="960"/>
      <c r="AM271" s="927"/>
      <c r="AN271" s="210">
        <f ca="1">IF(B262="Лікар загальної практики - сімейний лікар",L271*Законод!$C$9/4*Законод!$H$16,IF(B262="Лікар-педіатр",L271*Законод!$C$9/4*Законод!$H$16,IF(B262="Лікар-терапевт",L271*Законод!$C$9/4*Законод!$H$16,0)))</f>
        <v>0</v>
      </c>
      <c r="AO271" s="210">
        <f ca="1">IF(B262="Лікар загальної практики - сімейний лікар",S271*Законод!$C$9/4*Законод!$H$16,IF(B262="Лікар-педіатр",S271*Законод!$C$9/4*Законод!$H$16,IF(B262="Лікар-терапевт",S271*Законод!$C$9/4*Законод!$H$16,0)))</f>
        <v>0</v>
      </c>
      <c r="AP271" s="210">
        <f ca="1">IF(B262="Лікар загальної практики - сімейний лікар",Z271*Законод!$C$9/4*Законод!$H$16,IF(B262="Лікар-педіатр",Z271*Законод!$C$9/4*Законод!$H$16,IF(B262="Лікар-терапевт",Z271*Законод!$C$9/4*Законод!$H$16,0)))</f>
        <v>0</v>
      </c>
      <c r="AQ271" s="210">
        <f ca="1">IF(B262="Лікар загальної практики - сімейний лікар",AG271*Законод!$C$9/4*Законод!$H$16,IF(B262="Лікар-педіатр",AG271*Законод!$C$9/4*Законод!$H$16,IF(B262="Лікар-терапевт",AG271*Законод!$C$9/4*Законод!$H$16,0)))</f>
        <v>0</v>
      </c>
      <c r="AR271" s="211">
        <f t="shared" si="48"/>
        <v>0</v>
      </c>
    </row>
    <row r="272" spans="1:44" s="50" customFormat="1" ht="31.9" customHeight="1">
      <c r="A272" s="197"/>
      <c r="B272" s="969"/>
      <c r="C272" s="974"/>
      <c r="D272" s="971"/>
      <c r="E272" s="971"/>
      <c r="F272" s="238" t="str">
        <f ca="1">IF(B262="Лікар-педіатр",Законод!$I$17,IF(B262="Лікар загальної практики - сімейний лікар",Законод!$I$21,IF(B262="Лікар-терапевт",Законод!$I$25,"х")))</f>
        <v>понад ліміт (1261-1350)</v>
      </c>
      <c r="G272" s="965" t="s">
        <v>423</v>
      </c>
      <c r="H272" s="965"/>
      <c r="I272" s="965"/>
      <c r="J272" s="965"/>
      <c r="K272" s="965"/>
      <c r="L272" s="196">
        <f ca="1">IF($B$262="Лікар загальної практики - сімейний лікар",IF(L266&lt;Законод!$C$22,0,(IF(AND(L266&gt;=Законод!$I$22,L266&lt;=Законод!$I$23),L266-Законод!$H$23,IF('01_Доходи'!L266&gt;=Законод!$I$22,Законод!$I$24,0)))),IF($B$262="Лікар-педіатр",IF(L266&lt;Законод!$C$18,0,(IF(AND(L266&gt;=Законод!$I$18,L266&lt;=Законод!$I$19),L266-Законод!$H$19,IF('01_Доходи'!L266&gt;=Законод!$I$18,Законод!$H$20,0)))),IF($B$262="Лікар-терапевт",IF(L266&lt;Законод!$C$26,0,(IF(AND(L266&gt;=Законод!$I$26,L266&lt;=Законод!$I$27),L266-Законод!$H$27,IF('01_Доходи'!L266&gt;=Законод!$I$26,Законод!$H$28,0)))),0)))</f>
        <v>0</v>
      </c>
      <c r="M272" s="966"/>
      <c r="N272" s="965" t="s">
        <v>423</v>
      </c>
      <c r="O272" s="965"/>
      <c r="P272" s="965"/>
      <c r="Q272" s="965"/>
      <c r="R272" s="965"/>
      <c r="S272" s="196">
        <f ca="1">IF($B$262="Лікар загальної практики - сімейний лікар",IF(S266&lt;Законод!$C$22,0,(IF(AND(S266&gt;=Законод!$I$22,S266&lt;=Законод!$I$23),S266-Законод!$H$23,IF('01_Доходи'!S266&gt;=Законод!$I$22,Законод!$I$24,0)))),IF($B$262="Лікар-педіатр",IF(S266&lt;Законод!$C$18,0,(IF(AND(S266&gt;=Законод!$I$18,S266&lt;=Законод!$I$19),S266-Законод!$H$19,IF('01_Доходи'!S266&gt;=Законод!$I$18,Законод!$H$20,0)))),IF($B$262="Лікар-терапевт",IF(S266&lt;Законод!$C$26,0,(IF(AND(S266&gt;=Законод!$I$26,S266&lt;=Законод!$I$27),S266-Законод!$H$27,IF('01_Доходи'!S266&gt;=Законод!$I$26,Законод!$H$28,0)))),0)))</f>
        <v>0</v>
      </c>
      <c r="T272" s="966"/>
      <c r="U272" s="965" t="s">
        <v>423</v>
      </c>
      <c r="V272" s="965"/>
      <c r="W272" s="965"/>
      <c r="X272" s="965"/>
      <c r="Y272" s="965"/>
      <c r="Z272" s="196">
        <f ca="1">IF($B$262="Лікар загальної практики - сімейний лікар",IF(Z266&lt;Законод!$C$22,0,(IF(AND(Z266&gt;=Законод!$I$22,Z266&lt;=Законод!$I$23),Z266-Законод!$H$23,IF('01_Доходи'!Z266&gt;=Законод!$I$22,Законод!$I$24,0)))),IF($B$262="Лікар-педіатр",IF(Z266&lt;Законод!$C$18,0,(IF(AND(Z266&gt;=Законод!$I$18,Z266&lt;=Законод!$I$19),Z266-Законод!$H$19,IF('01_Доходи'!Z266&gt;=Законод!$I$18,Законод!$H$20,0)))),IF($B$262="Лікар-терапевт",IF(Z266&lt;Законод!$C$26,0,(IF(AND(Z266&gt;=Законод!$I$26,Z266&lt;=Законод!$I$27),Z266-Законод!$H$27,IF('01_Доходи'!Z266&gt;=Законод!$I$26,Законод!$H$28,0)))),0)))</f>
        <v>0</v>
      </c>
      <c r="AA272" s="966"/>
      <c r="AB272" s="965" t="s">
        <v>423</v>
      </c>
      <c r="AC272" s="965"/>
      <c r="AD272" s="965"/>
      <c r="AE272" s="965"/>
      <c r="AF272" s="965"/>
      <c r="AG272" s="196">
        <f ca="1">IF($B$262="Лікар загальної практики - сімейний лікар",IF(AG266&lt;Законод!$C$22,0,(IF(AND(AG266&gt;=Законод!$I$22,AG266&lt;=Законод!$I$23),AG266-Законод!$H$23,IF('01_Доходи'!AG266&gt;=Законод!$I$22,Законод!$I$24,0)))),IF($B$262="Лікар-педіатр",IF(AG266&lt;Законод!$C$18,0,(IF(AND(AG266&gt;=Законод!$I$18,AG266&lt;=Законод!$I$19),AG266-Законод!$H$19,IF('01_Доходи'!AG266&gt;=Законод!$I$18,Законод!$H$20,0)))),IF($B$262="Лікар-терапевт",IF(AG266&lt;Законод!$C$26,0,(IF(AND(AG266&gt;=Законод!$I$26,AG266&lt;=Законод!$I$27),AG266-Законод!$H$27,IF('01_Доходи'!AG266&gt;=Законод!$I$26,Законод!$H$28,0)))),0)))</f>
        <v>0</v>
      </c>
      <c r="AH272" s="966"/>
      <c r="AI272" s="201"/>
      <c r="AJ272" s="945"/>
      <c r="AK272" s="960"/>
      <c r="AL272" s="960"/>
      <c r="AM272" s="927"/>
      <c r="AN272" s="210">
        <f ca="1">IF(B262="Лікар загальної практики - сімейний лікар",L272*Законод!$C$9/4*Законод!$I$16,IF(B262="Лікар-педіатр",L272*Законод!$C$9/4*Законод!$I$16,IF(B262="Лікар-терапевт",L272*Законод!$C$9/4*Законод!$I$16,0)))</f>
        <v>0</v>
      </c>
      <c r="AO272" s="210">
        <f ca="1">IF(B262="Лікар загальної практики - сімейний лікар",S272*Законод!$C$9/4*Законод!$I$16,IF(B262="Лікар-педіатр",S272*Законод!$C$9/4*Законод!$I$16,IF(B262="Лікар-терапевт",S272*Законод!$C$9/4*Законод!$I$16,0)))</f>
        <v>0</v>
      </c>
      <c r="AP272" s="210">
        <f ca="1">IF(B262="Лікар загальної практики - сімейний лікар",Z272*Законод!$C$9/4*Законод!$I$16,IF(B262="Лікар-педіатр",Z272*Законод!$C$9/4*Законод!$I$16,IF(B262="Лікар-терапевт",Z272*Законод!$C$9/4*Законод!$I$16,0)))</f>
        <v>0</v>
      </c>
      <c r="AQ272" s="210">
        <f ca="1">IF(B262="Лікар загальної практики - сімейний лікар",AG272*Законод!$C$9/4*Законод!$I$16,IF(B262="Лікар-педіатр",AG272*Законод!$C$9/4*Законод!$I$16,IF(B262="Лікар-терапевт",AG272*Законод!$C$9/4*Законод!$I$16,0)))</f>
        <v>0</v>
      </c>
      <c r="AR272" s="211">
        <f t="shared" si="48"/>
        <v>0</v>
      </c>
    </row>
    <row r="273" spans="1:44" s="218" customFormat="1" ht="31.9" customHeight="1" thickBot="1">
      <c r="A273" s="213"/>
      <c r="B273" s="969"/>
      <c r="C273" s="974"/>
      <c r="D273" s="971"/>
      <c r="E273" s="971"/>
      <c r="F273" s="239" t="str">
        <f ca="1">IF(B262="Лікар-педіатр",Законод!$J$17,IF(B262="Лікар загальної практики - сімейний лікар",Законод!$J$21,IF(B262="Лікар-терапевт",Законод!$J$25,"х")))</f>
        <v>понад ліміт (&gt;=1351)</v>
      </c>
      <c r="G273" s="968" t="s">
        <v>423</v>
      </c>
      <c r="H273" s="968"/>
      <c r="I273" s="968"/>
      <c r="J273" s="968"/>
      <c r="K273" s="968"/>
      <c r="L273" s="196">
        <f ca="1">IF($B$262="Лікар загальної практики - сімейний лікар",IF(L266&gt;=Законод!$J$22,'01_Доходи'!L266-('01_Доходи'!L267+'01_Доходи'!L268+'01_Доходи'!L269+'01_Доходи'!L270+'01_Доходи'!L271+'01_Доходи'!L272),0),IF($B$262="Лікар-педіатр",IF(L266&gt;=Законод!$J$18,'01_Доходи'!L266-('01_Доходи'!L267+'01_Доходи'!L268+'01_Доходи'!L269+'01_Доходи'!L270+'01_Доходи'!L271+'01_Доходи'!L272),0),IF($B$262="Лікар-терапевт",IF('01_Доходи'!L266&gt;=Законод!$J$26,L266-Законод!$I$27,0),0)))</f>
        <v>0</v>
      </c>
      <c r="M273" s="966"/>
      <c r="N273" s="968" t="s">
        <v>423</v>
      </c>
      <c r="O273" s="968"/>
      <c r="P273" s="968"/>
      <c r="Q273" s="968"/>
      <c r="R273" s="968"/>
      <c r="S273" s="196">
        <f ca="1">IF($B$262="Лікар загальної практики - сімейний лікар",IF(S266&gt;=Законод!$J$22,'01_Доходи'!S266-('01_Доходи'!S267+'01_Доходи'!S268+'01_Доходи'!S269+'01_Доходи'!S270+'01_Доходи'!S271+'01_Доходи'!S272),0),IF($B$262="Лікар-педіатр",IF(S266&gt;=Законод!$J$18,'01_Доходи'!S266-('01_Доходи'!S267+'01_Доходи'!S268+'01_Доходи'!S269+'01_Доходи'!S270+'01_Доходи'!S271+'01_Доходи'!S272),0),IF($B$262="Лікар-терапевт",IF('01_Доходи'!S266&gt;=Законод!$J$26,S266-Законод!$I$27,0),0)))</f>
        <v>0</v>
      </c>
      <c r="T273" s="966"/>
      <c r="U273" s="968" t="s">
        <v>423</v>
      </c>
      <c r="V273" s="968"/>
      <c r="W273" s="968"/>
      <c r="X273" s="968"/>
      <c r="Y273" s="968"/>
      <c r="Z273" s="196">
        <f ca="1">IF($B$262="Лікар загальної практики - сімейний лікар",IF(Z266&gt;=Законод!$J$22,'01_Доходи'!Z266-('01_Доходи'!Z267+'01_Доходи'!Z268+'01_Доходи'!Z269+'01_Доходи'!Z270+'01_Доходи'!Z271+'01_Доходи'!Z272),0),IF($B$262="Лікар-педіатр",IF(Z266&gt;=Законод!$J$18,'01_Доходи'!Z266-('01_Доходи'!Z267+'01_Доходи'!Z268+'01_Доходи'!Z269+'01_Доходи'!Z270+'01_Доходи'!Z271+'01_Доходи'!Z272),0),IF($B$262="Лікар-терапевт",IF('01_Доходи'!Z266&gt;=Законод!$J$26,Z266-Законод!$I$27,0),0)))</f>
        <v>0</v>
      </c>
      <c r="AA273" s="966"/>
      <c r="AB273" s="968" t="s">
        <v>423</v>
      </c>
      <c r="AC273" s="968"/>
      <c r="AD273" s="968"/>
      <c r="AE273" s="968"/>
      <c r="AF273" s="968"/>
      <c r="AG273" s="196">
        <f ca="1">IF($B$262="Лікар загальної практики - сімейний лікар",IF(AG266&gt;=Законод!$J$22,'01_Доходи'!AG266-('01_Доходи'!AG267+'01_Доходи'!AG268+'01_Доходи'!AG269+'01_Доходи'!AG270+'01_Доходи'!AG271+'01_Доходи'!AG272),0),IF($B$262="Лікар-педіатр",IF(AG266&gt;=Законод!$J$18,'01_Доходи'!AG266-('01_Доходи'!AG267+'01_Доходи'!AG268+'01_Доходи'!AG269+'01_Доходи'!AG270+'01_Доходи'!AG271+'01_Доходи'!AG272),0),IF($B$262="Лікар-терапевт",IF('01_Доходи'!AG266&gt;=Законод!$J$26,AG266-Законод!$I$27,0),0)))</f>
        <v>0</v>
      </c>
      <c r="AH273" s="966"/>
      <c r="AI273" s="215"/>
      <c r="AJ273" s="946"/>
      <c r="AK273" s="961"/>
      <c r="AL273" s="961"/>
      <c r="AM273" s="928"/>
      <c r="AN273" s="216">
        <f ca="1">IF(B262="Лікар загальної практики - сімейний лікар",L273*Законод!$C$9/4*Законод!$J$16,IF(B262="Лікар-педіатр",L273*Законод!$C$9/4*Законод!$J$16,IF(B262="Лікар-терапевт",L273*Законод!$C$9/4*Законод!$J$16,0)))</f>
        <v>0</v>
      </c>
      <c r="AO273" s="216">
        <f ca="1">IF(B262="Лікар загальної практики - сімейний лікар",S273*Законод!$C$9/4*Законод!$J$16,IF(B262="Лікар-педіатр",S273*Законод!$C$9/4*Законод!$J$16,IF(B262="Лікар-терапевт",S273*Законод!$C$9/4*Законод!$J$16,0)))</f>
        <v>0</v>
      </c>
      <c r="AP273" s="216">
        <f ca="1">IF(B262="Лікар загальної практики - сімейний лікар",S273*Законод!$C$9/4*Законод!$J$16,IF(B262="Лікар-педіатр",S273*Законод!$C$9/4*Законод!$J$16,IF(B262="Лікар-терапевт",S273*Законод!$C$9/4*Законод!$J$16,0)))</f>
        <v>0</v>
      </c>
      <c r="AQ273" s="216">
        <f ca="1">IF(B262="Лікар загальної практики - сімейний лікар",AG273*Законод!$C$9/4*Законод!$J$16,IF(B262="Лікар-педіатр",AG273*Законод!$C$9/4*Законод!$J$16,IF(B262="Лікар-терапевт",AG273*Законод!$C$9/4*Законод!$J$16,0)))</f>
        <v>0</v>
      </c>
      <c r="AR273" s="217">
        <f t="shared" si="48"/>
        <v>0</v>
      </c>
    </row>
    <row r="274" spans="1:44" s="247" customFormat="1" ht="23.45" customHeight="1" thickBot="1">
      <c r="A274" s="243"/>
      <c r="B274" s="244"/>
      <c r="C274" s="244"/>
      <c r="D274" s="244"/>
      <c r="E274" s="244"/>
      <c r="F274" s="245"/>
      <c r="G274" s="246"/>
      <c r="H274" s="246"/>
      <c r="L274" s="248"/>
      <c r="S274" s="248"/>
      <c r="Z274" s="248"/>
      <c r="AG274" s="248"/>
      <c r="AM274" s="249"/>
      <c r="AR274" s="250"/>
    </row>
    <row r="275" spans="1:44" s="191" customFormat="1" ht="27.6" customHeight="1">
      <c r="A275" s="194">
        <f>A262+1</f>
        <v>19</v>
      </c>
      <c r="B275" s="969" t="s">
        <v>312</v>
      </c>
      <c r="C275" s="975" t="s">
        <v>9</v>
      </c>
      <c r="D275" s="971"/>
      <c r="E275" s="971" t="str">
        <f>E249</f>
        <v>Рожищенська АЗПСМ №1</v>
      </c>
      <c r="F275" s="234" t="s">
        <v>659</v>
      </c>
      <c r="G275" s="196">
        <v>24</v>
      </c>
      <c r="H275" s="196">
        <v>82</v>
      </c>
      <c r="I275" s="196">
        <v>105</v>
      </c>
      <c r="J275" s="196">
        <v>70</v>
      </c>
      <c r="K275" s="196">
        <v>30</v>
      </c>
      <c r="L275" s="557">
        <f t="shared" ref="L275:L280" si="49">SUM(G275:K275)</f>
        <v>311</v>
      </c>
      <c r="M275" s="966">
        <v>0</v>
      </c>
      <c r="N275" s="196">
        <v>24</v>
      </c>
      <c r="O275" s="196">
        <v>82</v>
      </c>
      <c r="P275" s="196">
        <v>105</v>
      </c>
      <c r="Q275" s="196">
        <v>70</v>
      </c>
      <c r="R275" s="196">
        <v>30</v>
      </c>
      <c r="S275" s="557">
        <f t="shared" ref="S275:S280" si="50">SUM(N275:R275)</f>
        <v>311</v>
      </c>
      <c r="T275" s="966">
        <v>0</v>
      </c>
      <c r="U275" s="196">
        <v>24</v>
      </c>
      <c r="V275" s="196">
        <v>82</v>
      </c>
      <c r="W275" s="196">
        <v>105</v>
      </c>
      <c r="X275" s="196">
        <v>70</v>
      </c>
      <c r="Y275" s="196">
        <v>30</v>
      </c>
      <c r="Z275" s="557">
        <f t="shared" ref="Z275:Z280" si="51">SUM(U275:Y275)</f>
        <v>311</v>
      </c>
      <c r="AA275" s="966">
        <v>0</v>
      </c>
      <c r="AB275" s="196">
        <v>24</v>
      </c>
      <c r="AC275" s="196">
        <v>82</v>
      </c>
      <c r="AD275" s="196">
        <v>105</v>
      </c>
      <c r="AE275" s="196">
        <v>70</v>
      </c>
      <c r="AF275" s="196">
        <v>30</v>
      </c>
      <c r="AG275" s="557">
        <f t="shared" ref="AG275:AG280" si="52">SUM(AB275:AF275)</f>
        <v>311</v>
      </c>
      <c r="AH275" s="966">
        <v>1</v>
      </c>
      <c r="AI275" s="540">
        <f>A275</f>
        <v>19</v>
      </c>
      <c r="AJ275" s="944" t="str">
        <f>B275</f>
        <v>Лікар загальної практики - сімейний лікар</v>
      </c>
      <c r="AK275" s="959" t="str">
        <f>C275</f>
        <v>Сасавська Людмила Володимирівна</v>
      </c>
      <c r="AL275" s="959">
        <f>D275</f>
        <v>0</v>
      </c>
      <c r="AM275" s="929" t="s">
        <v>79</v>
      </c>
      <c r="AN275" s="947">
        <f>SUM(AN280:AN286)</f>
        <v>63663.977825000002</v>
      </c>
      <c r="AO275" s="947">
        <f>SUM(AO280:AO286)</f>
        <v>63663.977825000002</v>
      </c>
      <c r="AP275" s="947">
        <f>SUM(AP280:AP286)</f>
        <v>63663.977825000002</v>
      </c>
      <c r="AQ275" s="947">
        <f>SUM(AQ280:AQ286)</f>
        <v>63663.977825000002</v>
      </c>
      <c r="AR275" s="962">
        <f>SUM(AN275:AQ279)</f>
        <v>254655.91130000001</v>
      </c>
    </row>
    <row r="276" spans="1:44" s="50" customFormat="1" ht="28.15" customHeight="1">
      <c r="A276" s="197"/>
      <c r="B276" s="969"/>
      <c r="C276" s="975"/>
      <c r="D276" s="971"/>
      <c r="E276" s="971"/>
      <c r="F276" s="234" t="s">
        <v>660</v>
      </c>
      <c r="G276" s="196">
        <v>24</v>
      </c>
      <c r="H276" s="196">
        <v>82</v>
      </c>
      <c r="I276" s="196">
        <v>105</v>
      </c>
      <c r="J276" s="196">
        <v>70</v>
      </c>
      <c r="K276" s="196">
        <v>30</v>
      </c>
      <c r="L276" s="557">
        <f t="shared" si="49"/>
        <v>311</v>
      </c>
      <c r="M276" s="966"/>
      <c r="N276" s="196">
        <v>24</v>
      </c>
      <c r="O276" s="196">
        <v>82</v>
      </c>
      <c r="P276" s="196">
        <v>105</v>
      </c>
      <c r="Q276" s="196">
        <v>70</v>
      </c>
      <c r="R276" s="196">
        <v>30</v>
      </c>
      <c r="S276" s="557">
        <f t="shared" si="50"/>
        <v>311</v>
      </c>
      <c r="T276" s="966"/>
      <c r="U276" s="196">
        <v>24</v>
      </c>
      <c r="V276" s="196">
        <v>82</v>
      </c>
      <c r="W276" s="196">
        <v>105</v>
      </c>
      <c r="X276" s="196">
        <v>70</v>
      </c>
      <c r="Y276" s="196">
        <v>30</v>
      </c>
      <c r="Z276" s="557">
        <f t="shared" si="51"/>
        <v>311</v>
      </c>
      <c r="AA276" s="966"/>
      <c r="AB276" s="196">
        <v>24</v>
      </c>
      <c r="AC276" s="196">
        <v>82</v>
      </c>
      <c r="AD276" s="196">
        <v>105</v>
      </c>
      <c r="AE276" s="196">
        <v>70</v>
      </c>
      <c r="AF276" s="196">
        <v>30</v>
      </c>
      <c r="AG276" s="557">
        <f t="shared" si="52"/>
        <v>311</v>
      </c>
      <c r="AH276" s="966"/>
      <c r="AI276" s="198"/>
      <c r="AJ276" s="945"/>
      <c r="AK276" s="960"/>
      <c r="AL276" s="960"/>
      <c r="AM276" s="930"/>
      <c r="AN276" s="948"/>
      <c r="AO276" s="948"/>
      <c r="AP276" s="948"/>
      <c r="AQ276" s="948"/>
      <c r="AR276" s="963"/>
    </row>
    <row r="277" spans="1:44" s="90" customFormat="1" ht="31.15" customHeight="1">
      <c r="A277" s="240"/>
      <c r="B277" s="969"/>
      <c r="C277" s="975"/>
      <c r="D277" s="971"/>
      <c r="E277" s="971"/>
      <c r="F277" s="241" t="s">
        <v>661</v>
      </c>
      <c r="G277" s="196">
        <v>24</v>
      </c>
      <c r="H277" s="196">
        <v>82</v>
      </c>
      <c r="I277" s="196">
        <v>105</v>
      </c>
      <c r="J277" s="196">
        <v>70</v>
      </c>
      <c r="K277" s="196">
        <v>30</v>
      </c>
      <c r="L277" s="200">
        <f t="shared" si="49"/>
        <v>311</v>
      </c>
      <c r="M277" s="966"/>
      <c r="N277" s="196">
        <v>24</v>
      </c>
      <c r="O277" s="196">
        <v>82</v>
      </c>
      <c r="P277" s="196">
        <v>105</v>
      </c>
      <c r="Q277" s="196">
        <v>70</v>
      </c>
      <c r="R277" s="196">
        <v>30</v>
      </c>
      <c r="S277" s="200">
        <f t="shared" si="50"/>
        <v>311</v>
      </c>
      <c r="T277" s="966"/>
      <c r="U277" s="196">
        <v>24</v>
      </c>
      <c r="V277" s="196">
        <v>82</v>
      </c>
      <c r="W277" s="196">
        <v>105</v>
      </c>
      <c r="X277" s="196">
        <v>70</v>
      </c>
      <c r="Y277" s="196">
        <v>30</v>
      </c>
      <c r="Z277" s="200">
        <f t="shared" si="51"/>
        <v>311</v>
      </c>
      <c r="AA277" s="966"/>
      <c r="AB277" s="196">
        <v>24</v>
      </c>
      <c r="AC277" s="196">
        <v>82</v>
      </c>
      <c r="AD277" s="196">
        <v>105</v>
      </c>
      <c r="AE277" s="196">
        <v>70</v>
      </c>
      <c r="AF277" s="196">
        <v>30</v>
      </c>
      <c r="AG277" s="200">
        <f t="shared" si="52"/>
        <v>311</v>
      </c>
      <c r="AH277" s="966"/>
      <c r="AI277" s="242"/>
      <c r="AJ277" s="945"/>
      <c r="AK277" s="960"/>
      <c r="AL277" s="960"/>
      <c r="AM277" s="930"/>
      <c r="AN277" s="948"/>
      <c r="AO277" s="948"/>
      <c r="AP277" s="948"/>
      <c r="AQ277" s="948"/>
      <c r="AR277" s="963"/>
    </row>
    <row r="278" spans="1:44" s="50" customFormat="1" ht="31.9" customHeight="1" thickBot="1">
      <c r="A278" s="197"/>
      <c r="B278" s="969"/>
      <c r="C278" s="975"/>
      <c r="D278" s="971"/>
      <c r="E278" s="971"/>
      <c r="F278" s="236" t="s">
        <v>426</v>
      </c>
      <c r="G278" s="203">
        <f>IF($B$275="Лікар-педіатр",G277/L277,IF($B$275="Лікар-терапевт","х",IF($B$275="Лікар загальної практики - сімейний лікар",G277/L277,0)))</f>
        <v>7.7170418006430874E-2</v>
      </c>
      <c r="H278" s="203">
        <f>IF($B$275="Лікар-педіатр",H277/L277,IF($B$275="Лікар-терапевт","х",IF($B$275="Лікар загальної практики - сімейний лікар",H277/L277,0)))</f>
        <v>0.26366559485530544</v>
      </c>
      <c r="I278" s="203">
        <f>IF($B$275="Лікар-педіатр","x",IF($B$275="Лікар-терапевт",I277/L277,IF($B$275="Лікар загальної практики - сімейний лікар",I277/L277,0)))</f>
        <v>0.33762057877813506</v>
      </c>
      <c r="J278" s="203">
        <f>IF($B$275="Лікар-педіатр","x",IF($B$275="Лікар-терапевт",J277/L277,IF($B$275="Лікар загальної практики - сімейний лікар",J277/L277,0)))</f>
        <v>0.22508038585209003</v>
      </c>
      <c r="K278" s="203">
        <f>IF($B$275="Лікар-педіатр","x",IF($B$275="Лікар-терапевт",K277/L277,IF($B$275="Лікар загальної практики - сімейний лікар",K277/L277,0)))</f>
        <v>9.6463022508038579E-2</v>
      </c>
      <c r="L278" s="203">
        <f t="shared" si="49"/>
        <v>1</v>
      </c>
      <c r="M278" s="966"/>
      <c r="N278" s="203">
        <f>IF($B$275="Лікар-педіатр",N277/S277,IF($B$275="Лікар-терапевт","х",IF($B$275="Лікар загальної практики - сімейний лікар",N277/S277,0)))</f>
        <v>7.7170418006430874E-2</v>
      </c>
      <c r="O278" s="203">
        <f>IF($B$275="Лікар-педіатр",O277/S277,IF($B$275="Лікар-терапевт","х",IF($B$275="Лікар загальної практики - сімейний лікар",O277/S277,0)))</f>
        <v>0.26366559485530544</v>
      </c>
      <c r="P278" s="203">
        <f>IF($B$275="Лікар-педіатр","x",IF($B$275="Лікар-терапевт",P277/S277,IF($B$275="Лікар загальної практики - сімейний лікар",P277/S277,0)))</f>
        <v>0.33762057877813506</v>
      </c>
      <c r="Q278" s="203">
        <f>IF($B$275="Лікар-педіатр","x",IF($B$275="Лікар-терапевт",Q277/S277,IF($B$275="Лікар загальної практики - сімейний лікар",Q277/S277,0)))</f>
        <v>0.22508038585209003</v>
      </c>
      <c r="R278" s="203">
        <f>IF($B$275="Лікар-педіатр","x",IF($B$275="Лікар-терапевт",R277/S277,IF($B$275="Лікар загальної практики - сімейний лікар",R277/S277,0)))</f>
        <v>9.6463022508038579E-2</v>
      </c>
      <c r="S278" s="203">
        <f t="shared" si="50"/>
        <v>1</v>
      </c>
      <c r="T278" s="966"/>
      <c r="U278" s="203">
        <f>IF($B$275="Лікар-педіатр",U277/Z277,IF($B$275="Лікар-терапевт","х",IF($B$275="Лікар загальної практики - сімейний лікар",U277/Z277,0)))</f>
        <v>7.7170418006430874E-2</v>
      </c>
      <c r="V278" s="203">
        <f>IF($B$275="Лікар-педіатр",V277/Z277,IF($B$275="Лікар-терапевт","х",IF($B$275="Лікар загальної практики - сімейний лікар",V277/Z277,0)))</f>
        <v>0.26366559485530544</v>
      </c>
      <c r="W278" s="203">
        <f>IF($B$275="Лікар-педіатр","x",IF($B$275="Лікар-терапевт",W277/Z277,IF($B$275="Лікар загальної практики - сімейний лікар",W277/Z277,0)))</f>
        <v>0.33762057877813506</v>
      </c>
      <c r="X278" s="203">
        <f>IF($B$275="Лікар-педіатр","x",IF($B$275="Лікар-терапевт",X277/Z277,IF($B$275="Лікар загальної практики - сімейний лікар",X277/Z277,0)))</f>
        <v>0.22508038585209003</v>
      </c>
      <c r="Y278" s="203">
        <f>IF($B$275="Лікар-педіатр","x",IF($B$275="Лікар-терапевт",Y277/Z277,IF($B$275="Лікар загальної практики - сімейний лікар",Y277/Z277,0)))</f>
        <v>9.6463022508038579E-2</v>
      </c>
      <c r="Z278" s="203">
        <f t="shared" si="51"/>
        <v>1</v>
      </c>
      <c r="AA278" s="966"/>
      <c r="AB278" s="203">
        <f>IF($B$275="Лікар-педіатр",AB277/AG277,IF($B$275="Лікар-терапевт","х",IF($B$275="Лікар загальної практики - сімейний лікар",AB277/AG277,0)))</f>
        <v>7.7170418006430874E-2</v>
      </c>
      <c r="AC278" s="203">
        <f>IF($B$275="Лікар-педіатр",AC277/AG277,IF($B$275="Лікар-терапевт","х",IF($B$275="Лікар загальної практики - сімейний лікар",AC277/AG277,0)))</f>
        <v>0.26366559485530544</v>
      </c>
      <c r="AD278" s="203">
        <f>IF($B$275="Лікар-педіатр","x",IF($B$275="Лікар-терапевт",AD277/AG277,IF($B$275="Лікар загальної практики - сімейний лікар",AD277/AG277,0)))</f>
        <v>0.33762057877813506</v>
      </c>
      <c r="AE278" s="203">
        <f>IF($B$275="Лікар-педіатр","x",IF($B$275="Лікар-терапевт",AE277/AG277,IF($B$275="Лікар загальної практики - сімейний лікар",AE277/AG277,0)))</f>
        <v>0.22508038585209003</v>
      </c>
      <c r="AF278" s="203">
        <f>IF($B$275="Лікар-педіатр","x",IF($B$275="Лікар-терапевт",AF277/AG277,IF($B$275="Лікар загальної практики - сімейний лікар",AF277/AG277,0)))</f>
        <v>9.6463022508038579E-2</v>
      </c>
      <c r="AG278" s="203">
        <f t="shared" si="52"/>
        <v>1</v>
      </c>
      <c r="AH278" s="966"/>
      <c r="AI278" s="201"/>
      <c r="AJ278" s="945"/>
      <c r="AK278" s="960"/>
      <c r="AL278" s="960"/>
      <c r="AM278" s="930"/>
      <c r="AN278" s="948"/>
      <c r="AO278" s="948"/>
      <c r="AP278" s="948"/>
      <c r="AQ278" s="948"/>
      <c r="AR278" s="963"/>
    </row>
    <row r="279" spans="1:44" s="50" customFormat="1" ht="45" customHeight="1" thickBot="1">
      <c r="A279" s="197"/>
      <c r="B279" s="969"/>
      <c r="C279" s="975"/>
      <c r="D279" s="971"/>
      <c r="E279" s="972"/>
      <c r="F279" s="204" t="s">
        <v>662</v>
      </c>
      <c r="G279" s="205">
        <f>IF($B$275="Лікар загальної практики - сімейний лікар",AVERAGE(G275:G277),IF($B$275="Лікар-педіатр",AVERAGE(G275:G277),IF($B$275="Лікар-терапевт","х",0)))</f>
        <v>24</v>
      </c>
      <c r="H279" s="205">
        <f>IF($B$275="Лікар загальної практики - сімейний лікар",AVERAGE(H275:H277),IF($B$275="Лікар-педіатр",AVERAGE(H275:H277),IF($B$275="Лікар-терапевт","х",0)))</f>
        <v>82</v>
      </c>
      <c r="I279" s="205">
        <f>IF($B$275="Лікар загальної практики - сімейний лікар",AVERAGE(I275:I277),IF($B$275="Лікар-педіатр","x",IF($B$275="Лікар-терапевт",AVERAGE(I275:I277),0)))</f>
        <v>105</v>
      </c>
      <c r="J279" s="205">
        <f>IF($B$275="Лікар загальної практики - сімейний лікар",AVERAGE(J275:J277),IF($B$275="Лікар-педіатр","x",IF($B$275="Лікар-терапевт",AVERAGE(J275:J277),0)))</f>
        <v>70</v>
      </c>
      <c r="K279" s="205">
        <f>IF($B$275="Лікар загальної практики - сімейний лікар",AVERAGE(K275:K277),IF($B$275="Лікар-педіатр","x",IF($B$275="Лікар-терапевт",AVERAGE(K275:K277),0)))</f>
        <v>30</v>
      </c>
      <c r="L279" s="206">
        <f t="shared" si="49"/>
        <v>311</v>
      </c>
      <c r="M279" s="973"/>
      <c r="N279" s="205">
        <f>IF($B$275="Лікар загальної практики - сімейний лікар",AVERAGE(N275:N277),IF($B$275="Лікар-педіатр",AVERAGE(N275:N277),IF($B$275="Лікар-терапевт","х",0)))</f>
        <v>24</v>
      </c>
      <c r="O279" s="205">
        <f>IF($B$275="Лікар загальної практики - сімейний лікар",AVERAGE(O275:O277),IF($B$275="Лікар-педіатр",AVERAGE(O275:O277),IF($B$275="Лікар-терапевт","х",0)))</f>
        <v>82</v>
      </c>
      <c r="P279" s="205">
        <f>IF($B$275="Лікар загальної практики - сімейний лікар",AVERAGE(P275:P277),IF($B$275="Лікар-педіатр","x",IF($B$275="Лікар-терапевт",AVERAGE(P275:P277),0)))</f>
        <v>105</v>
      </c>
      <c r="Q279" s="205">
        <f>IF($B$275="Лікар загальної практики - сімейний лікар",AVERAGE(Q275:Q277),IF($B$275="Лікар-педіатр","x",IF($B$275="Лікар-терапевт",AVERAGE(Q275:Q277),0)))</f>
        <v>70</v>
      </c>
      <c r="R279" s="205">
        <f>IF($B$275="Лікар загальної практики - сімейний лікар",AVERAGE(R275:R277),IF($B$275="Лікар-педіатр","x",IF($B$275="Лікар-терапевт",AVERAGE(R275:R277),0)))</f>
        <v>30</v>
      </c>
      <c r="S279" s="206">
        <f t="shared" si="50"/>
        <v>311</v>
      </c>
      <c r="T279" s="973"/>
      <c r="U279" s="205">
        <f>IF($B$275="Лікар загальної практики - сімейний лікар",AVERAGE(U275:U277),IF($B$275="Лікар-педіатр",AVERAGE(U275:U277),IF($B$275="Лікар-терапевт","х",0)))</f>
        <v>24</v>
      </c>
      <c r="V279" s="205">
        <f>IF($B$275="Лікар загальної практики - сімейний лікар",AVERAGE(V275:V277),IF($B$275="Лікар-педіатр",AVERAGE(V275:V277),IF($B$275="Лікар-терапевт","х",0)))</f>
        <v>82</v>
      </c>
      <c r="W279" s="205">
        <f>IF($B$275="Лікар загальної практики - сімейний лікар",AVERAGE(W275:W277),IF($B$275="Лікар-педіатр","x",IF($B$275="Лікар-терапевт",AVERAGE(W275:W277),0)))</f>
        <v>105</v>
      </c>
      <c r="X279" s="205">
        <f>IF($B$275="Лікар загальної практики - сімейний лікар",AVERAGE(X275:X277),IF($B$275="Лікар-педіатр","x",IF($B$275="Лікар-терапевт",AVERAGE(X275:X277),0)))</f>
        <v>70</v>
      </c>
      <c r="Y279" s="205">
        <f>IF($B$275="Лікар загальної практики - сімейний лікар",AVERAGE(Y275:Y277),IF($B$275="Лікар-педіатр","x",IF($B$275="Лікар-терапевт",AVERAGE(Y275:Y277),0)))</f>
        <v>30</v>
      </c>
      <c r="Z279" s="206">
        <f t="shared" si="51"/>
        <v>311</v>
      </c>
      <c r="AA279" s="973"/>
      <c r="AB279" s="205">
        <f>IF($B$275="Лікар загальної практики - сімейний лікар",AVERAGE(AB275:AB277),IF($B$275="Лікар-педіатр",AVERAGE(AB275:AB277),IF($B$275="Лікар-терапевт","х",0)))</f>
        <v>24</v>
      </c>
      <c r="AC279" s="205">
        <f>IF($B$275="Лікар загальної практики - сімейний лікар",AVERAGE(AC275:AC277),IF($B$275="Лікар-педіатр",AVERAGE(AC275:AC277),IF($B$275="Лікар-терапевт","х",0)))</f>
        <v>82</v>
      </c>
      <c r="AD279" s="205">
        <f>IF($B$275="Лікар загальної практики - сімейний лікар",AVERAGE(AD275:AD277),IF($B$275="Лікар-педіатр","x",IF($B$275="Лікар-терапевт",AVERAGE(AD275:AD277),0)))</f>
        <v>105</v>
      </c>
      <c r="AE279" s="205">
        <f>IF($B$275="Лікар загальної практики - сімейний лікар",AVERAGE(AE275:AE277),IF($B$275="Лікар-педіатр","x",IF($B$275="Лікар-терапевт",AVERAGE(AE275:AE277),0)))</f>
        <v>70</v>
      </c>
      <c r="AF279" s="205">
        <f>IF($B$275="Лікар загальної практики - сімейний лікар",AVERAGE(AF275:AF277),IF($B$275="Лікар-педіатр","x",IF($B$275="Лікар-терапевт",AVERAGE(AF275:AF277),0)))</f>
        <v>30</v>
      </c>
      <c r="AG279" s="206">
        <f t="shared" si="52"/>
        <v>311</v>
      </c>
      <c r="AH279" s="967"/>
      <c r="AI279" s="201"/>
      <c r="AJ279" s="945"/>
      <c r="AK279" s="960"/>
      <c r="AL279" s="960"/>
      <c r="AM279" s="931"/>
      <c r="AN279" s="949"/>
      <c r="AO279" s="949"/>
      <c r="AP279" s="949"/>
      <c r="AQ279" s="949"/>
      <c r="AR279" s="964"/>
    </row>
    <row r="280" spans="1:44" s="50" customFormat="1" ht="40.5">
      <c r="A280" s="197"/>
      <c r="B280" s="969"/>
      <c r="C280" s="975"/>
      <c r="D280" s="971"/>
      <c r="E280" s="971"/>
      <c r="F280" s="237" t="str">
        <f ca="1">IF(B275="Лікар-педіатр",Законод!$C$17,IF(B275="Лікар загальної практики - сімейний лікар",Законод!$C$21,IF(B275="Лікар-терапевт",Законод!$C$25,"х")))</f>
        <v>ліміт (до 1800)</v>
      </c>
      <c r="G280" s="208">
        <f ca="1">IF($B$275="Лікар загальної практики - сімейний лікар",IF(L279&lt;=Законод!$C$22,G279,Законод!$C$22*'01_Доходи'!G278),IF($B$275="Лікар-педіатр",IF(L279&lt;=Законод!$C$18,G279,Законод!$C$18*'01_Доходи'!G278),IF($B$275="Лікар-терапевт","x",0)))</f>
        <v>24</v>
      </c>
      <c r="H280" s="208">
        <f ca="1">IF($B$275="Лікар загальної практики - сімейний лікар",IF(L279&lt;=Законод!$C$22,H279,Законод!$C$22*'01_Доходи'!H278),IF($B$275="Лікар-педіатр",IF(L279&lt;=Законод!$C$18,H279,Законод!$C$18*'01_Доходи'!H278),IF($B$275="Лікар-терапевт","x",0)))</f>
        <v>82</v>
      </c>
      <c r="I280" s="208">
        <f ca="1">IF($B$275="Лікар загальної практики - сімейний лікар",IF(L279&lt;=Законод!$C$22,I279,Законод!$C$22*'01_Доходи'!I278),IF($B$275="Лікар-педіатр","x",IF($B$275="Лікар-терапевт",IF(L279&lt;=Законод!$C$26,I279,Законод!$C$26*'01_Доходи'!I278),0)))</f>
        <v>105</v>
      </c>
      <c r="J280" s="208">
        <f ca="1">IF($B$275="Лікар загальної практики - сімейний лікар",IF(L279&lt;=Законод!$C$22,J279,Законод!$C$22*'01_Доходи'!J278),IF($B$275="Лікар-педіатр","x",IF($B$275="Лікар-терапевт",IF(L279&lt;=Законод!$C$26,J279,Законод!$C$26*'01_Доходи'!J278),0)))</f>
        <v>70</v>
      </c>
      <c r="K280" s="208">
        <f ca="1">IF($B$275="Лікар загальної практики - сімейний лікар",IF(L279&lt;=Законод!$C$22,K279,Законод!$C$22*'01_Доходи'!K278),IF($B$275="Лікар-педіатр","x",IF($B$275="Лікар-терапевт",IF(L279&lt;=Законод!$C$26,K279,Законод!$C$26*'01_Доходи'!K278),0)))</f>
        <v>30</v>
      </c>
      <c r="L280" s="209">
        <f t="shared" si="49"/>
        <v>311</v>
      </c>
      <c r="M280" s="966"/>
      <c r="N280" s="208">
        <f ca="1">IF($B$275="Лікар загальної практики - сімейний лікар",IF(S279&lt;=Законод!$C$22,N279,Законод!$C$22*'01_Доходи'!N278),IF($B$275="Лікар-педіатр",IF(S279&lt;=Законод!$C$18,N279,Законод!$C$18*'01_Доходи'!N278),IF($B$275="Лікар-терапевт","x",0)))</f>
        <v>24</v>
      </c>
      <c r="O280" s="208">
        <f ca="1">IF($B$275="Лікар загальної практики - сімейний лікар",IF(S279&lt;=Законод!$C$22,O279,Законод!$C$22*'01_Доходи'!O278),IF($B$275="Лікар-педіатр",IF(S279&lt;=Законод!$C$18,O279,Законод!$C$18*'01_Доходи'!O278),IF($B$275="Лікар-терапевт","x",0)))</f>
        <v>82</v>
      </c>
      <c r="P280" s="208">
        <f ca="1">IF($B$275="Лікар загальної практики - сімейний лікар",IF(S279&lt;=Законод!$C$22,P279,Законод!$C$22*'01_Доходи'!P278),IF($B$275="Лікар-педіатр","x",IF($B$275="Лікар-терапевт",IF(S279&lt;=Законод!$C$26,P279,Законод!$C$26*'01_Доходи'!P278),0)))</f>
        <v>105</v>
      </c>
      <c r="Q280" s="208">
        <f ca="1">IF($B$275="Лікар загальної практики - сімейний лікар",IF(S279&lt;=Законод!$C$22,Q279,Законод!$C$22*'01_Доходи'!Q278),IF($B$275="Лікар-педіатр","x",IF($B$275="Лікар-терапевт",IF(S279&lt;=Законод!$C$26,Q279,Законод!$C$26*'01_Доходи'!Q278),0)))</f>
        <v>70</v>
      </c>
      <c r="R280" s="208">
        <f ca="1">IF($B$275="Лікар загальної практики - сімейний лікар",IF(S279&lt;=Законод!$C$22,R279,Законод!$C$22*'01_Доходи'!R278),IF($B$275="Лікар-педіатр","x",IF($B$275="Лікар-терапевт",IF(S279&lt;=Законод!$C$26,R279,Законод!$C$26*'01_Доходи'!R278),0)))</f>
        <v>30</v>
      </c>
      <c r="S280" s="209">
        <f t="shared" si="50"/>
        <v>311</v>
      </c>
      <c r="T280" s="966"/>
      <c r="U280" s="208">
        <f ca="1">IF($B$275="Лікар загальної практики - сімейний лікар",IF(Z279&lt;=Законод!$C$22,U279,Законод!$C$22*'01_Доходи'!U278),IF($B$275="Лікар-педіатр",IF(Z279&lt;=Законод!$C$18,U279,Законод!$C$18*'01_Доходи'!U278),IF($B$275="Лікар-терапевт","x",0)))</f>
        <v>24</v>
      </c>
      <c r="V280" s="208">
        <f ca="1">IF($B$275="Лікар загальної практики - сімейний лікар",IF(Z279&lt;=Законод!$C$22,V279,Законод!$C$22*'01_Доходи'!V278),IF($B$275="Лікар-педіатр",IF(Z279&lt;=Законод!$C$18,V279,Законод!$C$18*'01_Доходи'!V278),IF($B$275="Лікар-терапевт","x",0)))</f>
        <v>82</v>
      </c>
      <c r="W280" s="208">
        <f ca="1">IF($B$275="Лікар загальної практики - сімейний лікар",IF(Z279&lt;=Законод!$C$22,W279,Законод!$C$22*'01_Доходи'!W278),IF($B$275="Лікар-педіатр","x",IF($B$275="Лікар-терапевт",IF(Z279&lt;=Законод!$C$26,W279,Законод!$C$26*'01_Доходи'!W278),0)))</f>
        <v>105</v>
      </c>
      <c r="X280" s="208">
        <f ca="1">IF($B$275="Лікар загальної практики - сімейний лікар",IF(Z279&lt;=Законод!$C$22,X279,Законод!$C$22*'01_Доходи'!X278),IF($B$275="Лікар-педіатр","x",IF($B$275="Лікар-терапевт",IF(Z279&lt;=Законод!$C$26,X279,Законод!$C$26*'01_Доходи'!X278),0)))</f>
        <v>70</v>
      </c>
      <c r="Y280" s="208">
        <f ca="1">IF($B$275="Лікар загальної практики - сімейний лікар",IF(Z279&lt;=Законод!$C$22,Y279,Законод!$C$22*'01_Доходи'!Y278),IF($B$275="Лікар-педіатр","x",IF($B$275="Лікар-терапевт",IF(Z279&lt;=Законод!$C$26,Y279,Законод!$C$26*'01_Доходи'!Y278),0)))</f>
        <v>30</v>
      </c>
      <c r="Z280" s="209">
        <f t="shared" si="51"/>
        <v>311</v>
      </c>
      <c r="AA280" s="966"/>
      <c r="AB280" s="208">
        <f ca="1">IF($B$275="Лікар загальної практики - сімейний лікар",IF(AG279&lt;=Законод!$C$22,AB279,Законод!$C$22*'01_Доходи'!AB278),IF($B$275="Лікар-педіатр",IF(AG279&lt;=Законод!$C$18,AB279,Законод!$C$18*'01_Доходи'!AB278),IF($B$275="Лікар-терапевт","x",0)))</f>
        <v>24</v>
      </c>
      <c r="AC280" s="208">
        <f ca="1">IF($B$275="Лікар загальної практики - сімейний лікар",IF(AG279&lt;=Законод!$C$22,AC279,Законод!$C$22*'01_Доходи'!AC278),IF($B$275="Лікар-педіатр",IF(AG279&lt;=Законод!$C$18,AC279,Законод!$C$18*'01_Доходи'!AC278),IF($B$275="Лікар-терапевт","x",0)))</f>
        <v>82</v>
      </c>
      <c r="AD280" s="208">
        <f ca="1">IF($B$275="Лікар загальної практики - сімейний лікар",IF(AG279&lt;=Законод!$C$22,AD279,Законод!$C$22*'01_Доходи'!AD278),IF($B$275="Лікар-педіатр","x",IF($B$275="Лікар-терапевт",IF(AG279&lt;=Законод!$C$26,AD279,Законод!$C$26*'01_Доходи'!AD278),0)))</f>
        <v>105</v>
      </c>
      <c r="AE280" s="208">
        <f ca="1">IF($B$275="Лікар загальної практики - сімейний лікар",IF(AG279&lt;=Законод!$C$22,AE279,Законод!$C$22*'01_Доходи'!AE278),IF($B$275="Лікар-педіатр","x",IF($B$275="Лікар-терапевт",IF(AG279&lt;=Законод!$C$26,AE279,Законод!$C$26*'01_Доходи'!AE278),0)))</f>
        <v>70</v>
      </c>
      <c r="AF280" s="208">
        <f ca="1">IF($B$275="Лікар загальної практики - сімейний лікар",IF(AG279&lt;=Законод!$C$22,AF279,Законод!$C$22*'01_Доходи'!AF278),IF($B$275="Лікар-педіатр","x",IF($B$275="Лікар-терапевт",IF(AG279&lt;=Законод!$C$26,AF279,Законод!$C$26*'01_Доходи'!AF278),0)))</f>
        <v>30</v>
      </c>
      <c r="AG280" s="209">
        <f t="shared" si="52"/>
        <v>311</v>
      </c>
      <c r="AH280" s="966"/>
      <c r="AI280" s="201"/>
      <c r="AJ280" s="945"/>
      <c r="AK280" s="960"/>
      <c r="AL280" s="960"/>
      <c r="AM280" s="348" t="s">
        <v>451</v>
      </c>
      <c r="AN280" s="210">
        <f ca="1">IF(B275="Лікар загальної практики - сімейний лікар",G280*Законод!$C$11+'01_Доходи'!H280*Законод!$D$11+'01_Доходи'!I280*Законод!$E$11+'01_Доходи'!J280*Законод!$F$11+'01_Доходи'!K280*Законод!$G$11,IF(B275="Лікар-педіатр",G280*Законод!$C$11+'01_Доходи'!H280*Законод!$D$11,IF(B275="Лікар-терапевт",'01_Доходи'!I280*Законод!$E$11+'01_Доходи'!J280*Законод!$F$11+'01_Доходи'!K280*Законод!$G$11,0)))</f>
        <v>63663.977825000002</v>
      </c>
      <c r="AO280" s="210">
        <f ca="1">IF(B275="Лікар загальної практики - сімейний лікар",N280*Законод!$C$11+'01_Доходи'!O280*Законод!$D$11+'01_Доходи'!P280*Законод!$E$11+'01_Доходи'!Q280*Законод!$F$11+'01_Доходи'!R280*Законод!$G$11,IF(B275="Лікар-педіатр",N280*Законод!$C$11+'01_Доходи'!O280*Законод!$D$11,IF(B275="Лікар-терапевт",'01_Доходи'!P280*Законод!$E$11+'01_Доходи'!Q280*Законод!$F$11+'01_Доходи'!R280*Законод!$G$11,0)))</f>
        <v>63663.977825000002</v>
      </c>
      <c r="AP280" s="210">
        <f ca="1">IF(B275="Лікар загальної практики - сімейний лікар",U280*Законод!$C$11+'01_Доходи'!V280*Законод!$D$11+'01_Доходи'!W280*Законод!$E$11+'01_Доходи'!X280*Законод!$F$11+'01_Доходи'!Y280*Законод!$G$11,IF(B275="Лікар-педіатр",U280*Законод!$C$11+'01_Доходи'!V280*Законод!$D$11,IF(B275="Лікар-терапевт",'01_Доходи'!W280*Законод!$E$11+'01_Доходи'!X280*Законод!$F$11+'01_Доходи'!Y280*Законод!$G$11,0)))</f>
        <v>63663.977825000002</v>
      </c>
      <c r="AQ280" s="210">
        <f ca="1">IF(B275="Лікар загальної практики - сімейний лікар",AB280*Законод!$C$11+'01_Доходи'!AC280*Законод!$D$11+'01_Доходи'!AD280*Законод!$E$11+'01_Доходи'!AE280*Законод!$F$11+'01_Доходи'!AF280*Законод!$G$11,IF(B275="Лікар-педіатр",AB280*Законод!$C$11+'01_Доходи'!AC280*Законод!$D$11,IF(B275="Лікар-терапевт",'01_Доходи'!AD280*Законод!$E$11+'01_Доходи'!AE280*Законод!$F$11+'01_Доходи'!AF280*Законод!$G$11,0)))</f>
        <v>63663.977825000002</v>
      </c>
      <c r="AR280" s="211">
        <f t="shared" ref="AR280:AR286" si="53">SUM(AN280:AQ280)</f>
        <v>254655.91130000001</v>
      </c>
    </row>
    <row r="281" spans="1:44" s="50" customFormat="1" ht="31.9" customHeight="1">
      <c r="A281" s="197"/>
      <c r="B281" s="969"/>
      <c r="C281" s="975"/>
      <c r="D281" s="971"/>
      <c r="E281" s="971"/>
      <c r="F281" s="238" t="str">
        <f ca="1">IF(B275="Лікар-педіатр",Законод!$E$17,IF(B275="Лікар загальної практики - сімейний лікар",Законод!$E$21,IF(B275="Лікар-терапевт",Законод!$E$25,"х")))</f>
        <v>понад ліміт (1801-1980)</v>
      </c>
      <c r="G281" s="965" t="s">
        <v>423</v>
      </c>
      <c r="H281" s="965"/>
      <c r="I281" s="965"/>
      <c r="J281" s="965"/>
      <c r="K281" s="965"/>
      <c r="L281" s="196">
        <f ca="1">IF($B$275="Лікар загальної практики - сімейний лікар",IF(L279&lt;Законод!$C$22,0,(IF(AND(L279&gt;=Законод!$E$22,L279&lt;=Законод!$E$23),L279-Законод!$C$22,IF('01_Доходи'!L279&gt;=Законод!$F$22,Законод!$E$24,0)))),IF($B$275="Лікар-педіатр",IF(L279&lt;Законод!$C$18,0,(IF(AND(L279&gt;=Законод!$E$18,L279&lt;=Законод!$E$19),L279-Законод!$C$18,IF('01_Доходи'!L279&gt;=Законод!$F$18,Законод!$E$20,0)))),IF($B$275="Лікар-терапевт",IF(L279&lt;Законод!$C$26,0,(IF(AND(L279&gt;=Законод!$E$26,L279&lt;=Законод!$E$27),L279-Законод!$C$26,IF('01_Доходи'!L279&gt;=Законод!$F$26,Законод!$E$28,0)))),0)))</f>
        <v>0</v>
      </c>
      <c r="M281" s="966"/>
      <c r="N281" s="965" t="s">
        <v>423</v>
      </c>
      <c r="O281" s="965"/>
      <c r="P281" s="965"/>
      <c r="Q281" s="965"/>
      <c r="R281" s="965"/>
      <c r="S281" s="196">
        <f ca="1">IF($B$275="Лікар загальної практики - сімейний лікар",IF(S279&lt;Законод!$C$22,0,(IF(AND(S279&gt;=Законод!$E$22,S279&lt;=Законод!$E$23),S279-Законод!$C$22,IF('01_Доходи'!S279&gt;=Законод!$F$22,Законод!$E$24,0)))),IF($B$275="Лікар-педіатр",IF(S279&lt;Законод!$C$18,0,(IF(AND(S279&gt;=Законод!$E$18,S279&lt;=Законод!$E$19),S279-Законод!$C$18,IF('01_Доходи'!S279&gt;=Законод!$F$18,Законод!$E$20,0)))),IF($B$275="Лікар-терапевт",IF(S279&lt;Законод!$C$26,0,(IF(AND(S279&gt;=Законод!$E$26,S279&lt;=Законод!$E$27),S279-Законод!$C$26,IF('01_Доходи'!S279&gt;=Законод!$F$26,Законод!$E$28,0)))),0)))</f>
        <v>0</v>
      </c>
      <c r="T281" s="966"/>
      <c r="U281" s="965" t="s">
        <v>423</v>
      </c>
      <c r="V281" s="965"/>
      <c r="W281" s="965"/>
      <c r="X281" s="965"/>
      <c r="Y281" s="965"/>
      <c r="Z281" s="196">
        <f ca="1">IF($B$275="Лікар загальної практики - сімейний лікар",IF(Z279&lt;Законод!$C$22,0,(IF(AND(Z279&gt;=Законод!$E$22,Z279&lt;=Законод!$E$23),Z279-Законод!$C$22,IF('01_Доходи'!Z279&gt;=Законод!$F$22,Законод!$E$24,0)))),IF($B$275="Лікар-педіатр",IF(Z279&lt;Законод!$C$18,0,(IF(AND(Z279&gt;=Законод!$E$18,Z279&lt;=Законод!$E$19),Z279-Законод!$C$18,IF('01_Доходи'!Z279&gt;=Законод!$F$18,Законод!$E$20,0)))),IF($B$275="Лікар-терапевт",IF(Z279&lt;Законод!$C$26,0,(IF(AND(Z279&gt;=Законод!$E$26,Z279&lt;=Законод!$E$27),Z279-Законод!$C$26,IF('01_Доходи'!Z279&gt;=Законод!$F$26,Законод!$E$28,0)))),0)))</f>
        <v>0</v>
      </c>
      <c r="AA281" s="966"/>
      <c r="AB281" s="965" t="s">
        <v>423</v>
      </c>
      <c r="AC281" s="965"/>
      <c r="AD281" s="965"/>
      <c r="AE281" s="965"/>
      <c r="AF281" s="965"/>
      <c r="AG281" s="196">
        <f ca="1">IF($B$275="Лікар загальної практики - сімейний лікар",IF(AG279&lt;Законод!$C$22,0,(IF(AND(AG279&gt;=Законод!$E$22,AG279&lt;=Законод!$E$23),AG279-Законод!$C$22,IF('01_Доходи'!AG279&gt;=Законод!$F$22,Законод!$E$24,0)))),IF($B$275="Лікар-педіатр",IF(AG279&lt;Законод!$C$18,0,(IF(AND(AG279&gt;=Законод!$E$18,AG279&lt;=Законод!$E$19),AG279-Законод!$C$18,IF('01_Доходи'!AG279&gt;=Законод!$F$18,Законод!$E$20,0)))),IF($B$275="Лікар-терапевт",IF(AG279&lt;Законод!$C$26,0,(IF(AND(AG279&gt;=Законод!$E$26,AG279&lt;=Законод!$E$27),AG279-Законод!$C$26,IF('01_Доходи'!AG279&gt;=Законод!$F$26,Законод!$E$28,0)))),0)))</f>
        <v>0</v>
      </c>
      <c r="AH281" s="966"/>
      <c r="AI281" s="201"/>
      <c r="AJ281" s="945"/>
      <c r="AK281" s="960"/>
      <c r="AL281" s="960"/>
      <c r="AM281" s="926" t="s">
        <v>452</v>
      </c>
      <c r="AN281" s="210">
        <f ca="1">IF(B275="Лікар загальної практики - сімейний лікар",L281*Законод!$C$9/4*Законод!$E$16,IF(B275="Лікар-педіатр",L281*Законод!$C$9/4*Законод!$E$16,IF(B275="Лікар-терапевт",L281*Законод!$C$9/4*Законод!$E$16,0)))</f>
        <v>0</v>
      </c>
      <c r="AO281" s="210">
        <f ca="1">IF(B275="Лікар загальної практики - сімейний лікар",S281*Законод!$C$9/4*Законод!$E$16,IF(B275="Лікар-педіатр",S281*Законод!$C$9/4*Законод!$E$16,IF(B275="Лікар-терапевт",S281*Законод!$C$9/4*Законод!$E$16,0)))</f>
        <v>0</v>
      </c>
      <c r="AP281" s="210">
        <f ca="1">IF(B275="Лікар загальної практики - сімейний лікар",Z281*Законод!$C$9/4*Законод!$E$16,IF(B275="Лікар-педіатр",Z281*Законод!$C$9/4*Законод!$E$16,IF(B275="Лікар-терапевт",Z281*Законод!$C$9/4*Законод!$E$16,0)))</f>
        <v>0</v>
      </c>
      <c r="AQ281" s="210">
        <f ca="1">IF(B275="Лікар загальної практики - сімейний лікар",AG281*Законод!$C$9/4*Законод!$E$16,IF(B275="Лікар-педіатр",AG281*Законод!$C$9/4*Законод!$E$16,IF(B275="Лікар-терапевт",AG281*Законод!$C$9/4*Законод!$E$16,0)))</f>
        <v>0</v>
      </c>
      <c r="AR281" s="211">
        <f t="shared" si="53"/>
        <v>0</v>
      </c>
    </row>
    <row r="282" spans="1:44" s="50" customFormat="1" ht="31.9" customHeight="1">
      <c r="A282" s="197"/>
      <c r="B282" s="969"/>
      <c r="C282" s="975"/>
      <c r="D282" s="971"/>
      <c r="E282" s="971"/>
      <c r="F282" s="238" t="str">
        <f ca="1">IF(B275="Лікар-педіатр",Законод!$F$17,IF(B275="Лікар загальної практики - сімейний лікар",Законод!$F$21,IF(B275="Лікар-терапевт",Законод!$F$25,"х")))</f>
        <v>понад ліміт (1981-2160)</v>
      </c>
      <c r="G282" s="965" t="s">
        <v>423</v>
      </c>
      <c r="H282" s="965"/>
      <c r="I282" s="965"/>
      <c r="J282" s="965"/>
      <c r="K282" s="965"/>
      <c r="L282" s="196">
        <f ca="1">IF($B$275="Лікар загальної практики - сімейний лікар",IF(L279&lt;Законод!$C$22,0,(IF(AND(L279&gt;=Законод!$F$22,L279&lt;=Законод!$F$23),L279-Законод!$E$23,IF('01_Доходи'!L279&gt;=Законод!$G$22,Законод!$F$24,0)))),IF($B$275="Лікар-педіатр",IF(L279&lt;Законод!$C$18,0,(IF(AND(L279&gt;=Законод!$F$18,L279&lt;=Законод!$F$19),L279-Законод!$E$19,IF('01_Доходи'!L279&gt;=Законод!$G$18,Законод!$F$20,0)))),IF($B$275="Лікар-терапевт",IF(L279&lt;Законод!$C$26,0,(IF(AND(L279&gt;=Законод!$F$26,L279&lt;=Законод!$F$27),L279-Законод!$E$27,IF('01_Доходи'!L279&gt;=Законод!$G$26,Законод!$F$28,0)))),0)))</f>
        <v>0</v>
      </c>
      <c r="M282" s="966"/>
      <c r="N282" s="965" t="s">
        <v>423</v>
      </c>
      <c r="O282" s="965"/>
      <c r="P282" s="965"/>
      <c r="Q282" s="965"/>
      <c r="R282" s="965"/>
      <c r="S282" s="196">
        <f ca="1">IF($B$275="Лікар загальної практики - сімейний лікар",IF(S279&lt;Законод!$C$22,0,(IF(AND(S279&gt;=Законод!$F$22,S279&lt;=Законод!$F$23),S279-Законод!$E$23,IF('01_Доходи'!S279&gt;=Законод!$G$22,Законод!$F$24,0)))),IF($B$275="Лікар-педіатр",IF(S279&lt;Законод!$C$18,0,(IF(AND(S279&gt;=Законод!$F$18,S279&lt;=Законод!$F$19),S279-Законод!$E$19,IF('01_Доходи'!S279&gt;=Законод!$G$18,Законод!$F$20,0)))),IF($B$275="Лікар-терапевт",IF(S279&lt;Законод!$C$26,0,(IF(AND(S279&gt;=Законод!$F$26,S279&lt;=Законод!$F$27),S279-Законод!$E$27,IF('01_Доходи'!S279&gt;=Законод!$G$26,Законод!$F$28,0)))),0)))</f>
        <v>0</v>
      </c>
      <c r="T282" s="966"/>
      <c r="U282" s="965" t="s">
        <v>423</v>
      </c>
      <c r="V282" s="965"/>
      <c r="W282" s="965"/>
      <c r="X282" s="965"/>
      <c r="Y282" s="965"/>
      <c r="Z282" s="196">
        <f ca="1">IF($B$275="Лікар загальної практики - сімейний лікар",IF(Z279&lt;Законод!$C$22,0,(IF(AND(Z279&gt;=Законод!$F$22,Z279&lt;=Законод!$F$23),Z279-Законод!$E$23,IF('01_Доходи'!Z279&gt;=Законод!$G$22,Законод!$F$24,0)))),IF($B$275="Лікар-педіатр",IF(Z279&lt;Законод!$C$18,0,(IF(AND(Z279&gt;=Законод!$F$18,Z279&lt;=Законод!$F$19),Z279-Законод!$E$19,IF('01_Доходи'!Z279&gt;=Законод!$G$18,Законод!$F$20,0)))),IF($B$275="Лікар-терапевт",IF(Z279&lt;Законод!$C$26,0,(IF(AND(Z279&gt;=Законод!$F$26,Z279&lt;=Законод!$F$27),Z279-Законод!$E$27,IF('01_Доходи'!Z279&gt;=Законод!$G$26,Законод!$F$28,0)))),0)))</f>
        <v>0</v>
      </c>
      <c r="AA282" s="966"/>
      <c r="AB282" s="965" t="s">
        <v>423</v>
      </c>
      <c r="AC282" s="965"/>
      <c r="AD282" s="965"/>
      <c r="AE282" s="965"/>
      <c r="AF282" s="965"/>
      <c r="AG282" s="196">
        <f ca="1">IF($B$275="Лікар загальної практики - сімейний лікар",IF(AG279&lt;Законод!$C$22,0,(IF(AND(AG279&gt;=Законод!$F$22,AG279&lt;=Законод!$F$23),AG279-Законод!$E$23,IF('01_Доходи'!AG279&gt;=Законод!$G$22,Законод!$F$24,0)))),IF($B$275="Лікар-педіатр",IF(AG279&lt;Законод!$C$18,0,(IF(AND(AG279&gt;=Законод!$F$18,AG279&lt;=Законод!$F$19),AG279-Законод!$E$19,IF('01_Доходи'!AG279&gt;=Законод!$G$18,Законод!$F$20,0)))),IF($B$275="Лікар-терапевт",IF(AG279&lt;Законод!$C$26,0,(IF(AND(AG279&gt;=Законод!$F$26,AG279&lt;=Законод!$F$27),AG279-Законод!$E$27,IF('01_Доходи'!AG279&gt;=Законод!$G$26,Законод!$F$28,0)))),0)))</f>
        <v>0</v>
      </c>
      <c r="AH282" s="966"/>
      <c r="AI282" s="201"/>
      <c r="AJ282" s="945"/>
      <c r="AK282" s="960"/>
      <c r="AL282" s="960"/>
      <c r="AM282" s="927"/>
      <c r="AN282" s="210">
        <f ca="1">IF(B275="Лікар загальної практики - сімейний лікар",L282*Законод!$C$9/4*Законод!$F$16,IF(B275="Лікар-педіатр",L282*Законод!$C$9/4*Законод!$F$16,IF(B275="Лікар-терапевт",L282*Законод!$C$9/4*Законод!$F$16,0)))</f>
        <v>0</v>
      </c>
      <c r="AO282" s="210">
        <f ca="1">IF(B275="Лікар загальної практики - сімейний лікар",S282*Законод!$C$9/4*Законод!$F$16,IF(B275="Лікар-педіатр",S282*Законод!$C$9/4*Законод!$F$16,IF(B275="Лікар-терапевт",S282*Законод!$C$9/4*Законод!$F$16,0)))</f>
        <v>0</v>
      </c>
      <c r="AP282" s="210">
        <f ca="1">IF(B275="Лікар загальної практики - сімейний лікар",Z282*Законод!$C$9/4*Законод!$F$16,IF(B275="Лікар-педіатр",Z282*Законод!$C$9/4*Законод!$F$16,IF(B275="Лікар-терапевт",Z282*Законод!$C$9/4*Законод!$F$16,0)))</f>
        <v>0</v>
      </c>
      <c r="AQ282" s="210">
        <f ca="1">IF(B275="Лікар загальної практики - сімейний лікар",AG282*Законод!$C$9/4*Законод!$F$16,IF(B275="Лікар-педіатр",AG282*Законод!$C$9/4*Законод!$F$16,IF(B275="Лікар-терапевт",AG282*Законод!$C$9/4*Законод!$F$16,0)))</f>
        <v>0</v>
      </c>
      <c r="AR282" s="211">
        <f t="shared" si="53"/>
        <v>0</v>
      </c>
    </row>
    <row r="283" spans="1:44" s="50" customFormat="1" ht="31.9" customHeight="1">
      <c r="A283" s="197"/>
      <c r="B283" s="969"/>
      <c r="C283" s="975"/>
      <c r="D283" s="971"/>
      <c r="E283" s="971"/>
      <c r="F283" s="238" t="str">
        <f ca="1">IF(B275="Лікар-педіатр",Законод!$G$17,IF(B275="Лікар загальної практики - сімейний лікар",Законод!$G$21,IF(B275="Лікар-терапевт",Законод!$G$25,"х")))</f>
        <v>понад ліміт (2161-2340)</v>
      </c>
      <c r="G283" s="965" t="s">
        <v>423</v>
      </c>
      <c r="H283" s="965"/>
      <c r="I283" s="965"/>
      <c r="J283" s="965"/>
      <c r="K283" s="965"/>
      <c r="L283" s="196">
        <f ca="1">IF($B$275="Лікар загальної практики - сімейний лікар",IF(L279&lt;Законод!$C$22,0,(IF(AND(L279&gt;=Законод!$G$22,L279&lt;=Законод!$G$23),L279-Законод!$F$23,IF('01_Доходи'!L279&gt;=Законод!$H$22,Законод!$G$24,0)))),IF($B$275="Лікар-педіатр",IF(L279&lt;Законод!$C$18,0,(IF(AND(L279&gt;=Законод!$G$18,L279&lt;=Законод!$G$19),L279-Законод!$F$19,IF('01_Доходи'!L279&gt;=Законод!$H$18,Законод!$G$20,0)))),IF($B$275="Лікар-терапевт",IF(L279&lt;Законод!$C$26,0,(IF(AND(L279&gt;=Законод!$G$26,L279&lt;=Законод!$G$27),L279-Законод!$F$27,IF('01_Доходи'!L279&gt;=Законод!$H$26,Законод!$G$28,0)))),0)))</f>
        <v>0</v>
      </c>
      <c r="M283" s="966"/>
      <c r="N283" s="965" t="s">
        <v>423</v>
      </c>
      <c r="O283" s="965"/>
      <c r="P283" s="965"/>
      <c r="Q283" s="965"/>
      <c r="R283" s="965"/>
      <c r="S283" s="196">
        <f ca="1">IF($B$275="Лікар загальної практики - сімейний лікар",IF(S279&lt;Законод!$C$22,0,(IF(AND(S279&gt;=Законод!$G$22,S279&lt;=Законод!$G$23),S279-Законод!$F$23,IF('01_Доходи'!S279&gt;=Законод!$H$22,Законод!$G$24,0)))),IF($B$275="Лікар-педіатр",IF(S279&lt;Законод!$C$18,0,(IF(AND(S279&gt;=Законод!$G$18,S279&lt;=Законод!$G$19),S279-Законод!$F$19,IF('01_Доходи'!S279&gt;=Законод!$H$18,Законод!$G$20,0)))),IF($B$275="Лікар-терапевт",IF(S279&lt;Законод!$C$26,0,(IF(AND(S279&gt;=Законод!$G$26,S279&lt;=Законод!$G$27),S279-Законод!$F$27,IF('01_Доходи'!S279&gt;=Законод!$H$26,Законод!$G$28,0)))),0)))</f>
        <v>0</v>
      </c>
      <c r="T283" s="966"/>
      <c r="U283" s="965" t="s">
        <v>423</v>
      </c>
      <c r="V283" s="965"/>
      <c r="W283" s="965"/>
      <c r="X283" s="965"/>
      <c r="Y283" s="965"/>
      <c r="Z283" s="196">
        <f ca="1">IF($B$275="Лікар загальної практики - сімейний лікар",IF(Z279&lt;Законод!$C$22,0,(IF(AND(Z279&gt;=Законод!$G$22,Z279&lt;=Законод!$G$23),Z279-Законод!$F$23,IF('01_Доходи'!Z279&gt;=Законод!$H$22,Законод!$G$24,0)))),IF($B$275="Лікар-педіатр",IF(Z279&lt;Законод!$C$18,0,(IF(AND(Z279&gt;=Законод!$G$18,Z279&lt;=Законод!$G$19),Z279-Законод!$F$19,IF('01_Доходи'!Z279&gt;=Законод!$H$18,Законод!$G$20,0)))),IF($B$275="Лікар-терапевт",IF(Z279&lt;Законод!$C$26,0,(IF(AND(Z279&gt;=Законод!$G$26,Z279&lt;=Законод!$G$27),Z279-Законод!$F$27,IF('01_Доходи'!Z279&gt;=Законод!$H$26,Законод!$G$28,0)))),0)))</f>
        <v>0</v>
      </c>
      <c r="AA283" s="966"/>
      <c r="AB283" s="965" t="s">
        <v>423</v>
      </c>
      <c r="AC283" s="965"/>
      <c r="AD283" s="965"/>
      <c r="AE283" s="965"/>
      <c r="AF283" s="965"/>
      <c r="AG283" s="196">
        <f ca="1">IF($B$275="Лікар загальної практики - сімейний лікар",IF(AG279&lt;Законод!$C$22,0,(IF(AND(AG279&gt;=Законод!$G$22,AG279&lt;=Законод!$G$23),AG279-Законод!$F$23,IF('01_Доходи'!AG279&gt;=Законод!$H$22,Законод!$G$24,0)))),IF($B$275="Лікар-педіатр",IF(AG279&lt;Законод!$C$18,0,(IF(AND(AG279&gt;=Законод!$G$18,AG279&lt;=Законод!$G$19),AG279-Законод!$F$19,IF('01_Доходи'!AG279&gt;=Законод!$H$18,Законод!$G$20,0)))),IF($B$275="Лікар-терапевт",IF(AG279&lt;Законод!$C$26,0,(IF(AND(AG279&gt;=Законод!$G$26,AG279&lt;=Законод!$G$27),AG279-Законод!$F$27,IF('01_Доходи'!AG279&gt;=Законод!$H$26,Законод!$G$28,0)))),0)))</f>
        <v>0</v>
      </c>
      <c r="AH283" s="966"/>
      <c r="AI283" s="201"/>
      <c r="AJ283" s="945"/>
      <c r="AK283" s="960"/>
      <c r="AL283" s="960"/>
      <c r="AM283" s="927"/>
      <c r="AN283" s="210">
        <f ca="1">IF(B275="Лікар загальної практики - сімейний лікар",L283*Законод!$C$9/4*Законод!$G$16,IF(B275="Лікар-педіатр",L283*Законод!$C$9/4*Законод!$G$16,IF(B275="Лікар-терапевт",L283*Законод!$C$9/4*Законод!$G$16,0)))</f>
        <v>0</v>
      </c>
      <c r="AO283" s="210">
        <f ca="1">IF(B275="Лікар загальної практики - сімейний лікар",S283*Законод!$C$9/4*Законод!$G$16,IF(B275="Лікар-педіатр",S283*Законод!$C$9/4*Законод!$G$16,IF(B275="Лікар-терапевт",S283*Законод!$C$9/4*Законод!$G$16,0)))</f>
        <v>0</v>
      </c>
      <c r="AP283" s="210">
        <f ca="1">IF(B275="Лікар загальної практики - сімейний лікар",Z283*Законод!$C$9/4*Законод!$G$16,IF(B275="Лікар-педіатр",Z283*Законод!$C$9/4*Законод!$G$16,IF(B275="Лікар-терапевт",Z283*Законод!$C$9/4*Законод!$G$16,0)))</f>
        <v>0</v>
      </c>
      <c r="AQ283" s="210">
        <f ca="1">IF(B275="Лікар загальної практики - сімейний лікар",AG283*Законод!$C$9/4*Законод!$G$16,IF(B275="Лікар-педіатр",AG283*Законод!$C$9/4*Законод!$G$16,IF(B275="Лікар-терапевт",AG283*Законод!$C$9/4*Законод!$G$16,0)))</f>
        <v>0</v>
      </c>
      <c r="AR283" s="211">
        <f t="shared" si="53"/>
        <v>0</v>
      </c>
    </row>
    <row r="284" spans="1:44" s="50" customFormat="1" ht="31.9" customHeight="1">
      <c r="A284" s="197"/>
      <c r="B284" s="969"/>
      <c r="C284" s="975"/>
      <c r="D284" s="971"/>
      <c r="E284" s="971"/>
      <c r="F284" s="238" t="str">
        <f ca="1">IF(B275="Лікар-педіатр",Законод!$H$17,IF(B275="Лікар загальної практики - сімейний лікар",Законод!$H$21,IF(B275="Лікар-терапевт",Законод!$H$25,"х")))</f>
        <v>понад ліміт (2341-2520)</v>
      </c>
      <c r="G284" s="965" t="s">
        <v>423</v>
      </c>
      <c r="H284" s="965"/>
      <c r="I284" s="965"/>
      <c r="J284" s="965"/>
      <c r="K284" s="965"/>
      <c r="L284" s="196">
        <f ca="1">IF($B$275="Лікар загальної практики - сімейний лікар",IF(L279&lt;Законод!$C$22,0,(IF(AND(L279&gt;=Законод!$H$22,L279&lt;=Законод!$H$23),L279-Законод!$G$23,IF('01_Доходи'!L279&gt;=Законод!$I$22,Законод!$H$24,0)))),IF($B$275="Лікар-педіатр",IF(L279&lt;Законод!$C$18,0,(IF(AND(L279&gt;=Законод!$H$18,L279&lt;=Законод!$H$19),L279-Законод!$G$19,IF('01_Доходи'!L279&gt;=Законод!$I$18,Законод!$H$20,0)))),IF($B$275="Лікар-терапевт",IF(L279&lt;Законод!$C$26,0,(IF(AND(L279&gt;=Законод!$H$26,L279&lt;=Законод!$H$27),L279-Законод!$G$27,IF(L279&gt;=Законод!$I$26,Законод!$H$28,0)))),0)))</f>
        <v>0</v>
      </c>
      <c r="M284" s="966"/>
      <c r="N284" s="965" t="s">
        <v>423</v>
      </c>
      <c r="O284" s="965"/>
      <c r="P284" s="965"/>
      <c r="Q284" s="965"/>
      <c r="R284" s="965"/>
      <c r="S284" s="196">
        <f ca="1">IF($B$275="Лікар загальної практики - сімейний лікар",IF(S279&lt;Законод!$C$22,0,(IF(AND(S279&gt;=Законод!$H$22,S279&lt;=Законод!$H$23),S279-Законод!$G$23,IF('01_Доходи'!S279&gt;=Законод!$I$22,Законод!$H$24,0)))),IF($B$275="Лікар-педіатр",IF(S279&lt;Законод!$C$18,0,(IF(AND(S279&gt;=Законод!$H$18,S279&lt;=Законод!$H$19),S279-Законод!$G$19,IF('01_Доходи'!S279&gt;=Законод!$I$18,Законод!$H$20,0)))),IF($B$275="Лікар-терапевт",IF(S279&lt;Законод!$C$26,0,(IF(AND(S279&gt;=Законод!$H$26,S279&lt;=Законод!$H$27),S279-Законод!$G$27,IF(S279&gt;=Законод!$I$26,Законод!$H$28,0)))),0)))</f>
        <v>0</v>
      </c>
      <c r="T284" s="966"/>
      <c r="U284" s="965" t="s">
        <v>423</v>
      </c>
      <c r="V284" s="965"/>
      <c r="W284" s="965"/>
      <c r="X284" s="965"/>
      <c r="Y284" s="965"/>
      <c r="Z284" s="196">
        <f ca="1">IF($B$275="Лікар загальної практики - сімейний лікар",IF(Z279&lt;Законод!$C$22,0,(IF(AND(Z279&gt;=Законод!$H$22,Z279&lt;=Законод!$H$23),Z279-Законод!$G$23,IF('01_Доходи'!Z279&gt;=Законод!$I$22,Законод!$H$24,0)))),IF($B$275="Лікар-педіатр",IF(Z279&lt;Законод!$C$18,0,(IF(AND(Z279&gt;=Законод!$H$18,Z279&lt;=Законод!$H$19),Z279-Законод!$G$19,IF('01_Доходи'!Z279&gt;=Законод!$I$18,Законод!$H$20,0)))),IF($B$275="Лікар-терапевт",IF(Z279&lt;Законод!$C$26,0,(IF(AND(Z279&gt;=Законод!$H$26,Z279&lt;=Законод!$H$27),Z279-Законод!$G$27,IF(Z279&gt;=Законод!$I$26,Законод!$H$28,0)))),0)))</f>
        <v>0</v>
      </c>
      <c r="AA284" s="966"/>
      <c r="AB284" s="965" t="s">
        <v>423</v>
      </c>
      <c r="AC284" s="965"/>
      <c r="AD284" s="965"/>
      <c r="AE284" s="965"/>
      <c r="AF284" s="965"/>
      <c r="AG284" s="196">
        <f ca="1">IF($B$275="Лікар загальної практики - сімейний лікар",IF(AG279&lt;Законод!$C$22,0,(IF(AND(AG279&gt;=Законод!$H$22,AG279&lt;=Законод!$H$23),AG279-Законод!$G$23,IF('01_Доходи'!AG279&gt;=Законод!$I$22,Законод!$H$24,0)))),IF($B$275="Лікар-педіатр",IF(AG279&lt;Законод!$C$18,0,(IF(AND(AG279&gt;=Законод!$H$18,AG279&lt;=Законод!$H$19),AG279-Законод!$G$19,IF('01_Доходи'!AG279&gt;=Законод!$I$18,Законод!$H$20,0)))),IF($B$275="Лікар-терапевт",IF(AG279&lt;Законод!$C$26,0,(IF(AND(AG279&gt;=Законод!$H$26,AG279&lt;=Законод!$H$27),AG279-Законод!$G$27,IF(AG279&gt;=Законод!$I$26,Законод!$H$28,0)))),0)))</f>
        <v>0</v>
      </c>
      <c r="AH284" s="966"/>
      <c r="AI284" s="201"/>
      <c r="AJ284" s="945"/>
      <c r="AK284" s="960"/>
      <c r="AL284" s="960"/>
      <c r="AM284" s="927"/>
      <c r="AN284" s="210">
        <f ca="1">IF(B275="Лікар загальної практики - сімейний лікар",L284*Законод!$C$9/4*Законод!$H$16,IF(B275="Лікар-педіатр",L284*Законод!$C$9/4*Законод!$H$16,IF(B275="Лікар-терапевт",L284*Законод!$C$9/4*Законод!$H$16,0)))</f>
        <v>0</v>
      </c>
      <c r="AO284" s="210">
        <f ca="1">IF(B275="Лікар загальної практики - сімейний лікар",S284*Законод!$C$9/4*Законод!$H$16,IF(B275="Лікар-педіатр",S284*Законод!$C$9/4*Законод!$H$16,IF(B275="Лікар-терапевт",S284*Законод!$C$9/4*Законод!$H$16,0)))</f>
        <v>0</v>
      </c>
      <c r="AP284" s="210">
        <f ca="1">IF(B275="Лікар загальної практики - сімейний лікар",Z284*Законод!$C$9/4*Законод!$H$16,IF(B275="Лікар-педіатр",Z284*Законод!$C$9/4*Законод!$H$16,IF(B275="Лікар-терапевт",Z284*Законод!$C$9/4*Законод!$H$16,0)))</f>
        <v>0</v>
      </c>
      <c r="AQ284" s="210">
        <f ca="1">IF(B275="Лікар загальної практики - сімейний лікар",AG284*Законод!$C$9/4*Законод!$H$16,IF(B275="Лікар-педіатр",AG284*Законод!$C$9/4*Законод!$H$16,IF(B275="Лікар-терапевт",AG284*Законод!$C$9/4*Законод!$H$16,0)))</f>
        <v>0</v>
      </c>
      <c r="AR284" s="211">
        <f t="shared" si="53"/>
        <v>0</v>
      </c>
    </row>
    <row r="285" spans="1:44" s="50" customFormat="1" ht="31.9" customHeight="1">
      <c r="A285" s="197"/>
      <c r="B285" s="969"/>
      <c r="C285" s="975"/>
      <c r="D285" s="971"/>
      <c r="E285" s="971"/>
      <c r="F285" s="238" t="str">
        <f ca="1">IF(B275="Лікар-педіатр",Законод!$I$17,IF(B275="Лікар загальної практики - сімейний лікар",Законод!$I$21,IF(B275="Лікар-терапевт",Законод!$I$25,"х")))</f>
        <v>понад ліміт (2521-2700)</v>
      </c>
      <c r="G285" s="965" t="s">
        <v>423</v>
      </c>
      <c r="H285" s="965"/>
      <c r="I285" s="965"/>
      <c r="J285" s="965"/>
      <c r="K285" s="965"/>
      <c r="L285" s="196">
        <f ca="1">IF($B$275="Лікар загальної практики - сімейний лікар",IF(L279&lt;Законод!$C$22,0,(IF(AND(L279&gt;=Законод!$I$22,L279&lt;=Законод!$I$23),L279-Законод!$H$23,IF('01_Доходи'!L279&gt;=Законод!$I$22,Законод!$I$24,0)))),IF($B$275="Лікар-педіатр",IF(L279&lt;Законод!$C$18,0,(IF(AND(L279&gt;=Законод!$I$18,L279&lt;=Законод!$I$19),L279-Законод!$H$19,IF('01_Доходи'!L279&gt;=Законод!$I$18,Законод!$H$20,0)))),IF($B$275="Лікар-терапевт",IF(L279&lt;Законод!$C$26,0,(IF(AND(L279&gt;=Законод!$I$26,L279&lt;=Законод!$I$27),L279-Законод!$H$27,IF('01_Доходи'!L279&gt;=Законод!$I$26,Законод!$H$28,0)))),0)))</f>
        <v>0</v>
      </c>
      <c r="M285" s="966"/>
      <c r="N285" s="965" t="s">
        <v>423</v>
      </c>
      <c r="O285" s="965"/>
      <c r="P285" s="965"/>
      <c r="Q285" s="965"/>
      <c r="R285" s="965"/>
      <c r="S285" s="196">
        <f ca="1">IF($B$275="Лікар загальної практики - сімейний лікар",IF(S279&lt;Законод!$C$22,0,(IF(AND(S279&gt;=Законод!$I$22,S279&lt;=Законод!$I$23),S279-Законод!$H$23,IF('01_Доходи'!S279&gt;=Законод!$I$22,Законод!$I$24,0)))),IF($B$275="Лікар-педіатр",IF(S279&lt;Законод!$C$18,0,(IF(AND(S279&gt;=Законод!$I$18,S279&lt;=Законод!$I$19),S279-Законод!$H$19,IF('01_Доходи'!S279&gt;=Законод!$I$18,Законод!$H$20,0)))),IF($B$275="Лікар-терапевт",IF(S279&lt;Законод!$C$26,0,(IF(AND(S279&gt;=Законод!$I$26,S279&lt;=Законод!$I$27),S279-Законод!$H$27,IF('01_Доходи'!S279&gt;=Законод!$I$26,Законод!$H$28,0)))),0)))</f>
        <v>0</v>
      </c>
      <c r="T285" s="966"/>
      <c r="U285" s="965" t="s">
        <v>423</v>
      </c>
      <c r="V285" s="965"/>
      <c r="W285" s="965"/>
      <c r="X285" s="965"/>
      <c r="Y285" s="965"/>
      <c r="Z285" s="196">
        <f ca="1">IF($B$275="Лікар загальної практики - сімейний лікар",IF(Z279&lt;Законод!$C$22,0,(IF(AND(Z279&gt;=Законод!$I$22,Z279&lt;=Законод!$I$23),Z279-Законод!$H$23,IF('01_Доходи'!Z279&gt;=Законод!$I$22,Законод!$I$24,0)))),IF($B$275="Лікар-педіатр",IF(Z279&lt;Законод!$C$18,0,(IF(AND(Z279&gt;=Законод!$I$18,Z279&lt;=Законод!$I$19),Z279-Законод!$H$19,IF('01_Доходи'!Z279&gt;=Законод!$I$18,Законод!$H$20,0)))),IF($B$275="Лікар-терапевт",IF(Z279&lt;Законод!$C$26,0,(IF(AND(Z279&gt;=Законод!$I$26,Z279&lt;=Законод!$I$27),Z279-Законод!$H$27,IF('01_Доходи'!Z279&gt;=Законод!$I$26,Законод!$H$28,0)))),0)))</f>
        <v>0</v>
      </c>
      <c r="AA285" s="966"/>
      <c r="AB285" s="965" t="s">
        <v>423</v>
      </c>
      <c r="AC285" s="965"/>
      <c r="AD285" s="965"/>
      <c r="AE285" s="965"/>
      <c r="AF285" s="965"/>
      <c r="AG285" s="196">
        <f ca="1">IF($B$275="Лікар загальної практики - сімейний лікар",IF(AG279&lt;Законод!$C$22,0,(IF(AND(AG279&gt;=Законод!$I$22,AG279&lt;=Законод!$I$23),AG279-Законод!$H$23,IF('01_Доходи'!AG279&gt;=Законод!$I$22,Законод!$I$24,0)))),IF($B$275="Лікар-педіатр",IF(AG279&lt;Законод!$C$18,0,(IF(AND(AG279&gt;=Законод!$I$18,AG279&lt;=Законод!$I$19),AG279-Законод!$H$19,IF('01_Доходи'!AG279&gt;=Законод!$I$18,Законод!$H$20,0)))),IF($B$275="Лікар-терапевт",IF(AG279&lt;Законод!$C$26,0,(IF(AND(AG279&gt;=Законод!$I$26,AG279&lt;=Законод!$I$27),AG279-Законод!$H$27,IF('01_Доходи'!AG279&gt;=Законод!$I$26,Законод!$H$28,0)))),0)))</f>
        <v>0</v>
      </c>
      <c r="AH285" s="966"/>
      <c r="AI285" s="201"/>
      <c r="AJ285" s="945"/>
      <c r="AK285" s="960"/>
      <c r="AL285" s="960"/>
      <c r="AM285" s="927"/>
      <c r="AN285" s="210">
        <f ca="1">IF(B275="Лікар загальної практики - сімейний лікар",L285*Законод!$C$9/4*Законод!$I$16,IF(B275="Лікар-педіатр",L285*Законод!$C$9/4*Законод!$I$16,IF(B275="Лікар-терапевт",L285*Законод!$C$9/4*Законод!$I$16,0)))</f>
        <v>0</v>
      </c>
      <c r="AO285" s="210">
        <f ca="1">IF(B275="Лікар загальної практики - сімейний лікар",S285*Законод!$C$9/4*Законод!$I$16,IF(B275="Лікар-педіатр",S285*Законод!$C$9/4*Законод!$I$16,IF(B275="Лікар-терапевт",S285*Законод!$C$9/4*Законод!$I$16,0)))</f>
        <v>0</v>
      </c>
      <c r="AP285" s="210">
        <f ca="1">IF(B275="Лікар загальної практики - сімейний лікар",Z285*Законод!$C$9/4*Законод!$I$16,IF(B275="Лікар-педіатр",Z285*Законод!$C$9/4*Законод!$I$16,IF(B275="Лікар-терапевт",Z285*Законод!$C$9/4*Законод!$I$16,0)))</f>
        <v>0</v>
      </c>
      <c r="AQ285" s="210">
        <f ca="1">IF(B275="Лікар загальної практики - сімейний лікар",AG285*Законод!$C$9/4*Законод!$I$16,IF(B275="Лікар-педіатр",AG285*Законод!$C$9/4*Законод!$I$16,IF(B275="Лікар-терапевт",AG285*Законод!$C$9/4*Законод!$I$16,0)))</f>
        <v>0</v>
      </c>
      <c r="AR285" s="211">
        <f t="shared" si="53"/>
        <v>0</v>
      </c>
    </row>
    <row r="286" spans="1:44" s="218" customFormat="1" ht="31.9" customHeight="1" thickBot="1">
      <c r="A286" s="213"/>
      <c r="B286" s="969"/>
      <c r="C286" s="975"/>
      <c r="D286" s="971"/>
      <c r="E286" s="971"/>
      <c r="F286" s="239" t="str">
        <f ca="1">IF(B275="Лікар-педіатр",Законод!$J$17,IF(B275="Лікар загальної практики - сімейний лікар",Законод!$J$21,IF(B275="Лікар-терапевт",Законод!$J$25,"х")))</f>
        <v>понад ліміт (&gt;=2701)</v>
      </c>
      <c r="G286" s="968" t="s">
        <v>423</v>
      </c>
      <c r="H286" s="968"/>
      <c r="I286" s="968"/>
      <c r="J286" s="968"/>
      <c r="K286" s="968"/>
      <c r="L286" s="196">
        <f ca="1">IF($B$275="Лікар загальної практики - сімейний лікар",IF(L279&gt;=Законод!$J$22,'01_Доходи'!L279-('01_Доходи'!L280+'01_Доходи'!L281+'01_Доходи'!L282+'01_Доходи'!L283+'01_Доходи'!L284+'01_Доходи'!L285),0),IF($B$275="Лікар-педіатр",IF(L279&gt;=Законод!$J$18,'01_Доходи'!L279-('01_Доходи'!L280+'01_Доходи'!L281+'01_Доходи'!L282+'01_Доходи'!L283+'01_Доходи'!L284+'01_Доходи'!L285),0),IF($B$275="Лікар-терапевт",IF('01_Доходи'!L279&gt;=Законод!$J$26,L279-Законод!$I$27,0),0)))</f>
        <v>0</v>
      </c>
      <c r="M286" s="966"/>
      <c r="N286" s="968" t="s">
        <v>423</v>
      </c>
      <c r="O286" s="968"/>
      <c r="P286" s="968"/>
      <c r="Q286" s="968"/>
      <c r="R286" s="968"/>
      <c r="S286" s="196">
        <f ca="1">IF($B$275="Лікар загальної практики - сімейний лікар",IF(S279&gt;=Законод!$J$22,'01_Доходи'!S279-('01_Доходи'!S280+'01_Доходи'!S281+'01_Доходи'!S282+'01_Доходи'!S283+'01_Доходи'!S284+'01_Доходи'!S285),0),IF($B$275="Лікар-педіатр",IF(S279&gt;=Законод!$J$18,'01_Доходи'!S279-('01_Доходи'!S280+'01_Доходи'!S281+'01_Доходи'!S282+'01_Доходи'!S283+'01_Доходи'!S284+'01_Доходи'!S285),0),IF($B$275="Лікар-терапевт",IF('01_Доходи'!S279&gt;=Законод!$J$26,S279-Законод!$I$27,0),0)))</f>
        <v>0</v>
      </c>
      <c r="T286" s="966"/>
      <c r="U286" s="968" t="s">
        <v>423</v>
      </c>
      <c r="V286" s="968"/>
      <c r="W286" s="968"/>
      <c r="X286" s="968"/>
      <c r="Y286" s="968"/>
      <c r="Z286" s="196">
        <f ca="1">IF($B$275="Лікар загальної практики - сімейний лікар",IF(Z279&gt;=Законод!$J$22,'01_Доходи'!Z279-('01_Доходи'!Z280+'01_Доходи'!Z281+'01_Доходи'!Z282+'01_Доходи'!Z283+'01_Доходи'!Z284+'01_Доходи'!Z285),0),IF($B$275="Лікар-педіатр",IF(Z279&gt;=Законод!$J$18,'01_Доходи'!Z279-('01_Доходи'!Z280+'01_Доходи'!Z281+'01_Доходи'!Z282+'01_Доходи'!Z283+'01_Доходи'!Z284+'01_Доходи'!Z285),0),IF($B$275="Лікар-терапевт",IF('01_Доходи'!Z279&gt;=Законод!$J$26,Z279-Законод!$I$27,0),0)))</f>
        <v>0</v>
      </c>
      <c r="AA286" s="966"/>
      <c r="AB286" s="968" t="s">
        <v>423</v>
      </c>
      <c r="AC286" s="968"/>
      <c r="AD286" s="968"/>
      <c r="AE286" s="968"/>
      <c r="AF286" s="968"/>
      <c r="AG286" s="196">
        <f ca="1">IF($B$275="Лікар загальної практики - сімейний лікар",IF(AG279&gt;=Законод!$J$22,'01_Доходи'!AG279-('01_Доходи'!AG280+'01_Доходи'!AG281+'01_Доходи'!AG282+'01_Доходи'!AG283+'01_Доходи'!AG284+'01_Доходи'!AG285),0),IF($B$275="Лікар-педіатр",IF(AG279&gt;=Законод!$J$18,'01_Доходи'!AG279-('01_Доходи'!AG280+'01_Доходи'!AG281+'01_Доходи'!AG282+'01_Доходи'!AG283+'01_Доходи'!AG284+'01_Доходи'!AG285),0),IF($B$275="Лікар-терапевт",IF('01_Доходи'!AG279&gt;=Законод!$J$26,AG279-Законод!$I$27,0),0)))</f>
        <v>0</v>
      </c>
      <c r="AH286" s="966"/>
      <c r="AI286" s="215"/>
      <c r="AJ286" s="946"/>
      <c r="AK286" s="961"/>
      <c r="AL286" s="961"/>
      <c r="AM286" s="928"/>
      <c r="AN286" s="216">
        <f ca="1">IF(B275="Лікар загальної практики - сімейний лікар",L286*Законод!$C$9/4*Законод!$J$16,IF(B275="Лікар-педіатр",L286*Законод!$C$9/4*Законод!$J$16,IF(B275="Лікар-терапевт",L286*Законод!$C$9/4*Законод!$J$16,0)))</f>
        <v>0</v>
      </c>
      <c r="AO286" s="216">
        <f ca="1">IF(B275="Лікар загальної практики - сімейний лікар",S286*Законод!$C$9/4*Законод!$J$16,IF(B275="Лікар-педіатр",S286*Законод!$C$9/4*Законод!$J$16,IF(B275="Лікар-терапевт",S286*Законод!$C$9/4*Законод!$J$16,0)))</f>
        <v>0</v>
      </c>
      <c r="AP286" s="216">
        <f ca="1">IF(B275="Лікар загальної практики - сімейний лікар",S286*Законод!$C$9/4*Законод!$J$16,IF(B275="Лікар-педіатр",S286*Законод!$C$9/4*Законод!$J$16,IF(B275="Лікар-терапевт",S286*Законод!$C$9/4*Законод!$J$16,0)))</f>
        <v>0</v>
      </c>
      <c r="AQ286" s="216">
        <f ca="1">IF(B275="Лікар загальної практики - сімейний лікар",AG286*Законод!$C$9/4*Законод!$J$16,IF(B275="Лікар-педіатр",AG286*Законод!$C$9/4*Законод!$J$16,IF(B275="Лікар-терапевт",AG286*Законод!$C$9/4*Законод!$J$16,0)))</f>
        <v>0</v>
      </c>
      <c r="AR286" s="217">
        <f t="shared" si="53"/>
        <v>0</v>
      </c>
    </row>
    <row r="287" spans="1:44" s="247" customFormat="1" ht="23.45" customHeight="1" thickBot="1">
      <c r="A287" s="243"/>
      <c r="B287" s="244"/>
      <c r="C287" s="244"/>
      <c r="D287" s="244"/>
      <c r="E287" s="244"/>
      <c r="F287" s="245"/>
      <c r="G287" s="246"/>
      <c r="H287" s="246"/>
      <c r="L287" s="248"/>
      <c r="S287" s="248"/>
      <c r="Z287" s="248"/>
      <c r="AG287" s="248"/>
      <c r="AM287" s="249"/>
      <c r="AR287" s="250"/>
    </row>
    <row r="288" spans="1:44" s="191" customFormat="1" ht="27.6" customHeight="1">
      <c r="A288" s="194">
        <f>A275+1</f>
        <v>20</v>
      </c>
      <c r="B288" s="969" t="s">
        <v>312</v>
      </c>
      <c r="C288" s="974" t="s">
        <v>176</v>
      </c>
      <c r="D288" s="971"/>
      <c r="E288" s="971" t="str">
        <f>E275</f>
        <v>Рожищенська АЗПСМ №1</v>
      </c>
      <c r="F288" s="234" t="s">
        <v>659</v>
      </c>
      <c r="G288" s="196">
        <v>32</v>
      </c>
      <c r="H288" s="196">
        <v>213</v>
      </c>
      <c r="I288" s="196">
        <v>510</v>
      </c>
      <c r="J288" s="196">
        <v>622</v>
      </c>
      <c r="K288" s="196">
        <v>351</v>
      </c>
      <c r="L288" s="557">
        <f t="shared" ref="L288:L293" si="54">SUM(G288:K288)</f>
        <v>1728</v>
      </c>
      <c r="M288" s="966">
        <v>1</v>
      </c>
      <c r="N288" s="196">
        <v>32</v>
      </c>
      <c r="O288" s="196">
        <v>213</v>
      </c>
      <c r="P288" s="196">
        <v>510</v>
      </c>
      <c r="Q288" s="196">
        <v>622</v>
      </c>
      <c r="R288" s="196">
        <v>351</v>
      </c>
      <c r="S288" s="557">
        <f t="shared" ref="S288:S293" si="55">SUM(N288:R288)</f>
        <v>1728</v>
      </c>
      <c r="T288" s="966">
        <v>1</v>
      </c>
      <c r="U288" s="196">
        <v>32</v>
      </c>
      <c r="V288" s="196">
        <v>213</v>
      </c>
      <c r="W288" s="196">
        <v>510</v>
      </c>
      <c r="X288" s="196">
        <v>622</v>
      </c>
      <c r="Y288" s="196">
        <v>351</v>
      </c>
      <c r="Z288" s="557">
        <f t="shared" ref="Z288:Z293" si="56">SUM(U288:Y288)</f>
        <v>1728</v>
      </c>
      <c r="AA288" s="966">
        <v>1</v>
      </c>
      <c r="AB288" s="196">
        <v>32</v>
      </c>
      <c r="AC288" s="196">
        <v>213</v>
      </c>
      <c r="AD288" s="196">
        <v>510</v>
      </c>
      <c r="AE288" s="196">
        <v>622</v>
      </c>
      <c r="AF288" s="196">
        <v>351</v>
      </c>
      <c r="AG288" s="557">
        <f t="shared" ref="AG288:AG293" si="57">SUM(AB288:AF288)</f>
        <v>1728</v>
      </c>
      <c r="AH288" s="966">
        <v>1</v>
      </c>
      <c r="AI288" s="540">
        <f>A288</f>
        <v>20</v>
      </c>
      <c r="AJ288" s="944" t="str">
        <f>B288</f>
        <v>Лікар загальної практики - сімейний лікар</v>
      </c>
      <c r="AK288" s="959" t="str">
        <f>C288</f>
        <v>Шимчій Віра Михайлівна</v>
      </c>
      <c r="AL288" s="959">
        <f>D288</f>
        <v>0</v>
      </c>
      <c r="AM288" s="929" t="s">
        <v>79</v>
      </c>
      <c r="AN288" s="947">
        <f>SUM(AN293:AN299)</f>
        <v>309538.51517500001</v>
      </c>
      <c r="AO288" s="947">
        <f>SUM(AO293:AO299)</f>
        <v>309538.51517500001</v>
      </c>
      <c r="AP288" s="947">
        <f>SUM(AP293:AP299)</f>
        <v>309538.51517500001</v>
      </c>
      <c r="AQ288" s="947">
        <f>SUM(AQ293:AQ299)</f>
        <v>309538.51517500001</v>
      </c>
      <c r="AR288" s="962">
        <f>SUM(AN288:AQ292)</f>
        <v>1238154.0607</v>
      </c>
    </row>
    <row r="289" spans="1:44" s="50" customFormat="1" ht="28.15" customHeight="1">
      <c r="A289" s="197"/>
      <c r="B289" s="969"/>
      <c r="C289" s="974"/>
      <c r="D289" s="971"/>
      <c r="E289" s="971"/>
      <c r="F289" s="234" t="s">
        <v>660</v>
      </c>
      <c r="G289" s="196">
        <v>32</v>
      </c>
      <c r="H289" s="196">
        <v>213</v>
      </c>
      <c r="I289" s="196">
        <v>510</v>
      </c>
      <c r="J289" s="196">
        <v>622</v>
      </c>
      <c r="K289" s="196">
        <v>351</v>
      </c>
      <c r="L289" s="557">
        <f t="shared" si="54"/>
        <v>1728</v>
      </c>
      <c r="M289" s="966"/>
      <c r="N289" s="196">
        <v>32</v>
      </c>
      <c r="O289" s="196">
        <v>213</v>
      </c>
      <c r="P289" s="196">
        <v>510</v>
      </c>
      <c r="Q289" s="196">
        <v>622</v>
      </c>
      <c r="R289" s="196">
        <v>351</v>
      </c>
      <c r="S289" s="557">
        <f t="shared" si="55"/>
        <v>1728</v>
      </c>
      <c r="T289" s="966"/>
      <c r="U289" s="196">
        <v>32</v>
      </c>
      <c r="V289" s="196">
        <v>213</v>
      </c>
      <c r="W289" s="196">
        <v>510</v>
      </c>
      <c r="X289" s="196">
        <v>622</v>
      </c>
      <c r="Y289" s="196">
        <v>351</v>
      </c>
      <c r="Z289" s="557">
        <f t="shared" si="56"/>
        <v>1728</v>
      </c>
      <c r="AA289" s="966"/>
      <c r="AB289" s="196">
        <v>32</v>
      </c>
      <c r="AC289" s="196">
        <v>213</v>
      </c>
      <c r="AD289" s="196">
        <v>510</v>
      </c>
      <c r="AE289" s="196">
        <v>622</v>
      </c>
      <c r="AF289" s="196">
        <v>351</v>
      </c>
      <c r="AG289" s="557">
        <f t="shared" si="57"/>
        <v>1728</v>
      </c>
      <c r="AH289" s="966"/>
      <c r="AI289" s="198"/>
      <c r="AJ289" s="945"/>
      <c r="AK289" s="960"/>
      <c r="AL289" s="960"/>
      <c r="AM289" s="930"/>
      <c r="AN289" s="948"/>
      <c r="AO289" s="948"/>
      <c r="AP289" s="948"/>
      <c r="AQ289" s="948"/>
      <c r="AR289" s="963"/>
    </row>
    <row r="290" spans="1:44" s="90" customFormat="1" ht="31.15" customHeight="1">
      <c r="A290" s="240"/>
      <c r="B290" s="969"/>
      <c r="C290" s="974"/>
      <c r="D290" s="971"/>
      <c r="E290" s="971"/>
      <c r="F290" s="241" t="s">
        <v>661</v>
      </c>
      <c r="G290" s="196">
        <v>32</v>
      </c>
      <c r="H290" s="196">
        <v>213</v>
      </c>
      <c r="I290" s="196">
        <v>510</v>
      </c>
      <c r="J290" s="196">
        <v>622</v>
      </c>
      <c r="K290" s="196">
        <v>351</v>
      </c>
      <c r="L290" s="557">
        <f t="shared" si="54"/>
        <v>1728</v>
      </c>
      <c r="M290" s="966"/>
      <c r="N290" s="196">
        <v>32</v>
      </c>
      <c r="O290" s="196">
        <v>213</v>
      </c>
      <c r="P290" s="196">
        <v>510</v>
      </c>
      <c r="Q290" s="196">
        <v>622</v>
      </c>
      <c r="R290" s="196">
        <v>351</v>
      </c>
      <c r="S290" s="200">
        <f t="shared" si="55"/>
        <v>1728</v>
      </c>
      <c r="T290" s="966"/>
      <c r="U290" s="196">
        <v>32</v>
      </c>
      <c r="V290" s="196">
        <v>213</v>
      </c>
      <c r="W290" s="196">
        <v>510</v>
      </c>
      <c r="X290" s="196">
        <v>622</v>
      </c>
      <c r="Y290" s="196">
        <v>351</v>
      </c>
      <c r="Z290" s="557">
        <f t="shared" si="56"/>
        <v>1728</v>
      </c>
      <c r="AA290" s="966"/>
      <c r="AB290" s="196">
        <v>32</v>
      </c>
      <c r="AC290" s="196">
        <v>213</v>
      </c>
      <c r="AD290" s="196">
        <v>510</v>
      </c>
      <c r="AE290" s="196">
        <v>622</v>
      </c>
      <c r="AF290" s="196">
        <v>351</v>
      </c>
      <c r="AG290" s="557">
        <f t="shared" si="57"/>
        <v>1728</v>
      </c>
      <c r="AH290" s="966"/>
      <c r="AI290" s="242"/>
      <c r="AJ290" s="945"/>
      <c r="AK290" s="960"/>
      <c r="AL290" s="960"/>
      <c r="AM290" s="930"/>
      <c r="AN290" s="948"/>
      <c r="AO290" s="948"/>
      <c r="AP290" s="948"/>
      <c r="AQ290" s="948"/>
      <c r="AR290" s="963"/>
    </row>
    <row r="291" spans="1:44" s="50" customFormat="1" ht="31.9" customHeight="1" thickBot="1">
      <c r="A291" s="197"/>
      <c r="B291" s="969"/>
      <c r="C291" s="974"/>
      <c r="D291" s="971"/>
      <c r="E291" s="971"/>
      <c r="F291" s="236" t="s">
        <v>426</v>
      </c>
      <c r="G291" s="203">
        <f>IF($B$288="Лікар-педіатр",G290/L290,IF($B$288="Лікар-терапевт","х",IF($B$288="Лікар загальної практики - сімейний лікар",G290/L290,0)))</f>
        <v>1.8518518518518517E-2</v>
      </c>
      <c r="H291" s="203">
        <f>IF($B$288="Лікар-педіатр",H290/L290,IF($B$288="Лікар-терапевт","х",IF($B$288="Лікар загальної практики - сімейний лікар",H290/L290,0)))</f>
        <v>0.1232638888888889</v>
      </c>
      <c r="I291" s="203">
        <f>IF($B$288="Лікар-педіатр","x",IF($B$288="Лікар-терапевт",I290/L290,IF($B$288="Лікар загальної практики - сімейний лікар",I290/L290,0)))</f>
        <v>0.2951388888888889</v>
      </c>
      <c r="J291" s="203">
        <f>IF($B$288="Лікар-педіатр","x",IF($B$288="Лікар-терапевт",J290/L290,IF($B$288="Лікар загальної практики - сімейний лікар",J290/L290,0)))</f>
        <v>0.35995370370370372</v>
      </c>
      <c r="K291" s="203">
        <f>IF($B$288="Лікар-педіатр","x",IF($B$288="Лікар-терапевт",K290/L290,IF($B$288="Лікар загальної практики - сімейний лікар",K290/L290,0)))</f>
        <v>0.203125</v>
      </c>
      <c r="L291" s="203">
        <f t="shared" si="54"/>
        <v>1</v>
      </c>
      <c r="M291" s="966"/>
      <c r="N291" s="203">
        <f>IF($B$288="Лікар-педіатр",N290/S290,IF($B$288="Лікар-терапевт","х",IF($B$288="Лікар загальної практики - сімейний лікар",N290/S290,0)))</f>
        <v>1.8518518518518517E-2</v>
      </c>
      <c r="O291" s="203">
        <f>IF($B$288="Лікар-педіатр",O290/S290,IF($B$288="Лікар-терапевт","х",IF($B$288="Лікар загальної практики - сімейний лікар",O290/S290,0)))</f>
        <v>0.1232638888888889</v>
      </c>
      <c r="P291" s="203">
        <f>IF($B$288="Лікар-педіатр","x",IF($B$288="Лікар-терапевт",P290/S290,IF($B$288="Лікар загальної практики - сімейний лікар",P290/S290,0)))</f>
        <v>0.2951388888888889</v>
      </c>
      <c r="Q291" s="203">
        <f>IF($B$288="Лікар-педіатр","x",IF($B$288="Лікар-терапевт",Q290/S290,IF($B$288="Лікар загальної практики - сімейний лікар",Q290/S290,0)))</f>
        <v>0.35995370370370372</v>
      </c>
      <c r="R291" s="203">
        <f>IF($B$288="Лікар-педіатр","x",IF($B$288="Лікар-терапевт",R290/S290,IF($B$288="Лікар загальної практики - сімейний лікар",R290/S290,0)))</f>
        <v>0.203125</v>
      </c>
      <c r="S291" s="203">
        <f t="shared" si="55"/>
        <v>1</v>
      </c>
      <c r="T291" s="966"/>
      <c r="U291" s="203">
        <f>IF($B$288="Лікар-педіатр",U290/Z290,IF($B$288="Лікар-терапевт","х",IF($B$288="Лікар загальної практики - сімейний лікар",U290/Z290,0)))</f>
        <v>1.8518518518518517E-2</v>
      </c>
      <c r="V291" s="203">
        <f>IF($B$288="Лікар-педіатр",V290/Z290,IF($B$288="Лікар-терапевт","х",IF($B$288="Лікар загальної практики - сімейний лікар",V290/Z290,0)))</f>
        <v>0.1232638888888889</v>
      </c>
      <c r="W291" s="203">
        <f>IF($B$288="Лікар-педіатр","x",IF($B$288="Лікар-терапевт",W290/Z290,IF($B$288="Лікар загальної практики - сімейний лікар",W290/Z290,0)))</f>
        <v>0.2951388888888889</v>
      </c>
      <c r="X291" s="203">
        <f>IF($B$288="Лікар-педіатр","x",IF($B$288="Лікар-терапевт",X290/Z290,IF($B$288="Лікар загальної практики - сімейний лікар",X290/Z290,0)))</f>
        <v>0.35995370370370372</v>
      </c>
      <c r="Y291" s="203">
        <f>IF($B$288="Лікар-педіатр","x",IF($B$288="Лікар-терапевт",Y290/Z290,IF($B$288="Лікар загальної практики - сімейний лікар",Y290/Z290,0)))</f>
        <v>0.203125</v>
      </c>
      <c r="Z291" s="203">
        <f t="shared" si="56"/>
        <v>1</v>
      </c>
      <c r="AA291" s="966"/>
      <c r="AB291" s="203">
        <f>IF($B$288="Лікар-педіатр",AB290/AG290,IF($B$288="Лікар-терапевт","х",IF($B$288="Лікар загальної практики - сімейний лікар",AB290/AG290,0)))</f>
        <v>1.8518518518518517E-2</v>
      </c>
      <c r="AC291" s="203">
        <f>IF($B$288="Лікар-педіатр",AC290/AG290,IF($B$288="Лікар-терапевт","х",IF($B$288="Лікар загальної практики - сімейний лікар",AC290/AG290,0)))</f>
        <v>0.1232638888888889</v>
      </c>
      <c r="AD291" s="203">
        <f>IF($B$288="Лікар-педіатр","x",IF($B$288="Лікар-терапевт",AD290/AG290,IF($B$288="Лікар загальної практики - сімейний лікар",AD290/AG290,0)))</f>
        <v>0.2951388888888889</v>
      </c>
      <c r="AE291" s="203">
        <f>IF($B$288="Лікар-педіатр","x",IF($B$288="Лікар-терапевт",AE290/AG290,IF($B$288="Лікар загальної практики - сімейний лікар",AE290/AG290,0)))</f>
        <v>0.35995370370370372</v>
      </c>
      <c r="AF291" s="203">
        <f>IF($B$288="Лікар-педіатр","x",IF($B$288="Лікар-терапевт",AF290/AG290,IF($B$288="Лікар загальної практики - сімейний лікар",AF290/AG290,0)))</f>
        <v>0.203125</v>
      </c>
      <c r="AG291" s="203">
        <f t="shared" si="57"/>
        <v>1</v>
      </c>
      <c r="AH291" s="966"/>
      <c r="AI291" s="201"/>
      <c r="AJ291" s="945"/>
      <c r="AK291" s="960"/>
      <c r="AL291" s="960"/>
      <c r="AM291" s="930"/>
      <c r="AN291" s="948"/>
      <c r="AO291" s="948"/>
      <c r="AP291" s="948"/>
      <c r="AQ291" s="948"/>
      <c r="AR291" s="963"/>
    </row>
    <row r="292" spans="1:44" s="50" customFormat="1" ht="45" customHeight="1" thickBot="1">
      <c r="A292" s="197"/>
      <c r="B292" s="969"/>
      <c r="C292" s="974"/>
      <c r="D292" s="971"/>
      <c r="E292" s="972"/>
      <c r="F292" s="204" t="s">
        <v>662</v>
      </c>
      <c r="G292" s="205">
        <f>IF($B$288="Лікар загальної практики - сімейний лікар",AVERAGE(G288:G290),IF($B$288="Лікар-педіатр",AVERAGE(G288:G290),IF($B$288="Лікар-терапевт","х",0)))</f>
        <v>32</v>
      </c>
      <c r="H292" s="205">
        <f>IF($B$288="Лікар загальної практики - сімейний лікар",AVERAGE(H288:H290),IF($B$288="Лікар-педіатр",AVERAGE(H288:H290),IF($B$288="Лікар-терапевт","х",0)))</f>
        <v>213</v>
      </c>
      <c r="I292" s="205">
        <f>IF($B$288="Лікар загальної практики - сімейний лікар",AVERAGE(I288:I290),IF($B$288="Лікар-педіатр","x",IF($B$288="Лікар-терапевт",AVERAGE(I288:I290),0)))</f>
        <v>510</v>
      </c>
      <c r="J292" s="205">
        <f>IF($B$288="Лікар загальної практики - сімейний лікар",AVERAGE(J288:J290),IF($B$288="Лікар-педіатр","x",IF($B$288="Лікар-терапевт",AVERAGE(J288:J290),0)))</f>
        <v>622</v>
      </c>
      <c r="K292" s="205">
        <f>IF($B$288="Лікар загальної практики - сімейний лікар",AVERAGE(K288:K290),IF($B$288="Лікар-педіатр","x",IF($B$288="Лікар-терапевт",AVERAGE(K288:K290),0)))</f>
        <v>351</v>
      </c>
      <c r="L292" s="206">
        <f t="shared" si="54"/>
        <v>1728</v>
      </c>
      <c r="M292" s="973"/>
      <c r="N292" s="205">
        <f>IF($B$288="Лікар загальної практики - сімейний лікар",AVERAGE(N288:N290),IF($B$288="Лікар-педіатр",AVERAGE(N288:N290),IF($B$288="Лікар-терапевт","х",0)))</f>
        <v>32</v>
      </c>
      <c r="O292" s="205">
        <f>IF($B$288="Лікар загальної практики - сімейний лікар",AVERAGE(O288:O290),IF($B$288="Лікар-педіатр",AVERAGE(O288:O290),IF($B$288="Лікар-терапевт","х",0)))</f>
        <v>213</v>
      </c>
      <c r="P292" s="205">
        <f>IF($B$288="Лікар загальної практики - сімейний лікар",AVERAGE(P288:P290),IF($B$288="Лікар-педіатр","x",IF($B$288="Лікар-терапевт",AVERAGE(P288:P290),0)))</f>
        <v>510</v>
      </c>
      <c r="Q292" s="205">
        <f>IF($B$288="Лікар загальної практики - сімейний лікар",AVERAGE(Q288:Q290),IF($B$288="Лікар-педіатр","x",IF($B$288="Лікар-терапевт",AVERAGE(Q288:Q290),0)))</f>
        <v>622</v>
      </c>
      <c r="R292" s="205">
        <f>IF($B$288="Лікар загальної практики - сімейний лікар",AVERAGE(R288:R290),IF($B$288="Лікар-педіатр","x",IF($B$288="Лікар-терапевт",AVERAGE(R288:R290),0)))</f>
        <v>351</v>
      </c>
      <c r="S292" s="206">
        <f t="shared" si="55"/>
        <v>1728</v>
      </c>
      <c r="T292" s="973"/>
      <c r="U292" s="205">
        <f>IF($B$288="Лікар загальної практики - сімейний лікар",AVERAGE(U288:U290),IF($B$288="Лікар-педіатр",AVERAGE(U288:U290),IF($B$288="Лікар-терапевт","х",0)))</f>
        <v>32</v>
      </c>
      <c r="V292" s="205">
        <f>IF($B$288="Лікар загальної практики - сімейний лікар",AVERAGE(V288:V290),IF($B$288="Лікар-педіатр",AVERAGE(V288:V290),IF($B$288="Лікар-терапевт","х",0)))</f>
        <v>213</v>
      </c>
      <c r="W292" s="205">
        <f>IF($B$288="Лікар загальної практики - сімейний лікар",AVERAGE(W288:W290),IF($B$288="Лікар-педіатр","x",IF($B$288="Лікар-терапевт",AVERAGE(W288:W290),0)))</f>
        <v>510</v>
      </c>
      <c r="X292" s="205">
        <f>IF($B$288="Лікар загальної практики - сімейний лікар",AVERAGE(X288:X290),IF($B$288="Лікар-педіатр","x",IF($B$288="Лікар-терапевт",AVERAGE(X288:X290),0)))</f>
        <v>622</v>
      </c>
      <c r="Y292" s="205">
        <f>IF($B$288="Лікар загальної практики - сімейний лікар",AVERAGE(Y288:Y290),IF($B$288="Лікар-педіатр","x",IF($B$288="Лікар-терапевт",AVERAGE(Y288:Y290),0)))</f>
        <v>351</v>
      </c>
      <c r="Z292" s="206">
        <f t="shared" si="56"/>
        <v>1728</v>
      </c>
      <c r="AA292" s="973"/>
      <c r="AB292" s="205">
        <f>IF($B$288="Лікар загальної практики - сімейний лікар",AVERAGE(AB288:AB290),IF($B$288="Лікар-педіатр",AVERAGE(AB288:AB290),IF($B$288="Лікар-терапевт","х",0)))</f>
        <v>32</v>
      </c>
      <c r="AC292" s="205">
        <f>IF($B$288="Лікар загальної практики - сімейний лікар",AVERAGE(AC288:AC290),IF($B$288="Лікар-педіатр",AVERAGE(AC288:AC290),IF($B$288="Лікар-терапевт","х",0)))</f>
        <v>213</v>
      </c>
      <c r="AD292" s="205">
        <f>IF($B$288="Лікар загальної практики - сімейний лікар",AVERAGE(AD288:AD290),IF($B$288="Лікар-педіатр","x",IF($B$288="Лікар-терапевт",AVERAGE(AD288:AD290),0)))</f>
        <v>510</v>
      </c>
      <c r="AE292" s="205">
        <f>IF($B$288="Лікар загальної практики - сімейний лікар",AVERAGE(AE288:AE290),IF($B$288="Лікар-педіатр","x",IF($B$288="Лікар-терапевт",AVERAGE(AE288:AE290),0)))</f>
        <v>622</v>
      </c>
      <c r="AF292" s="205">
        <f>IF($B$288="Лікар загальної практики - сімейний лікар",AVERAGE(AF288:AF290),IF($B$288="Лікар-педіатр","x",IF($B$288="Лікар-терапевт",AVERAGE(AF288:AF290),0)))</f>
        <v>351</v>
      </c>
      <c r="AG292" s="206">
        <f t="shared" si="57"/>
        <v>1728</v>
      </c>
      <c r="AH292" s="967"/>
      <c r="AI292" s="201"/>
      <c r="AJ292" s="945"/>
      <c r="AK292" s="960"/>
      <c r="AL292" s="960"/>
      <c r="AM292" s="931"/>
      <c r="AN292" s="949"/>
      <c r="AO292" s="949"/>
      <c r="AP292" s="949"/>
      <c r="AQ292" s="949"/>
      <c r="AR292" s="964"/>
    </row>
    <row r="293" spans="1:44" s="50" customFormat="1" ht="40.5">
      <c r="A293" s="197"/>
      <c r="B293" s="969"/>
      <c r="C293" s="974"/>
      <c r="D293" s="971"/>
      <c r="E293" s="971"/>
      <c r="F293" s="237" t="str">
        <f ca="1">IF(B288="Лікар-педіатр",Законод!$C$17,IF(B288="Лікар загальної практики - сімейний лікар",Законод!$C$21,IF(B288="Лікар-терапевт",Законод!$C$25,"х")))</f>
        <v>ліміт (до 1800)</v>
      </c>
      <c r="G293" s="208">
        <f ca="1">IF($B$288="Лікар загальної практики - сімейний лікар",IF(L292&lt;=Законод!$C$22,G292,Законод!$C$22*'01_Доходи'!G291),IF($B$288="Лікар-педіатр",IF(L292&lt;=Законод!$C$18,G292,Законод!$C$18*'01_Доходи'!G291),IF($B$288="Лікар-терапевт","x",0)))</f>
        <v>32</v>
      </c>
      <c r="H293" s="208">
        <f ca="1">IF($B$288="Лікар загальної практики - сімейний лікар",IF(L292&lt;=Законод!$C$22,H292,Законод!$C$22*'01_Доходи'!H291),IF($B$288="Лікар-педіатр",IF(L292&lt;=Законод!$C$18,H292,Законод!$C$18*'01_Доходи'!H291),IF($B$288="Лікар-терапевт","x",0)))</f>
        <v>213</v>
      </c>
      <c r="I293" s="208">
        <f ca="1">IF($B$288="Лікар загальної практики - сімейний лікар",IF(L292&lt;=Законод!$C$22,I292,Законод!$C$22*'01_Доходи'!I291),IF($B$288="Лікар-педіатр","x",IF($B$288="Лікар-терапевт",IF(L292&lt;=Законод!$C$26,I292,Законод!$C$26*'01_Доходи'!I291),0)))</f>
        <v>510</v>
      </c>
      <c r="J293" s="208">
        <f ca="1">IF($B$288="Лікар загальної практики - сімейний лікар",IF(L292&lt;=Законод!$C$22,J292,Законод!$C$22*'01_Доходи'!J291),IF($B$288="Лікар-педіатр","x",IF($B$288="Лікар-терапевт",IF(L292&lt;=Законод!$C$26,J292,Законод!$C$26*'01_Доходи'!J291),0)))</f>
        <v>622</v>
      </c>
      <c r="K293" s="208">
        <f ca="1">IF($B$288="Лікар загальної практики - сімейний лікар",IF(L292&lt;=Законод!$C$22,K292,Законод!$C$22*'01_Доходи'!K291),IF($B$288="Лікар-педіатр","x",IF($B$288="Лікар-терапевт",IF(L292&lt;=Законод!$C$26,K292,Законод!$C$26*'01_Доходи'!K291),0)))</f>
        <v>351</v>
      </c>
      <c r="L293" s="209">
        <f t="shared" si="54"/>
        <v>1728</v>
      </c>
      <c r="M293" s="966"/>
      <c r="N293" s="208">
        <f ca="1">IF($B$288="Лікар загальної практики - сімейний лікар",IF(S292&lt;=Законод!$C$22,N292,Законод!$C$22*'01_Доходи'!N291),IF($B$288="Лікар-педіатр",IF(S292&lt;=Законод!$C$18,N292,Законод!$C$18*'01_Доходи'!N291),IF($B$288="Лікар-терапевт","x",0)))</f>
        <v>32</v>
      </c>
      <c r="O293" s="208">
        <f ca="1">IF($B$288="Лікар загальної практики - сімейний лікар",IF(S292&lt;=Законод!$C$22,O292,Законод!$C$22*'01_Доходи'!O291),IF($B$288="Лікар-педіатр",IF(S292&lt;=Законод!$C$18,O292,Законод!$C$18*'01_Доходи'!O291),IF($B$288="Лікар-терапевт","x",0)))</f>
        <v>213</v>
      </c>
      <c r="P293" s="208">
        <f ca="1">IF($B$288="Лікар загальної практики - сімейний лікар",IF(S292&lt;=Законод!$C$22,P292,Законод!$C$22*'01_Доходи'!P291),IF($B$288="Лікар-педіатр","x",IF($B$288="Лікар-терапевт",IF(S292&lt;=Законод!$C$26,P292,Законод!$C$26*'01_Доходи'!P291),0)))</f>
        <v>510</v>
      </c>
      <c r="Q293" s="208">
        <f ca="1">IF($B$288="Лікар загальної практики - сімейний лікар",IF(S292&lt;=Законод!$C$22,Q292,Законод!$C$22*'01_Доходи'!Q291),IF($B$288="Лікар-педіатр","x",IF($B$288="Лікар-терапевт",IF(S292&lt;=Законод!$C$26,Q292,Законод!$C$26*'01_Доходи'!Q291),0)))</f>
        <v>622</v>
      </c>
      <c r="R293" s="208">
        <f ca="1">IF($B$288="Лікар загальної практики - сімейний лікар",IF(S292&lt;=Законод!$C$22,R292,Законод!$C$22*'01_Доходи'!R291),IF($B$288="Лікар-педіатр","x",IF($B$288="Лікар-терапевт",IF(S292&lt;=Законод!$C$26,R292,Законод!$C$26*'01_Доходи'!R291),0)))</f>
        <v>351</v>
      </c>
      <c r="S293" s="209">
        <f t="shared" si="55"/>
        <v>1728</v>
      </c>
      <c r="T293" s="966"/>
      <c r="U293" s="208">
        <f ca="1">IF($B$288="Лікар загальної практики - сімейний лікар",IF(Z292&lt;=Законод!$C$22,U292,Законод!$C$22*'01_Доходи'!U291),IF($B$288="Лікар-педіатр",IF(Z292&lt;=Законод!$C$18,U292,Законод!$C$18*'01_Доходи'!U291),IF($B$288="Лікар-терапевт","x",0)))</f>
        <v>32</v>
      </c>
      <c r="V293" s="208">
        <f ca="1">IF($B$288="Лікар загальної практики - сімейний лікар",IF(Z292&lt;=Законод!$C$22,V292,Законод!$C$22*'01_Доходи'!V291),IF($B$288="Лікар-педіатр",IF(Z292&lt;=Законод!$C$18,V292,Законод!$C$18*'01_Доходи'!V291),IF($B$288="Лікар-терапевт","x",0)))</f>
        <v>213</v>
      </c>
      <c r="W293" s="208">
        <f ca="1">IF($B$288="Лікар загальної практики - сімейний лікар",IF(Z292&lt;=Законод!$C$22,W292,Законод!$C$22*'01_Доходи'!W291),IF($B$288="Лікар-педіатр","x",IF($B$288="Лікар-терапевт",IF(Z292&lt;=Законод!$C$26,W292,Законод!$C$26*'01_Доходи'!W291),0)))</f>
        <v>510</v>
      </c>
      <c r="X293" s="208">
        <f ca="1">IF($B$288="Лікар загальної практики - сімейний лікар",IF(Z292&lt;=Законод!$C$22,X292,Законод!$C$22*'01_Доходи'!X291),IF($B$288="Лікар-педіатр","x",IF($B$288="Лікар-терапевт",IF(Z292&lt;=Законод!$C$26,X292,Законод!$C$26*'01_Доходи'!X291),0)))</f>
        <v>622</v>
      </c>
      <c r="Y293" s="208">
        <f ca="1">IF($B$288="Лікар загальної практики - сімейний лікар",IF(Z292&lt;=Законод!$C$22,Y292,Законод!$C$22*'01_Доходи'!Y291),IF($B$288="Лікар-педіатр","x",IF($B$288="Лікар-терапевт",IF(Z292&lt;=Законод!$C$26,Y292,Законод!$C$26*'01_Доходи'!Y291),0)))</f>
        <v>351</v>
      </c>
      <c r="Z293" s="209">
        <f t="shared" si="56"/>
        <v>1728</v>
      </c>
      <c r="AA293" s="966"/>
      <c r="AB293" s="208">
        <f ca="1">IF($B$288="Лікар загальної практики - сімейний лікар",IF(AG292&lt;=Законод!$C$22,AB292,Законод!$C$22*'01_Доходи'!AB291),IF($B$288="Лікар-педіатр",IF(AG292&lt;=Законод!$C$18,AB292,Законод!$C$18*'01_Доходи'!AB291),IF($B$288="Лікар-терапевт","x",0)))</f>
        <v>32</v>
      </c>
      <c r="AC293" s="208">
        <f ca="1">IF($B$288="Лікар загальної практики - сімейний лікар",IF(AG292&lt;=Законод!$C$22,AC292,Законод!$C$22*'01_Доходи'!AC291),IF($B$288="Лікар-педіатр",IF(AG292&lt;=Законод!$C$18,AC292,Законод!$C$18*'01_Доходи'!AC291),IF($B$288="Лікар-терапевт","x",0)))</f>
        <v>213</v>
      </c>
      <c r="AD293" s="208">
        <f ca="1">IF($B$288="Лікар загальної практики - сімейний лікар",IF(AG292&lt;=Законод!$C$22,AD292,Законод!$C$22*'01_Доходи'!AD291),IF($B$288="Лікар-педіатр","x",IF($B$288="Лікар-терапевт",IF(AG292&lt;=Законод!$C$26,AD292,Законод!$C$26*'01_Доходи'!AD291),0)))</f>
        <v>510</v>
      </c>
      <c r="AE293" s="208">
        <f ca="1">IF($B$288="Лікар загальної практики - сімейний лікар",IF(AG292&lt;=Законод!$C$22,AE292,Законод!$C$22*'01_Доходи'!AE291),IF($B$288="Лікар-педіатр","x",IF($B$288="Лікар-терапевт",IF(AG292&lt;=Законод!$C$26,AE292,Законод!$C$26*'01_Доходи'!AE291),0)))</f>
        <v>622</v>
      </c>
      <c r="AF293" s="208">
        <f ca="1">IF($B$288="Лікар загальної практики - сімейний лікар",IF(AG292&lt;=Законод!$C$22,AF292,Законод!$C$22*'01_Доходи'!AF291),IF($B$288="Лікар-педіатр","x",IF($B$288="Лікар-терапевт",IF(AG292&lt;=Законод!$C$26,AF292,Законод!$C$26*'01_Доходи'!AF291),0)))</f>
        <v>351</v>
      </c>
      <c r="AG293" s="209">
        <f t="shared" si="57"/>
        <v>1728</v>
      </c>
      <c r="AH293" s="966"/>
      <c r="AI293" s="201"/>
      <c r="AJ293" s="945"/>
      <c r="AK293" s="960"/>
      <c r="AL293" s="960"/>
      <c r="AM293" s="348" t="s">
        <v>451</v>
      </c>
      <c r="AN293" s="210">
        <f ca="1">IF(B288="Лікар загальної практики - сімейний лікар",G293*Законод!$C$11+'01_Доходи'!H293*Законод!$D$11+'01_Доходи'!I293*Законод!$E$11+'01_Доходи'!J293*Законод!$F$11+'01_Доходи'!K293*Законод!$G$11,IF(B288="Лікар-педіатр",G293*Законод!$C$11+'01_Доходи'!H293*Законод!$D$11,IF(B288="Лікар-терапевт",'01_Доходи'!I293*Законод!$E$11+'01_Доходи'!J293*Законод!$F$11+'01_Доходи'!K293*Законод!$G$11,0)))</f>
        <v>309538.51517500001</v>
      </c>
      <c r="AO293" s="210">
        <f ca="1">IF(B288="Лікар загальної практики - сімейний лікар",N293*Законод!$C$11+'01_Доходи'!O293*Законод!$D$11+'01_Доходи'!P293*Законод!$E$11+'01_Доходи'!Q293*Законод!$F$11+'01_Доходи'!R293*Законод!$G$11,IF(B288="Лікар-педіатр",N293*Законод!$C$11+'01_Доходи'!O293*Законод!$D$11,IF(B288="Лікар-терапевт",'01_Доходи'!P293*Законод!$E$11+'01_Доходи'!Q293*Законод!$F$11+'01_Доходи'!R293*Законод!$G$11,0)))</f>
        <v>309538.51517500001</v>
      </c>
      <c r="AP293" s="210">
        <f ca="1">IF(B288="Лікар загальної практики - сімейний лікар",U293*Законод!$C$11+'01_Доходи'!V293*Законод!$D$11+'01_Доходи'!W293*Законод!$E$11+'01_Доходи'!X293*Законод!$F$11+'01_Доходи'!Y293*Законод!$G$11,IF(B288="Лікар-педіатр",U293*Законод!$C$11+'01_Доходи'!V293*Законод!$D$11,IF(B288="Лікар-терапевт",'01_Доходи'!W293*Законод!$E$11+'01_Доходи'!X293*Законод!$F$11+'01_Доходи'!Y293*Законод!$G$11,0)))</f>
        <v>309538.51517500001</v>
      </c>
      <c r="AQ293" s="210">
        <f ca="1">IF(B288="Лікар загальної практики - сімейний лікар",AB293*Законод!$C$11+'01_Доходи'!AC293*Законод!$D$11+'01_Доходи'!AD293*Законод!$E$11+'01_Доходи'!AE293*Законод!$F$11+'01_Доходи'!AF293*Законод!$G$11,IF(B288="Лікар-педіатр",AB293*Законод!$C$11+'01_Доходи'!AC293*Законод!$D$11,IF(B288="Лікар-терапевт",'01_Доходи'!AD293*Законод!$E$11+'01_Доходи'!AE293*Законод!$F$11+'01_Доходи'!AF293*Законод!$G$11,0)))</f>
        <v>309538.51517500001</v>
      </c>
      <c r="AR293" s="211">
        <f t="shared" ref="AR293:AR299" si="58">SUM(AN293:AQ293)</f>
        <v>1238154.0607</v>
      </c>
    </row>
    <row r="294" spans="1:44" s="50" customFormat="1" ht="31.9" customHeight="1">
      <c r="A294" s="197"/>
      <c r="B294" s="969"/>
      <c r="C294" s="974"/>
      <c r="D294" s="971"/>
      <c r="E294" s="971"/>
      <c r="F294" s="238" t="str">
        <f ca="1">IF(B288="Лікар-педіатр",Законод!$E$17,IF(B288="Лікар загальної практики - сімейний лікар",Законод!$E$21,IF(B288="Лікар-терапевт",Законод!$E$25,"х")))</f>
        <v>понад ліміт (1801-1980)</v>
      </c>
      <c r="G294" s="965" t="s">
        <v>423</v>
      </c>
      <c r="H294" s="965"/>
      <c r="I294" s="965"/>
      <c r="J294" s="965"/>
      <c r="K294" s="965"/>
      <c r="L294" s="196">
        <f ca="1">IF($B$288="Лікар загальної практики - сімейний лікар",IF(L292&lt;Законод!$C$22,0,(IF(AND(L292&gt;=Законод!$E$22,L292&lt;=Законод!$E$23),L292-Законод!$C$22,IF('01_Доходи'!L292&gt;=Законод!$F$22,Законод!$E$24,0)))),IF($B$288="Лікар-педіатр",IF(L292&lt;Законод!$C$18,0,(IF(AND(L292&gt;=Законод!$E$18,L292&lt;=Законод!$E$19),L292-Законод!$C$18,IF('01_Доходи'!L292&gt;=Законод!$F$18,Законод!$E$20,0)))),IF($B$288="Лікар-терапевт",IF(L292&lt;Законод!$C$26,0,(IF(AND(L292&gt;=Законод!$E$26,L292&lt;=Законод!$E$27),L292-Законод!$C$26,IF('01_Доходи'!L292&gt;=Законод!$F$26,Законод!$E$28,0)))),0)))</f>
        <v>0</v>
      </c>
      <c r="M294" s="966"/>
      <c r="N294" s="965" t="s">
        <v>423</v>
      </c>
      <c r="O294" s="965"/>
      <c r="P294" s="965"/>
      <c r="Q294" s="965"/>
      <c r="R294" s="965"/>
      <c r="S294" s="196">
        <f ca="1">IF($B$288="Лікар загальної практики - сімейний лікар",IF(S292&lt;Законод!$C$22,0,(IF(AND(S292&gt;=Законод!$E$22,S292&lt;=Законод!$E$23),S292-Законод!$C$22,IF('01_Доходи'!S292&gt;=Законод!$F$22,Законод!$E$24,0)))),IF($B$288="Лікар-педіатр",IF(S292&lt;Законод!$C$18,0,(IF(AND(S292&gt;=Законод!$E$18,S292&lt;=Законод!$E$19),S292-Законод!$C$18,IF('01_Доходи'!S292&gt;=Законод!$F$18,Законод!$E$20,0)))),IF($B$288="Лікар-терапевт",IF(S292&lt;Законод!$C$26,0,(IF(AND(S292&gt;=Законод!$E$26,S292&lt;=Законод!$E$27),S292-Законод!$C$26,IF('01_Доходи'!S292&gt;=Законод!$F$26,Законод!$E$28,0)))),0)))</f>
        <v>0</v>
      </c>
      <c r="T294" s="966"/>
      <c r="U294" s="965" t="s">
        <v>423</v>
      </c>
      <c r="V294" s="965"/>
      <c r="W294" s="965"/>
      <c r="X294" s="965"/>
      <c r="Y294" s="965"/>
      <c r="Z294" s="196">
        <f ca="1">IF($B$288="Лікар загальної практики - сімейний лікар",IF(Z292&lt;Законод!$C$22,0,(IF(AND(Z292&gt;=Законод!$E$22,Z292&lt;=Законод!$E$23),Z292-Законод!$C$22,IF('01_Доходи'!Z292&gt;=Законод!$F$22,Законод!$E$24,0)))),IF($B$288="Лікар-педіатр",IF(Z292&lt;Законод!$C$18,0,(IF(AND(Z292&gt;=Законод!$E$18,Z292&lt;=Законод!$E$19),Z292-Законод!$C$18,IF('01_Доходи'!Z292&gt;=Законод!$F$18,Законод!$E$20,0)))),IF($B$288="Лікар-терапевт",IF(Z292&lt;Законод!$C$26,0,(IF(AND(Z292&gt;=Законод!$E$26,Z292&lt;=Законод!$E$27),Z292-Законод!$C$26,IF('01_Доходи'!Z292&gt;=Законод!$F$26,Законод!$E$28,0)))),0)))</f>
        <v>0</v>
      </c>
      <c r="AA294" s="966"/>
      <c r="AB294" s="965" t="s">
        <v>423</v>
      </c>
      <c r="AC294" s="965"/>
      <c r="AD294" s="965"/>
      <c r="AE294" s="965"/>
      <c r="AF294" s="965"/>
      <c r="AG294" s="196">
        <f ca="1">IF($B$288="Лікар загальної практики - сімейний лікар",IF(AG292&lt;Законод!$C$22,0,(IF(AND(AG292&gt;=Законод!$E$22,AG292&lt;=Законод!$E$23),AG292-Законод!$C$22,IF('01_Доходи'!AG292&gt;=Законод!$F$22,Законод!$E$24,0)))),IF($B$288="Лікар-педіатр",IF(AG292&lt;Законод!$C$18,0,(IF(AND(AG292&gt;=Законод!$E$18,AG292&lt;=Законод!$E$19),AG292-Законод!$C$18,IF('01_Доходи'!AG292&gt;=Законод!$F$18,Законод!$E$20,0)))),IF($B$288="Лікар-терапевт",IF(AG292&lt;Законод!$C$26,0,(IF(AND(AG292&gt;=Законод!$E$26,AG292&lt;=Законод!$E$27),AG292-Законод!$C$26,IF('01_Доходи'!AG292&gt;=Законод!$F$26,Законод!$E$28,0)))),0)))</f>
        <v>0</v>
      </c>
      <c r="AH294" s="966"/>
      <c r="AI294" s="201"/>
      <c r="AJ294" s="945"/>
      <c r="AK294" s="960"/>
      <c r="AL294" s="960"/>
      <c r="AM294" s="926" t="s">
        <v>452</v>
      </c>
      <c r="AN294" s="210">
        <f ca="1">IF(B288="Лікар загальної практики - сімейний лікар",L294*Законод!$C$9/4*Законод!$E$16,IF(B288="Лікар-педіатр",L294*Законод!$C$9/4*Законод!$E$16,IF(B288="Лікар-терапевт",L294*Законод!$C$9/4*Законод!$E$16,0)))</f>
        <v>0</v>
      </c>
      <c r="AO294" s="210">
        <f ca="1">IF(B288="Лікар загальної практики - сімейний лікар",S294*Законод!$C$9/4*Законод!$E$16,IF(B288="Лікар-педіатр",S294*Законод!$C$9/4*Законод!$E$16,IF(B288="Лікар-терапевт",S294*Законод!$C$9/4*Законод!$E$16,0)))</f>
        <v>0</v>
      </c>
      <c r="AP294" s="210">
        <f ca="1">IF(B288="Лікар загальної практики - сімейний лікар",Z294*Законод!$C$9/4*Законод!$E$16,IF(B288="Лікар-педіатр",Z294*Законод!$C$9/4*Законод!$E$16,IF(B288="Лікар-терапевт",Z294*Законод!$C$9/4*Законод!$E$16,0)))</f>
        <v>0</v>
      </c>
      <c r="AQ294" s="210">
        <f ca="1">IF(B288="Лікар загальної практики - сімейний лікар",AG294*Законод!$C$9/4*Законод!$E$16,IF(B288="Лікар-педіатр",AG294*Законод!$C$9/4*Законод!$E$16,IF(B288="Лікар-терапевт",AG294*Законод!$C$9/4*Законод!$E$16,0)))</f>
        <v>0</v>
      </c>
      <c r="AR294" s="211">
        <f t="shared" si="58"/>
        <v>0</v>
      </c>
    </row>
    <row r="295" spans="1:44" s="50" customFormat="1" ht="31.9" customHeight="1">
      <c r="A295" s="197"/>
      <c r="B295" s="969"/>
      <c r="C295" s="974"/>
      <c r="D295" s="971"/>
      <c r="E295" s="971"/>
      <c r="F295" s="238" t="str">
        <f ca="1">IF(B288="Лікар-педіатр",Законод!$F$17,IF(B288="Лікар загальної практики - сімейний лікар",Законод!$F$21,IF(B288="Лікар-терапевт",Законод!$F$25,"х")))</f>
        <v>понад ліміт (1981-2160)</v>
      </c>
      <c r="G295" s="965" t="s">
        <v>423</v>
      </c>
      <c r="H295" s="965"/>
      <c r="I295" s="965"/>
      <c r="J295" s="965"/>
      <c r="K295" s="965"/>
      <c r="L295" s="196">
        <f ca="1">IF($B$288="Лікар загальної практики - сімейний лікар",IF(L292&lt;Законод!$C$22,0,(IF(AND(L292&gt;=Законод!$F$22,L292&lt;=Законод!$F$23),L292-Законод!$E$23,IF('01_Доходи'!L292&gt;=Законод!$G$22,Законод!$F$24,0)))),IF($B$288="Лікар-педіатр",IF(L292&lt;Законод!$C$18,0,(IF(AND(L292&gt;=Законод!$F$18,L292&lt;=Законод!$F$19),L292-Законод!$E$19,IF('01_Доходи'!L292&gt;=Законод!$G$18,Законод!$F$20,0)))),IF($B$288="Лікар-терапевт",IF(L292&lt;Законод!$C$26,0,(IF(AND(L292&gt;=Законод!$F$26,L292&lt;=Законод!$F$27),L292-Законод!$E$27,IF('01_Доходи'!L292&gt;=Законод!$G$26,Законод!$F$28,0)))),0)))</f>
        <v>0</v>
      </c>
      <c r="M295" s="966"/>
      <c r="N295" s="965" t="s">
        <v>423</v>
      </c>
      <c r="O295" s="965"/>
      <c r="P295" s="965"/>
      <c r="Q295" s="965"/>
      <c r="R295" s="965"/>
      <c r="S295" s="196">
        <f ca="1">IF($B$288="Лікар загальної практики - сімейний лікар",IF(S292&lt;Законод!$C$22,0,(IF(AND(S292&gt;=Законод!$F$22,S292&lt;=Законод!$F$23),S292-Законод!$E$23,IF('01_Доходи'!S292&gt;=Законод!$G$22,Законод!$F$24,0)))),IF($B$288="Лікар-педіатр",IF(S292&lt;Законод!$C$18,0,(IF(AND(S292&gt;=Законод!$F$18,S292&lt;=Законод!$F$19),S292-Законод!$E$19,IF('01_Доходи'!S292&gt;=Законод!$G$18,Законод!$F$20,0)))),IF($B$288="Лікар-терапевт",IF(S292&lt;Законод!$C$26,0,(IF(AND(S292&gt;=Законод!$F$26,S292&lt;=Законод!$F$27),S292-Законод!$E$27,IF('01_Доходи'!S292&gt;=Законод!$G$26,Законод!$F$28,0)))),0)))</f>
        <v>0</v>
      </c>
      <c r="T295" s="966"/>
      <c r="U295" s="965" t="s">
        <v>423</v>
      </c>
      <c r="V295" s="965"/>
      <c r="W295" s="965"/>
      <c r="X295" s="965"/>
      <c r="Y295" s="965"/>
      <c r="Z295" s="196">
        <f ca="1">IF($B$288="Лікар загальної практики - сімейний лікар",IF(Z292&lt;Законод!$C$22,0,(IF(AND(Z292&gt;=Законод!$F$22,Z292&lt;=Законод!$F$23),Z292-Законод!$E$23,IF('01_Доходи'!Z292&gt;=Законод!$G$22,Законод!$F$24,0)))),IF($B$288="Лікар-педіатр",IF(Z292&lt;Законод!$C$18,0,(IF(AND(Z292&gt;=Законод!$F$18,Z292&lt;=Законод!$F$19),Z292-Законод!$E$19,IF('01_Доходи'!Z292&gt;=Законод!$G$18,Законод!$F$20,0)))),IF($B$288="Лікар-терапевт",IF(Z292&lt;Законод!$C$26,0,(IF(AND(Z292&gt;=Законод!$F$26,Z292&lt;=Законод!$F$27),Z292-Законод!$E$27,IF('01_Доходи'!Z292&gt;=Законод!$G$26,Законод!$F$28,0)))),0)))</f>
        <v>0</v>
      </c>
      <c r="AA295" s="966"/>
      <c r="AB295" s="965" t="s">
        <v>423</v>
      </c>
      <c r="AC295" s="965"/>
      <c r="AD295" s="965"/>
      <c r="AE295" s="965"/>
      <c r="AF295" s="965"/>
      <c r="AG295" s="196">
        <f ca="1">IF($B$288="Лікар загальної практики - сімейний лікар",IF(AG292&lt;Законод!$C$22,0,(IF(AND(AG292&gt;=Законод!$F$22,AG292&lt;=Законод!$F$23),AG292-Законод!$E$23,IF('01_Доходи'!AG292&gt;=Законод!$G$22,Законод!$F$24,0)))),IF($B$288="Лікар-педіатр",IF(AG292&lt;Законод!$C$18,0,(IF(AND(AG292&gt;=Законод!$F$18,AG292&lt;=Законод!$F$19),AG292-Законод!$E$19,IF('01_Доходи'!AG292&gt;=Законод!$G$18,Законод!$F$20,0)))),IF($B$288="Лікар-терапевт",IF(AG292&lt;Законод!$C$26,0,(IF(AND(AG292&gt;=Законод!$F$26,AG292&lt;=Законод!$F$27),AG292-Законод!$E$27,IF('01_Доходи'!AG292&gt;=Законод!$G$26,Законод!$F$28,0)))),0)))</f>
        <v>0</v>
      </c>
      <c r="AH295" s="966"/>
      <c r="AI295" s="201"/>
      <c r="AJ295" s="945"/>
      <c r="AK295" s="960"/>
      <c r="AL295" s="960"/>
      <c r="AM295" s="927"/>
      <c r="AN295" s="210">
        <f ca="1">IF(B288="Лікар загальної практики - сімейний лікар",L295*Законод!$C$9/4*Законод!$F$16,IF(B288="Лікар-педіатр",L295*Законод!$C$9/4*Законод!$F$16,IF(B288="Лікар-терапевт",L295*Законод!$C$9/4*Законод!$F$16,0)))</f>
        <v>0</v>
      </c>
      <c r="AO295" s="210">
        <f ca="1">IF(B288="Лікар загальної практики - сімейний лікар",S295*Законод!$C$9/4*Законод!$F$16,IF(B288="Лікар-педіатр",S295*Законод!$C$9/4*Законод!$F$16,IF(B288="Лікар-терапевт",S295*Законод!$C$9/4*Законод!$F$16,0)))</f>
        <v>0</v>
      </c>
      <c r="AP295" s="210">
        <f ca="1">IF(B288="Лікар загальної практики - сімейний лікар",Z295*Законод!$C$9/4*Законод!$F$16,IF(B288="Лікар-педіатр",Z295*Законод!$C$9/4*Законод!$F$16,IF(B288="Лікар-терапевт",Z295*Законод!$C$9/4*Законод!$F$16,0)))</f>
        <v>0</v>
      </c>
      <c r="AQ295" s="210">
        <f ca="1">IF(B288="Лікар загальної практики - сімейний лікар",AG295*Законод!$C$9/4*Законод!$F$16,IF(B288="Лікар-педіатр",AG295*Законод!$C$9/4*Законод!$F$16,IF(B288="Лікар-терапевт",AG295*Законод!$C$9/4*Законод!$F$16,0)))</f>
        <v>0</v>
      </c>
      <c r="AR295" s="211">
        <f t="shared" si="58"/>
        <v>0</v>
      </c>
    </row>
    <row r="296" spans="1:44" s="50" customFormat="1" ht="31.9" customHeight="1">
      <c r="A296" s="197"/>
      <c r="B296" s="969"/>
      <c r="C296" s="974"/>
      <c r="D296" s="971"/>
      <c r="E296" s="971"/>
      <c r="F296" s="238" t="str">
        <f ca="1">IF(B288="Лікар-педіатр",Законод!$G$17,IF(B288="Лікар загальної практики - сімейний лікар",Законод!$G$21,IF(B288="Лікар-терапевт",Законод!$G$25,"х")))</f>
        <v>понад ліміт (2161-2340)</v>
      </c>
      <c r="G296" s="965" t="s">
        <v>423</v>
      </c>
      <c r="H296" s="965"/>
      <c r="I296" s="965"/>
      <c r="J296" s="965"/>
      <c r="K296" s="965"/>
      <c r="L296" s="196">
        <f ca="1">IF($B$288="Лікар загальної практики - сімейний лікар",IF(L292&lt;Законод!$C$22,0,(IF(AND(L292&gt;=Законод!$G$22,L292&lt;=Законод!$G$23),L292-Законод!$F$23,IF('01_Доходи'!L292&gt;=Законод!$H$22,Законод!$G$24,0)))),IF($B$288="Лікар-педіатр",IF(L292&lt;Законод!$C$18,0,(IF(AND(L292&gt;=Законод!$G$18,L292&lt;=Законод!$G$19),L292-Законод!$F$19,IF('01_Доходи'!L292&gt;=Законод!$H$18,Законод!$G$20,0)))),IF($B$288="Лікар-терапевт",IF(L292&lt;Законод!$C$26,0,(IF(AND(L292&gt;=Законод!$G$26,L292&lt;=Законод!$G$27),L292-Законод!$F$27,IF('01_Доходи'!L292&gt;=Законод!$H$26,Законод!$G$28,0)))),0)))</f>
        <v>0</v>
      </c>
      <c r="M296" s="966"/>
      <c r="N296" s="965" t="s">
        <v>423</v>
      </c>
      <c r="O296" s="965"/>
      <c r="P296" s="965"/>
      <c r="Q296" s="965"/>
      <c r="R296" s="965"/>
      <c r="S296" s="196">
        <f ca="1">IF($B$288="Лікар загальної практики - сімейний лікар",IF(S292&lt;Законод!$C$22,0,(IF(AND(S292&gt;=Законод!$G$22,S292&lt;=Законод!$G$23),S292-Законод!$F$23,IF('01_Доходи'!S292&gt;=Законод!$H$22,Законод!$G$24,0)))),IF($B$288="Лікар-педіатр",IF(S292&lt;Законод!$C$18,0,(IF(AND(S292&gt;=Законод!$G$18,S292&lt;=Законод!$G$19),S292-Законод!$F$19,IF('01_Доходи'!S292&gt;=Законод!$H$18,Законод!$G$20,0)))),IF($B$288="Лікар-терапевт",IF(S292&lt;Законод!$C$26,0,(IF(AND(S292&gt;=Законод!$G$26,S292&lt;=Законод!$G$27),S292-Законод!$F$27,IF('01_Доходи'!S292&gt;=Законод!$H$26,Законод!$G$28,0)))),0)))</f>
        <v>0</v>
      </c>
      <c r="T296" s="966"/>
      <c r="U296" s="965" t="s">
        <v>423</v>
      </c>
      <c r="V296" s="965"/>
      <c r="W296" s="965"/>
      <c r="X296" s="965"/>
      <c r="Y296" s="965"/>
      <c r="Z296" s="196">
        <f ca="1">IF($B$288="Лікар загальної практики - сімейний лікар",IF(Z292&lt;Законод!$C$22,0,(IF(AND(Z292&gt;=Законод!$G$22,Z292&lt;=Законод!$G$23),Z292-Законод!$F$23,IF('01_Доходи'!Z292&gt;=Законод!$H$22,Законод!$G$24,0)))),IF($B$288="Лікар-педіатр",IF(Z292&lt;Законод!$C$18,0,(IF(AND(Z292&gt;=Законод!$G$18,Z292&lt;=Законод!$G$19),Z292-Законод!$F$19,IF('01_Доходи'!Z292&gt;=Законод!$H$18,Законод!$G$20,0)))),IF($B$288="Лікар-терапевт",IF(Z292&lt;Законод!$C$26,0,(IF(AND(Z292&gt;=Законод!$G$26,Z292&lt;=Законод!$G$27),Z292-Законод!$F$27,IF('01_Доходи'!Z292&gt;=Законод!$H$26,Законод!$G$28,0)))),0)))</f>
        <v>0</v>
      </c>
      <c r="AA296" s="966"/>
      <c r="AB296" s="965" t="s">
        <v>423</v>
      </c>
      <c r="AC296" s="965"/>
      <c r="AD296" s="965"/>
      <c r="AE296" s="965"/>
      <c r="AF296" s="965"/>
      <c r="AG296" s="196">
        <f ca="1">IF($B$288="Лікар загальної практики - сімейний лікар",IF(AG292&lt;Законод!$C$22,0,(IF(AND(AG292&gt;=Законод!$G$22,AG292&lt;=Законод!$G$23),AG292-Законод!$F$23,IF('01_Доходи'!AG292&gt;=Законод!$H$22,Законод!$G$24,0)))),IF($B$288="Лікар-педіатр",IF(AG292&lt;Законод!$C$18,0,(IF(AND(AG292&gt;=Законод!$G$18,AG292&lt;=Законод!$G$19),AG292-Законод!$F$19,IF('01_Доходи'!AG292&gt;=Законод!$H$18,Законод!$G$20,0)))),IF($B$288="Лікар-терапевт",IF(AG292&lt;Законод!$C$26,0,(IF(AND(AG292&gt;=Законод!$G$26,AG292&lt;=Законод!$G$27),AG292-Законод!$F$27,IF('01_Доходи'!AG292&gt;=Законод!$H$26,Законод!$G$28,0)))),0)))</f>
        <v>0</v>
      </c>
      <c r="AH296" s="966"/>
      <c r="AI296" s="201"/>
      <c r="AJ296" s="945"/>
      <c r="AK296" s="960"/>
      <c r="AL296" s="960"/>
      <c r="AM296" s="927"/>
      <c r="AN296" s="210">
        <f ca="1">IF(B288="Лікар загальної практики - сімейний лікар",L296*Законод!$C$9/4*Законод!$G$16,IF(B288="Лікар-педіатр",L296*Законод!$C$9/4*Законод!$G$16,IF(B288="Лікар-терапевт",L296*Законод!$C$9/4*Законод!$G$16,0)))</f>
        <v>0</v>
      </c>
      <c r="AO296" s="210">
        <f ca="1">IF(B288="Лікар загальної практики - сімейний лікар",S296*Законод!$C$9/4*Законод!$G$16,IF(B288="Лікар-педіатр",S296*Законод!$C$9/4*Законод!$G$16,IF(B288="Лікар-терапевт",S296*Законод!$C$9/4*Законод!$G$16,0)))</f>
        <v>0</v>
      </c>
      <c r="AP296" s="210">
        <f ca="1">IF(B288="Лікар загальної практики - сімейний лікар",Z296*Законод!$C$9/4*Законод!$G$16,IF(B288="Лікар-педіатр",Z296*Законод!$C$9/4*Законод!$G$16,IF(B288="Лікар-терапевт",Z296*Законод!$C$9/4*Законод!$G$16,0)))</f>
        <v>0</v>
      </c>
      <c r="AQ296" s="210">
        <f ca="1">IF(B288="Лікар загальної практики - сімейний лікар",AG296*Законод!$C$9/4*Законод!$G$16,IF(B288="Лікар-педіатр",AG296*Законод!$C$9/4*Законод!$G$16,IF(B288="Лікар-терапевт",AG296*Законод!$C$9/4*Законод!$G$16,0)))</f>
        <v>0</v>
      </c>
      <c r="AR296" s="211">
        <f t="shared" si="58"/>
        <v>0</v>
      </c>
    </row>
    <row r="297" spans="1:44" s="50" customFormat="1" ht="31.9" customHeight="1">
      <c r="A297" s="197"/>
      <c r="B297" s="969"/>
      <c r="C297" s="974"/>
      <c r="D297" s="971"/>
      <c r="E297" s="971"/>
      <c r="F297" s="238" t="str">
        <f ca="1">IF(B288="Лікар-педіатр",Законод!$H$17,IF(B288="Лікар загальної практики - сімейний лікар",Законод!$H$21,IF(B288="Лікар-терапевт",Законод!$H$25,"х")))</f>
        <v>понад ліміт (2341-2520)</v>
      </c>
      <c r="G297" s="965" t="s">
        <v>423</v>
      </c>
      <c r="H297" s="965"/>
      <c r="I297" s="965"/>
      <c r="J297" s="965"/>
      <c r="K297" s="965"/>
      <c r="L297" s="196">
        <f ca="1">IF($B$288="Лікар загальної практики - сімейний лікар",IF(L292&lt;Законод!$C$22,0,(IF(AND(L292&gt;=Законод!$H$22,L292&lt;=Законод!$H$23),L292-Законод!$G$23,IF('01_Доходи'!L292&gt;=Законод!$I$22,Законод!$H$24,0)))),IF($B$288="Лікар-педіатр",IF(L292&lt;Законод!$C$18,0,(IF(AND(L292&gt;=Законод!$H$18,L292&lt;=Законод!$H$19),L292-Законод!$G$19,IF('01_Доходи'!L292&gt;=Законод!$I$18,Законод!$H$20,0)))),IF($B$288="Лікар-терапевт",IF(L292&lt;Законод!$C$26,0,(IF(AND(L292&gt;=Законод!$H$26,L292&lt;=Законод!$H$27),L292-Законод!$G$27,IF(L292&gt;=Законод!$I$26,Законод!$H$28,0)))),0)))</f>
        <v>0</v>
      </c>
      <c r="M297" s="966"/>
      <c r="N297" s="965" t="s">
        <v>423</v>
      </c>
      <c r="O297" s="965"/>
      <c r="P297" s="965"/>
      <c r="Q297" s="965"/>
      <c r="R297" s="965"/>
      <c r="S297" s="196">
        <f ca="1">IF($B$288="Лікар загальної практики - сімейний лікар",IF(S292&lt;Законод!$C$22,0,(IF(AND(S292&gt;=Законод!$H$22,S292&lt;=Законод!$H$23),S292-Законод!$G$23,IF('01_Доходи'!S292&gt;=Законод!$I$22,Законод!$H$24,0)))),IF($B$288="Лікар-педіатр",IF(S292&lt;Законод!$C$18,0,(IF(AND(S292&gt;=Законод!$H$18,S292&lt;=Законод!$H$19),S292-Законод!$G$19,IF('01_Доходи'!S292&gt;=Законод!$I$18,Законод!$H$20,0)))),IF($B$288="Лікар-терапевт",IF(S292&lt;Законод!$C$26,0,(IF(AND(S292&gt;=Законод!$H$26,S292&lt;=Законод!$H$27),S292-Законод!$G$27,IF(S292&gt;=Законод!$I$26,Законод!$H$28,0)))),0)))</f>
        <v>0</v>
      </c>
      <c r="T297" s="966"/>
      <c r="U297" s="965" t="s">
        <v>423</v>
      </c>
      <c r="V297" s="965"/>
      <c r="W297" s="965"/>
      <c r="X297" s="965"/>
      <c r="Y297" s="965"/>
      <c r="Z297" s="196">
        <f ca="1">IF($B$288="Лікар загальної практики - сімейний лікар",IF(Z292&lt;Законод!$C$22,0,(IF(AND(Z292&gt;=Законод!$H$22,Z292&lt;=Законод!$H$23),Z292-Законод!$G$23,IF('01_Доходи'!Z292&gt;=Законод!$I$22,Законод!$H$24,0)))),IF($B$288="Лікар-педіатр",IF(Z292&lt;Законод!$C$18,0,(IF(AND(Z292&gt;=Законод!$H$18,Z292&lt;=Законод!$H$19),Z292-Законод!$G$19,IF('01_Доходи'!Z292&gt;=Законод!$I$18,Законод!$H$20,0)))),IF($B$288="Лікар-терапевт",IF(Z292&lt;Законод!$C$26,0,(IF(AND(Z292&gt;=Законод!$H$26,Z292&lt;=Законод!$H$27),Z292-Законод!$G$27,IF(Z292&gt;=Законод!$I$26,Законод!$H$28,0)))),0)))</f>
        <v>0</v>
      </c>
      <c r="AA297" s="966"/>
      <c r="AB297" s="965" t="s">
        <v>423</v>
      </c>
      <c r="AC297" s="965"/>
      <c r="AD297" s="965"/>
      <c r="AE297" s="965"/>
      <c r="AF297" s="965"/>
      <c r="AG297" s="196">
        <f ca="1">IF($B$288="Лікар загальної практики - сімейний лікар",IF(AG292&lt;Законод!$C$22,0,(IF(AND(AG292&gt;=Законод!$H$22,AG292&lt;=Законод!$H$23),AG292-Законод!$G$23,IF('01_Доходи'!AG292&gt;=Законод!$I$22,Законод!$H$24,0)))),IF($B$288="Лікар-педіатр",IF(AG292&lt;Законод!$C$18,0,(IF(AND(AG292&gt;=Законод!$H$18,AG292&lt;=Законод!$H$19),AG292-Законод!$G$19,IF('01_Доходи'!AG292&gt;=Законод!$I$18,Законод!$H$20,0)))),IF($B$288="Лікар-терапевт",IF(AG292&lt;Законод!$C$26,0,(IF(AND(AG292&gt;=Законод!$H$26,AG292&lt;=Законод!$H$27),AG292-Законод!$G$27,IF(AG292&gt;=Законод!$I$26,Законод!$H$28,0)))),0)))</f>
        <v>0</v>
      </c>
      <c r="AH297" s="966"/>
      <c r="AI297" s="201"/>
      <c r="AJ297" s="945"/>
      <c r="AK297" s="960"/>
      <c r="AL297" s="960"/>
      <c r="AM297" s="927"/>
      <c r="AN297" s="210">
        <f ca="1">IF(B288="Лікар загальної практики - сімейний лікар",L297*Законод!$C$9/4*Законод!$H$16,IF(B288="Лікар-педіатр",L297*Законод!$C$9/4*Законод!$H$16,IF(B288="Лікар-терапевт",L297*Законод!$C$9/4*Законод!$H$16,0)))</f>
        <v>0</v>
      </c>
      <c r="AO297" s="210">
        <f ca="1">IF(B288="Лікар загальної практики - сімейний лікар",S297*Законод!$C$9/4*Законод!$H$16,IF(B288="Лікар-педіатр",S297*Законод!$C$9/4*Законод!$H$16,IF(B288="Лікар-терапевт",S297*Законод!$C$9/4*Законод!$H$16,0)))</f>
        <v>0</v>
      </c>
      <c r="AP297" s="210">
        <f ca="1">IF(B288="Лікар загальної практики - сімейний лікар",Z297*Законод!$C$9/4*Законод!$H$16,IF(B288="Лікар-педіатр",Z297*Законод!$C$9/4*Законод!$H$16,IF(B288="Лікар-терапевт",Z297*Законод!$C$9/4*Законод!$H$16,0)))</f>
        <v>0</v>
      </c>
      <c r="AQ297" s="210">
        <f ca="1">IF(B288="Лікар загальної практики - сімейний лікар",AG297*Законод!$C$9/4*Законод!$H$16,IF(B288="Лікар-педіатр",AG297*Законод!$C$9/4*Законод!$H$16,IF(B288="Лікар-терапевт",AG297*Законод!$C$9/4*Законод!$H$16,0)))</f>
        <v>0</v>
      </c>
      <c r="AR297" s="211">
        <f t="shared" si="58"/>
        <v>0</v>
      </c>
    </row>
    <row r="298" spans="1:44" s="50" customFormat="1" ht="31.9" customHeight="1">
      <c r="A298" s="197"/>
      <c r="B298" s="969"/>
      <c r="C298" s="974"/>
      <c r="D298" s="971"/>
      <c r="E298" s="971"/>
      <c r="F298" s="238" t="str">
        <f ca="1">IF(B288="Лікар-педіатр",Законод!$I$17,IF(B288="Лікар загальної практики - сімейний лікар",Законод!$I$21,IF(B288="Лікар-терапевт",Законод!$I$25,"х")))</f>
        <v>понад ліміт (2521-2700)</v>
      </c>
      <c r="G298" s="965" t="s">
        <v>423</v>
      </c>
      <c r="H298" s="965"/>
      <c r="I298" s="965"/>
      <c r="J298" s="965"/>
      <c r="K298" s="965"/>
      <c r="L298" s="196">
        <f ca="1">IF($B$288="Лікар загальної практики - сімейний лікар",IF(L292&lt;Законод!$C$22,0,(IF(AND(L292&gt;=Законод!$I$22,L292&lt;=Законод!$I$23),L292-Законод!$H$23,IF('01_Доходи'!L292&gt;=Законод!$I$22,Законод!$I$24,0)))),IF($B$288="Лікар-педіатр",IF(L292&lt;Законод!$C$18,0,(IF(AND(L292&gt;=Законод!$I$18,L292&lt;=Законод!$I$19),L292-Законод!$H$19,IF('01_Доходи'!L292&gt;=Законод!$I$18,Законод!$H$20,0)))),IF($B$288="Лікар-терапевт",IF(L292&lt;Законод!$C$26,0,(IF(AND(L292&gt;=Законод!$I$26,L292&lt;=Законод!$I$27),L292-Законод!$H$27,IF('01_Доходи'!L292&gt;=Законод!$I$26,Законод!$H$28,0)))),0)))</f>
        <v>0</v>
      </c>
      <c r="M298" s="966"/>
      <c r="N298" s="965" t="s">
        <v>423</v>
      </c>
      <c r="O298" s="965"/>
      <c r="P298" s="965"/>
      <c r="Q298" s="965"/>
      <c r="R298" s="965"/>
      <c r="S298" s="196">
        <f ca="1">IF($B$288="Лікар загальної практики - сімейний лікар",IF(S292&lt;Законод!$C$22,0,(IF(AND(S292&gt;=Законод!$I$22,S292&lt;=Законод!$I$23),S292-Законод!$H$23,IF('01_Доходи'!S292&gt;=Законод!$I$22,Законод!$I$24,0)))),IF($B$288="Лікар-педіатр",IF(S292&lt;Законод!$C$18,0,(IF(AND(S292&gt;=Законод!$I$18,S292&lt;=Законод!$I$19),S292-Законод!$H$19,IF('01_Доходи'!S292&gt;=Законод!$I$18,Законод!$H$20,0)))),IF($B$288="Лікар-терапевт",IF(S292&lt;Законод!$C$26,0,(IF(AND(S292&gt;=Законод!$I$26,S292&lt;=Законод!$I$27),S292-Законод!$H$27,IF('01_Доходи'!S292&gt;=Законод!$I$26,Законод!$H$28,0)))),0)))</f>
        <v>0</v>
      </c>
      <c r="T298" s="966"/>
      <c r="U298" s="965" t="s">
        <v>423</v>
      </c>
      <c r="V298" s="965"/>
      <c r="W298" s="965"/>
      <c r="X298" s="965"/>
      <c r="Y298" s="965"/>
      <c r="Z298" s="196">
        <f ca="1">IF($B$288="Лікар загальної практики - сімейний лікар",IF(Z292&lt;Законод!$C$22,0,(IF(AND(Z292&gt;=Законод!$I$22,Z292&lt;=Законод!$I$23),Z292-Законод!$H$23,IF('01_Доходи'!Z292&gt;=Законод!$I$22,Законод!$I$24,0)))),IF($B$288="Лікар-педіатр",IF(Z292&lt;Законод!$C$18,0,(IF(AND(Z292&gt;=Законод!$I$18,Z292&lt;=Законод!$I$19),Z292-Законод!$H$19,IF('01_Доходи'!Z292&gt;=Законод!$I$18,Законод!$H$20,0)))),IF($B$288="Лікар-терапевт",IF(Z292&lt;Законод!$C$26,0,(IF(AND(Z292&gt;=Законод!$I$26,Z292&lt;=Законод!$I$27),Z292-Законод!$H$27,IF('01_Доходи'!Z292&gt;=Законод!$I$26,Законод!$H$28,0)))),0)))</f>
        <v>0</v>
      </c>
      <c r="AA298" s="966"/>
      <c r="AB298" s="965" t="s">
        <v>423</v>
      </c>
      <c r="AC298" s="965"/>
      <c r="AD298" s="965"/>
      <c r="AE298" s="965"/>
      <c r="AF298" s="965"/>
      <c r="AG298" s="196">
        <f ca="1">IF($B$288="Лікар загальної практики - сімейний лікар",IF(AG292&lt;Законод!$C$22,0,(IF(AND(AG292&gt;=Законод!$I$22,AG292&lt;=Законод!$I$23),AG292-Законод!$H$23,IF('01_Доходи'!AG292&gt;=Законод!$I$22,Законод!$I$24,0)))),IF($B$288="Лікар-педіатр",IF(AG292&lt;Законод!$C$18,0,(IF(AND(AG292&gt;=Законод!$I$18,AG292&lt;=Законод!$I$19),AG292-Законод!$H$19,IF('01_Доходи'!AG292&gt;=Законод!$I$18,Законод!$H$20,0)))),IF($B$288="Лікар-терапевт",IF(AG292&lt;Законод!$C$26,0,(IF(AND(AG292&gt;=Законод!$I$26,AG292&lt;=Законод!$I$27),AG292-Законод!$H$27,IF('01_Доходи'!AG292&gt;=Законод!$I$26,Законод!$H$28,0)))),0)))</f>
        <v>0</v>
      </c>
      <c r="AH298" s="966"/>
      <c r="AI298" s="201"/>
      <c r="AJ298" s="945"/>
      <c r="AK298" s="960"/>
      <c r="AL298" s="960"/>
      <c r="AM298" s="927"/>
      <c r="AN298" s="210">
        <f ca="1">IF(B288="Лікар загальної практики - сімейний лікар",L298*Законод!$C$9/4*Законод!$I$16,IF(B288="Лікар-педіатр",L298*Законод!$C$9/4*Законод!$I$16,IF(B288="Лікар-терапевт",L298*Законод!$C$9/4*Законод!$I$16,0)))</f>
        <v>0</v>
      </c>
      <c r="AO298" s="210">
        <f ca="1">IF(B288="Лікар загальної практики - сімейний лікар",S298*Законод!$C$9/4*Законод!$I$16,IF(B288="Лікар-педіатр",S298*Законод!$C$9/4*Законод!$I$16,IF(B288="Лікар-терапевт",S298*Законод!$C$9/4*Законод!$I$16,0)))</f>
        <v>0</v>
      </c>
      <c r="AP298" s="210">
        <f ca="1">IF(B288="Лікар загальної практики - сімейний лікар",Z298*Законод!$C$9/4*Законод!$I$16,IF(B288="Лікар-педіатр",Z298*Законод!$C$9/4*Законод!$I$16,IF(B288="Лікар-терапевт",Z298*Законод!$C$9/4*Законод!$I$16,0)))</f>
        <v>0</v>
      </c>
      <c r="AQ298" s="210">
        <f ca="1">IF(B288="Лікар загальної практики - сімейний лікар",AG298*Законод!$C$9/4*Законод!$I$16,IF(B288="Лікар-педіатр",AG298*Законод!$C$9/4*Законод!$I$16,IF(B288="Лікар-терапевт",AG298*Законод!$C$9/4*Законод!$I$16,0)))</f>
        <v>0</v>
      </c>
      <c r="AR298" s="211">
        <f t="shared" si="58"/>
        <v>0</v>
      </c>
    </row>
    <row r="299" spans="1:44" s="218" customFormat="1" ht="31.9" customHeight="1" thickBot="1">
      <c r="A299" s="213"/>
      <c r="B299" s="969"/>
      <c r="C299" s="974"/>
      <c r="D299" s="971"/>
      <c r="E299" s="971"/>
      <c r="F299" s="239" t="str">
        <f ca="1">IF(B288="Лікар-педіатр",Законод!$J$17,IF(B288="Лікар загальної практики - сімейний лікар",Законод!$J$21,IF(B288="Лікар-терапевт",Законод!$J$25,"х")))</f>
        <v>понад ліміт (&gt;=2701)</v>
      </c>
      <c r="G299" s="968" t="s">
        <v>423</v>
      </c>
      <c r="H299" s="968"/>
      <c r="I299" s="968"/>
      <c r="J299" s="968"/>
      <c r="K299" s="968"/>
      <c r="L299" s="196">
        <f ca="1">IF($B$288="Лікар загальної практики - сімейний лікар",IF(L292&gt;=Законод!$J$22,'01_Доходи'!L292-('01_Доходи'!L293+'01_Доходи'!L294+'01_Доходи'!L295+'01_Доходи'!L296+'01_Доходи'!L297+'01_Доходи'!L298),0),IF($B$288="Лікар-педіатр",IF(L292&gt;=Законод!$J$18,'01_Доходи'!L292-('01_Доходи'!L293+'01_Доходи'!L294+'01_Доходи'!L295+'01_Доходи'!L296+'01_Доходи'!L297+'01_Доходи'!L298),0),IF($B$288="Лікар-терапевт",IF('01_Доходи'!L292&gt;=Законод!$J$26,L292-Законод!$I$27,0),0)))</f>
        <v>0</v>
      </c>
      <c r="M299" s="966"/>
      <c r="N299" s="968" t="s">
        <v>423</v>
      </c>
      <c r="O299" s="968"/>
      <c r="P299" s="968"/>
      <c r="Q299" s="968"/>
      <c r="R299" s="968"/>
      <c r="S299" s="196">
        <f ca="1">IF($B$288="Лікар загальної практики - сімейний лікар",IF(S292&gt;=Законод!$J$22,'01_Доходи'!S292-('01_Доходи'!S293+'01_Доходи'!S294+'01_Доходи'!S295+'01_Доходи'!S296+'01_Доходи'!S297+'01_Доходи'!S298),0),IF($B$288="Лікар-педіатр",IF(S292&gt;=Законод!$J$18,'01_Доходи'!S292-('01_Доходи'!S293+'01_Доходи'!S294+'01_Доходи'!S295+'01_Доходи'!S296+'01_Доходи'!S297+'01_Доходи'!S298),0),IF($B$288="Лікар-терапевт",IF('01_Доходи'!S292&gt;=Законод!$J$26,S292-Законод!$I$27,0),0)))</f>
        <v>0</v>
      </c>
      <c r="T299" s="966"/>
      <c r="U299" s="968" t="s">
        <v>423</v>
      </c>
      <c r="V299" s="968"/>
      <c r="W299" s="968"/>
      <c r="X299" s="968"/>
      <c r="Y299" s="968"/>
      <c r="Z299" s="196">
        <f ca="1">IF($B$288="Лікар загальної практики - сімейний лікар",IF(Z292&gt;=Законод!$J$22,'01_Доходи'!Z292-('01_Доходи'!Z293+'01_Доходи'!Z294+'01_Доходи'!Z295+'01_Доходи'!Z296+'01_Доходи'!Z297+'01_Доходи'!Z298),0),IF($B$288="Лікар-педіатр",IF(Z292&gt;=Законод!$J$18,'01_Доходи'!Z292-('01_Доходи'!Z293+'01_Доходи'!Z294+'01_Доходи'!Z295+'01_Доходи'!Z296+'01_Доходи'!Z297+'01_Доходи'!Z298),0),IF($B$288="Лікар-терапевт",IF('01_Доходи'!Z292&gt;=Законод!$J$26,Z292-Законод!$I$27,0),0)))</f>
        <v>0</v>
      </c>
      <c r="AA299" s="966"/>
      <c r="AB299" s="968" t="s">
        <v>423</v>
      </c>
      <c r="AC299" s="968"/>
      <c r="AD299" s="968"/>
      <c r="AE299" s="968"/>
      <c r="AF299" s="968"/>
      <c r="AG299" s="196">
        <f ca="1">IF($B$288="Лікар загальної практики - сімейний лікар",IF(AG292&gt;=Законод!$J$22,'01_Доходи'!AG292-('01_Доходи'!AG293+'01_Доходи'!AG294+'01_Доходи'!AG295+'01_Доходи'!AG296+'01_Доходи'!AG297+'01_Доходи'!AG298),0),IF($B$288="Лікар-педіатр",IF(AG292&gt;=Законод!$J$18,'01_Доходи'!AG292-('01_Доходи'!AG293+'01_Доходи'!AG294+'01_Доходи'!AG295+'01_Доходи'!AG296+'01_Доходи'!AG297+'01_Доходи'!AG298),0),IF($B$288="Лікар-терапевт",IF('01_Доходи'!AG292&gt;=Законод!$J$26,AG292-Законод!$I$27,0),0)))</f>
        <v>0</v>
      </c>
      <c r="AH299" s="966"/>
      <c r="AI299" s="215"/>
      <c r="AJ299" s="946"/>
      <c r="AK299" s="961"/>
      <c r="AL299" s="961"/>
      <c r="AM299" s="928"/>
      <c r="AN299" s="216">
        <f ca="1">IF(B288="Лікар загальної практики - сімейний лікар",L299*Законод!$C$9/4*Законод!$J$16,IF(B288="Лікар-педіатр",L299*Законод!$C$9/4*Законод!$J$16,IF(B288="Лікар-терапевт",L299*Законод!$C$9/4*Законод!$J$16,0)))</f>
        <v>0</v>
      </c>
      <c r="AO299" s="216">
        <f ca="1">IF(B288="Лікар загальної практики - сімейний лікар",S299*Законод!$C$9/4*Законод!$J$16,IF(B288="Лікар-педіатр",S299*Законод!$C$9/4*Законод!$J$16,IF(B288="Лікар-терапевт",S299*Законод!$C$9/4*Законод!$J$16,0)))</f>
        <v>0</v>
      </c>
      <c r="AP299" s="216">
        <f ca="1">IF(B288="Лікар загальної практики - сімейний лікар",S299*Законод!$C$9/4*Законод!$J$16,IF(B288="Лікар-педіатр",S299*Законод!$C$9/4*Законод!$J$16,IF(B288="Лікар-терапевт",S299*Законод!$C$9/4*Законод!$J$16,0)))</f>
        <v>0</v>
      </c>
      <c r="AQ299" s="216">
        <f ca="1">IF(B288="Лікар загальної практики - сімейний лікар",AG299*Законод!$C$9/4*Законод!$J$16,IF(B288="Лікар-педіатр",AG299*Законод!$C$9/4*Законод!$J$16,IF(B288="Лікар-терапевт",AG299*Законод!$C$9/4*Законод!$J$16,0)))</f>
        <v>0</v>
      </c>
      <c r="AR299" s="217">
        <f t="shared" si="58"/>
        <v>0</v>
      </c>
    </row>
    <row r="300" spans="1:44" s="247" customFormat="1" ht="23.45" customHeight="1" thickBot="1">
      <c r="A300" s="243"/>
      <c r="B300" s="244"/>
      <c r="C300" s="244"/>
      <c r="D300" s="244"/>
      <c r="E300" s="244"/>
      <c r="F300" s="245"/>
      <c r="G300" s="246"/>
      <c r="H300" s="246"/>
      <c r="L300" s="248"/>
      <c r="S300" s="248"/>
      <c r="Z300" s="248"/>
      <c r="AG300" s="248"/>
      <c r="AM300" s="249"/>
      <c r="AR300" s="250"/>
    </row>
    <row r="301" spans="1:44" s="191" customFormat="1" ht="27.6" customHeight="1">
      <c r="A301" s="194">
        <f>A288+1</f>
        <v>21</v>
      </c>
      <c r="B301" s="969" t="s">
        <v>312</v>
      </c>
      <c r="C301" s="974" t="s">
        <v>8</v>
      </c>
      <c r="D301" s="971"/>
      <c r="E301" s="971" t="str">
        <f>E249</f>
        <v>Рожищенська АЗПСМ №1</v>
      </c>
      <c r="F301" s="234" t="s">
        <v>659</v>
      </c>
      <c r="G301" s="196">
        <v>0</v>
      </c>
      <c r="H301" s="196">
        <v>1</v>
      </c>
      <c r="I301" s="196">
        <v>3</v>
      </c>
      <c r="J301" s="196">
        <v>8</v>
      </c>
      <c r="K301" s="196">
        <v>0</v>
      </c>
      <c r="L301" s="557">
        <f t="shared" ref="L301:L306" si="59">SUM(G301:K301)</f>
        <v>12</v>
      </c>
      <c r="M301" s="966">
        <v>0</v>
      </c>
      <c r="N301" s="196">
        <v>0</v>
      </c>
      <c r="O301" s="196">
        <v>1</v>
      </c>
      <c r="P301" s="196">
        <v>3</v>
      </c>
      <c r="Q301" s="196">
        <v>8</v>
      </c>
      <c r="R301" s="196">
        <v>0</v>
      </c>
      <c r="S301" s="557">
        <f t="shared" ref="S301:S306" si="60">SUM(N301:R301)</f>
        <v>12</v>
      </c>
      <c r="T301" s="966">
        <v>0</v>
      </c>
      <c r="U301" s="196">
        <v>0</v>
      </c>
      <c r="V301" s="196">
        <v>1</v>
      </c>
      <c r="W301" s="196">
        <v>3</v>
      </c>
      <c r="X301" s="196">
        <v>8</v>
      </c>
      <c r="Y301" s="196">
        <v>0</v>
      </c>
      <c r="Z301" s="557">
        <f t="shared" ref="Z301:Z306" si="61">SUM(U301:Y301)</f>
        <v>12</v>
      </c>
      <c r="AA301" s="966">
        <v>0</v>
      </c>
      <c r="AB301" s="196">
        <v>0</v>
      </c>
      <c r="AC301" s="196">
        <v>1</v>
      </c>
      <c r="AD301" s="196">
        <v>3</v>
      </c>
      <c r="AE301" s="196">
        <v>8</v>
      </c>
      <c r="AF301" s="196">
        <v>0</v>
      </c>
      <c r="AG301" s="557">
        <f t="shared" ref="AG301:AG306" si="62">SUM(AB301:AF301)</f>
        <v>12</v>
      </c>
      <c r="AH301" s="966">
        <v>1</v>
      </c>
      <c r="AI301" s="540">
        <f>A301</f>
        <v>21</v>
      </c>
      <c r="AJ301" s="944" t="str">
        <f>B301</f>
        <v>Лікар загальної практики - сімейний лікар</v>
      </c>
      <c r="AK301" s="959" t="str">
        <f>C301</f>
        <v>Басалик Леся Іванівна</v>
      </c>
      <c r="AL301" s="959">
        <f>D301</f>
        <v>0</v>
      </c>
      <c r="AM301" s="929" t="s">
        <v>79</v>
      </c>
      <c r="AN301" s="947">
        <f>SUM(AN306:AN312)</f>
        <v>1792.7753499999999</v>
      </c>
      <c r="AO301" s="947">
        <f>SUM(AO306:AO312)</f>
        <v>1792.7753499999999</v>
      </c>
      <c r="AP301" s="947">
        <f>SUM(AP306:AP312)</f>
        <v>1792.7753499999999</v>
      </c>
      <c r="AQ301" s="947">
        <f>SUM(AQ306:AQ312)</f>
        <v>1792.7753499999999</v>
      </c>
      <c r="AR301" s="962">
        <f>SUM(AN301:AQ305)</f>
        <v>7171.1013999999996</v>
      </c>
    </row>
    <row r="302" spans="1:44" s="50" customFormat="1" ht="28.15" customHeight="1">
      <c r="A302" s="197"/>
      <c r="B302" s="969"/>
      <c r="C302" s="974"/>
      <c r="D302" s="971"/>
      <c r="E302" s="971"/>
      <c r="F302" s="234" t="s">
        <v>660</v>
      </c>
      <c r="G302" s="196">
        <v>0</v>
      </c>
      <c r="H302" s="196">
        <v>1</v>
      </c>
      <c r="I302" s="196">
        <v>3</v>
      </c>
      <c r="J302" s="196">
        <v>8</v>
      </c>
      <c r="K302" s="196">
        <v>0</v>
      </c>
      <c r="L302" s="557">
        <f t="shared" si="59"/>
        <v>12</v>
      </c>
      <c r="M302" s="966"/>
      <c r="N302" s="196">
        <v>0</v>
      </c>
      <c r="O302" s="196">
        <v>1</v>
      </c>
      <c r="P302" s="196">
        <v>3</v>
      </c>
      <c r="Q302" s="196">
        <v>8</v>
      </c>
      <c r="R302" s="196">
        <v>0</v>
      </c>
      <c r="S302" s="557">
        <f t="shared" si="60"/>
        <v>12</v>
      </c>
      <c r="T302" s="966"/>
      <c r="U302" s="196">
        <v>0</v>
      </c>
      <c r="V302" s="196">
        <v>1</v>
      </c>
      <c r="W302" s="196">
        <v>3</v>
      </c>
      <c r="X302" s="196">
        <v>8</v>
      </c>
      <c r="Y302" s="196">
        <v>0</v>
      </c>
      <c r="Z302" s="557">
        <f t="shared" si="61"/>
        <v>12</v>
      </c>
      <c r="AA302" s="966"/>
      <c r="AB302" s="196">
        <v>0</v>
      </c>
      <c r="AC302" s="196">
        <v>1</v>
      </c>
      <c r="AD302" s="196">
        <v>3</v>
      </c>
      <c r="AE302" s="196">
        <v>8</v>
      </c>
      <c r="AF302" s="196">
        <v>0</v>
      </c>
      <c r="AG302" s="557">
        <f t="shared" si="62"/>
        <v>12</v>
      </c>
      <c r="AH302" s="966"/>
      <c r="AI302" s="198"/>
      <c r="AJ302" s="945"/>
      <c r="AK302" s="960"/>
      <c r="AL302" s="960"/>
      <c r="AM302" s="930"/>
      <c r="AN302" s="948"/>
      <c r="AO302" s="948"/>
      <c r="AP302" s="948"/>
      <c r="AQ302" s="948"/>
      <c r="AR302" s="963"/>
    </row>
    <row r="303" spans="1:44" s="90" customFormat="1" ht="31.15" customHeight="1">
      <c r="A303" s="240"/>
      <c r="B303" s="969"/>
      <c r="C303" s="974"/>
      <c r="D303" s="971"/>
      <c r="E303" s="971"/>
      <c r="F303" s="241" t="s">
        <v>661</v>
      </c>
      <c r="G303" s="196">
        <v>0</v>
      </c>
      <c r="H303" s="196">
        <v>1</v>
      </c>
      <c r="I303" s="196">
        <v>3</v>
      </c>
      <c r="J303" s="196">
        <v>8</v>
      </c>
      <c r="K303" s="196">
        <v>0</v>
      </c>
      <c r="L303" s="557">
        <f t="shared" si="59"/>
        <v>12</v>
      </c>
      <c r="M303" s="966"/>
      <c r="N303" s="196">
        <v>0</v>
      </c>
      <c r="O303" s="196">
        <v>1</v>
      </c>
      <c r="P303" s="196">
        <v>3</v>
      </c>
      <c r="Q303" s="196">
        <v>8</v>
      </c>
      <c r="R303" s="196">
        <v>0</v>
      </c>
      <c r="S303" s="557">
        <f t="shared" si="60"/>
        <v>12</v>
      </c>
      <c r="T303" s="966"/>
      <c r="U303" s="196">
        <v>0</v>
      </c>
      <c r="V303" s="196">
        <v>1</v>
      </c>
      <c r="W303" s="196">
        <v>3</v>
      </c>
      <c r="X303" s="196">
        <v>8</v>
      </c>
      <c r="Y303" s="196">
        <v>0</v>
      </c>
      <c r="Z303" s="557">
        <f t="shared" si="61"/>
        <v>12</v>
      </c>
      <c r="AA303" s="966"/>
      <c r="AB303" s="196">
        <v>0</v>
      </c>
      <c r="AC303" s="196">
        <v>1</v>
      </c>
      <c r="AD303" s="196">
        <v>3</v>
      </c>
      <c r="AE303" s="196">
        <v>8</v>
      </c>
      <c r="AF303" s="196">
        <v>0</v>
      </c>
      <c r="AG303" s="200">
        <f t="shared" si="62"/>
        <v>12</v>
      </c>
      <c r="AH303" s="966"/>
      <c r="AI303" s="242"/>
      <c r="AJ303" s="945"/>
      <c r="AK303" s="960"/>
      <c r="AL303" s="960"/>
      <c r="AM303" s="930"/>
      <c r="AN303" s="948"/>
      <c r="AO303" s="948"/>
      <c r="AP303" s="948"/>
      <c r="AQ303" s="948"/>
      <c r="AR303" s="963"/>
    </row>
    <row r="304" spans="1:44" s="50" customFormat="1" ht="31.9" customHeight="1" thickBot="1">
      <c r="A304" s="197"/>
      <c r="B304" s="969"/>
      <c r="C304" s="974"/>
      <c r="D304" s="971"/>
      <c r="E304" s="971"/>
      <c r="F304" s="236" t="s">
        <v>426</v>
      </c>
      <c r="G304" s="203">
        <f>IF($B$301="Лікар-педіатр",G303/L303,IF($B$301="Лікар-терапевт","х",IF($B$301="Лікар загальної практики - сімейний лікар",G303/L303,0)))</f>
        <v>0</v>
      </c>
      <c r="H304" s="203">
        <f>IF($B$301="Лікар-педіатр",H303/L303,IF($B$301="Лікар-терапевт","х",IF($B$301="Лікар загальної практики - сімейний лікар",H303/L303,0)))</f>
        <v>8.3333333333333329E-2</v>
      </c>
      <c r="I304" s="203">
        <f>IF($B$301="Лікар-педіатр","x",IF($B$301="Лікар-терапевт",I303/L303,IF($B$301="Лікар загальної практики - сімейний лікар",I303/L303,0)))</f>
        <v>0.25</v>
      </c>
      <c r="J304" s="203">
        <f>IF($B$301="Лікар-педіатр","x",IF($B$301="Лікар-терапевт",J303/L303,IF($B$301="Лікар загальної практики - сімейний лікар",J303/L303,0)))</f>
        <v>0.66666666666666663</v>
      </c>
      <c r="K304" s="203">
        <f>IF($B$301="Лікар-педіатр","x",IF($B$301="Лікар-терапевт",K303/L303,IF($B$301="Лікар загальної практики - сімейний лікар",K303/L303,0)))</f>
        <v>0</v>
      </c>
      <c r="L304" s="203">
        <f t="shared" si="59"/>
        <v>1</v>
      </c>
      <c r="M304" s="966"/>
      <c r="N304" s="203">
        <f>IF($B$301="Лікар-педіатр",N303/S303,IF($B$301="Лікар-терапевт","х",IF($B$301="Лікар загальної практики - сімейний лікар",N303/S303,0)))</f>
        <v>0</v>
      </c>
      <c r="O304" s="203">
        <f>IF($B$301="Лікар-педіатр",O303/S303,IF($B$301="Лікар-терапевт","х",IF($B$301="Лікар загальної практики - сімейний лікар",O303/S303,0)))</f>
        <v>8.3333333333333329E-2</v>
      </c>
      <c r="P304" s="203">
        <f>IF($B$301="Лікар-педіатр","x",IF($B$301="Лікар-терапевт",P303/S303,IF($B$301="Лікар загальної практики - сімейний лікар",P303/S303,0)))</f>
        <v>0.25</v>
      </c>
      <c r="Q304" s="203">
        <f>IF($B$301="Лікар-педіатр","x",IF($B$301="Лікар-терапевт",Q303/S303,IF($B$301="Лікар загальної практики - сімейний лікар",Q303/S303,0)))</f>
        <v>0.66666666666666663</v>
      </c>
      <c r="R304" s="203">
        <f>IF($B$301="Лікар-педіатр","x",IF($B$301="Лікар-терапевт",R303/S303,IF($B$301="Лікар загальної практики - сімейний лікар",R303/S303,0)))</f>
        <v>0</v>
      </c>
      <c r="S304" s="203">
        <f t="shared" si="60"/>
        <v>1</v>
      </c>
      <c r="T304" s="966"/>
      <c r="U304" s="203">
        <f>IF($B$301="Лікар-педіатр",U303/Z303,IF($B$301="Лікар-терапевт","х",IF($B$301="Лікар загальної практики - сімейний лікар",U303/Z303,0)))</f>
        <v>0</v>
      </c>
      <c r="V304" s="203">
        <f>IF($B$301="Лікар-педіатр",V303/Z303,IF($B$301="Лікар-терапевт","х",IF($B$301="Лікар загальної практики - сімейний лікар",V303/Z303,0)))</f>
        <v>8.3333333333333329E-2</v>
      </c>
      <c r="W304" s="203">
        <f>IF($B$301="Лікар-педіатр","x",IF($B$301="Лікар-терапевт",W303/Z303,IF($B$301="Лікар загальної практики - сімейний лікар",W303/Z303,0)))</f>
        <v>0.25</v>
      </c>
      <c r="X304" s="203">
        <f>IF($B$301="Лікар-педіатр","x",IF($B$301="Лікар-терапевт",X303/Z303,IF($B$301="Лікар загальної практики - сімейний лікар",X303/Z303,0)))</f>
        <v>0.66666666666666663</v>
      </c>
      <c r="Y304" s="203">
        <f>IF($B$301="Лікар-педіатр","x",IF($B$301="Лікар-терапевт",Y303/Z303,IF($B$301="Лікар загальної практики - сімейний лікар",Y303/Z303,0)))</f>
        <v>0</v>
      </c>
      <c r="Z304" s="203">
        <f t="shared" si="61"/>
        <v>1</v>
      </c>
      <c r="AA304" s="966"/>
      <c r="AB304" s="203">
        <f>IF($B$301="Лікар-педіатр",AB303/AG303,IF($B$301="Лікар-терапевт","х",IF($B$301="Лікар загальної практики - сімейний лікар",AB303/AG303,0)))</f>
        <v>0</v>
      </c>
      <c r="AC304" s="203">
        <f>IF($B$301="Лікар-педіатр",AC303/AG303,IF($B$301="Лікар-терапевт","х",IF($B$301="Лікар загальної практики - сімейний лікар",AC303/AG303,0)))</f>
        <v>8.3333333333333329E-2</v>
      </c>
      <c r="AD304" s="203">
        <f>IF($B$301="Лікар-педіатр","x",IF($B$301="Лікар-терапевт",AD303/AG303,IF($B$301="Лікар загальної практики - сімейний лікар",AD303/AG303,0)))</f>
        <v>0.25</v>
      </c>
      <c r="AE304" s="203">
        <f>IF($B$301="Лікар-педіатр","x",IF($B$301="Лікар-терапевт",AE303/AG303,IF($B$301="Лікар загальної практики - сімейний лікар",AE303/AG303,0)))</f>
        <v>0.66666666666666663</v>
      </c>
      <c r="AF304" s="203">
        <f>IF($B$301="Лікар-педіатр","x",IF($B$301="Лікар-терапевт",AF303/AG303,IF($B$301="Лікар загальної практики - сімейний лікар",AF303/AG303,0)))</f>
        <v>0</v>
      </c>
      <c r="AG304" s="203">
        <f t="shared" si="62"/>
        <v>1</v>
      </c>
      <c r="AH304" s="966"/>
      <c r="AI304" s="201"/>
      <c r="AJ304" s="945"/>
      <c r="AK304" s="960"/>
      <c r="AL304" s="960"/>
      <c r="AM304" s="930"/>
      <c r="AN304" s="948"/>
      <c r="AO304" s="948"/>
      <c r="AP304" s="948"/>
      <c r="AQ304" s="948"/>
      <c r="AR304" s="963"/>
    </row>
    <row r="305" spans="1:44" s="50" customFormat="1" ht="45" customHeight="1" thickBot="1">
      <c r="A305" s="197"/>
      <c r="B305" s="969"/>
      <c r="C305" s="974"/>
      <c r="D305" s="971"/>
      <c r="E305" s="972"/>
      <c r="F305" s="204" t="s">
        <v>662</v>
      </c>
      <c r="G305" s="205">
        <f>IF($B$301="Лікар загальної практики - сімейний лікар",AVERAGE(G301:G303),IF($B$301="Лікар-педіатр",AVERAGE(G301:G303),IF($B$301="Лікар-терапевт","х",0)))</f>
        <v>0</v>
      </c>
      <c r="H305" s="205">
        <f>IF($B$301="Лікар загальної практики - сімейний лікар",AVERAGE(H301:H303),IF($B$301="Лікар-педіатр",AVERAGE(H301:H303),IF($B$301="Лікар-терапевт","х",0)))</f>
        <v>1</v>
      </c>
      <c r="I305" s="205">
        <f>IF($B$301="Лікар загальної практики - сімейний лікар",AVERAGE(I301:I303),IF($B$301="Лікар-педіатр","x",IF($B$301="Лікар-терапевт",AVERAGE(I301:I303),0)))</f>
        <v>3</v>
      </c>
      <c r="J305" s="205">
        <f>IF($B$301="Лікар загальної практики - сімейний лікар",AVERAGE(J301:J303),IF($B$301="Лікар-педіатр","x",IF($B$301="Лікар-терапевт",AVERAGE(J301:J303),0)))</f>
        <v>8</v>
      </c>
      <c r="K305" s="205">
        <f>IF($B$301="Лікар загальної практики - сімейний лікар",AVERAGE(K301:K303),IF($B$301="Лікар-педіатр","x",IF($B$301="Лікар-терапевт",AVERAGE(K301:K303),0)))</f>
        <v>0</v>
      </c>
      <c r="L305" s="206">
        <f t="shared" si="59"/>
        <v>12</v>
      </c>
      <c r="M305" s="973"/>
      <c r="N305" s="205">
        <f>IF($B$301="Лікар загальної практики - сімейний лікар",AVERAGE(N301:N303),IF($B$301="Лікар-педіатр",AVERAGE(N301:N303),IF($B$301="Лікар-терапевт","х",0)))</f>
        <v>0</v>
      </c>
      <c r="O305" s="205">
        <f>IF($B$301="Лікар загальної практики - сімейний лікар",AVERAGE(O301:O303),IF($B$301="Лікар-педіатр",AVERAGE(O301:O303),IF($B$301="Лікар-терапевт","х",0)))</f>
        <v>1</v>
      </c>
      <c r="P305" s="205">
        <f>IF($B$301="Лікар загальної практики - сімейний лікар",AVERAGE(P301:P303),IF($B$301="Лікар-педіатр","x",IF($B$301="Лікар-терапевт",AVERAGE(P301:P303),0)))</f>
        <v>3</v>
      </c>
      <c r="Q305" s="205">
        <f>IF($B$301="Лікар загальної практики - сімейний лікар",AVERAGE(Q301:Q303),IF($B$301="Лікар-педіатр","x",IF($B$301="Лікар-терапевт",AVERAGE(Q301:Q303),0)))</f>
        <v>8</v>
      </c>
      <c r="R305" s="205">
        <f>IF($B$301="Лікар загальної практики - сімейний лікар",AVERAGE(R301:R303),IF($B$301="Лікар-педіатр","x",IF($B$301="Лікар-терапевт",AVERAGE(R301:R303),0)))</f>
        <v>0</v>
      </c>
      <c r="S305" s="206">
        <f t="shared" si="60"/>
        <v>12</v>
      </c>
      <c r="T305" s="973"/>
      <c r="U305" s="205">
        <f>IF($B$301="Лікар загальної практики - сімейний лікар",AVERAGE(U301:U303),IF($B$301="Лікар-педіатр",AVERAGE(U301:U303),IF($B$301="Лікар-терапевт","х",0)))</f>
        <v>0</v>
      </c>
      <c r="V305" s="205">
        <f>IF($B$301="Лікар загальної практики - сімейний лікар",AVERAGE(V301:V303),IF($B$301="Лікар-педіатр",AVERAGE(V301:V303),IF($B$301="Лікар-терапевт","х",0)))</f>
        <v>1</v>
      </c>
      <c r="W305" s="205">
        <f>IF($B$301="Лікар загальної практики - сімейний лікар",AVERAGE(W301:W303),IF($B$301="Лікар-педіатр","x",IF($B$301="Лікар-терапевт",AVERAGE(W301:W303),0)))</f>
        <v>3</v>
      </c>
      <c r="X305" s="205">
        <f>IF($B$301="Лікар загальної практики - сімейний лікар",AVERAGE(X301:X303),IF($B$301="Лікар-педіатр","x",IF($B$301="Лікар-терапевт",AVERAGE(X301:X303),0)))</f>
        <v>8</v>
      </c>
      <c r="Y305" s="205">
        <f>IF($B$301="Лікар загальної практики - сімейний лікар",AVERAGE(Y301:Y303),IF($B$301="Лікар-педіатр","x",IF($B$301="Лікар-терапевт",AVERAGE(Y301:Y303),0)))</f>
        <v>0</v>
      </c>
      <c r="Z305" s="206">
        <f t="shared" si="61"/>
        <v>12</v>
      </c>
      <c r="AA305" s="973"/>
      <c r="AB305" s="205">
        <f>IF($B$301="Лікар загальної практики - сімейний лікар",AVERAGE(AB301:AB303),IF($B$301="Лікар-педіатр",AVERAGE(AB301:AB303),IF($B$301="Лікар-терапевт","х",0)))</f>
        <v>0</v>
      </c>
      <c r="AC305" s="205">
        <f>IF($B$301="Лікар загальної практики - сімейний лікар",AVERAGE(AC301:AC303),IF($B$301="Лікар-педіатр",AVERAGE(AC301:AC303),IF($B$301="Лікар-терапевт","х",0)))</f>
        <v>1</v>
      </c>
      <c r="AD305" s="205">
        <f>IF($B$301="Лікар загальної практики - сімейний лікар",AVERAGE(AD301:AD303),IF($B$301="Лікар-педіатр","x",IF($B$301="Лікар-терапевт",AVERAGE(AD301:AD303),0)))</f>
        <v>3</v>
      </c>
      <c r="AE305" s="205">
        <f>IF($B$301="Лікар загальної практики - сімейний лікар",AVERAGE(AE301:AE303),IF($B$301="Лікар-педіатр","x",IF($B$301="Лікар-терапевт",AVERAGE(AE301:AE303),0)))</f>
        <v>8</v>
      </c>
      <c r="AF305" s="205">
        <f>IF($B$301="Лікар загальної практики - сімейний лікар",AVERAGE(AF301:AF303),IF($B$301="Лікар-педіатр","x",IF($B$301="Лікар-терапевт",AVERAGE(AF301:AF303),0)))</f>
        <v>0</v>
      </c>
      <c r="AG305" s="206">
        <f t="shared" si="62"/>
        <v>12</v>
      </c>
      <c r="AH305" s="967"/>
      <c r="AI305" s="201"/>
      <c r="AJ305" s="945"/>
      <c r="AK305" s="960"/>
      <c r="AL305" s="960"/>
      <c r="AM305" s="931"/>
      <c r="AN305" s="949"/>
      <c r="AO305" s="949"/>
      <c r="AP305" s="949"/>
      <c r="AQ305" s="949"/>
      <c r="AR305" s="964"/>
    </row>
    <row r="306" spans="1:44" s="50" customFormat="1" ht="40.5">
      <c r="A306" s="197"/>
      <c r="B306" s="969"/>
      <c r="C306" s="974"/>
      <c r="D306" s="971"/>
      <c r="E306" s="971"/>
      <c r="F306" s="237" t="str">
        <f ca="1">IF(B301="Лікар-педіатр",Законод!$C$17,IF(B301="Лікар загальної практики - сімейний лікар",Законод!$C$21,IF(B301="Лікар-терапевт",Законод!$C$25,"х")))</f>
        <v>ліміт (до 1800)</v>
      </c>
      <c r="G306" s="208">
        <f ca="1">IF($B$301="Лікар загальної практики - сімейний лікар",IF(L305&lt;=Законод!$C$22,G305,Законод!$C$22*'01_Доходи'!G304),IF($B$301="Лікар-педіатр",IF(L305&lt;=Законод!$C$18,G305,Законод!$C$18*'01_Доходи'!G304),IF($B$301="Лікар-терапевт","x",0)))</f>
        <v>0</v>
      </c>
      <c r="H306" s="208">
        <f ca="1">IF($B$301="Лікар загальної практики - сімейний лікар",IF(L305&lt;=Законод!$C$22,H305,Законод!$C$22*'01_Доходи'!H304),IF($B$301="Лікар-педіатр",IF(L305&lt;=Законод!$C$18,H305,Законод!$C$18*'01_Доходи'!H304),IF($B$301="Лікар-терапевт","x",0)))</f>
        <v>1</v>
      </c>
      <c r="I306" s="208">
        <f ca="1">IF($B$301="Лікар загальної практики - сімейний лікар",IF(L305&lt;=Законод!$C$22,I305,Законод!$C$22*'01_Доходи'!I304),IF($B$301="Лікар-педіатр","x",IF($B$301="Лікар-терапевт",IF(L305&lt;=Законод!$C$26,I305,Законод!$C$26*'01_Доходи'!I304),0)))</f>
        <v>3</v>
      </c>
      <c r="J306" s="208">
        <f ca="1">IF($B$301="Лікар загальної практики - сімейний лікар",IF(L305&lt;=Законод!$C$22,J305,Законод!$C$22*'01_Доходи'!J304),IF($B$301="Лікар-педіатр","x",IF($B$301="Лікар-терапевт",IF(L305&lt;=Законод!$C$26,J305,Законод!$C$26*'01_Доходи'!J304),0)))</f>
        <v>8</v>
      </c>
      <c r="K306" s="208">
        <f ca="1">IF($B$301="Лікар загальної практики - сімейний лікар",IF(L305&lt;=Законод!$C$22,K305,Законод!$C$22*'01_Доходи'!K304),IF($B$301="Лікар-педіатр","x",IF($B$301="Лікар-терапевт",IF(L305&lt;=Законод!$C$26,K305,Законод!$C$26*'01_Доходи'!K304),0)))</f>
        <v>0</v>
      </c>
      <c r="L306" s="209">
        <f t="shared" si="59"/>
        <v>12</v>
      </c>
      <c r="M306" s="966"/>
      <c r="N306" s="208">
        <f ca="1">IF($B$301="Лікар загальної практики - сімейний лікар",IF(S305&lt;=Законод!$C$22,N305,Законод!$C$22*'01_Доходи'!N304),IF($B$301="Лікар-педіатр",IF(S305&lt;=Законод!$C$18,N305,Законод!$C$18*'01_Доходи'!N304),IF($B$301="Лікар-терапевт","x",0)))</f>
        <v>0</v>
      </c>
      <c r="O306" s="208">
        <f ca="1">IF($B$301="Лікар загальної практики - сімейний лікар",IF(S305&lt;=Законод!$C$22,O305,Законод!$C$22*'01_Доходи'!O304),IF($B$301="Лікар-педіатр",IF(S305&lt;=Законод!$C$18,O305,Законод!$C$18*'01_Доходи'!O304),IF($B$301="Лікар-терапевт","x",0)))</f>
        <v>1</v>
      </c>
      <c r="P306" s="208">
        <f ca="1">IF($B$301="Лікар загальної практики - сімейний лікар",IF(S305&lt;=Законод!$C$22,P305,Законод!$C$22*'01_Доходи'!P304),IF($B$301="Лікар-педіатр","x",IF($B$301="Лікар-терапевт",IF(S305&lt;=Законод!$C$26,P305,Законод!$C$26*'01_Доходи'!P304),0)))</f>
        <v>3</v>
      </c>
      <c r="Q306" s="208">
        <f ca="1">IF($B$301="Лікар загальної практики - сімейний лікар",IF(S305&lt;=Законод!$C$22,Q305,Законод!$C$22*'01_Доходи'!Q304),IF($B$301="Лікар-педіатр","x",IF($B$301="Лікар-терапевт",IF(S305&lt;=Законод!$C$26,Q305,Законод!$C$26*'01_Доходи'!Q304),0)))</f>
        <v>8</v>
      </c>
      <c r="R306" s="208">
        <f ca="1">IF($B$301="Лікар загальної практики - сімейний лікар",IF(S305&lt;=Законод!$C$22,R305,Законод!$C$22*'01_Доходи'!R304),IF($B$301="Лікар-педіатр","x",IF($B$301="Лікар-терапевт",IF(S305&lt;=Законод!$C$26,R305,Законод!$C$26*'01_Доходи'!R304),0)))</f>
        <v>0</v>
      </c>
      <c r="S306" s="209">
        <f t="shared" si="60"/>
        <v>12</v>
      </c>
      <c r="T306" s="966"/>
      <c r="U306" s="208">
        <f ca="1">IF($B$301="Лікар загальної практики - сімейний лікар",IF(Z305&lt;=Законод!$C$22,U305,Законод!$C$22*'01_Доходи'!U304),IF($B$301="Лікар-педіатр",IF(Z305&lt;=Законод!$C$18,U305,Законод!$C$18*'01_Доходи'!U304),IF($B$301="Лікар-терапевт","x",0)))</f>
        <v>0</v>
      </c>
      <c r="V306" s="208">
        <f ca="1">IF($B$301="Лікар загальної практики - сімейний лікар",IF(Z305&lt;=Законод!$C$22,V305,Законод!$C$22*'01_Доходи'!V304),IF($B$301="Лікар-педіатр",IF(Z305&lt;=Законод!$C$18,V305,Законод!$C$18*'01_Доходи'!V304),IF($B$301="Лікар-терапевт","x",0)))</f>
        <v>1</v>
      </c>
      <c r="W306" s="208">
        <f ca="1">IF($B$301="Лікар загальної практики - сімейний лікар",IF(Z305&lt;=Законод!$C$22,W305,Законод!$C$22*'01_Доходи'!W304),IF($B$301="Лікар-педіатр","x",IF($B$301="Лікар-терапевт",IF(Z305&lt;=Законод!$C$26,W305,Законод!$C$26*'01_Доходи'!W304),0)))</f>
        <v>3</v>
      </c>
      <c r="X306" s="208">
        <f ca="1">IF($B$301="Лікар загальної практики - сімейний лікар",IF(Z305&lt;=Законод!$C$22,X305,Законод!$C$22*'01_Доходи'!X304),IF($B$301="Лікар-педіатр","x",IF($B$301="Лікар-терапевт",IF(Z305&lt;=Законод!$C$26,X305,Законод!$C$26*'01_Доходи'!X304),0)))</f>
        <v>8</v>
      </c>
      <c r="Y306" s="208">
        <f ca="1">IF($B$301="Лікар загальної практики - сімейний лікар",IF(Z305&lt;=Законод!$C$22,Y305,Законод!$C$22*'01_Доходи'!Y304),IF($B$301="Лікар-педіатр","x",IF($B$301="Лікар-терапевт",IF(Z305&lt;=Законод!$C$26,Y305,Законод!$C$26*'01_Доходи'!Y304),0)))</f>
        <v>0</v>
      </c>
      <c r="Z306" s="209">
        <f t="shared" si="61"/>
        <v>12</v>
      </c>
      <c r="AA306" s="966"/>
      <c r="AB306" s="208">
        <f ca="1">IF($B$301="Лікар загальної практики - сімейний лікар",IF(AG305&lt;=Законод!$C$22,AB305,Законод!$C$22*'01_Доходи'!AB304),IF($B$301="Лікар-педіатр",IF(AG305&lt;=Законод!$C$18,AB305,Законод!$C$18*'01_Доходи'!AB304),IF($B$301="Лікар-терапевт","x",0)))</f>
        <v>0</v>
      </c>
      <c r="AC306" s="208">
        <f ca="1">IF($B$301="Лікар загальної практики - сімейний лікар",IF(AG305&lt;=Законод!$C$22,AC305,Законод!$C$22*'01_Доходи'!AC304),IF($B$301="Лікар-педіатр",IF(AG305&lt;=Законод!$C$18,AC305,Законод!$C$18*'01_Доходи'!AC304),IF($B$301="Лікар-терапевт","x",0)))</f>
        <v>1</v>
      </c>
      <c r="AD306" s="208">
        <f ca="1">IF($B$301="Лікар загальної практики - сімейний лікар",IF(AG305&lt;=Законод!$C$22,AD305,Законод!$C$22*'01_Доходи'!AD304),IF($B$301="Лікар-педіатр","x",IF($B$301="Лікар-терапевт",IF(AG305&lt;=Законод!$C$26,AD305,Законод!$C$26*'01_Доходи'!AD304),0)))</f>
        <v>3</v>
      </c>
      <c r="AE306" s="208">
        <f ca="1">IF($B$301="Лікар загальної практики - сімейний лікар",IF(AG305&lt;=Законод!$C$22,AE305,Законод!$C$22*'01_Доходи'!AE304),IF($B$301="Лікар-педіатр","x",IF($B$301="Лікар-терапевт",IF(AG305&lt;=Законод!$C$26,AE305,Законод!$C$26*'01_Доходи'!AE304),0)))</f>
        <v>8</v>
      </c>
      <c r="AF306" s="208">
        <f ca="1">IF($B$301="Лікар загальної практики - сімейний лікар",IF(AG305&lt;=Законод!$C$22,AF305,Законод!$C$22*'01_Доходи'!AF304),IF($B$301="Лікар-педіатр","x",IF($B$301="Лікар-терапевт",IF(AG305&lt;=Законод!$C$26,AF305,Законод!$C$26*'01_Доходи'!AF304),0)))</f>
        <v>0</v>
      </c>
      <c r="AG306" s="209">
        <f t="shared" si="62"/>
        <v>12</v>
      </c>
      <c r="AH306" s="966"/>
      <c r="AI306" s="201"/>
      <c r="AJ306" s="945"/>
      <c r="AK306" s="960"/>
      <c r="AL306" s="960"/>
      <c r="AM306" s="348" t="s">
        <v>451</v>
      </c>
      <c r="AN306" s="210">
        <f ca="1">IF(B301="Лікар загальної практики - сімейний лікар",G306*Законод!$C$11+'01_Доходи'!H306*Законод!$D$11+'01_Доходи'!I306*Законод!$E$11+'01_Доходи'!J306*Законод!$F$11+'01_Доходи'!K306*Законод!$G$11,IF(B301="Лікар-педіатр",G306*Законод!$C$11+'01_Доходи'!H306*Законод!$D$11,IF(B301="Лікар-терапевт",'01_Доходи'!I306*Законод!$E$11+'01_Доходи'!J306*Законод!$F$11+'01_Доходи'!K306*Законод!$G$11,0)))</f>
        <v>1792.7753499999999</v>
      </c>
      <c r="AO306" s="210">
        <f ca="1">IF(B301="Лікар загальної практики - сімейний лікар",N306*Законод!$C$11+'01_Доходи'!O306*Законод!$D$11+'01_Доходи'!P306*Законод!$E$11+'01_Доходи'!Q306*Законод!$F$11+'01_Доходи'!R306*Законод!$G$11,IF(B301="Лікар-педіатр",N306*Законод!$C$11+'01_Доходи'!O306*Законод!$D$11,IF(B301="Лікар-терапевт",'01_Доходи'!P306*Законод!$E$11+'01_Доходи'!Q306*Законод!$F$11+'01_Доходи'!R306*Законод!$G$11,0)))</f>
        <v>1792.7753499999999</v>
      </c>
      <c r="AP306" s="210">
        <f ca="1">IF(B301="Лікар загальної практики - сімейний лікар",U306*Законод!$C$11+'01_Доходи'!V306*Законод!$D$11+'01_Доходи'!W306*Законод!$E$11+'01_Доходи'!X306*Законод!$F$11+'01_Доходи'!Y306*Законод!$G$11,IF(B301="Лікар-педіатр",U306*Законод!$C$11+'01_Доходи'!V306*Законод!$D$11,IF(B301="Лікар-терапевт",'01_Доходи'!W306*Законод!$E$11+'01_Доходи'!X306*Законод!$F$11+'01_Доходи'!Y306*Законод!$G$11,0)))</f>
        <v>1792.7753499999999</v>
      </c>
      <c r="AQ306" s="210">
        <f ca="1">IF(B301="Лікар загальної практики - сімейний лікар",AB306*Законод!$C$11+'01_Доходи'!AC306*Законод!$D$11+'01_Доходи'!AD306*Законод!$E$11+'01_Доходи'!AE306*Законод!$F$11+'01_Доходи'!AF306*Законод!$G$11,IF(B301="Лікар-педіатр",AB306*Законод!$C$11+'01_Доходи'!AC306*Законод!$D$11,IF(B301="Лікар-терапевт",'01_Доходи'!AD306*Законод!$E$11+'01_Доходи'!AE306*Законод!$F$11+'01_Доходи'!AF306*Законод!$G$11,0)))</f>
        <v>1792.7753499999999</v>
      </c>
      <c r="AR306" s="211">
        <f t="shared" ref="AR306:AR312" si="63">SUM(AN306:AQ306)</f>
        <v>7171.1013999999996</v>
      </c>
    </row>
    <row r="307" spans="1:44" s="50" customFormat="1" ht="31.9" customHeight="1">
      <c r="A307" s="197"/>
      <c r="B307" s="969"/>
      <c r="C307" s="974"/>
      <c r="D307" s="971"/>
      <c r="E307" s="971"/>
      <c r="F307" s="238" t="str">
        <f ca="1">IF(B301="Лікар-педіатр",Законод!$E$17,IF(B301="Лікар загальної практики - сімейний лікар",Законод!$E$21,IF(B301="Лікар-терапевт",Законод!$E$25,"х")))</f>
        <v>понад ліміт (1801-1980)</v>
      </c>
      <c r="G307" s="965" t="s">
        <v>423</v>
      </c>
      <c r="H307" s="965"/>
      <c r="I307" s="965"/>
      <c r="J307" s="965"/>
      <c r="K307" s="965"/>
      <c r="L307" s="196">
        <f ca="1">IF($B$301="Лікар загальної практики - сімейний лікар",IF(L305&lt;Законод!$C$22,0,(IF(AND(L305&gt;=Законод!$E$22,L305&lt;=Законод!$E$23),L305-Законод!$C$22,IF('01_Доходи'!L305&gt;=Законод!$F$22,Законод!$E$24,0)))),IF($B$301="Лікар-педіатр",IF(L305&lt;Законод!$C$18,0,(IF(AND(L305&gt;=Законод!$E$18,L305&lt;=Законод!$E$19),L305-Законод!$C$18,IF('01_Доходи'!L305&gt;=Законод!$F$18,Законод!$E$20,0)))),IF($B$301="Лікар-терапевт",IF(L305&lt;Законод!$C$26,0,(IF(AND(L305&gt;=Законод!$E$26,L305&lt;=Законод!$E$27),L305-Законод!$C$26,IF('01_Доходи'!L305&gt;=Законод!$F$26,Законод!$E$28,0)))),0)))</f>
        <v>0</v>
      </c>
      <c r="M307" s="966"/>
      <c r="N307" s="965" t="s">
        <v>423</v>
      </c>
      <c r="O307" s="965"/>
      <c r="P307" s="965"/>
      <c r="Q307" s="965"/>
      <c r="R307" s="965"/>
      <c r="S307" s="196">
        <f ca="1">IF($B$301="Лікар загальної практики - сімейний лікар",IF(S305&lt;Законод!$C$22,0,(IF(AND(S305&gt;=Законод!$E$22,S305&lt;=Законод!$E$23),S305-Законод!$C$22,IF('01_Доходи'!S305&gt;=Законод!$F$22,Законод!$E$24,0)))),IF($B$301="Лікар-педіатр",IF(S305&lt;Законод!$C$18,0,(IF(AND(S305&gt;=Законод!$E$18,S305&lt;=Законод!$E$19),S305-Законод!$C$18,IF('01_Доходи'!S305&gt;=Законод!$F$18,Законод!$E$20,0)))),IF($B$301="Лікар-терапевт",IF(S305&lt;Законод!$C$26,0,(IF(AND(S305&gt;=Законод!$E$26,S305&lt;=Законод!$E$27),S305-Законод!$C$26,IF('01_Доходи'!S305&gt;=Законод!$F$26,Законод!$E$28,0)))),0)))</f>
        <v>0</v>
      </c>
      <c r="T307" s="966"/>
      <c r="U307" s="965" t="s">
        <v>423</v>
      </c>
      <c r="V307" s="965"/>
      <c r="W307" s="965"/>
      <c r="X307" s="965"/>
      <c r="Y307" s="965"/>
      <c r="Z307" s="196">
        <f ca="1">IF($B$301="Лікар загальної практики - сімейний лікар",IF(Z305&lt;Законод!$C$22,0,(IF(AND(Z305&gt;=Законод!$E$22,Z305&lt;=Законод!$E$23),Z305-Законод!$C$22,IF('01_Доходи'!Z305&gt;=Законод!$F$22,Законод!$E$24,0)))),IF($B$301="Лікар-педіатр",IF(Z305&lt;Законод!$C$18,0,(IF(AND(Z305&gt;=Законод!$E$18,Z305&lt;=Законод!$E$19),Z305-Законод!$C$18,IF('01_Доходи'!Z305&gt;=Законод!$F$18,Законод!$E$20,0)))),IF($B$301="Лікар-терапевт",IF(Z305&lt;Законод!$C$26,0,(IF(AND(Z305&gt;=Законод!$E$26,Z305&lt;=Законод!$E$27),Z305-Законод!$C$26,IF('01_Доходи'!Z305&gt;=Законод!$F$26,Законод!$E$28,0)))),0)))</f>
        <v>0</v>
      </c>
      <c r="AA307" s="966"/>
      <c r="AB307" s="965" t="s">
        <v>423</v>
      </c>
      <c r="AC307" s="965"/>
      <c r="AD307" s="965"/>
      <c r="AE307" s="965"/>
      <c r="AF307" s="965"/>
      <c r="AG307" s="196">
        <f ca="1">IF($B$301="Лікар загальної практики - сімейний лікар",IF(AG305&lt;Законод!$C$22,0,(IF(AND(AG305&gt;=Законод!$E$22,AG305&lt;=Законод!$E$23),AG305-Законод!$C$22,IF('01_Доходи'!AG305&gt;=Законод!$F$22,Законод!$E$24,0)))),IF($B$301="Лікар-педіатр",IF(AG305&lt;Законод!$C$18,0,(IF(AND(AG305&gt;=Законод!$E$18,AG305&lt;=Законод!$E$19),AG305-Законод!$C$18,IF('01_Доходи'!AG305&gt;=Законод!$F$18,Законод!$E$20,0)))),IF($B$301="Лікар-терапевт",IF(AG305&lt;Законод!$C$26,0,(IF(AND(AG305&gt;=Законод!$E$26,AG305&lt;=Законод!$E$27),AG305-Законод!$C$26,IF('01_Доходи'!AG305&gt;=Законод!$F$26,Законод!$E$28,0)))),0)))</f>
        <v>0</v>
      </c>
      <c r="AH307" s="966"/>
      <c r="AI307" s="201"/>
      <c r="AJ307" s="945"/>
      <c r="AK307" s="960"/>
      <c r="AL307" s="960"/>
      <c r="AM307" s="926" t="s">
        <v>452</v>
      </c>
      <c r="AN307" s="210">
        <f ca="1">IF(B301="Лікар загальної практики - сімейний лікар",L307*Законод!$C$9/4*Законод!$E$16,IF(B301="Лікар-педіатр",L307*Законод!$C$9/4*Законод!$E$16,IF(B301="Лікар-терапевт",L307*Законод!$C$9/4*Законод!$E$16,0)))</f>
        <v>0</v>
      </c>
      <c r="AO307" s="210">
        <f ca="1">IF(B301="Лікар загальної практики - сімейний лікар",S307*Законод!$C$9/4*Законод!$E$16,IF(B301="Лікар-педіатр",S307*Законод!$C$9/4*Законод!$E$16,IF(B301="Лікар-терапевт",S307*Законод!$C$9/4*Законод!$E$16,0)))</f>
        <v>0</v>
      </c>
      <c r="AP307" s="210">
        <f ca="1">IF(B301="Лікар загальної практики - сімейний лікар",Z307*Законод!$C$9/4*Законод!$E$16,IF(B301="Лікар-педіатр",Z307*Законод!$C$9/4*Законод!$E$16,IF(B301="Лікар-терапевт",Z307*Законод!$C$9/4*Законод!$E$16,0)))</f>
        <v>0</v>
      </c>
      <c r="AQ307" s="210">
        <f ca="1">IF(B301="Лікар загальної практики - сімейний лікар",AG307*Законод!$C$9/4*Законод!$E$16,IF(B301="Лікар-педіатр",AG307*Законод!$C$9/4*Законод!$E$16,IF(B301="Лікар-терапевт",AG307*Законод!$C$9/4*Законод!$E$16,0)))</f>
        <v>0</v>
      </c>
      <c r="AR307" s="211">
        <f t="shared" si="63"/>
        <v>0</v>
      </c>
    </row>
    <row r="308" spans="1:44" s="50" customFormat="1" ht="31.9" customHeight="1">
      <c r="A308" s="197"/>
      <c r="B308" s="969"/>
      <c r="C308" s="974"/>
      <c r="D308" s="971"/>
      <c r="E308" s="971"/>
      <c r="F308" s="238" t="str">
        <f ca="1">IF(B301="Лікар-педіатр",Законод!$F$17,IF(B301="Лікар загальної практики - сімейний лікар",Законод!$F$21,IF(B301="Лікар-терапевт",Законод!$F$25,"х")))</f>
        <v>понад ліміт (1981-2160)</v>
      </c>
      <c r="G308" s="965" t="s">
        <v>423</v>
      </c>
      <c r="H308" s="965"/>
      <c r="I308" s="965"/>
      <c r="J308" s="965"/>
      <c r="K308" s="965"/>
      <c r="L308" s="196">
        <f ca="1">IF($B$301="Лікар загальної практики - сімейний лікар",IF(L305&lt;Законод!$C$22,0,(IF(AND(L305&gt;=Законод!$F$22,L305&lt;=Законод!$F$23),L305-Законод!$E$23,IF('01_Доходи'!L305&gt;=Законод!$G$22,Законод!$F$24,0)))),IF($B$301="Лікар-педіатр",IF(L305&lt;Законод!$C$18,0,(IF(AND(L305&gt;=Законод!$F$18,L305&lt;=Законод!$F$19),L305-Законод!$E$19,IF('01_Доходи'!L305&gt;=Законод!$G$18,Законод!$F$20,0)))),IF($B$301="Лікар-терапевт",IF(L305&lt;Законод!$C$26,0,(IF(AND(L305&gt;=Законод!$F$26,L305&lt;=Законод!$F$27),L305-Законод!$E$27,IF('01_Доходи'!L305&gt;=Законод!$G$26,Законод!$F$28,0)))),0)))</f>
        <v>0</v>
      </c>
      <c r="M308" s="966"/>
      <c r="N308" s="965" t="s">
        <v>423</v>
      </c>
      <c r="O308" s="965"/>
      <c r="P308" s="965"/>
      <c r="Q308" s="965"/>
      <c r="R308" s="965"/>
      <c r="S308" s="196">
        <f ca="1">IF($B$301="Лікар загальної практики - сімейний лікар",IF(S305&lt;Законод!$C$22,0,(IF(AND(S305&gt;=Законод!$F$22,S305&lt;=Законод!$F$23),S305-Законод!$E$23,IF('01_Доходи'!S305&gt;=Законод!$G$22,Законод!$F$24,0)))),IF($B$301="Лікар-педіатр",IF(S305&lt;Законод!$C$18,0,(IF(AND(S305&gt;=Законод!$F$18,S305&lt;=Законод!$F$19),S305-Законод!$E$19,IF('01_Доходи'!S305&gt;=Законод!$G$18,Законод!$F$20,0)))),IF($B$301="Лікар-терапевт",IF(S305&lt;Законод!$C$26,0,(IF(AND(S305&gt;=Законод!$F$26,S305&lt;=Законод!$F$27),S305-Законод!$E$27,IF('01_Доходи'!S305&gt;=Законод!$G$26,Законод!$F$28,0)))),0)))</f>
        <v>0</v>
      </c>
      <c r="T308" s="966"/>
      <c r="U308" s="965" t="s">
        <v>423</v>
      </c>
      <c r="V308" s="965"/>
      <c r="W308" s="965"/>
      <c r="X308" s="965"/>
      <c r="Y308" s="965"/>
      <c r="Z308" s="196">
        <f ca="1">IF($B$301="Лікар загальної практики - сімейний лікар",IF(Z305&lt;Законод!$C$22,0,(IF(AND(Z305&gt;=Законод!$F$22,Z305&lt;=Законод!$F$23),Z305-Законод!$E$23,IF('01_Доходи'!Z305&gt;=Законод!$G$22,Законод!$F$24,0)))),IF($B$301="Лікар-педіатр",IF(Z305&lt;Законод!$C$18,0,(IF(AND(Z305&gt;=Законод!$F$18,Z305&lt;=Законод!$F$19),Z305-Законод!$E$19,IF('01_Доходи'!Z305&gt;=Законод!$G$18,Законод!$F$20,0)))),IF($B$301="Лікар-терапевт",IF(Z305&lt;Законод!$C$26,0,(IF(AND(Z305&gt;=Законод!$F$26,Z305&lt;=Законод!$F$27),Z305-Законод!$E$27,IF('01_Доходи'!Z305&gt;=Законод!$G$26,Законод!$F$28,0)))),0)))</f>
        <v>0</v>
      </c>
      <c r="AA308" s="966"/>
      <c r="AB308" s="965" t="s">
        <v>423</v>
      </c>
      <c r="AC308" s="965"/>
      <c r="AD308" s="965"/>
      <c r="AE308" s="965"/>
      <c r="AF308" s="965"/>
      <c r="AG308" s="196">
        <f ca="1">IF($B$301="Лікар загальної практики - сімейний лікар",IF(AG305&lt;Законод!$C$22,0,(IF(AND(AG305&gt;=Законод!$F$22,AG305&lt;=Законод!$F$23),AG305-Законод!$E$23,IF('01_Доходи'!AG305&gt;=Законод!$G$22,Законод!$F$24,0)))),IF($B$301="Лікар-педіатр",IF(AG305&lt;Законод!$C$18,0,(IF(AND(AG305&gt;=Законод!$F$18,AG305&lt;=Законод!$F$19),AG305-Законод!$E$19,IF('01_Доходи'!AG305&gt;=Законод!$G$18,Законод!$F$20,0)))),IF($B$301="Лікар-терапевт",IF(AG305&lt;Законод!$C$26,0,(IF(AND(AG305&gt;=Законод!$F$26,AG305&lt;=Законод!$F$27),AG305-Законод!$E$27,IF('01_Доходи'!AG305&gt;=Законод!$G$26,Законод!$F$28,0)))),0)))</f>
        <v>0</v>
      </c>
      <c r="AH308" s="966"/>
      <c r="AI308" s="201"/>
      <c r="AJ308" s="945"/>
      <c r="AK308" s="960"/>
      <c r="AL308" s="960"/>
      <c r="AM308" s="927"/>
      <c r="AN308" s="210">
        <f ca="1">IF(B301="Лікар загальної практики - сімейний лікар",L308*Законод!$C$9/4*Законод!$F$16,IF(B301="Лікар-педіатр",L308*Законод!$C$9/4*Законод!$F$16,IF(B301="Лікар-терапевт",L308*Законод!$C$9/4*Законод!$F$16,0)))</f>
        <v>0</v>
      </c>
      <c r="AO308" s="210">
        <f ca="1">IF(B301="Лікар загальної практики - сімейний лікар",S308*Законод!$C$9/4*Законод!$F$16,IF(B301="Лікар-педіатр",S308*Законод!$C$9/4*Законод!$F$16,IF(B301="Лікар-терапевт",S308*Законод!$C$9/4*Законод!$F$16,0)))</f>
        <v>0</v>
      </c>
      <c r="AP308" s="210">
        <f ca="1">IF(B301="Лікар загальної практики - сімейний лікар",Z308*Законод!$C$9/4*Законод!$F$16,IF(B301="Лікар-педіатр",Z308*Законод!$C$9/4*Законод!$F$16,IF(B301="Лікар-терапевт",Z308*Законод!$C$9/4*Законод!$F$16,0)))</f>
        <v>0</v>
      </c>
      <c r="AQ308" s="210">
        <f ca="1">IF(B301="Лікар загальної практики - сімейний лікар",AG308*Законод!$C$9/4*Законод!$F$16,IF(B301="Лікар-педіатр",AG308*Законод!$C$9/4*Законод!$F$16,IF(B301="Лікар-терапевт",AG308*Законод!$C$9/4*Законод!$F$16,0)))</f>
        <v>0</v>
      </c>
      <c r="AR308" s="211">
        <f t="shared" si="63"/>
        <v>0</v>
      </c>
    </row>
    <row r="309" spans="1:44" s="50" customFormat="1" ht="31.9" customHeight="1">
      <c r="A309" s="197"/>
      <c r="B309" s="969"/>
      <c r="C309" s="974"/>
      <c r="D309" s="971"/>
      <c r="E309" s="971"/>
      <c r="F309" s="238" t="str">
        <f ca="1">IF(B301="Лікар-педіатр",Законод!$G$17,IF(B301="Лікар загальної практики - сімейний лікар",Законод!$G$21,IF(B301="Лікар-терапевт",Законод!$G$25,"х")))</f>
        <v>понад ліміт (2161-2340)</v>
      </c>
      <c r="G309" s="965" t="s">
        <v>423</v>
      </c>
      <c r="H309" s="965"/>
      <c r="I309" s="965"/>
      <c r="J309" s="965"/>
      <c r="K309" s="965"/>
      <c r="L309" s="196">
        <f ca="1">IF($B$301="Лікар загальної практики - сімейний лікар",IF(L305&lt;Законод!$C$22,0,(IF(AND(L305&gt;=Законод!$G$22,L305&lt;=Законод!$G$23),L305-Законод!$F$23,IF('01_Доходи'!L305&gt;=Законод!$H$22,Законод!$G$24,0)))),IF($B$301="Лікар-педіатр",IF(L305&lt;Законод!$C$18,0,(IF(AND(L305&gt;=Законод!$G$18,L305&lt;=Законод!$G$19),L305-Законод!$F$19,IF('01_Доходи'!L305&gt;=Законод!$H$18,Законод!$G$20,0)))),IF($B$301="Лікар-терапевт",IF(L305&lt;Законод!$C$26,0,(IF(AND(L305&gt;=Законод!$G$26,L305&lt;=Законод!$G$27),L305-Законод!$F$27,IF('01_Доходи'!L305&gt;=Законод!$H$26,Законод!$G$28,0)))),0)))</f>
        <v>0</v>
      </c>
      <c r="M309" s="966"/>
      <c r="N309" s="965" t="s">
        <v>423</v>
      </c>
      <c r="O309" s="965"/>
      <c r="P309" s="965"/>
      <c r="Q309" s="965"/>
      <c r="R309" s="965"/>
      <c r="S309" s="196">
        <f ca="1">IF($B$301="Лікар загальної практики - сімейний лікар",IF(S305&lt;Законод!$C$22,0,(IF(AND(S305&gt;=Законод!$G$22,S305&lt;=Законод!$G$23),S305-Законод!$F$23,IF('01_Доходи'!S305&gt;=Законод!$H$22,Законод!$G$24,0)))),IF($B$301="Лікар-педіатр",IF(S305&lt;Законод!$C$18,0,(IF(AND(S305&gt;=Законод!$G$18,S305&lt;=Законод!$G$19),S305-Законод!$F$19,IF('01_Доходи'!S305&gt;=Законод!$H$18,Законод!$G$20,0)))),IF($B$301="Лікар-терапевт",IF(S305&lt;Законод!$C$26,0,(IF(AND(S305&gt;=Законод!$G$26,S305&lt;=Законод!$G$27),S305-Законод!$F$27,IF('01_Доходи'!S305&gt;=Законод!$H$26,Законод!$G$28,0)))),0)))</f>
        <v>0</v>
      </c>
      <c r="T309" s="966"/>
      <c r="U309" s="965" t="s">
        <v>423</v>
      </c>
      <c r="V309" s="965"/>
      <c r="W309" s="965"/>
      <c r="X309" s="965"/>
      <c r="Y309" s="965"/>
      <c r="Z309" s="196">
        <f ca="1">IF($B$301="Лікар загальної практики - сімейний лікар",IF(Z305&lt;Законод!$C$22,0,(IF(AND(Z305&gt;=Законод!$G$22,Z305&lt;=Законод!$G$23),Z305-Законод!$F$23,IF('01_Доходи'!Z305&gt;=Законод!$H$22,Законод!$G$24,0)))),IF($B$301="Лікар-педіатр",IF(Z305&lt;Законод!$C$18,0,(IF(AND(Z305&gt;=Законод!$G$18,Z305&lt;=Законод!$G$19),Z305-Законод!$F$19,IF('01_Доходи'!Z305&gt;=Законод!$H$18,Законод!$G$20,0)))),IF($B$301="Лікар-терапевт",IF(Z305&lt;Законод!$C$26,0,(IF(AND(Z305&gt;=Законод!$G$26,Z305&lt;=Законод!$G$27),Z305-Законод!$F$27,IF('01_Доходи'!Z305&gt;=Законод!$H$26,Законод!$G$28,0)))),0)))</f>
        <v>0</v>
      </c>
      <c r="AA309" s="966"/>
      <c r="AB309" s="965" t="s">
        <v>423</v>
      </c>
      <c r="AC309" s="965"/>
      <c r="AD309" s="965"/>
      <c r="AE309" s="965"/>
      <c r="AF309" s="965"/>
      <c r="AG309" s="196">
        <f ca="1">IF($B$301="Лікар загальної практики - сімейний лікар",IF(AG305&lt;Законод!$C$22,0,(IF(AND(AG305&gt;=Законод!$G$22,AG305&lt;=Законод!$G$23),AG305-Законод!$F$23,IF('01_Доходи'!AG305&gt;=Законод!$H$22,Законод!$G$24,0)))),IF($B$301="Лікар-педіатр",IF(AG305&lt;Законод!$C$18,0,(IF(AND(AG305&gt;=Законод!$G$18,AG305&lt;=Законод!$G$19),AG305-Законод!$F$19,IF('01_Доходи'!AG305&gt;=Законод!$H$18,Законод!$G$20,0)))),IF($B$301="Лікар-терапевт",IF(AG305&lt;Законод!$C$26,0,(IF(AND(AG305&gt;=Законод!$G$26,AG305&lt;=Законод!$G$27),AG305-Законод!$F$27,IF('01_Доходи'!AG305&gt;=Законод!$H$26,Законод!$G$28,0)))),0)))</f>
        <v>0</v>
      </c>
      <c r="AH309" s="966"/>
      <c r="AI309" s="201"/>
      <c r="AJ309" s="945"/>
      <c r="AK309" s="960"/>
      <c r="AL309" s="960"/>
      <c r="AM309" s="927"/>
      <c r="AN309" s="210">
        <f ca="1">IF(B301="Лікар загальної практики - сімейний лікар",L309*Законод!$C$9/4*Законод!$G$16,IF(B301="Лікар-педіатр",L309*Законод!$C$9/4*Законод!$G$16,IF(B301="Лікар-терапевт",L309*Законод!$C$9/4*Законод!$G$16,0)))</f>
        <v>0</v>
      </c>
      <c r="AO309" s="210">
        <f ca="1">IF(B301="Лікар загальної практики - сімейний лікар",S309*Законод!$C$9/4*Законод!$G$16,IF(B301="Лікар-педіатр",S309*Законод!$C$9/4*Законод!$G$16,IF(B301="Лікар-терапевт",S309*Законод!$C$9/4*Законод!$G$16,0)))</f>
        <v>0</v>
      </c>
      <c r="AP309" s="210">
        <f ca="1">IF(B301="Лікар загальної практики - сімейний лікар",Z309*Законод!$C$9/4*Законод!$G$16,IF(B301="Лікар-педіатр",Z309*Законод!$C$9/4*Законод!$G$16,IF(B301="Лікар-терапевт",Z309*Законод!$C$9/4*Законод!$G$16,0)))</f>
        <v>0</v>
      </c>
      <c r="AQ309" s="210">
        <f ca="1">IF(B301="Лікар загальної практики - сімейний лікар",AG309*Законод!$C$9/4*Законод!$G$16,IF(B301="Лікар-педіатр",AG309*Законод!$C$9/4*Законод!$G$16,IF(B301="Лікар-терапевт",AG309*Законод!$C$9/4*Законод!$G$16,0)))</f>
        <v>0</v>
      </c>
      <c r="AR309" s="211">
        <f t="shared" si="63"/>
        <v>0</v>
      </c>
    </row>
    <row r="310" spans="1:44" s="50" customFormat="1" ht="31.9" customHeight="1">
      <c r="A310" s="197"/>
      <c r="B310" s="969"/>
      <c r="C310" s="974"/>
      <c r="D310" s="971"/>
      <c r="E310" s="971"/>
      <c r="F310" s="238" t="str">
        <f ca="1">IF(B301="Лікар-педіатр",Законод!$H$17,IF(B301="Лікар загальної практики - сімейний лікар",Законод!$H$21,IF(B301="Лікар-терапевт",Законод!$H$25,"х")))</f>
        <v>понад ліміт (2341-2520)</v>
      </c>
      <c r="G310" s="965" t="s">
        <v>423</v>
      </c>
      <c r="H310" s="965"/>
      <c r="I310" s="965"/>
      <c r="J310" s="965"/>
      <c r="K310" s="965"/>
      <c r="L310" s="196">
        <f ca="1">IF($B$301="Лікар загальної практики - сімейний лікар",IF(L305&lt;Законод!$C$22,0,(IF(AND(L305&gt;=Законод!$H$22,L305&lt;=Законод!$H$23),L305-Законод!$G$23,IF('01_Доходи'!L305&gt;=Законод!$I$22,Законод!$H$24,0)))),IF($B$301="Лікар-педіатр",IF(L305&lt;Законод!$C$18,0,(IF(AND(L305&gt;=Законод!$H$18,L305&lt;=Законод!$H$19),L305-Законод!$G$19,IF('01_Доходи'!L305&gt;=Законод!$I$18,Законод!$H$20,0)))),IF($B$301="Лікар-терапевт",IF(L305&lt;Законод!$C$26,0,(IF(AND(L305&gt;=Законод!$H$26,L305&lt;=Законод!$H$27),L305-Законод!$G$27,IF(L305&gt;=Законод!$I$26,Законод!$H$28,0)))),0)))</f>
        <v>0</v>
      </c>
      <c r="M310" s="966"/>
      <c r="N310" s="965" t="s">
        <v>423</v>
      </c>
      <c r="O310" s="965"/>
      <c r="P310" s="965"/>
      <c r="Q310" s="965"/>
      <c r="R310" s="965"/>
      <c r="S310" s="196">
        <f ca="1">IF($B$301="Лікар загальної практики - сімейний лікар",IF(S305&lt;Законод!$C$22,0,(IF(AND(S305&gt;=Законод!$H$22,S305&lt;=Законод!$H$23),S305-Законод!$G$23,IF('01_Доходи'!S305&gt;=Законод!$I$22,Законод!$H$24,0)))),IF($B$301="Лікар-педіатр",IF(S305&lt;Законод!$C$18,0,(IF(AND(S305&gt;=Законод!$H$18,S305&lt;=Законод!$H$19),S305-Законод!$G$19,IF('01_Доходи'!S305&gt;=Законод!$I$18,Законод!$H$20,0)))),IF($B$301="Лікар-терапевт",IF(S305&lt;Законод!$C$26,0,(IF(AND(S305&gt;=Законод!$H$26,S305&lt;=Законод!$H$27),S305-Законод!$G$27,IF(S305&gt;=Законод!$I$26,Законод!$H$28,0)))),0)))</f>
        <v>0</v>
      </c>
      <c r="T310" s="966"/>
      <c r="U310" s="965" t="s">
        <v>423</v>
      </c>
      <c r="V310" s="965"/>
      <c r="W310" s="965"/>
      <c r="X310" s="965"/>
      <c r="Y310" s="965"/>
      <c r="Z310" s="196">
        <f ca="1">IF($B$301="Лікар загальної практики - сімейний лікар",IF(Z305&lt;Законод!$C$22,0,(IF(AND(Z305&gt;=Законод!$H$22,Z305&lt;=Законод!$H$23),Z305-Законод!$G$23,IF('01_Доходи'!Z305&gt;=Законод!$I$22,Законод!$H$24,0)))),IF($B$301="Лікар-педіатр",IF(Z305&lt;Законод!$C$18,0,(IF(AND(Z305&gt;=Законод!$H$18,Z305&lt;=Законод!$H$19),Z305-Законод!$G$19,IF('01_Доходи'!Z305&gt;=Законод!$I$18,Законод!$H$20,0)))),IF($B$301="Лікар-терапевт",IF(Z305&lt;Законод!$C$26,0,(IF(AND(Z305&gt;=Законод!$H$26,Z305&lt;=Законод!$H$27),Z305-Законод!$G$27,IF(Z305&gt;=Законод!$I$26,Законод!$H$28,0)))),0)))</f>
        <v>0</v>
      </c>
      <c r="AA310" s="966"/>
      <c r="AB310" s="965" t="s">
        <v>423</v>
      </c>
      <c r="AC310" s="965"/>
      <c r="AD310" s="965"/>
      <c r="AE310" s="965"/>
      <c r="AF310" s="965"/>
      <c r="AG310" s="196">
        <f ca="1">IF($B$301="Лікар загальної практики - сімейний лікар",IF(AG305&lt;Законод!$C$22,0,(IF(AND(AG305&gt;=Законод!$H$22,AG305&lt;=Законод!$H$23),AG305-Законод!$G$23,IF('01_Доходи'!AG305&gt;=Законод!$I$22,Законод!$H$24,0)))),IF($B$301="Лікар-педіатр",IF(AG305&lt;Законод!$C$18,0,(IF(AND(AG305&gt;=Законод!$H$18,AG305&lt;=Законод!$H$19),AG305-Законод!$G$19,IF('01_Доходи'!AG305&gt;=Законод!$I$18,Законод!$H$20,0)))),IF($B$301="Лікар-терапевт",IF(AG305&lt;Законод!$C$26,0,(IF(AND(AG305&gt;=Законод!$H$26,AG305&lt;=Законод!$H$27),AG305-Законод!$G$27,IF(AG305&gt;=Законод!$I$26,Законод!$H$28,0)))),0)))</f>
        <v>0</v>
      </c>
      <c r="AH310" s="966"/>
      <c r="AI310" s="201"/>
      <c r="AJ310" s="945"/>
      <c r="AK310" s="960"/>
      <c r="AL310" s="960"/>
      <c r="AM310" s="927"/>
      <c r="AN310" s="210">
        <f ca="1">IF(B301="Лікар загальної практики - сімейний лікар",L310*Законод!$C$9/4*Законод!$H$16,IF(B301="Лікар-педіатр",L310*Законод!$C$9/4*Законод!$H$16,IF(B301="Лікар-терапевт",L310*Законод!$C$9/4*Законод!$H$16,0)))</f>
        <v>0</v>
      </c>
      <c r="AO310" s="210">
        <f ca="1">IF(B301="Лікар загальної практики - сімейний лікар",S310*Законод!$C$9/4*Законод!$H$16,IF(B301="Лікар-педіатр",S310*Законод!$C$9/4*Законод!$H$16,IF(B301="Лікар-терапевт",S310*Законод!$C$9/4*Законод!$H$16,0)))</f>
        <v>0</v>
      </c>
      <c r="AP310" s="210">
        <f ca="1">IF(B301="Лікар загальної практики - сімейний лікар",Z310*Законод!$C$9/4*Законод!$H$16,IF(B301="Лікар-педіатр",Z310*Законод!$C$9/4*Законод!$H$16,IF(B301="Лікар-терапевт",Z310*Законод!$C$9/4*Законод!$H$16,0)))</f>
        <v>0</v>
      </c>
      <c r="AQ310" s="210">
        <f ca="1">IF(B301="Лікар загальної практики - сімейний лікар",AG310*Законод!$C$9/4*Законод!$H$16,IF(B301="Лікар-педіатр",AG310*Законод!$C$9/4*Законод!$H$16,IF(B301="Лікар-терапевт",AG310*Законод!$C$9/4*Законод!$H$16,0)))</f>
        <v>0</v>
      </c>
      <c r="AR310" s="211">
        <f t="shared" si="63"/>
        <v>0</v>
      </c>
    </row>
    <row r="311" spans="1:44" s="50" customFormat="1" ht="31.9" customHeight="1">
      <c r="A311" s="197"/>
      <c r="B311" s="969"/>
      <c r="C311" s="974"/>
      <c r="D311" s="971"/>
      <c r="E311" s="971"/>
      <c r="F311" s="238" t="str">
        <f ca="1">IF(B301="Лікар-педіатр",Законод!$I$17,IF(B301="Лікар загальної практики - сімейний лікар",Законод!$I$21,IF(B301="Лікар-терапевт",Законод!$I$25,"х")))</f>
        <v>понад ліміт (2521-2700)</v>
      </c>
      <c r="G311" s="965" t="s">
        <v>423</v>
      </c>
      <c r="H311" s="965"/>
      <c r="I311" s="965"/>
      <c r="J311" s="965"/>
      <c r="K311" s="965"/>
      <c r="L311" s="196">
        <f ca="1">IF($B$301="Лікар загальної практики - сімейний лікар",IF(L305&lt;Законод!$C$22,0,(IF(AND(L305&gt;=Законод!$I$22,L305&lt;=Законод!$I$23),L305-Законод!$H$23,IF('01_Доходи'!L305&gt;=Законод!$I$22,Законод!$I$24,0)))),IF($B$301="Лікар-педіатр",IF(L305&lt;Законод!$C$18,0,(IF(AND(L305&gt;=Законод!$I$18,L305&lt;=Законод!$I$19),L305-Законод!$H$19,IF('01_Доходи'!L305&gt;=Законод!$I$18,Законод!$H$20,0)))),IF($B$301="Лікар-терапевт",IF(L305&lt;Законод!$C$26,0,(IF(AND(L305&gt;=Законод!$I$26,L305&lt;=Законод!$I$27),L305-Законод!$H$27,IF('01_Доходи'!L305&gt;=Законод!$I$26,Законод!$H$28,0)))),0)))</f>
        <v>0</v>
      </c>
      <c r="M311" s="966"/>
      <c r="N311" s="965" t="s">
        <v>423</v>
      </c>
      <c r="O311" s="965"/>
      <c r="P311" s="965"/>
      <c r="Q311" s="965"/>
      <c r="R311" s="965"/>
      <c r="S311" s="196">
        <f ca="1">IF($B$301="Лікар загальної практики - сімейний лікар",IF(S305&lt;Законод!$C$22,0,(IF(AND(S305&gt;=Законод!$I$22,S305&lt;=Законод!$I$23),S305-Законод!$H$23,IF('01_Доходи'!S305&gt;=Законод!$I$22,Законод!$I$24,0)))),IF($B$301="Лікар-педіатр",IF(S305&lt;Законод!$C$18,0,(IF(AND(S305&gt;=Законод!$I$18,S305&lt;=Законод!$I$19),S305-Законод!$H$19,IF('01_Доходи'!S305&gt;=Законод!$I$18,Законод!$H$20,0)))),IF($B$301="Лікар-терапевт",IF(S305&lt;Законод!$C$26,0,(IF(AND(S305&gt;=Законод!$I$26,S305&lt;=Законод!$I$27),S305-Законод!$H$27,IF('01_Доходи'!S305&gt;=Законод!$I$26,Законод!$H$28,0)))),0)))</f>
        <v>0</v>
      </c>
      <c r="T311" s="966"/>
      <c r="U311" s="965" t="s">
        <v>423</v>
      </c>
      <c r="V311" s="965"/>
      <c r="W311" s="965"/>
      <c r="X311" s="965"/>
      <c r="Y311" s="965"/>
      <c r="Z311" s="196">
        <f ca="1">IF($B$301="Лікар загальної практики - сімейний лікар",IF(Z305&lt;Законод!$C$22,0,(IF(AND(Z305&gt;=Законод!$I$22,Z305&lt;=Законод!$I$23),Z305-Законод!$H$23,IF('01_Доходи'!Z305&gt;=Законод!$I$22,Законод!$I$24,0)))),IF($B$301="Лікар-педіатр",IF(Z305&lt;Законод!$C$18,0,(IF(AND(Z305&gt;=Законод!$I$18,Z305&lt;=Законод!$I$19),Z305-Законод!$H$19,IF('01_Доходи'!Z305&gt;=Законод!$I$18,Законод!$H$20,0)))),IF($B$301="Лікар-терапевт",IF(Z305&lt;Законод!$C$26,0,(IF(AND(Z305&gt;=Законод!$I$26,Z305&lt;=Законод!$I$27),Z305-Законод!$H$27,IF('01_Доходи'!Z305&gt;=Законод!$I$26,Законод!$H$28,0)))),0)))</f>
        <v>0</v>
      </c>
      <c r="AA311" s="966"/>
      <c r="AB311" s="965" t="s">
        <v>423</v>
      </c>
      <c r="AC311" s="965"/>
      <c r="AD311" s="965"/>
      <c r="AE311" s="965"/>
      <c r="AF311" s="965"/>
      <c r="AG311" s="196">
        <f ca="1">IF($B$301="Лікар загальної практики - сімейний лікар",IF(AG305&lt;Законод!$C$22,0,(IF(AND(AG305&gt;=Законод!$I$22,AG305&lt;=Законод!$I$23),AG305-Законод!$H$23,IF('01_Доходи'!AG305&gt;=Законод!$I$22,Законод!$I$24,0)))),IF($B$301="Лікар-педіатр",IF(AG305&lt;Законод!$C$18,0,(IF(AND(AG305&gt;=Законод!$I$18,AG305&lt;=Законод!$I$19),AG305-Законод!$H$19,IF('01_Доходи'!AG305&gt;=Законод!$I$18,Законод!$H$20,0)))),IF($B$301="Лікар-терапевт",IF(AG305&lt;Законод!$C$26,0,(IF(AND(AG305&gt;=Законод!$I$26,AG305&lt;=Законод!$I$27),AG305-Законод!$H$27,IF('01_Доходи'!AG305&gt;=Законод!$I$26,Законод!$H$28,0)))),0)))</f>
        <v>0</v>
      </c>
      <c r="AH311" s="966"/>
      <c r="AI311" s="201"/>
      <c r="AJ311" s="945"/>
      <c r="AK311" s="960"/>
      <c r="AL311" s="960"/>
      <c r="AM311" s="927"/>
      <c r="AN311" s="210">
        <f ca="1">IF(B301="Лікар загальної практики - сімейний лікар",L311*Законод!$C$9/4*Законод!$I$16,IF(B301="Лікар-педіатр",L311*Законод!$C$9/4*Законод!$I$16,IF(B301="Лікар-терапевт",L311*Законод!$C$9/4*Законод!$I$16,0)))</f>
        <v>0</v>
      </c>
      <c r="AO311" s="210">
        <f ca="1">IF(B301="Лікар загальної практики - сімейний лікар",S311*Законод!$C$9/4*Законод!$I$16,IF(B301="Лікар-педіатр",S311*Законод!$C$9/4*Законод!$I$16,IF(B301="Лікар-терапевт",S311*Законод!$C$9/4*Законод!$I$16,0)))</f>
        <v>0</v>
      </c>
      <c r="AP311" s="210">
        <f ca="1">IF(B301="Лікар загальної практики - сімейний лікар",Z311*Законод!$C$9/4*Законод!$I$16,IF(B301="Лікар-педіатр",Z311*Законод!$C$9/4*Законод!$I$16,IF(B301="Лікар-терапевт",Z311*Законод!$C$9/4*Законод!$I$16,0)))</f>
        <v>0</v>
      </c>
      <c r="AQ311" s="210">
        <f ca="1">IF(B301="Лікар загальної практики - сімейний лікар",AG311*Законод!$C$9/4*Законод!$I$16,IF(B301="Лікар-педіатр",AG311*Законод!$C$9/4*Законод!$I$16,IF(B301="Лікар-терапевт",AG311*Законод!$C$9/4*Законод!$I$16,0)))</f>
        <v>0</v>
      </c>
      <c r="AR311" s="211">
        <f t="shared" si="63"/>
        <v>0</v>
      </c>
    </row>
    <row r="312" spans="1:44" s="218" customFormat="1" ht="31.9" customHeight="1" thickBot="1">
      <c r="A312" s="213"/>
      <c r="B312" s="969"/>
      <c r="C312" s="974"/>
      <c r="D312" s="971"/>
      <c r="E312" s="971"/>
      <c r="F312" s="239" t="str">
        <f ca="1">IF(B301="Лікар-педіатр",Законод!$J$17,IF(B301="Лікар загальної практики - сімейний лікар",Законод!$J$21,IF(B301="Лікар-терапевт",Законод!$J$25,"х")))</f>
        <v>понад ліміт (&gt;=2701)</v>
      </c>
      <c r="G312" s="968" t="s">
        <v>423</v>
      </c>
      <c r="H312" s="968"/>
      <c r="I312" s="968"/>
      <c r="J312" s="968"/>
      <c r="K312" s="968"/>
      <c r="L312" s="196">
        <f ca="1">IF($B$301="Лікар загальної практики - сімейний лікар",IF(L305&gt;=Законод!$J$22,'01_Доходи'!L305-('01_Доходи'!L306+'01_Доходи'!L307+'01_Доходи'!L308+'01_Доходи'!L309+'01_Доходи'!L310+'01_Доходи'!L311),0),IF($B$301="Лікар-педіатр",IF(L305&gt;=Законод!$J$18,'01_Доходи'!L305-('01_Доходи'!L306+'01_Доходи'!L307+'01_Доходи'!L308+'01_Доходи'!L309+'01_Доходи'!L310+'01_Доходи'!L311),0),IF($B$301="Лікар-терапевт",IF('01_Доходи'!L305&gt;=Законод!$J$26,L305-Законод!$I$27,0),0)))</f>
        <v>0</v>
      </c>
      <c r="M312" s="966"/>
      <c r="N312" s="968" t="s">
        <v>423</v>
      </c>
      <c r="O312" s="968"/>
      <c r="P312" s="968"/>
      <c r="Q312" s="968"/>
      <c r="R312" s="968"/>
      <c r="S312" s="196">
        <f ca="1">IF($B$301="Лікар загальної практики - сімейний лікар",IF(S305&gt;=Законод!$J$22,'01_Доходи'!S305-('01_Доходи'!S306+'01_Доходи'!S307+'01_Доходи'!S308+'01_Доходи'!S309+'01_Доходи'!S310+'01_Доходи'!S311),0),IF($B$301="Лікар-педіатр",IF(S305&gt;=Законод!$J$18,'01_Доходи'!S305-('01_Доходи'!S306+'01_Доходи'!S307+'01_Доходи'!S308+'01_Доходи'!S309+'01_Доходи'!S310+'01_Доходи'!S311),0),IF($B$301="Лікар-терапевт",IF('01_Доходи'!S305&gt;=Законод!$J$26,S305-Законод!$I$27,0),0)))</f>
        <v>0</v>
      </c>
      <c r="T312" s="966"/>
      <c r="U312" s="968" t="s">
        <v>423</v>
      </c>
      <c r="V312" s="968"/>
      <c r="W312" s="968"/>
      <c r="X312" s="968"/>
      <c r="Y312" s="968"/>
      <c r="Z312" s="196">
        <f ca="1">IF($B$301="Лікар загальної практики - сімейний лікар",IF(Z305&gt;=Законод!$J$22,'01_Доходи'!Z305-('01_Доходи'!Z306+'01_Доходи'!Z307+'01_Доходи'!Z308+'01_Доходи'!Z309+'01_Доходи'!Z310+'01_Доходи'!Z311),0),IF($B$301="Лікар-педіатр",IF(Z305&gt;=Законод!$J$18,'01_Доходи'!Z305-('01_Доходи'!Z306+'01_Доходи'!Z307+'01_Доходи'!Z308+'01_Доходи'!Z309+'01_Доходи'!Z310+'01_Доходи'!Z311),0),IF($B$301="Лікар-терапевт",IF('01_Доходи'!Z305&gt;=Законод!$J$26,Z305-Законод!$I$27,0),0)))</f>
        <v>0</v>
      </c>
      <c r="AA312" s="966"/>
      <c r="AB312" s="968" t="s">
        <v>423</v>
      </c>
      <c r="AC312" s="968"/>
      <c r="AD312" s="968"/>
      <c r="AE312" s="968"/>
      <c r="AF312" s="968"/>
      <c r="AG312" s="196">
        <f ca="1">IF($B$301="Лікар загальної практики - сімейний лікар",IF(AG305&gt;=Законод!$J$22,'01_Доходи'!AG305-('01_Доходи'!AG306+'01_Доходи'!AG307+'01_Доходи'!AG308+'01_Доходи'!AG309+'01_Доходи'!AG310+'01_Доходи'!AG311),0),IF($B$301="Лікар-педіатр",IF(AG305&gt;=Законод!$J$18,'01_Доходи'!AG305-('01_Доходи'!AG306+'01_Доходи'!AG307+'01_Доходи'!AG308+'01_Доходи'!AG309+'01_Доходи'!AG310+'01_Доходи'!AG311),0),IF($B$301="Лікар-терапевт",IF('01_Доходи'!AG305&gt;=Законод!$J$26,AG305-Законод!$I$27,0),0)))</f>
        <v>0</v>
      </c>
      <c r="AH312" s="966"/>
      <c r="AI312" s="215"/>
      <c r="AJ312" s="946"/>
      <c r="AK312" s="961"/>
      <c r="AL312" s="961"/>
      <c r="AM312" s="928"/>
      <c r="AN312" s="216">
        <f ca="1">IF(B301="Лікар загальної практики - сімейний лікар",L312*Законод!$C$9/4*Законод!$J$16,IF(B301="Лікар-педіатр",L312*Законод!$C$9/4*Законод!$J$16,IF(B301="Лікар-терапевт",L312*Законод!$C$9/4*Законод!$J$16,0)))</f>
        <v>0</v>
      </c>
      <c r="AO312" s="216">
        <f ca="1">IF(B301="Лікар загальної практики - сімейний лікар",S312*Законод!$C$9/4*Законод!$J$16,IF(B301="Лікар-педіатр",S312*Законод!$C$9/4*Законод!$J$16,IF(B301="Лікар-терапевт",S312*Законод!$C$9/4*Законод!$J$16,0)))</f>
        <v>0</v>
      </c>
      <c r="AP312" s="216">
        <f ca="1">IF(B301="Лікар загальної практики - сімейний лікар",S312*Законод!$C$9/4*Законод!$J$16,IF(B301="Лікар-педіатр",S312*Законод!$C$9/4*Законод!$J$16,IF(B301="Лікар-терапевт",S312*Законод!$C$9/4*Законод!$J$16,0)))</f>
        <v>0</v>
      </c>
      <c r="AQ312" s="216">
        <f ca="1">IF(B301="Лікар загальної практики - сімейний лікар",AG312*Законод!$C$9/4*Законод!$J$16,IF(B301="Лікар-педіатр",AG312*Законод!$C$9/4*Законод!$J$16,IF(B301="Лікар-терапевт",AG312*Законод!$C$9/4*Законод!$J$16,0)))</f>
        <v>0</v>
      </c>
      <c r="AR312" s="217">
        <f t="shared" si="63"/>
        <v>0</v>
      </c>
    </row>
    <row r="313" spans="1:44" s="247" customFormat="1" ht="23.45" customHeight="1">
      <c r="A313" s="243"/>
      <c r="B313" s="244"/>
      <c r="C313" s="244"/>
      <c r="D313" s="244"/>
      <c r="E313" s="244"/>
      <c r="F313" s="245"/>
      <c r="G313" s="246"/>
      <c r="H313" s="246"/>
      <c r="L313" s="248"/>
      <c r="S313" s="248"/>
      <c r="Z313" s="248"/>
      <c r="AG313" s="248"/>
      <c r="AM313" s="249"/>
      <c r="AR313" s="250"/>
    </row>
    <row r="314" spans="1:44" s="191" customFormat="1" ht="27.6" hidden="1" customHeight="1">
      <c r="A314" s="194">
        <f>A301+1</f>
        <v>22</v>
      </c>
      <c r="B314" s="969"/>
      <c r="C314" s="970"/>
      <c r="D314" s="971"/>
      <c r="E314" s="971"/>
      <c r="F314" s="234" t="s">
        <v>659</v>
      </c>
      <c r="G314" s="196">
        <f>IF($B$314="Лікар-педіатр",G317*L314,IF($B$314="Лікар-терапевт","х",IF($B$314="Лікар загальної практики - сімейний лікар",G317*L314,0)))</f>
        <v>0</v>
      </c>
      <c r="H314" s="196">
        <f>IF($B$314="Лікар-педіатр",H317*L314,IF($B$314="Лікар-терапевт","х",IF($B$314="Лікар загальної практики - сімейний лікар",H317*L314,0)))</f>
        <v>0</v>
      </c>
      <c r="I314" s="196">
        <f>IF($B$314="Лікар-педіатр","x",IF($B$314="Лікар-терапевт",I317*L314,IF($B$314="Лікар загальної практики - сімейний лікар",I317*L314,0)))</f>
        <v>0</v>
      </c>
      <c r="J314" s="196">
        <f>IF($B$314="Лікар-педіатр","x",IF($B$314="Лікар-терапевт",J317*L314,IF($B$314="Лікар загальної практики - сімейний лікар",J317*L314,0)))</f>
        <v>0</v>
      </c>
      <c r="K314" s="196">
        <f>IF($B$314="Лікар-педіатр","x",IF($B$314="Лікар-терапевт",K317*L314,IF($B$314="Лікар загальної практики - сімейний лікар",K317*L314,0)))</f>
        <v>0</v>
      </c>
      <c r="L314" s="557"/>
      <c r="M314" s="966"/>
      <c r="N314" s="196">
        <f>IF($B$314="Лікар-педіатр",N317*S314,IF($B$314="Лікар-терапевт","х",IF($B$314="Лікар загальної практики - сімейний лікар",N317*S314,0)))</f>
        <v>0</v>
      </c>
      <c r="O314" s="196">
        <f>IF($B$314="Лікар-педіатр",O317*S314,IF($B$314="Лікар-терапевт","х",IF($B$314="Лікар загальної практики - сімейний лікар",O317*S314,0)))</f>
        <v>0</v>
      </c>
      <c r="P314" s="196">
        <f>IF($B$314="Лікар-педіатр","x",IF($B$314="Лікар-терапевт",P317*S314,IF($B$314="Лікар загальної практики - сімейний лікар",P317*S314,0)))</f>
        <v>0</v>
      </c>
      <c r="Q314" s="196">
        <f>IF($B$314="Лікар-педіатр","x",IF($B$314="Лікар-терапевт",Q317*S314,IF($B$314="Лікар загальної практики - сімейний лікар",Q317*S314,0)))</f>
        <v>0</v>
      </c>
      <c r="R314" s="196">
        <f>IF($B$314="Лікар-педіатр","x",IF($B$314="Лікар-терапевт",R317*S314,IF($B$314="Лікар загальної практики - сімейний лікар",R317*S314,0)))</f>
        <v>0</v>
      </c>
      <c r="S314" s="557"/>
      <c r="T314" s="966"/>
      <c r="U314" s="196">
        <f>IF($B$314="Лікар-педіатр",U317*Z314,IF($B$314="Лікар-терапевт","х",IF($B$314="Лікар загальної практики - сімейний лікар",U317*Z314,0)))</f>
        <v>0</v>
      </c>
      <c r="V314" s="196">
        <f>IF($B$314="Лікар-педіатр",V317*Z314,IF($B$314="Лікар-терапевт","х",IF($B$314="Лікар загальної практики - сімейний лікар",V317*Z314,0)))</f>
        <v>0</v>
      </c>
      <c r="W314" s="196">
        <f>IF($B$314="Лікар-педіатр","x",IF($B$314="Лікар-терапевт",W317*Z314,IF($B$314="Лікар загальної практики - сімейний лікар",W317*Z314,0)))</f>
        <v>0</v>
      </c>
      <c r="X314" s="196">
        <f>IF($B$314="Лікар-педіатр","x",IF($B$314="Лікар-терапевт",X317*Z314,IF($B$314="Лікар загальної практики - сімейний лікар",X317*Z314,0)))</f>
        <v>0</v>
      </c>
      <c r="Y314" s="196">
        <f>IF($B$314="Лікар-педіатр","x",IF($B$314="Лікар-терапевт",Y317*Z314,IF($B$314="Лікар загальної практики - сімейний лікар",Y317*Z314,0)))</f>
        <v>0</v>
      </c>
      <c r="Z314" s="557"/>
      <c r="AA314" s="966"/>
      <c r="AB314" s="196">
        <f>IF($B$314="Лікар-педіатр",AB317*AG314,IF($B$314="Лікар-терапевт","х",IF($B$314="Лікар загальної практики - сімейний лікар",AB317*AG314,0)))</f>
        <v>0</v>
      </c>
      <c r="AC314" s="196">
        <f>IF($B$314="Лікар-педіатр",AC317*AG314,IF($B$314="Лікар-терапевт","х",IF($B$314="Лікар загальної практики - сімейний лікар",AC317*AG314,0)))</f>
        <v>0</v>
      </c>
      <c r="AD314" s="196">
        <f>IF($B$314="Лікар-педіатр","x",IF($B$314="Лікар-терапевт",AD317*AG314,IF($B$314="Лікар загальної практики - сімейний лікар",AD317*AG314,0)))</f>
        <v>0</v>
      </c>
      <c r="AE314" s="196">
        <f>IF($B$314="Лікар-педіатр","x",IF($B$314="Лікар-терапевт",AE317*AG314,IF($B$314="Лікар загальної практики - сімейний лікар",AE317*AG314,0)))</f>
        <v>0</v>
      </c>
      <c r="AF314" s="196">
        <f>IF($B$314="Лікар-педіатр","x",IF($B$314="Лікар-терапевт",AF317*AG314,IF($B$314="Лікар загальної практики - сімейний лікар",AF317*AG314,0)))</f>
        <v>0</v>
      </c>
      <c r="AG314" s="557"/>
      <c r="AH314" s="966"/>
      <c r="AI314" s="540">
        <f>A314</f>
        <v>22</v>
      </c>
      <c r="AJ314" s="944">
        <f>B314</f>
        <v>0</v>
      </c>
      <c r="AK314" s="959">
        <f>C314</f>
        <v>0</v>
      </c>
      <c r="AL314" s="959">
        <f>D314</f>
        <v>0</v>
      </c>
      <c r="AM314" s="929" t="s">
        <v>79</v>
      </c>
      <c r="AN314" s="947">
        <f>SUM(AN319:AN325)</f>
        <v>0</v>
      </c>
      <c r="AO314" s="947">
        <f>SUM(AO319:AO325)</f>
        <v>0</v>
      </c>
      <c r="AP314" s="947">
        <f>SUM(AP319:AP325)</f>
        <v>0</v>
      </c>
      <c r="AQ314" s="947">
        <f>SUM(AQ319:AQ325)</f>
        <v>0</v>
      </c>
      <c r="AR314" s="962">
        <f>SUM(AN314:AQ318)</f>
        <v>0</v>
      </c>
    </row>
    <row r="315" spans="1:44" s="50" customFormat="1" ht="28.15" hidden="1" customHeight="1">
      <c r="A315" s="197"/>
      <c r="B315" s="969"/>
      <c r="C315" s="970"/>
      <c r="D315" s="971"/>
      <c r="E315" s="971"/>
      <c r="F315" s="234" t="s">
        <v>660</v>
      </c>
      <c r="G315" s="196">
        <f>IF($B$314="Лікар-педіатр",G317*L315,IF($B$314="Лікар-терапевт","х",IF($B$314="Лікар загальної практики - сімейний лікар",G317*L315,0)))</f>
        <v>0</v>
      </c>
      <c r="H315" s="196">
        <f>IF($B$314="Лікар-педіатр",H317*L315,IF($B$314="Лікар-терапевт","х",IF($B$314="Лікар загальної практики - сімейний лікар",H317*L315,0)))</f>
        <v>0</v>
      </c>
      <c r="I315" s="196">
        <f>IF($B$314="Лікар-педіатр","x",IF($B$314="Лікар-терапевт",I317*L315,IF($B$314="Лікар загальної практики - сімейний лікар",I317*L315,0)))</f>
        <v>0</v>
      </c>
      <c r="J315" s="196">
        <f>IF($B$314="Лікар-педіатр","x",IF($B$314="Лікар-терапевт",J317*L315,IF($B$314="Лікар загальної практики - сімейний лікар",J317*L315,0)))</f>
        <v>0</v>
      </c>
      <c r="K315" s="196">
        <f>IF($B$314="Лікар-педіатр","x",IF($B$314="Лікар-терапевт",K317*L315,IF($B$314="Лікар загальної практики - сімейний лікар",K317*L315,0)))</f>
        <v>0</v>
      </c>
      <c r="L315" s="557"/>
      <c r="M315" s="966"/>
      <c r="N315" s="196">
        <f>IF($B$314="Лікар-педіатр",N317*S315,IF($B$314="Лікар-терапевт","х",IF($B$314="Лікар загальної практики - сімейний лікар",N317*S315,0)))</f>
        <v>0</v>
      </c>
      <c r="O315" s="196">
        <f>IF($B$314="Лікар-педіатр",O317*S315,IF($B$314="Лікар-терапевт","х",IF($B$314="Лікар загальної практики - сімейний лікар",O317*S315,0)))</f>
        <v>0</v>
      </c>
      <c r="P315" s="196">
        <f>IF($B$314="Лікар-педіатр","x",IF($B$314="Лікар-терапевт",P317*S315,IF($B$314="Лікар загальної практики - сімейний лікар",P317*S315,0)))</f>
        <v>0</v>
      </c>
      <c r="Q315" s="196">
        <f>IF($B$314="Лікар-педіатр","x",IF($B$314="Лікар-терапевт",Q317*S315,IF($B$314="Лікар загальної практики - сімейний лікар",Q317*S315,0)))</f>
        <v>0</v>
      </c>
      <c r="R315" s="196">
        <f>IF($B$314="Лікар-педіатр","x",IF($B$314="Лікар-терапевт",R317*S315,IF($B$314="Лікар загальної практики - сімейний лікар",R317*S315,0)))</f>
        <v>0</v>
      </c>
      <c r="S315" s="557"/>
      <c r="T315" s="966"/>
      <c r="U315" s="196">
        <f>IF($B$314="Лікар-педіатр",U317*Z315,IF($B$314="Лікар-терапевт","х",IF($B$314="Лікар загальної практики - сімейний лікар",U317*Z315,0)))</f>
        <v>0</v>
      </c>
      <c r="V315" s="196">
        <f>IF($B$314="Лікар-педіатр",V317*Z315,IF($B$314="Лікар-терапевт","х",IF($B$314="Лікар загальної практики - сімейний лікар",V317*Z315,0)))</f>
        <v>0</v>
      </c>
      <c r="W315" s="196">
        <f>IF($B$314="Лікар-педіатр","x",IF($B$314="Лікар-терапевт",W317*Z315,IF($B$314="Лікар загальної практики - сімейний лікар",W317*Z315,0)))</f>
        <v>0</v>
      </c>
      <c r="X315" s="196">
        <f>IF($B$314="Лікар-педіатр","x",IF($B$314="Лікар-терапевт",X317*Z315,IF($B$314="Лікар загальної практики - сімейний лікар",X317*Z315,0)))</f>
        <v>0</v>
      </c>
      <c r="Y315" s="196">
        <f>IF($B$314="Лікар-педіатр","x",IF($B$314="Лікар-терапевт",Y317*Z315,IF($B$314="Лікар загальної практики - сімейний лікар",Y317*Z315,0)))</f>
        <v>0</v>
      </c>
      <c r="Z315" s="557"/>
      <c r="AA315" s="966"/>
      <c r="AB315" s="196">
        <f>IF($B$314="Лікар-педіатр",AB317*AG315,IF($B$314="Лікар-терапевт","х",IF($B$314="Лікар загальної практики - сімейний лікар",AB317*AG315,0)))</f>
        <v>0</v>
      </c>
      <c r="AC315" s="196">
        <f>IF($B$314="Лікар-педіатр",AC317*AG315,IF($B$314="Лікар-терапевт","х",IF($B$314="Лікар загальної практики - сімейний лікар",AC317*AG315,0)))</f>
        <v>0</v>
      </c>
      <c r="AD315" s="196">
        <f>IF($B$314="Лікар-педіатр","x",IF($B$314="Лікар-терапевт",AD317*AG315,IF($B$314="Лікар загальної практики - сімейний лікар",AD317*AG315,0)))</f>
        <v>0</v>
      </c>
      <c r="AE315" s="196">
        <f>IF($B$314="Лікар-педіатр","x",IF($B$314="Лікар-терапевт",AE317*AG315,IF($B$314="Лікар загальної практики - сімейний лікар",AE317*AG315,0)))</f>
        <v>0</v>
      </c>
      <c r="AF315" s="196">
        <f>IF($B$314="Лікар-педіатр","x",IF($B$314="Лікар-терапевт",AF317*AG315,IF($B$314="Лікар загальної практики - сімейний лікар",AF317*AG315,0)))</f>
        <v>0</v>
      </c>
      <c r="AG315" s="557"/>
      <c r="AH315" s="966"/>
      <c r="AI315" s="198"/>
      <c r="AJ315" s="945"/>
      <c r="AK315" s="960"/>
      <c r="AL315" s="960"/>
      <c r="AM315" s="930"/>
      <c r="AN315" s="948"/>
      <c r="AO315" s="948"/>
      <c r="AP315" s="948"/>
      <c r="AQ315" s="948"/>
      <c r="AR315" s="963"/>
    </row>
    <row r="316" spans="1:44" s="90" customFormat="1" ht="31.15" hidden="1" customHeight="1">
      <c r="A316" s="240"/>
      <c r="B316" s="969"/>
      <c r="C316" s="970"/>
      <c r="D316" s="971"/>
      <c r="E316" s="971"/>
      <c r="F316" s="241" t="s">
        <v>661</v>
      </c>
      <c r="G316" s="199">
        <f>IF(B314="Лікар загальної практики - сімейний лікар"," ",IF(B314="Лікар-педіатр"," ",IF(B314="Лікар-терапевт","х",0)))</f>
        <v>0</v>
      </c>
      <c r="H316" s="199">
        <f>IF(B314="Лікар загальної практики - сімейний лікар"," ",IF(B314="Лікар-педіатр"," ",IF(B314="Лікар-терапевт","х",0)))</f>
        <v>0</v>
      </c>
      <c r="I316" s="199">
        <f>IF(B314="Лікар загальної практики - сімейний лікар"," ",IF(B314="Лікар-педіатр","х",IF(B314="Лікар-терапевт"," ",0)))</f>
        <v>0</v>
      </c>
      <c r="J316" s="199">
        <f>IF(B314="Лікар загальної практики - сімейний лікар"," ",IF(B314="Лікар-педіатр","х",IF(B314="Лікар-терапевт"," ",0)))</f>
        <v>0</v>
      </c>
      <c r="K316" s="199">
        <f>IF(B314="Лікар загальної практики - сімейний лікар"," ",IF(B314="Лікар-педіатр","х",IF(B314="Лікар-терапевт"," ",0)))</f>
        <v>0</v>
      </c>
      <c r="L316" s="200">
        <f>SUM(G316:K316)</f>
        <v>0</v>
      </c>
      <c r="M316" s="966"/>
      <c r="N316" s="199">
        <f>IF(B314="Лікар загальної практики - сімейний лікар"," ",IF(B314="Лікар-педіатр"," ",IF(B314="Лікар-терапевт","х",0)))</f>
        <v>0</v>
      </c>
      <c r="O316" s="199">
        <f>IF(B314="Лікар загальної практики - сімейний лікар"," ",IF(B314="Лікар-педіатр"," ",IF(B314="Лікар-терапевт","х",0)))</f>
        <v>0</v>
      </c>
      <c r="P316" s="199">
        <f>IF(B314="Лікар загальної практики - сімейний лікар"," ",IF(B314="Лікар-педіатр","х",IF(B314="Лікар-терапевт"," ",0)))</f>
        <v>0</v>
      </c>
      <c r="Q316" s="199">
        <f>IF(B314="Лікар загальної практики - сімейний лікар"," ",IF(B314="Лікар-педіатр","х",IF(B314="Лікар-терапевт"," ",0)))</f>
        <v>0</v>
      </c>
      <c r="R316" s="199">
        <f>IF(B314="Лікар загальної практики - сімейний лікар"," ",IF(B314="Лікар-педіатр","х",IF(B314="Лікар-терапевт"," ",0)))</f>
        <v>0</v>
      </c>
      <c r="S316" s="200">
        <f>SUM(N316:R316)</f>
        <v>0</v>
      </c>
      <c r="T316" s="966"/>
      <c r="U316" s="199">
        <f>IF(B314="Лікар загальної практики - сімейний лікар"," ",IF(B314="Лікар-педіатр"," ",IF(B314="Лікар-терапевт","х",0)))</f>
        <v>0</v>
      </c>
      <c r="V316" s="199">
        <f>IF(B314="Лікар загальної практики - сімейний лікар"," ",IF(B314="Лікар-педіатр"," ",IF(B314="Лікар-терапевт","х",0)))</f>
        <v>0</v>
      </c>
      <c r="W316" s="199">
        <f>IF(B314="Лікар загальної практики - сімейний лікар"," ",IF(B314="Лікар-педіатр","х",IF(B314="Лікар-терапевт"," ",0)))</f>
        <v>0</v>
      </c>
      <c r="X316" s="199">
        <f>IF(B314="Лікар загальної практики - сімейний лікар"," ",IF(B314="Лікар-педіатр","х",IF(B314="Лікар-терапевт"," ",0)))</f>
        <v>0</v>
      </c>
      <c r="Y316" s="199">
        <f>IF(B314="Лікар загальної практики - сімейний лікар"," ",IF(B314="Лікар-педіатр","х",IF(B314="Лікар-терапевт"," ",0)))</f>
        <v>0</v>
      </c>
      <c r="Z316" s="200">
        <f>SUM(U316:Y316)</f>
        <v>0</v>
      </c>
      <c r="AA316" s="966"/>
      <c r="AB316" s="199">
        <f>IF(B314="Лікар загальної практики - сімейний лікар"," ",IF(B314="Лікар-педіатр"," ",IF(B314="Лікар-терапевт","х",0)))</f>
        <v>0</v>
      </c>
      <c r="AC316" s="199">
        <f>IF(B314="Лікар загальної практики - сімейний лікар"," ",IF(B314="Лікар-педіатр"," ",IF(B314="Лікар-терапевт","х",0)))</f>
        <v>0</v>
      </c>
      <c r="AD316" s="199">
        <f>IF(B314="Лікар загальної практики - сімейний лікар"," ",IF(B314="Лікар-педіатр","х",IF(B314="Лікар-терапевт"," ",0)))</f>
        <v>0</v>
      </c>
      <c r="AE316" s="199">
        <f>IF(B314="Лікар загальної практики - сімейний лікар"," ",IF(B314="Лікар-педіатр","х",IF(B314="Лікар-терапевт"," ",0)))</f>
        <v>0</v>
      </c>
      <c r="AF316" s="199">
        <f>IF(B314="Лікар загальної практики - сімейний лікар"," ",IF(B314="Лікар-педіатр","х",IF(B314="Лікар-терапевт"," ",0)))</f>
        <v>0</v>
      </c>
      <c r="AG316" s="200">
        <f>SUM(AB316:AF316)</f>
        <v>0</v>
      </c>
      <c r="AH316" s="966"/>
      <c r="AI316" s="242"/>
      <c r="AJ316" s="945"/>
      <c r="AK316" s="960"/>
      <c r="AL316" s="960"/>
      <c r="AM316" s="930"/>
      <c r="AN316" s="948"/>
      <c r="AO316" s="948"/>
      <c r="AP316" s="948"/>
      <c r="AQ316" s="948"/>
      <c r="AR316" s="963"/>
    </row>
    <row r="317" spans="1:44" s="50" customFormat="1" ht="31.9" hidden="1" customHeight="1" thickBot="1">
      <c r="A317" s="197"/>
      <c r="B317" s="969"/>
      <c r="C317" s="970"/>
      <c r="D317" s="971"/>
      <c r="E317" s="971"/>
      <c r="F317" s="236" t="s">
        <v>426</v>
      </c>
      <c r="G317" s="203">
        <f>IF($B$314="Лікар-педіатр",G316/L316,IF($B$314="Лікар-терапевт","х",IF($B$314="Лікар загальної практики - сімейний лікар",G316/L316,0)))</f>
        <v>0</v>
      </c>
      <c r="H317" s="203">
        <f>IF($B$314="Лікар-педіатр",H316/L316,IF($B$314="Лікар-терапевт","х",IF($B$314="Лікар загальної практики - сімейний лікар",H316/L316,0)))</f>
        <v>0</v>
      </c>
      <c r="I317" s="203">
        <f>IF($B$314="Лікар-педіатр","x",IF($B$314="Лікар-терапевт",I316/L316,IF($B$314="Лікар загальної практики - сімейний лікар",I316/L316,0)))</f>
        <v>0</v>
      </c>
      <c r="J317" s="203">
        <f>IF($B$314="Лікар-педіатр","x",IF($B$314="Лікар-терапевт",J316/L316,IF($B$314="Лікар загальної практики - сімейний лікар",J316/L316,0)))</f>
        <v>0</v>
      </c>
      <c r="K317" s="203">
        <f>IF($B$314="Лікар-педіатр","x",IF($B$314="Лікар-терапевт",K316/L316,IF($B$314="Лікар загальної практики - сімейний лікар",K316/L316,0)))</f>
        <v>0</v>
      </c>
      <c r="L317" s="203">
        <f>SUM(G317:K317)</f>
        <v>0</v>
      </c>
      <c r="M317" s="966"/>
      <c r="N317" s="203">
        <f>IF($B$314="Лікар-педіатр",N316/S316,IF($B$314="Лікар-терапевт","х",IF($B$314="Лікар загальної практики - сімейний лікар",N316/S316,0)))</f>
        <v>0</v>
      </c>
      <c r="O317" s="203">
        <f>IF($B$314="Лікар-педіатр",O316/S316,IF($B$314="Лікар-терапевт","х",IF($B$314="Лікар загальної практики - сімейний лікар",O316/S316,0)))</f>
        <v>0</v>
      </c>
      <c r="P317" s="203">
        <f>IF($B$314="Лікар-педіатр","x",IF($B$314="Лікар-терапевт",P316/S316,IF($B$314="Лікар загальної практики - сімейний лікар",P316/S316,0)))</f>
        <v>0</v>
      </c>
      <c r="Q317" s="203">
        <f>IF($B$314="Лікар-педіатр","x",IF($B$314="Лікар-терапевт",Q316/S316,IF($B$314="Лікар загальної практики - сімейний лікар",Q316/S316,0)))</f>
        <v>0</v>
      </c>
      <c r="R317" s="203">
        <f>IF($B$314="Лікар-педіатр","x",IF($B$314="Лікар-терапевт",R316/S316,IF($B$314="Лікар загальної практики - сімейний лікар",R316/S316,0)))</f>
        <v>0</v>
      </c>
      <c r="S317" s="203">
        <f>SUM(N317:R317)</f>
        <v>0</v>
      </c>
      <c r="T317" s="966"/>
      <c r="U317" s="203">
        <f>IF($B$314="Лікар-педіатр",U316/Z316,IF($B$314="Лікар-терапевт","х",IF($B$314="Лікар загальної практики - сімейний лікар",U316/Z316,0)))</f>
        <v>0</v>
      </c>
      <c r="V317" s="203">
        <f>IF($B$314="Лікар-педіатр",V316/Z316,IF($B$314="Лікар-терапевт","х",IF($B$314="Лікар загальної практики - сімейний лікар",V316/Z316,0)))</f>
        <v>0</v>
      </c>
      <c r="W317" s="203">
        <f>IF($B$314="Лікар-педіатр","x",IF($B$314="Лікар-терапевт",W316/Z316,IF($B$314="Лікар загальної практики - сімейний лікар",W316/Z316,0)))</f>
        <v>0</v>
      </c>
      <c r="X317" s="203">
        <f>IF($B$314="Лікар-педіатр","x",IF($B$314="Лікар-терапевт",X316/Z316,IF($B$314="Лікар загальної практики - сімейний лікар",X316/Z316,0)))</f>
        <v>0</v>
      </c>
      <c r="Y317" s="203">
        <f>IF($B$314="Лікар-педіатр","x",IF($B$314="Лікар-терапевт",Y316/Z316,IF($B$314="Лікар загальної практики - сімейний лікар",Y316/Z316,0)))</f>
        <v>0</v>
      </c>
      <c r="Z317" s="203">
        <f>SUM(U317:Y317)</f>
        <v>0</v>
      </c>
      <c r="AA317" s="966"/>
      <c r="AB317" s="203">
        <f>IF($B$314="Лікар-педіатр",AB316/AG316,IF($B$314="Лікар-терапевт","х",IF($B$314="Лікар загальної практики - сімейний лікар",AB316/AG316,0)))</f>
        <v>0</v>
      </c>
      <c r="AC317" s="203">
        <f>IF($B$314="Лікар-педіатр",AC316/AG316,IF($B$314="Лікар-терапевт","х",IF($B$314="Лікар загальної практики - сімейний лікар",AC316/AG316,0)))</f>
        <v>0</v>
      </c>
      <c r="AD317" s="203">
        <f>IF($B$314="Лікар-педіатр","x",IF($B$314="Лікар-терапевт",AD316/AG316,IF($B$314="Лікар загальної практики - сімейний лікар",AD316/AG316,0)))</f>
        <v>0</v>
      </c>
      <c r="AE317" s="203">
        <f>IF($B$314="Лікар-педіатр","x",IF($B$314="Лікар-терапевт",AE316/AG316,IF($B$314="Лікар загальної практики - сімейний лікар",AE316/AG316,0)))</f>
        <v>0</v>
      </c>
      <c r="AF317" s="203">
        <f>IF($B$314="Лікар-педіатр","x",IF($B$314="Лікар-терапевт",AF316/AG316,IF($B$314="Лікар загальної практики - сімейний лікар",AF316/AG316,0)))</f>
        <v>0</v>
      </c>
      <c r="AG317" s="203">
        <f>SUM(AB317:AF317)</f>
        <v>0</v>
      </c>
      <c r="AH317" s="966"/>
      <c r="AI317" s="201"/>
      <c r="AJ317" s="945"/>
      <c r="AK317" s="960"/>
      <c r="AL317" s="960"/>
      <c r="AM317" s="930"/>
      <c r="AN317" s="948"/>
      <c r="AO317" s="948"/>
      <c r="AP317" s="948"/>
      <c r="AQ317" s="948"/>
      <c r="AR317" s="963"/>
    </row>
    <row r="318" spans="1:44" s="50" customFormat="1" ht="45" hidden="1" customHeight="1" thickBot="1">
      <c r="A318" s="197"/>
      <c r="B318" s="969"/>
      <c r="C318" s="970"/>
      <c r="D318" s="971"/>
      <c r="E318" s="972"/>
      <c r="F318" s="204" t="s">
        <v>662</v>
      </c>
      <c r="G318" s="205">
        <f>IF($B$314="Лікар загальної практики - сімейний лікар",AVERAGE(G314:G316),IF($B$314="Лікар-педіатр",AVERAGE(G314:G316),IF($B$314="Лікар-терапевт","х",0)))</f>
        <v>0</v>
      </c>
      <c r="H318" s="205">
        <f>IF($B$314="Лікар загальної практики - сімейний лікар",AVERAGE(H314:H316),IF($B$314="Лікар-педіатр",AVERAGE(H314:H316),IF($B$314="Лікар-терапевт","х",0)))</f>
        <v>0</v>
      </c>
      <c r="I318" s="205">
        <f>IF($B$314="Лікар загальної практики - сімейний лікар",AVERAGE(I314:I316),IF($B$314="Лікар-педіатр","x",IF($B$314="Лікар-терапевт",AVERAGE(I314:I316),0)))</f>
        <v>0</v>
      </c>
      <c r="J318" s="205">
        <f>IF($B$314="Лікар загальної практики - сімейний лікар",AVERAGE(J314:J316),IF($B$314="Лікар-педіатр","x",IF($B$314="Лікар-терапевт",AVERAGE(J314:J316),0)))</f>
        <v>0</v>
      </c>
      <c r="K318" s="205">
        <f>IF($B$314="Лікар загальної практики - сімейний лікар",AVERAGE(K314:K316),IF($B$314="Лікар-педіатр","x",IF($B$314="Лікар-терапевт",AVERAGE(K314:K316),0)))</f>
        <v>0</v>
      </c>
      <c r="L318" s="206">
        <f>SUM(G318:K318)</f>
        <v>0</v>
      </c>
      <c r="M318" s="973"/>
      <c r="N318" s="205">
        <f>IF($B$314="Лікар загальної практики - сімейний лікар",AVERAGE(N314:N316),IF($B$314="Лікар-педіатр",AVERAGE(N314:N316),IF($B$314="Лікар-терапевт","х",0)))</f>
        <v>0</v>
      </c>
      <c r="O318" s="205">
        <f>IF($B$314="Лікар загальної практики - сімейний лікар",AVERAGE(O314:O316),IF($B$314="Лікар-педіатр",AVERAGE(O314:O316),IF($B$314="Лікар-терапевт","х",0)))</f>
        <v>0</v>
      </c>
      <c r="P318" s="205">
        <f>IF($B$314="Лікар загальної практики - сімейний лікар",AVERAGE(P314:P316),IF($B$314="Лікар-педіатр","x",IF($B$314="Лікар-терапевт",AVERAGE(P314:P316),0)))</f>
        <v>0</v>
      </c>
      <c r="Q318" s="205">
        <f>IF($B$314="Лікар загальної практики - сімейний лікар",AVERAGE(Q314:Q316),IF($B$314="Лікар-педіатр","x",IF($B$314="Лікар-терапевт",AVERAGE(Q314:Q316),0)))</f>
        <v>0</v>
      </c>
      <c r="R318" s="205">
        <f>IF($B$314="Лікар загальної практики - сімейний лікар",AVERAGE(R314:R316),IF($B$314="Лікар-педіатр","x",IF($B$314="Лікар-терапевт",AVERAGE(R314:R316),0)))</f>
        <v>0</v>
      </c>
      <c r="S318" s="206">
        <f>SUM(N318:R318)</f>
        <v>0</v>
      </c>
      <c r="T318" s="973"/>
      <c r="U318" s="205">
        <f>IF($B$314="Лікар загальної практики - сімейний лікар",AVERAGE(U314:U316),IF($B$314="Лікар-педіатр",AVERAGE(U314:U316),IF($B$314="Лікар-терапевт","х",0)))</f>
        <v>0</v>
      </c>
      <c r="V318" s="205">
        <f>IF($B$314="Лікар загальної практики - сімейний лікар",AVERAGE(V314:V316),IF($B$314="Лікар-педіатр",AVERAGE(V314:V316),IF($B$314="Лікар-терапевт","х",0)))</f>
        <v>0</v>
      </c>
      <c r="W318" s="205">
        <f>IF($B$314="Лікар загальної практики - сімейний лікар",AVERAGE(W314:W316),IF($B$314="Лікар-педіатр","x",IF($B$314="Лікар-терапевт",AVERAGE(W314:W316),0)))</f>
        <v>0</v>
      </c>
      <c r="X318" s="205">
        <f>IF($B$314="Лікар загальної практики - сімейний лікар",AVERAGE(X314:X316),IF($B$314="Лікар-педіатр","x",IF($B$314="Лікар-терапевт",AVERAGE(X314:X316),0)))</f>
        <v>0</v>
      </c>
      <c r="Y318" s="205">
        <f>IF($B$314="Лікар загальної практики - сімейний лікар",AVERAGE(Y314:Y316),IF($B$314="Лікар-педіатр","x",IF($B$314="Лікар-терапевт",AVERAGE(Y314:Y316),0)))</f>
        <v>0</v>
      </c>
      <c r="Z318" s="206">
        <f>SUM(U318:Y318)</f>
        <v>0</v>
      </c>
      <c r="AA318" s="973"/>
      <c r="AB318" s="205">
        <f>IF($B$314="Лікар загальної практики - сімейний лікар",AVERAGE(AB314:AB316),IF($B$314="Лікар-педіатр",AVERAGE(AB314:AB316),IF($B$314="Лікар-терапевт","х",0)))</f>
        <v>0</v>
      </c>
      <c r="AC318" s="205">
        <f>IF($B$314="Лікар загальної практики - сімейний лікар",AVERAGE(AC314:AC316),IF($B$314="Лікар-педіатр",AVERAGE(AC314:AC316),IF($B$314="Лікар-терапевт","х",0)))</f>
        <v>0</v>
      </c>
      <c r="AD318" s="205">
        <f>IF($B$314="Лікар загальної практики - сімейний лікар",AVERAGE(AD314:AD316),IF($B$314="Лікар-педіатр","x",IF($B$314="Лікар-терапевт",AVERAGE(AD314:AD316),0)))</f>
        <v>0</v>
      </c>
      <c r="AE318" s="205">
        <f>IF($B$314="Лікар загальної практики - сімейний лікар",AVERAGE(AE314:AE316),IF($B$314="Лікар-педіатр","x",IF($B$314="Лікар-терапевт",AVERAGE(AE314:AE316),0)))</f>
        <v>0</v>
      </c>
      <c r="AF318" s="205">
        <f>IF($B$314="Лікар загальної практики - сімейний лікар",AVERAGE(AF314:AF316),IF($B$314="Лікар-педіатр","x",IF($B$314="Лікар-терапевт",AVERAGE(AF314:AF316),0)))</f>
        <v>0</v>
      </c>
      <c r="AG318" s="206">
        <f>SUM(AB318:AF318)</f>
        <v>0</v>
      </c>
      <c r="AH318" s="967"/>
      <c r="AI318" s="201"/>
      <c r="AJ318" s="945"/>
      <c r="AK318" s="960"/>
      <c r="AL318" s="960"/>
      <c r="AM318" s="931"/>
      <c r="AN318" s="949"/>
      <c r="AO318" s="949"/>
      <c r="AP318" s="949"/>
      <c r="AQ318" s="949"/>
      <c r="AR318" s="964"/>
    </row>
    <row r="319" spans="1:44" s="50" customFormat="1" ht="40.5" hidden="1">
      <c r="A319" s="197"/>
      <c r="B319" s="969"/>
      <c r="C319" s="970"/>
      <c r="D319" s="971"/>
      <c r="E319" s="971"/>
      <c r="F319" s="237" t="str">
        <f ca="1">IF(B314="Лікар-педіатр",Законод!$C$17,IF(B314="Лікар загальної практики - сімейний лікар",Законод!$C$21,IF(B314="Лікар-терапевт",Законод!$C$25,"х")))</f>
        <v>х</v>
      </c>
      <c r="G319" s="208">
        <f ca="1">IF($B$314="Лікар загальної практики - сімейний лікар",IF(L318&lt;=Законод!$C$22,G318,Законод!$C$22*'01_Доходи'!G317),IF($B$314="Лікар-педіатр",IF(L318&lt;=Законод!$C$18,G318,Законод!$C$18*'01_Доходи'!G317),IF($B$314="Лікар-терапевт","x",0)))</f>
        <v>0</v>
      </c>
      <c r="H319" s="208">
        <f ca="1">IF($B$314="Лікар загальної практики - сімейний лікар",IF(L318&lt;=Законод!$C$22,H318,Законод!$C$22*'01_Доходи'!H317),IF($B$314="Лікар-педіатр",IF(L318&lt;=Законод!$C$18,H318,Законод!$C$18*'01_Доходи'!H317),IF($B$314="Лікар-терапевт","x",0)))</f>
        <v>0</v>
      </c>
      <c r="I319" s="208">
        <f ca="1">IF($B$314="Лікар загальної практики - сімейний лікар",IF(L318&lt;=Законод!$C$22,I318,Законод!$C$22*'01_Доходи'!I317),IF($B$314="Лікар-педіатр","x",IF($B$314="Лікар-терапевт",IF(L318&lt;=Законод!$C$26,I318,Законод!$C$26*'01_Доходи'!I317),0)))</f>
        <v>0</v>
      </c>
      <c r="J319" s="208">
        <f ca="1">IF($B$314="Лікар загальної практики - сімейний лікар",IF(L318&lt;=Законод!$C$22,J318,Законод!$C$22*'01_Доходи'!J317),IF($B$314="Лікар-педіатр","x",IF($B$314="Лікар-терапевт",IF(L318&lt;=Законод!$C$26,J318,Законод!$C$26*'01_Доходи'!J317),0)))</f>
        <v>0</v>
      </c>
      <c r="K319" s="208">
        <f ca="1">IF($B$314="Лікар загальної практики - сімейний лікар",IF(L318&lt;=Законод!$C$22,K318,Законод!$C$22*'01_Доходи'!K317),IF($B$314="Лікар-педіатр","x",IF($B$314="Лікар-терапевт",IF(L318&lt;=Законод!$C$26,K318,Законод!$C$26*'01_Доходи'!K317),0)))</f>
        <v>0</v>
      </c>
      <c r="L319" s="209">
        <f ca="1">SUM(G319:K319)</f>
        <v>0</v>
      </c>
      <c r="M319" s="966"/>
      <c r="N319" s="208">
        <f ca="1">IF($B$314="Лікар загальної практики - сімейний лікар",IF(S318&lt;=Законод!$C$22,N318,Законод!$C$22*'01_Доходи'!N317),IF($B$314="Лікар-педіатр",IF(S318&lt;=Законод!$C$18,N318,Законод!$C$18*'01_Доходи'!N317),IF($B$314="Лікар-терапевт","x",0)))</f>
        <v>0</v>
      </c>
      <c r="O319" s="208">
        <f ca="1">IF($B$314="Лікар загальної практики - сімейний лікар",IF(S318&lt;=Законод!$C$22,O318,Законод!$C$22*'01_Доходи'!O317),IF($B$314="Лікар-педіатр",IF(S318&lt;=Законод!$C$18,O318,Законод!$C$18*'01_Доходи'!O317),IF($B$314="Лікар-терапевт","x",0)))</f>
        <v>0</v>
      </c>
      <c r="P319" s="208">
        <f ca="1">IF($B$314="Лікар загальної практики - сімейний лікар",IF(S318&lt;=Законод!$C$22,P318,Законод!$C$22*'01_Доходи'!P317),IF($B$314="Лікар-педіатр","x",IF($B$314="Лікар-терапевт",IF(S318&lt;=Законод!$C$26,P318,Законод!$C$26*'01_Доходи'!P317),0)))</f>
        <v>0</v>
      </c>
      <c r="Q319" s="208">
        <f ca="1">IF($B$314="Лікар загальної практики - сімейний лікар",IF(S318&lt;=Законод!$C$22,Q318,Законод!$C$22*'01_Доходи'!Q317),IF($B$314="Лікар-педіатр","x",IF($B$314="Лікар-терапевт",IF(S318&lt;=Законод!$C$26,Q318,Законод!$C$26*'01_Доходи'!Q317),0)))</f>
        <v>0</v>
      </c>
      <c r="R319" s="208">
        <f ca="1">IF($B$314="Лікар загальної практики - сімейний лікар",IF(S318&lt;=Законод!$C$22,R318,Законод!$C$22*'01_Доходи'!R317),IF($B$314="Лікар-педіатр","x",IF($B$314="Лікар-терапевт",IF(S318&lt;=Законод!$C$26,R318,Законод!$C$26*'01_Доходи'!R317),0)))</f>
        <v>0</v>
      </c>
      <c r="S319" s="209">
        <f ca="1">SUM(N319:R319)</f>
        <v>0</v>
      </c>
      <c r="T319" s="966"/>
      <c r="U319" s="208">
        <f ca="1">IF($B$314="Лікар загальної практики - сімейний лікар",IF(Z318&lt;=Законод!$C$22,U318,Законод!$C$22*'01_Доходи'!U317),IF($B$314="Лікар-педіатр",IF(Z318&lt;=Законод!$C$18,U318,Законод!$C$18*'01_Доходи'!U317),IF($B$314="Лікар-терапевт","x",0)))</f>
        <v>0</v>
      </c>
      <c r="V319" s="208">
        <f ca="1">IF($B$314="Лікар загальної практики - сімейний лікар",IF(Z318&lt;=Законод!$C$22,V318,Законод!$C$22*'01_Доходи'!V317),IF($B$314="Лікар-педіатр",IF(Z318&lt;=Законод!$C$18,V318,Законод!$C$18*'01_Доходи'!V317),IF($B$314="Лікар-терапевт","x",0)))</f>
        <v>0</v>
      </c>
      <c r="W319" s="208">
        <f ca="1">IF($B$314="Лікар загальної практики - сімейний лікар",IF(Z318&lt;=Законод!$C$22,W318,Законод!$C$22*'01_Доходи'!W317),IF($B$314="Лікар-педіатр","x",IF($B$314="Лікар-терапевт",IF(Z318&lt;=Законод!$C$26,W318,Законод!$C$26*'01_Доходи'!W317),0)))</f>
        <v>0</v>
      </c>
      <c r="X319" s="208">
        <f ca="1">IF($B$314="Лікар загальної практики - сімейний лікар",IF(Z318&lt;=Законод!$C$22,X318,Законод!$C$22*'01_Доходи'!X317),IF($B$314="Лікар-педіатр","x",IF($B$314="Лікар-терапевт",IF(Z318&lt;=Законод!$C$26,X318,Законод!$C$26*'01_Доходи'!X317),0)))</f>
        <v>0</v>
      </c>
      <c r="Y319" s="208">
        <f ca="1">IF($B$314="Лікар загальної практики - сімейний лікар",IF(Z318&lt;=Законод!$C$22,Y318,Законод!$C$22*'01_Доходи'!Y317),IF($B$314="Лікар-педіатр","x",IF($B$314="Лікар-терапевт",IF(Z318&lt;=Законод!$C$26,Y318,Законод!$C$26*'01_Доходи'!Y317),0)))</f>
        <v>0</v>
      </c>
      <c r="Z319" s="209">
        <f ca="1">SUM(U319:Y319)</f>
        <v>0</v>
      </c>
      <c r="AA319" s="966"/>
      <c r="AB319" s="208">
        <f ca="1">IF($B$314="Лікар загальної практики - сімейний лікар",IF(AG318&lt;=Законод!$C$22,AB318,Законод!$C$22*'01_Доходи'!AB317),IF($B$314="Лікар-педіатр",IF(AG318&lt;=Законод!$C$18,AB318,Законод!$C$18*'01_Доходи'!AB317),IF($B$314="Лікар-терапевт","x",0)))</f>
        <v>0</v>
      </c>
      <c r="AC319" s="208">
        <f ca="1">IF($B$314="Лікар загальної практики - сімейний лікар",IF(AG318&lt;=Законод!$C$22,AC318,Законод!$C$22*'01_Доходи'!AC317),IF($B$314="Лікар-педіатр",IF(AG318&lt;=Законод!$C$18,AC318,Законод!$C$18*'01_Доходи'!AC317),IF($B$314="Лікар-терапевт","x",0)))</f>
        <v>0</v>
      </c>
      <c r="AD319" s="208">
        <f ca="1">IF($B$314="Лікар загальної практики - сімейний лікар",IF(AG318&lt;=Законод!$C$22,AD318,Законод!$C$22*'01_Доходи'!AD317),IF($B$314="Лікар-педіатр","x",IF($B$314="Лікар-терапевт",IF(AG318&lt;=Законод!$C$26,AD318,Законод!$C$26*'01_Доходи'!AD317),0)))</f>
        <v>0</v>
      </c>
      <c r="AE319" s="208">
        <f ca="1">IF($B$314="Лікар загальної практики - сімейний лікар",IF(AG318&lt;=Законод!$C$22,AE318,Законод!$C$22*'01_Доходи'!AE317),IF($B$314="Лікар-педіатр","x",IF($B$314="Лікар-терапевт",IF(AG318&lt;=Законод!$C$26,AE318,Законод!$C$26*'01_Доходи'!AE317),0)))</f>
        <v>0</v>
      </c>
      <c r="AF319" s="208">
        <f ca="1">IF($B$314="Лікар загальної практики - сімейний лікар",IF(AG318&lt;=Законод!$C$22,AF318,Законод!$C$22*'01_Доходи'!AF317),IF($B$314="Лікар-педіатр","x",IF($B$314="Лікар-терапевт",IF(AG318&lt;=Законод!$C$26,AF318,Законод!$C$26*'01_Доходи'!AF317),0)))</f>
        <v>0</v>
      </c>
      <c r="AG319" s="209">
        <f ca="1">SUM(AB319:AF319)</f>
        <v>0</v>
      </c>
      <c r="AH319" s="966"/>
      <c r="AI319" s="201"/>
      <c r="AJ319" s="945"/>
      <c r="AK319" s="960"/>
      <c r="AL319" s="960"/>
      <c r="AM319" s="348" t="s">
        <v>451</v>
      </c>
      <c r="AN319" s="210">
        <f ca="1">IF(B314="Лікар загальної практики - сімейний лікар",G319*Законод!$C$11+'01_Доходи'!H319*Законод!$D$11+'01_Доходи'!I319*Законод!$E$11+'01_Доходи'!J319*Законод!$F$11+'01_Доходи'!K319*Законод!$G$11,IF(B314="Лікар-педіатр",G319*Законод!$C$11+'01_Доходи'!H319*Законод!$D$11,IF(B314="Лікар-терапевт",'01_Доходи'!I319*Законод!$E$11+'01_Доходи'!J319*Законод!$F$11+'01_Доходи'!K319*Законод!$G$11,0)))</f>
        <v>0</v>
      </c>
      <c r="AO319" s="210">
        <f ca="1">IF(B314="Лікар загальної практики - сімейний лікар",N319*Законод!$C$11+'01_Доходи'!O319*Законод!$D$11+'01_Доходи'!P319*Законод!$E$11+'01_Доходи'!Q319*Законод!$F$11+'01_Доходи'!R319*Законод!$G$11,IF(B314="Лікар-педіатр",N319*Законод!$C$11+'01_Доходи'!O319*Законод!$D$11,IF(B314="Лікар-терапевт",'01_Доходи'!P319*Законод!$E$11+'01_Доходи'!Q319*Законод!$F$11+'01_Доходи'!R319*Законод!$G$11,0)))</f>
        <v>0</v>
      </c>
      <c r="AP319" s="210">
        <f ca="1">IF(B314="Лікар загальної практики - сімейний лікар",U319*Законод!$C$11+'01_Доходи'!V319*Законод!$D$11+'01_Доходи'!W319*Законод!$E$11+'01_Доходи'!X319*Законод!$F$11+'01_Доходи'!Y319*Законод!$G$11,IF(B314="Лікар-педіатр",U319*Законод!$C$11+'01_Доходи'!V319*Законод!$D$11,IF(B314="Лікар-терапевт",'01_Доходи'!W319*Законод!$E$11+'01_Доходи'!X319*Законод!$F$11+'01_Доходи'!Y319*Законод!$G$11,0)))</f>
        <v>0</v>
      </c>
      <c r="AQ319" s="210">
        <f ca="1">IF(B314="Лікар загальної практики - сімейний лікар",AB319*Законод!$C$11+'01_Доходи'!AC319*Законод!$D$11+'01_Доходи'!AD319*Законод!$E$11+'01_Доходи'!AE319*Законод!$F$11+'01_Доходи'!AF319*Законод!$G$11,IF(B314="Лікар-педіатр",AB319*Законод!$C$11+'01_Доходи'!AC319*Законод!$D$11,IF(B314="Лікар-терапевт",'01_Доходи'!AD319*Законод!$E$11+'01_Доходи'!AE319*Законод!$F$11+'01_Доходи'!AF319*Законод!$G$11,0)))</f>
        <v>0</v>
      </c>
      <c r="AR319" s="211">
        <f t="shared" ref="AR319:AR325" si="64">SUM(AN319:AQ319)</f>
        <v>0</v>
      </c>
    </row>
    <row r="320" spans="1:44" s="50" customFormat="1" ht="31.9" hidden="1" customHeight="1">
      <c r="A320" s="197"/>
      <c r="B320" s="969"/>
      <c r="C320" s="970"/>
      <c r="D320" s="971"/>
      <c r="E320" s="971"/>
      <c r="F320" s="238" t="str">
        <f ca="1">IF(B314="Лікар-педіатр",Законод!$E$17,IF(B314="Лікар загальної практики - сімейний лікар",Законод!$E$21,IF(B314="Лікар-терапевт",Законод!$E$25,"х")))</f>
        <v>х</v>
      </c>
      <c r="G320" s="965" t="s">
        <v>423</v>
      </c>
      <c r="H320" s="965"/>
      <c r="I320" s="965"/>
      <c r="J320" s="965"/>
      <c r="K320" s="965"/>
      <c r="L320" s="196">
        <f ca="1">IF($B$314="Лікар загальної практики - сімейний лікар",IF(L318&lt;Законод!$C$22,0,(IF(AND(L318&gt;=Законод!$E$22,L318&lt;=Законод!$E$23),L318-Законод!$C$22,IF('01_Доходи'!L318&gt;=Законод!$F$22,Законод!$E$24,0)))),IF($B$314="Лікар-педіатр",IF(L318&lt;Законод!$C$18,0,(IF(AND(L318&gt;=Законод!$E$18,L318&lt;=Законод!$E$19),L318-Законод!$C$18,IF('01_Доходи'!L318&gt;=Законод!$F$18,Законод!$E$20,0)))),IF($B$314="Лікар-терапевт",IF(L318&lt;Законод!$C$26,0,(IF(AND(L318&gt;=Законод!$E$26,L318&lt;=Законод!$E$27),L318-Законод!$C$26,IF('01_Доходи'!L318&gt;=Законод!$F$26,Законод!$E$28,0)))),0)))</f>
        <v>0</v>
      </c>
      <c r="M320" s="966"/>
      <c r="N320" s="965" t="s">
        <v>423</v>
      </c>
      <c r="O320" s="965"/>
      <c r="P320" s="965"/>
      <c r="Q320" s="965"/>
      <c r="R320" s="965"/>
      <c r="S320" s="196">
        <f ca="1">IF($B$314="Лікар загальної практики - сімейний лікар",IF(S318&lt;Законод!$C$22,0,(IF(AND(S318&gt;=Законод!$E$22,S318&lt;=Законод!$E$23),S318-Законод!$C$22,IF('01_Доходи'!S318&gt;=Законод!$F$22,Законод!$E$24,0)))),IF($B$314="Лікар-педіатр",IF(S318&lt;Законод!$C$18,0,(IF(AND(S318&gt;=Законод!$E$18,S318&lt;=Законод!$E$19),S318-Законод!$C$18,IF('01_Доходи'!S318&gt;=Законод!$F$18,Законод!$E$20,0)))),IF($B$314="Лікар-терапевт",IF(S318&lt;Законод!$C$26,0,(IF(AND(S318&gt;=Законод!$E$26,S318&lt;=Законод!$E$27),S318-Законод!$C$26,IF('01_Доходи'!S318&gt;=Законод!$F$26,Законод!$E$28,0)))),0)))</f>
        <v>0</v>
      </c>
      <c r="T320" s="966"/>
      <c r="U320" s="965" t="s">
        <v>423</v>
      </c>
      <c r="V320" s="965"/>
      <c r="W320" s="965"/>
      <c r="X320" s="965"/>
      <c r="Y320" s="965"/>
      <c r="Z320" s="196">
        <f ca="1">IF($B$314="Лікар загальної практики - сімейний лікар",IF(Z318&lt;Законод!$C$22,0,(IF(AND(Z318&gt;=Законод!$E$22,Z318&lt;=Законод!$E$23),Z318-Законод!$C$22,IF('01_Доходи'!Z318&gt;=Законод!$F$22,Законод!$E$24,0)))),IF($B$314="Лікар-педіатр",IF(Z318&lt;Законод!$C$18,0,(IF(AND(Z318&gt;=Законод!$E$18,Z318&lt;=Законод!$E$19),Z318-Законод!$C$18,IF('01_Доходи'!Z318&gt;=Законод!$F$18,Законод!$E$20,0)))),IF($B$314="Лікар-терапевт",IF(Z318&lt;Законод!$C$26,0,(IF(AND(Z318&gt;=Законод!$E$26,Z318&lt;=Законод!$E$27),Z318-Законод!$C$26,IF('01_Доходи'!Z318&gt;=Законод!$F$26,Законод!$E$28,0)))),0)))</f>
        <v>0</v>
      </c>
      <c r="AA320" s="966"/>
      <c r="AB320" s="965" t="s">
        <v>423</v>
      </c>
      <c r="AC320" s="965"/>
      <c r="AD320" s="965"/>
      <c r="AE320" s="965"/>
      <c r="AF320" s="965"/>
      <c r="AG320" s="196">
        <f ca="1">IF($B$314="Лікар загальної практики - сімейний лікар",IF(AG318&lt;Законод!$C$22,0,(IF(AND(AG318&gt;=Законод!$E$22,AG318&lt;=Законод!$E$23),AG318-Законод!$C$22,IF('01_Доходи'!AG318&gt;=Законод!$F$22,Законод!$E$24,0)))),IF($B$314="Лікар-педіатр",IF(AG318&lt;Законод!$C$18,0,(IF(AND(AG318&gt;=Законод!$E$18,AG318&lt;=Законод!$E$19),AG318-Законод!$C$18,IF('01_Доходи'!AG318&gt;=Законод!$F$18,Законод!$E$20,0)))),IF($B$314="Лікар-терапевт",IF(AG318&lt;Законод!$C$26,0,(IF(AND(AG318&gt;=Законод!$E$26,AG318&lt;=Законод!$E$27),AG318-Законод!$C$26,IF('01_Доходи'!AG318&gt;=Законод!$F$26,Законод!$E$28,0)))),0)))</f>
        <v>0</v>
      </c>
      <c r="AH320" s="966"/>
      <c r="AI320" s="201"/>
      <c r="AJ320" s="945"/>
      <c r="AK320" s="960"/>
      <c r="AL320" s="960"/>
      <c r="AM320" s="926" t="s">
        <v>452</v>
      </c>
      <c r="AN320" s="210">
        <f ca="1">IF(B314="Лікар загальної практики - сімейний лікар",L320*Законод!$C$9/4*Законод!$E$16,IF(B314="Лікар-педіатр",L320*Законод!$C$9/4*Законод!$E$16,IF(B314="Лікар-терапевт",L320*Законод!$C$9/4*Законод!$E$16,0)))</f>
        <v>0</v>
      </c>
      <c r="AO320" s="210">
        <f ca="1">IF(B314="Лікар загальної практики - сімейний лікар",S320*Законод!$C$9/4*Законод!$E$16,IF(B314="Лікар-педіатр",S320*Законод!$C$9/4*Законод!$E$16,IF(B314="Лікар-терапевт",S320*Законод!$C$9/4*Законод!$E$16,0)))</f>
        <v>0</v>
      </c>
      <c r="AP320" s="210">
        <f ca="1">IF(B314="Лікар загальної практики - сімейний лікар",Z320*Законод!$C$9/4*Законод!$E$16,IF(B314="Лікар-педіатр",Z320*Законод!$C$9/4*Законод!$E$16,IF(B314="Лікар-терапевт",Z320*Законод!$C$9/4*Законод!$E$16,0)))</f>
        <v>0</v>
      </c>
      <c r="AQ320" s="210">
        <f ca="1">IF(B314="Лікар загальної практики - сімейний лікар",AG320*Законод!$C$9/4*Законод!$E$16,IF(B314="Лікар-педіатр",AG320*Законод!$C$9/4*Законод!$E$16,IF(B314="Лікар-терапевт",AG320*Законод!$C$9/4*Законод!$E$16,0)))</f>
        <v>0</v>
      </c>
      <c r="AR320" s="211">
        <f t="shared" si="64"/>
        <v>0</v>
      </c>
    </row>
    <row r="321" spans="1:44" s="50" customFormat="1" ht="31.9" hidden="1" customHeight="1">
      <c r="A321" s="197"/>
      <c r="B321" s="969"/>
      <c r="C321" s="970"/>
      <c r="D321" s="971"/>
      <c r="E321" s="971"/>
      <c r="F321" s="238" t="str">
        <f ca="1">IF(B314="Лікар-педіатр",Законод!$F$17,IF(B314="Лікар загальної практики - сімейний лікар",Законод!$F$21,IF(B314="Лікар-терапевт",Законод!$F$25,"х")))</f>
        <v>х</v>
      </c>
      <c r="G321" s="965" t="s">
        <v>423</v>
      </c>
      <c r="H321" s="965"/>
      <c r="I321" s="965"/>
      <c r="J321" s="965"/>
      <c r="K321" s="965"/>
      <c r="L321" s="196">
        <f ca="1">IF($B$314="Лікар загальної практики - сімейний лікар",IF(L318&lt;Законод!$C$22,0,(IF(AND(L318&gt;=Законод!$F$22,L318&lt;=Законод!$F$23),L318-Законод!$E$23,IF('01_Доходи'!L318&gt;=Законод!$G$22,Законод!$F$24,0)))),IF($B$314="Лікар-педіатр",IF(L318&lt;Законод!$C$18,0,(IF(AND(L318&gt;=Законод!$F$18,L318&lt;=Законод!$F$19),L318-Законод!$E$19,IF('01_Доходи'!L318&gt;=Законод!$G$18,Законод!$F$20,0)))),IF($B$314="Лікар-терапевт",IF(L318&lt;Законод!$C$26,0,(IF(AND(L318&gt;=Законод!$F$26,L318&lt;=Законод!$F$27),L318-Законод!$E$27,IF('01_Доходи'!L318&gt;=Законод!$G$26,Законод!$F$28,0)))),0)))</f>
        <v>0</v>
      </c>
      <c r="M321" s="966"/>
      <c r="N321" s="965" t="s">
        <v>423</v>
      </c>
      <c r="O321" s="965"/>
      <c r="P321" s="965"/>
      <c r="Q321" s="965"/>
      <c r="R321" s="965"/>
      <c r="S321" s="196">
        <f ca="1">IF($B$314="Лікар загальної практики - сімейний лікар",IF(S318&lt;Законод!$C$22,0,(IF(AND(S318&gt;=Законод!$F$22,S318&lt;=Законод!$F$23),S318-Законод!$E$23,IF('01_Доходи'!S318&gt;=Законод!$G$22,Законод!$F$24,0)))),IF($B$314="Лікар-педіатр",IF(S318&lt;Законод!$C$18,0,(IF(AND(S318&gt;=Законод!$F$18,S318&lt;=Законод!$F$19),S318-Законод!$E$19,IF('01_Доходи'!S318&gt;=Законод!$G$18,Законод!$F$20,0)))),IF($B$314="Лікар-терапевт",IF(S318&lt;Законод!$C$26,0,(IF(AND(S318&gt;=Законод!$F$26,S318&lt;=Законод!$F$27),S318-Законод!$E$27,IF('01_Доходи'!S318&gt;=Законод!$G$26,Законод!$F$28,0)))),0)))</f>
        <v>0</v>
      </c>
      <c r="T321" s="966"/>
      <c r="U321" s="965" t="s">
        <v>423</v>
      </c>
      <c r="V321" s="965"/>
      <c r="W321" s="965"/>
      <c r="X321" s="965"/>
      <c r="Y321" s="965"/>
      <c r="Z321" s="196">
        <f ca="1">IF($B$314="Лікар загальної практики - сімейний лікар",IF(Z318&lt;Законод!$C$22,0,(IF(AND(Z318&gt;=Законод!$F$22,Z318&lt;=Законод!$F$23),Z318-Законод!$E$23,IF('01_Доходи'!Z318&gt;=Законод!$G$22,Законод!$F$24,0)))),IF($B$314="Лікар-педіатр",IF(Z318&lt;Законод!$C$18,0,(IF(AND(Z318&gt;=Законод!$F$18,Z318&lt;=Законод!$F$19),Z318-Законод!$E$19,IF('01_Доходи'!Z318&gt;=Законод!$G$18,Законод!$F$20,0)))),IF($B$314="Лікар-терапевт",IF(Z318&lt;Законод!$C$26,0,(IF(AND(Z318&gt;=Законод!$F$26,Z318&lt;=Законод!$F$27),Z318-Законод!$E$27,IF('01_Доходи'!Z318&gt;=Законод!$G$26,Законод!$F$28,0)))),0)))</f>
        <v>0</v>
      </c>
      <c r="AA321" s="966"/>
      <c r="AB321" s="965" t="s">
        <v>423</v>
      </c>
      <c r="AC321" s="965"/>
      <c r="AD321" s="965"/>
      <c r="AE321" s="965"/>
      <c r="AF321" s="965"/>
      <c r="AG321" s="196">
        <f ca="1">IF($B$314="Лікар загальної практики - сімейний лікар",IF(AG318&lt;Законод!$C$22,0,(IF(AND(AG318&gt;=Законод!$F$22,AG318&lt;=Законод!$F$23),AG318-Законод!$E$23,IF('01_Доходи'!AG318&gt;=Законод!$G$22,Законод!$F$24,0)))),IF($B$314="Лікар-педіатр",IF(AG318&lt;Законод!$C$18,0,(IF(AND(AG318&gt;=Законод!$F$18,AG318&lt;=Законод!$F$19),AG318-Законод!$E$19,IF('01_Доходи'!AG318&gt;=Законод!$G$18,Законод!$F$20,0)))),IF($B$314="Лікар-терапевт",IF(AG318&lt;Законод!$C$26,0,(IF(AND(AG318&gt;=Законод!$F$26,AG318&lt;=Законод!$F$27),AG318-Законод!$E$27,IF('01_Доходи'!AG318&gt;=Законод!$G$26,Законод!$F$28,0)))),0)))</f>
        <v>0</v>
      </c>
      <c r="AH321" s="966"/>
      <c r="AI321" s="201"/>
      <c r="AJ321" s="945"/>
      <c r="AK321" s="960"/>
      <c r="AL321" s="960"/>
      <c r="AM321" s="927"/>
      <c r="AN321" s="210">
        <f ca="1">IF(B314="Лікар загальної практики - сімейний лікар",L321*Законод!$C$9/4*Законод!$F$16,IF(B314="Лікар-педіатр",L321*Законод!$C$9/4*Законод!$F$16,IF(B314="Лікар-терапевт",L321*Законод!$C$9/4*Законод!$F$16,0)))</f>
        <v>0</v>
      </c>
      <c r="AO321" s="210">
        <f ca="1">IF(B314="Лікар загальної практики - сімейний лікар",S321*Законод!$C$9/4*Законод!$F$16,IF(B314="Лікар-педіатр",S321*Законод!$C$9/4*Законод!$F$16,IF(B314="Лікар-терапевт",S321*Законод!$C$9/4*Законод!$F$16,0)))</f>
        <v>0</v>
      </c>
      <c r="AP321" s="210">
        <f ca="1">IF(B314="Лікар загальної практики - сімейний лікар",Z321*Законод!$C$9/4*Законод!$F$16,IF(B314="Лікар-педіатр",Z321*Законод!$C$9/4*Законод!$F$16,IF(B314="Лікар-терапевт",Z321*Законод!$C$9/4*Законод!$F$16,0)))</f>
        <v>0</v>
      </c>
      <c r="AQ321" s="210">
        <f ca="1">IF(B314="Лікар загальної практики - сімейний лікар",AG321*Законод!$C$9/4*Законод!$F$16,IF(B314="Лікар-педіатр",AG321*Законод!$C$9/4*Законод!$F$16,IF(B314="Лікар-терапевт",AG321*Законод!$C$9/4*Законод!$F$16,0)))</f>
        <v>0</v>
      </c>
      <c r="AR321" s="211">
        <f t="shared" si="64"/>
        <v>0</v>
      </c>
    </row>
    <row r="322" spans="1:44" s="50" customFormat="1" ht="31.9" hidden="1" customHeight="1">
      <c r="A322" s="197"/>
      <c r="B322" s="969"/>
      <c r="C322" s="970"/>
      <c r="D322" s="971"/>
      <c r="E322" s="971"/>
      <c r="F322" s="238" t="str">
        <f ca="1">IF(B314="Лікар-педіатр",Законод!$G$17,IF(B314="Лікар загальної практики - сімейний лікар",Законод!$G$21,IF(B314="Лікар-терапевт",Законод!$G$25,"х")))</f>
        <v>х</v>
      </c>
      <c r="G322" s="965" t="s">
        <v>423</v>
      </c>
      <c r="H322" s="965"/>
      <c r="I322" s="965"/>
      <c r="J322" s="965"/>
      <c r="K322" s="965"/>
      <c r="L322" s="196">
        <f ca="1">IF($B$314="Лікар загальної практики - сімейний лікар",IF(L318&lt;Законод!$C$22,0,(IF(AND(L318&gt;=Законод!$G$22,L318&lt;=Законод!$G$23),L318-Законод!$F$23,IF('01_Доходи'!L318&gt;=Законод!$H$22,Законод!$G$24,0)))),IF($B$314="Лікар-педіатр",IF(L318&lt;Законод!$C$18,0,(IF(AND(L318&gt;=Законод!$G$18,L318&lt;=Законод!$G$19),L318-Законод!$F$19,IF('01_Доходи'!L318&gt;=Законод!$H$18,Законод!$G$20,0)))),IF($B$314="Лікар-терапевт",IF(L318&lt;Законод!$C$26,0,(IF(AND(L318&gt;=Законод!$G$26,L318&lt;=Законод!$G$27),L318-Законод!$F$27,IF('01_Доходи'!L318&gt;=Законод!$H$26,Законод!$G$28,0)))),0)))</f>
        <v>0</v>
      </c>
      <c r="M322" s="966"/>
      <c r="N322" s="965" t="s">
        <v>423</v>
      </c>
      <c r="O322" s="965"/>
      <c r="P322" s="965"/>
      <c r="Q322" s="965"/>
      <c r="R322" s="965"/>
      <c r="S322" s="196">
        <f ca="1">IF($B$314="Лікар загальної практики - сімейний лікар",IF(S318&lt;Законод!$C$22,0,(IF(AND(S318&gt;=Законод!$G$22,S318&lt;=Законод!$G$23),S318-Законод!$F$23,IF('01_Доходи'!S318&gt;=Законод!$H$22,Законод!$G$24,0)))),IF($B$314="Лікар-педіатр",IF(S318&lt;Законод!$C$18,0,(IF(AND(S318&gt;=Законод!$G$18,S318&lt;=Законод!$G$19),S318-Законод!$F$19,IF('01_Доходи'!S318&gt;=Законод!$H$18,Законод!$G$20,0)))),IF($B$314="Лікар-терапевт",IF(S318&lt;Законод!$C$26,0,(IF(AND(S318&gt;=Законод!$G$26,S318&lt;=Законод!$G$27),S318-Законод!$F$27,IF('01_Доходи'!S318&gt;=Законод!$H$26,Законод!$G$28,0)))),0)))</f>
        <v>0</v>
      </c>
      <c r="T322" s="966"/>
      <c r="U322" s="965" t="s">
        <v>423</v>
      </c>
      <c r="V322" s="965"/>
      <c r="W322" s="965"/>
      <c r="X322" s="965"/>
      <c r="Y322" s="965"/>
      <c r="Z322" s="196">
        <f ca="1">IF($B$314="Лікар загальної практики - сімейний лікар",IF(Z318&lt;Законод!$C$22,0,(IF(AND(Z318&gt;=Законод!$G$22,Z318&lt;=Законод!$G$23),Z318-Законод!$F$23,IF('01_Доходи'!Z318&gt;=Законод!$H$22,Законод!$G$24,0)))),IF($B$314="Лікар-педіатр",IF(Z318&lt;Законод!$C$18,0,(IF(AND(Z318&gt;=Законод!$G$18,Z318&lt;=Законод!$G$19),Z318-Законод!$F$19,IF('01_Доходи'!Z318&gt;=Законод!$H$18,Законод!$G$20,0)))),IF($B$314="Лікар-терапевт",IF(Z318&lt;Законод!$C$26,0,(IF(AND(Z318&gt;=Законод!$G$26,Z318&lt;=Законод!$G$27),Z318-Законод!$F$27,IF('01_Доходи'!Z318&gt;=Законод!$H$26,Законод!$G$28,0)))),0)))</f>
        <v>0</v>
      </c>
      <c r="AA322" s="966"/>
      <c r="AB322" s="965" t="s">
        <v>423</v>
      </c>
      <c r="AC322" s="965"/>
      <c r="AD322" s="965"/>
      <c r="AE322" s="965"/>
      <c r="AF322" s="965"/>
      <c r="AG322" s="196">
        <f ca="1">IF($B$314="Лікар загальної практики - сімейний лікар",IF(AG318&lt;Законод!$C$22,0,(IF(AND(AG318&gt;=Законод!$G$22,AG318&lt;=Законод!$G$23),AG318-Законод!$F$23,IF('01_Доходи'!AG318&gt;=Законод!$H$22,Законод!$G$24,0)))),IF($B$314="Лікар-педіатр",IF(AG318&lt;Законод!$C$18,0,(IF(AND(AG318&gt;=Законод!$G$18,AG318&lt;=Законод!$G$19),AG318-Законод!$F$19,IF('01_Доходи'!AG318&gt;=Законод!$H$18,Законод!$G$20,0)))),IF($B$314="Лікар-терапевт",IF(AG318&lt;Законод!$C$26,0,(IF(AND(AG318&gt;=Законод!$G$26,AG318&lt;=Законод!$G$27),AG318-Законод!$F$27,IF('01_Доходи'!AG318&gt;=Законод!$H$26,Законод!$G$28,0)))),0)))</f>
        <v>0</v>
      </c>
      <c r="AH322" s="966"/>
      <c r="AI322" s="201"/>
      <c r="AJ322" s="945"/>
      <c r="AK322" s="960"/>
      <c r="AL322" s="960"/>
      <c r="AM322" s="927"/>
      <c r="AN322" s="210">
        <f ca="1">IF(B314="Лікар загальної практики - сімейний лікар",L322*Законод!$C$9/4*Законод!$G$16,IF(B314="Лікар-педіатр",L322*Законод!$C$9/4*Законод!$G$16,IF(B314="Лікар-терапевт",L322*Законод!$C$9/4*Законод!$G$16,0)))</f>
        <v>0</v>
      </c>
      <c r="AO322" s="210">
        <f ca="1">IF(B314="Лікар загальної практики - сімейний лікар",S322*Законод!$C$9/4*Законод!$G$16,IF(B314="Лікар-педіатр",S322*Законод!$C$9/4*Законод!$G$16,IF(B314="Лікар-терапевт",S322*Законод!$C$9/4*Законод!$G$16,0)))</f>
        <v>0</v>
      </c>
      <c r="AP322" s="210">
        <f ca="1">IF(B314="Лікар загальної практики - сімейний лікар",Z322*Законод!$C$9/4*Законод!$G$16,IF(B314="Лікар-педіатр",Z322*Законод!$C$9/4*Законод!$G$16,IF(B314="Лікар-терапевт",Z322*Законод!$C$9/4*Законод!$G$16,0)))</f>
        <v>0</v>
      </c>
      <c r="AQ322" s="210">
        <f ca="1">IF(B314="Лікар загальної практики - сімейний лікар",AG322*Законод!$C$9/4*Законод!$G$16,IF(B314="Лікар-педіатр",AG322*Законод!$C$9/4*Законод!$G$16,IF(B314="Лікар-терапевт",AG322*Законод!$C$9/4*Законод!$G$16,0)))</f>
        <v>0</v>
      </c>
      <c r="AR322" s="211">
        <f t="shared" si="64"/>
        <v>0</v>
      </c>
    </row>
    <row r="323" spans="1:44" s="50" customFormat="1" ht="31.9" hidden="1" customHeight="1">
      <c r="A323" s="197"/>
      <c r="B323" s="969"/>
      <c r="C323" s="970"/>
      <c r="D323" s="971"/>
      <c r="E323" s="971"/>
      <c r="F323" s="238" t="str">
        <f ca="1">IF(B314="Лікар-педіатр",Законод!$H$17,IF(B314="Лікар загальної практики - сімейний лікар",Законод!$H$21,IF(B314="Лікар-терапевт",Законод!$H$25,"х")))</f>
        <v>х</v>
      </c>
      <c r="G323" s="965" t="s">
        <v>423</v>
      </c>
      <c r="H323" s="965"/>
      <c r="I323" s="965"/>
      <c r="J323" s="965"/>
      <c r="K323" s="965"/>
      <c r="L323" s="196">
        <f ca="1">IF($B$314="Лікар загальної практики - сімейний лікар",IF(L318&lt;Законод!$C$22,0,(IF(AND(L318&gt;=Законод!$H$22,L318&lt;=Законод!$H$23),L318-Законод!$G$23,IF('01_Доходи'!L318&gt;=Законод!$I$22,Законод!$H$24,0)))),IF($B$314="Лікар-педіатр",IF(L318&lt;Законод!$C$18,0,(IF(AND(L318&gt;=Законод!$H$18,L318&lt;=Законод!$H$19),L318-Законод!$G$19,IF('01_Доходи'!L318&gt;=Законод!$I$18,Законод!$H$20,0)))),IF($B$314="Лікар-терапевт",IF(L318&lt;Законод!$C$26,0,(IF(AND(L318&gt;=Законод!$H$26,L318&lt;=Законод!$H$27),L318-Законод!$G$27,IF(L318&gt;=Законод!$I$26,Законод!$H$28,0)))),0)))</f>
        <v>0</v>
      </c>
      <c r="M323" s="966"/>
      <c r="N323" s="965" t="s">
        <v>423</v>
      </c>
      <c r="O323" s="965"/>
      <c r="P323" s="965"/>
      <c r="Q323" s="965"/>
      <c r="R323" s="965"/>
      <c r="S323" s="196">
        <f ca="1">IF($B$314="Лікар загальної практики - сімейний лікар",IF(S318&lt;Законод!$C$22,0,(IF(AND(S318&gt;=Законод!$H$22,S318&lt;=Законод!$H$23),S318-Законод!$G$23,IF('01_Доходи'!S318&gt;=Законод!$I$22,Законод!$H$24,0)))),IF($B$314="Лікар-педіатр",IF(S318&lt;Законод!$C$18,0,(IF(AND(S318&gt;=Законод!$H$18,S318&lt;=Законод!$H$19),S318-Законод!$G$19,IF('01_Доходи'!S318&gt;=Законод!$I$18,Законод!$H$20,0)))),IF($B$314="Лікар-терапевт",IF(S318&lt;Законод!$C$26,0,(IF(AND(S318&gt;=Законод!$H$26,S318&lt;=Законод!$H$27),S318-Законод!$G$27,IF(S318&gt;=Законод!$I$26,Законод!$H$28,0)))),0)))</f>
        <v>0</v>
      </c>
      <c r="T323" s="966"/>
      <c r="U323" s="965" t="s">
        <v>423</v>
      </c>
      <c r="V323" s="965"/>
      <c r="W323" s="965"/>
      <c r="X323" s="965"/>
      <c r="Y323" s="965"/>
      <c r="Z323" s="196">
        <f ca="1">IF($B$314="Лікар загальної практики - сімейний лікар",IF(Z318&lt;Законод!$C$22,0,(IF(AND(Z318&gt;=Законод!$H$22,Z318&lt;=Законод!$H$23),Z318-Законод!$G$23,IF('01_Доходи'!Z318&gt;=Законод!$I$22,Законод!$H$24,0)))),IF($B$314="Лікар-педіатр",IF(Z318&lt;Законод!$C$18,0,(IF(AND(Z318&gt;=Законод!$H$18,Z318&lt;=Законод!$H$19),Z318-Законод!$G$19,IF('01_Доходи'!Z318&gt;=Законод!$I$18,Законод!$H$20,0)))),IF($B$314="Лікар-терапевт",IF(Z318&lt;Законод!$C$26,0,(IF(AND(Z318&gt;=Законод!$H$26,Z318&lt;=Законод!$H$27),Z318-Законод!$G$27,IF(Z318&gt;=Законод!$I$26,Законод!$H$28,0)))),0)))</f>
        <v>0</v>
      </c>
      <c r="AA323" s="966"/>
      <c r="AB323" s="965" t="s">
        <v>423</v>
      </c>
      <c r="AC323" s="965"/>
      <c r="AD323" s="965"/>
      <c r="AE323" s="965"/>
      <c r="AF323" s="965"/>
      <c r="AG323" s="196">
        <f ca="1">IF($B$314="Лікар загальної практики - сімейний лікар",IF(AG318&lt;Законод!$C$22,0,(IF(AND(AG318&gt;=Законод!$H$22,AG318&lt;=Законод!$H$23),AG318-Законод!$G$23,IF('01_Доходи'!AG318&gt;=Законод!$I$22,Законод!$H$24,0)))),IF($B$314="Лікар-педіатр",IF(AG318&lt;Законод!$C$18,0,(IF(AND(AG318&gt;=Законод!$H$18,AG318&lt;=Законод!$H$19),AG318-Законод!$G$19,IF('01_Доходи'!AG318&gt;=Законод!$I$18,Законод!$H$20,0)))),IF($B$314="Лікар-терапевт",IF(AG318&lt;Законод!$C$26,0,(IF(AND(AG318&gt;=Законод!$H$26,AG318&lt;=Законод!$H$27),AG318-Законод!$G$27,IF(AG318&gt;=Законод!$I$26,Законод!$H$28,0)))),0)))</f>
        <v>0</v>
      </c>
      <c r="AH323" s="966"/>
      <c r="AI323" s="201"/>
      <c r="AJ323" s="945"/>
      <c r="AK323" s="960"/>
      <c r="AL323" s="960"/>
      <c r="AM323" s="927"/>
      <c r="AN323" s="210">
        <f ca="1">IF(B314="Лікар загальної практики - сімейний лікар",L323*Законод!$C$9/4*Законод!$H$16,IF(B314="Лікар-педіатр",L323*Законод!$C$9/4*Законод!$H$16,IF(B314="Лікар-терапевт",L323*Законод!$C$9/4*Законод!$H$16,0)))</f>
        <v>0</v>
      </c>
      <c r="AO323" s="210">
        <f ca="1">IF(B314="Лікар загальної практики - сімейний лікар",S323*Законод!$C$9/4*Законод!$H$16,IF(B314="Лікар-педіатр",S323*Законод!$C$9/4*Законод!$H$16,IF(B314="Лікар-терапевт",S323*Законод!$C$9/4*Законод!$H$16,0)))</f>
        <v>0</v>
      </c>
      <c r="AP323" s="210">
        <f ca="1">IF(B314="Лікар загальної практики - сімейний лікар",Z323*Законод!$C$9/4*Законод!$H$16,IF(B314="Лікар-педіатр",Z323*Законод!$C$9/4*Законод!$H$16,IF(B314="Лікар-терапевт",Z323*Законод!$C$9/4*Законод!$H$16,0)))</f>
        <v>0</v>
      </c>
      <c r="AQ323" s="210">
        <f ca="1">IF(B314="Лікар загальної практики - сімейний лікар",AG323*Законод!$C$9/4*Законод!$H$16,IF(B314="Лікар-педіатр",AG323*Законод!$C$9/4*Законод!$H$16,IF(B314="Лікар-терапевт",AG323*Законод!$C$9/4*Законод!$H$16,0)))</f>
        <v>0</v>
      </c>
      <c r="AR323" s="211">
        <f t="shared" si="64"/>
        <v>0</v>
      </c>
    </row>
    <row r="324" spans="1:44" s="50" customFormat="1" ht="31.9" hidden="1" customHeight="1">
      <c r="A324" s="197"/>
      <c r="B324" s="969"/>
      <c r="C324" s="970"/>
      <c r="D324" s="971"/>
      <c r="E324" s="971"/>
      <c r="F324" s="238" t="str">
        <f ca="1">IF(B314="Лікар-педіатр",Законод!$I$17,IF(B314="Лікар загальної практики - сімейний лікар",Законод!$I$21,IF(B314="Лікар-терапевт",Законод!$I$25,"х")))</f>
        <v>х</v>
      </c>
      <c r="G324" s="965" t="s">
        <v>423</v>
      </c>
      <c r="H324" s="965"/>
      <c r="I324" s="965"/>
      <c r="J324" s="965"/>
      <c r="K324" s="965"/>
      <c r="L324" s="196">
        <f ca="1">IF($B$314="Лікар загальної практики - сімейний лікар",IF(L318&lt;Законод!$C$22,0,(IF(AND(L318&gt;=Законод!$I$22,L318&lt;=Законод!$I$23),L318-Законод!$H$23,IF('01_Доходи'!L318&gt;=Законод!$I$22,Законод!$I$24,0)))),IF($B$314="Лікар-педіатр",IF(L318&lt;Законод!$C$18,0,(IF(AND(L318&gt;=Законод!$I$18,L318&lt;=Законод!$I$19),L318-Законод!$H$19,IF('01_Доходи'!L318&gt;=Законод!$I$18,Законод!$H$20,0)))),IF($B$314="Лікар-терапевт",IF(L318&lt;Законод!$C$26,0,(IF(AND(L318&gt;=Законод!$I$26,L318&lt;=Законод!$I$27),L318-Законод!$H$27,IF('01_Доходи'!L318&gt;=Законод!$I$26,Законод!$H$28,0)))),0)))</f>
        <v>0</v>
      </c>
      <c r="M324" s="966"/>
      <c r="N324" s="965" t="s">
        <v>423</v>
      </c>
      <c r="O324" s="965"/>
      <c r="P324" s="965"/>
      <c r="Q324" s="965"/>
      <c r="R324" s="965"/>
      <c r="S324" s="196">
        <f ca="1">IF($B$314="Лікар загальної практики - сімейний лікар",IF(S318&lt;Законод!$C$22,0,(IF(AND(S318&gt;=Законод!$I$22,S318&lt;=Законод!$I$23),S318-Законод!$H$23,IF('01_Доходи'!S318&gt;=Законод!$I$22,Законод!$I$24,0)))),IF($B$314="Лікар-педіатр",IF(S318&lt;Законод!$C$18,0,(IF(AND(S318&gt;=Законод!$I$18,S318&lt;=Законод!$I$19),S318-Законод!$H$19,IF('01_Доходи'!S318&gt;=Законод!$I$18,Законод!$H$20,0)))),IF($B$314="Лікар-терапевт",IF(S318&lt;Законод!$C$26,0,(IF(AND(S318&gt;=Законод!$I$26,S318&lt;=Законод!$I$27),S318-Законод!$H$27,IF('01_Доходи'!S318&gt;=Законод!$I$26,Законод!$H$28,0)))),0)))</f>
        <v>0</v>
      </c>
      <c r="T324" s="966"/>
      <c r="U324" s="965" t="s">
        <v>423</v>
      </c>
      <c r="V324" s="965"/>
      <c r="W324" s="965"/>
      <c r="X324" s="965"/>
      <c r="Y324" s="965"/>
      <c r="Z324" s="196">
        <f ca="1">IF($B$314="Лікар загальної практики - сімейний лікар",IF(Z318&lt;Законод!$C$22,0,(IF(AND(Z318&gt;=Законод!$I$22,Z318&lt;=Законод!$I$23),Z318-Законод!$H$23,IF('01_Доходи'!Z318&gt;=Законод!$I$22,Законод!$I$24,0)))),IF($B$314="Лікар-педіатр",IF(Z318&lt;Законод!$C$18,0,(IF(AND(Z318&gt;=Законод!$I$18,Z318&lt;=Законод!$I$19),Z318-Законод!$H$19,IF('01_Доходи'!Z318&gt;=Законод!$I$18,Законод!$H$20,0)))),IF($B$314="Лікар-терапевт",IF(Z318&lt;Законод!$C$26,0,(IF(AND(Z318&gt;=Законод!$I$26,Z318&lt;=Законод!$I$27),Z318-Законод!$H$27,IF('01_Доходи'!Z318&gt;=Законод!$I$26,Законод!$H$28,0)))),0)))</f>
        <v>0</v>
      </c>
      <c r="AA324" s="966"/>
      <c r="AB324" s="965" t="s">
        <v>423</v>
      </c>
      <c r="AC324" s="965"/>
      <c r="AD324" s="965"/>
      <c r="AE324" s="965"/>
      <c r="AF324" s="965"/>
      <c r="AG324" s="196">
        <f ca="1">IF($B$314="Лікар загальної практики - сімейний лікар",IF(AG318&lt;Законод!$C$22,0,(IF(AND(AG318&gt;=Законод!$I$22,AG318&lt;=Законод!$I$23),AG318-Законод!$H$23,IF('01_Доходи'!AG318&gt;=Законод!$I$22,Законод!$I$24,0)))),IF($B$314="Лікар-педіатр",IF(AG318&lt;Законод!$C$18,0,(IF(AND(AG318&gt;=Законод!$I$18,AG318&lt;=Законод!$I$19),AG318-Законод!$H$19,IF('01_Доходи'!AG318&gt;=Законод!$I$18,Законод!$H$20,0)))),IF($B$314="Лікар-терапевт",IF(AG318&lt;Законод!$C$26,0,(IF(AND(AG318&gt;=Законод!$I$26,AG318&lt;=Законод!$I$27),AG318-Законод!$H$27,IF('01_Доходи'!AG318&gt;=Законод!$I$26,Законод!$H$28,0)))),0)))</f>
        <v>0</v>
      </c>
      <c r="AH324" s="966"/>
      <c r="AI324" s="201"/>
      <c r="AJ324" s="945"/>
      <c r="AK324" s="960"/>
      <c r="AL324" s="960"/>
      <c r="AM324" s="927"/>
      <c r="AN324" s="210">
        <f ca="1">IF(B314="Лікар загальної практики - сімейний лікар",L324*Законод!$C$9/4*Законод!$I$16,IF(B314="Лікар-педіатр",L324*Законод!$C$9/4*Законод!$I$16,IF(B314="Лікар-терапевт",L324*Законод!$C$9/4*Законод!$I$16,0)))</f>
        <v>0</v>
      </c>
      <c r="AO324" s="210">
        <f ca="1">IF(B314="Лікар загальної практики - сімейний лікар",S324*Законод!$C$9/4*Законод!$I$16,IF(B314="Лікар-педіатр",S324*Законод!$C$9/4*Законод!$I$16,IF(B314="Лікар-терапевт",S324*Законод!$C$9/4*Законод!$I$16,0)))</f>
        <v>0</v>
      </c>
      <c r="AP324" s="210">
        <f ca="1">IF(B314="Лікар загальної практики - сімейний лікар",Z324*Законод!$C$9/4*Законод!$I$16,IF(B314="Лікар-педіатр",Z324*Законод!$C$9/4*Законод!$I$16,IF(B314="Лікар-терапевт",Z324*Законод!$C$9/4*Законод!$I$16,0)))</f>
        <v>0</v>
      </c>
      <c r="AQ324" s="210">
        <f ca="1">IF(B314="Лікар загальної практики - сімейний лікар",AG324*Законод!$C$9/4*Законод!$I$16,IF(B314="Лікар-педіатр",AG324*Законод!$C$9/4*Законод!$I$16,IF(B314="Лікар-терапевт",AG324*Законод!$C$9/4*Законод!$I$16,0)))</f>
        <v>0</v>
      </c>
      <c r="AR324" s="211">
        <f t="shared" si="64"/>
        <v>0</v>
      </c>
    </row>
    <row r="325" spans="1:44" s="218" customFormat="1" ht="31.9" hidden="1" customHeight="1" thickBot="1">
      <c r="A325" s="213"/>
      <c r="B325" s="969"/>
      <c r="C325" s="970"/>
      <c r="D325" s="971"/>
      <c r="E325" s="971"/>
      <c r="F325" s="239" t="str">
        <f ca="1">IF(B314="Лікар-педіатр",Законод!$J$17,IF(B314="Лікар загальної практики - сімейний лікар",Законод!$J$21,IF(B314="Лікар-терапевт",Законод!$J$25,"х")))</f>
        <v>х</v>
      </c>
      <c r="G325" s="968" t="s">
        <v>423</v>
      </c>
      <c r="H325" s="968"/>
      <c r="I325" s="968"/>
      <c r="J325" s="968"/>
      <c r="K325" s="968"/>
      <c r="L325" s="196">
        <f ca="1">IF($B$314="Лікар загальної практики - сімейний лікар",IF(L318&gt;=Законод!$J$22,'01_Доходи'!L318-('01_Доходи'!L319+'01_Доходи'!L320+'01_Доходи'!L321+'01_Доходи'!L322+'01_Доходи'!L323+'01_Доходи'!L324),0),IF($B$314="Лікар-педіатр",IF(L318&gt;=Законод!$J$18,'01_Доходи'!L318-('01_Доходи'!L319+'01_Доходи'!L320+'01_Доходи'!L321+'01_Доходи'!L322+'01_Доходи'!L323+'01_Доходи'!L324),0),IF($B$314="Лікар-терапевт",IF('01_Доходи'!L318&gt;=Законод!$J$26,L318-Законод!$I$27,0),0)))</f>
        <v>0</v>
      </c>
      <c r="M325" s="966"/>
      <c r="N325" s="968" t="s">
        <v>423</v>
      </c>
      <c r="O325" s="968"/>
      <c r="P325" s="968"/>
      <c r="Q325" s="968"/>
      <c r="R325" s="968"/>
      <c r="S325" s="196">
        <f ca="1">IF($B$314="Лікар загальної практики - сімейний лікар",IF(S318&gt;=Законод!$J$22,'01_Доходи'!S318-('01_Доходи'!S319+'01_Доходи'!S320+'01_Доходи'!S321+'01_Доходи'!S322+'01_Доходи'!S323+'01_Доходи'!S324),0),IF($B$314="Лікар-педіатр",IF(S318&gt;=Законод!$J$18,'01_Доходи'!S318-('01_Доходи'!S319+'01_Доходи'!S320+'01_Доходи'!S321+'01_Доходи'!S322+'01_Доходи'!S323+'01_Доходи'!S324),0),IF($B$314="Лікар-терапевт",IF('01_Доходи'!S318&gt;=Законод!$J$26,S318-Законод!$I$27,0),0)))</f>
        <v>0</v>
      </c>
      <c r="T325" s="966"/>
      <c r="U325" s="968" t="s">
        <v>423</v>
      </c>
      <c r="V325" s="968"/>
      <c r="W325" s="968"/>
      <c r="X325" s="968"/>
      <c r="Y325" s="968"/>
      <c r="Z325" s="196">
        <f ca="1">IF($B$314="Лікар загальної практики - сімейний лікар",IF(Z318&gt;=Законод!$J$22,'01_Доходи'!Z318-('01_Доходи'!Z319+'01_Доходи'!Z320+'01_Доходи'!Z321+'01_Доходи'!Z322+'01_Доходи'!Z323+'01_Доходи'!Z324),0),IF($B$314="Лікар-педіатр",IF(Z318&gt;=Законод!$J$18,'01_Доходи'!Z318-('01_Доходи'!Z319+'01_Доходи'!Z320+'01_Доходи'!Z321+'01_Доходи'!Z322+'01_Доходи'!Z323+'01_Доходи'!Z324),0),IF($B$314="Лікар-терапевт",IF('01_Доходи'!Z318&gt;=Законод!$J$26,Z318-Законод!$I$27,0),0)))</f>
        <v>0</v>
      </c>
      <c r="AA325" s="966"/>
      <c r="AB325" s="968" t="s">
        <v>423</v>
      </c>
      <c r="AC325" s="968"/>
      <c r="AD325" s="968"/>
      <c r="AE325" s="968"/>
      <c r="AF325" s="968"/>
      <c r="AG325" s="196">
        <f ca="1">IF($B$314="Лікар загальної практики - сімейний лікар",IF(AG318&gt;=Законод!$J$22,'01_Доходи'!AG318-('01_Доходи'!AG319+'01_Доходи'!AG320+'01_Доходи'!AG321+'01_Доходи'!AG322+'01_Доходи'!AG323+'01_Доходи'!AG324),0),IF($B$314="Лікар-педіатр",IF(AG318&gt;=Законод!$J$18,'01_Доходи'!AG318-('01_Доходи'!AG319+'01_Доходи'!AG320+'01_Доходи'!AG321+'01_Доходи'!AG322+'01_Доходи'!AG323+'01_Доходи'!AG324),0),IF($B$314="Лікар-терапевт",IF('01_Доходи'!AG318&gt;=Законод!$J$26,AG318-Законод!$I$27,0),0)))</f>
        <v>0</v>
      </c>
      <c r="AH325" s="966"/>
      <c r="AI325" s="215"/>
      <c r="AJ325" s="946"/>
      <c r="AK325" s="961"/>
      <c r="AL325" s="961"/>
      <c r="AM325" s="928"/>
      <c r="AN325" s="216">
        <f ca="1">IF(B314="Лікар загальної практики - сімейний лікар",L325*Законод!$C$9/4*Законод!$J$16,IF(B314="Лікар-педіатр",L325*Законод!$C$9/4*Законод!$J$16,IF(B314="Лікар-терапевт",L325*Законод!$C$9/4*Законод!$J$16,0)))</f>
        <v>0</v>
      </c>
      <c r="AO325" s="216">
        <f ca="1">IF(B314="Лікар загальної практики - сімейний лікар",S325*Законод!$C$9/4*Законод!$J$16,IF(B314="Лікар-педіатр",S325*Законод!$C$9/4*Законод!$J$16,IF(B314="Лікар-терапевт",S325*Законод!$C$9/4*Законод!$J$16,0)))</f>
        <v>0</v>
      </c>
      <c r="AP325" s="216">
        <f ca="1">IF(B314="Лікар загальної практики - сімейний лікар",S325*Законод!$C$9/4*Законод!$J$16,IF(B314="Лікар-педіатр",S325*Законод!$C$9/4*Законод!$J$16,IF(B314="Лікар-терапевт",S325*Законод!$C$9/4*Законод!$J$16,0)))</f>
        <v>0</v>
      </c>
      <c r="AQ325" s="216">
        <f ca="1">IF(B314="Лікар загальної практики - сімейний лікар",AG325*Законод!$C$9/4*Законод!$J$16,IF(B314="Лікар-педіатр",AG325*Законод!$C$9/4*Законод!$J$16,IF(B314="Лікар-терапевт",AG325*Законод!$C$9/4*Законод!$J$16,0)))</f>
        <v>0</v>
      </c>
      <c r="AR325" s="217">
        <f t="shared" si="64"/>
        <v>0</v>
      </c>
    </row>
    <row r="326" spans="1:44" s="247" customFormat="1" ht="23.45" hidden="1" customHeight="1" thickBot="1">
      <c r="A326" s="243"/>
      <c r="B326" s="244"/>
      <c r="C326" s="244"/>
      <c r="D326" s="244"/>
      <c r="E326" s="244"/>
      <c r="F326" s="245"/>
      <c r="G326" s="246"/>
      <c r="H326" s="246"/>
      <c r="L326" s="248"/>
      <c r="S326" s="248"/>
      <c r="Z326" s="248"/>
      <c r="AG326" s="248"/>
      <c r="AM326" s="249"/>
      <c r="AR326" s="250"/>
    </row>
    <row r="327" spans="1:44" s="191" customFormat="1" ht="27.6" hidden="1" customHeight="1">
      <c r="A327" s="194">
        <f>A314+1</f>
        <v>23</v>
      </c>
      <c r="B327" s="969"/>
      <c r="C327" s="970"/>
      <c r="D327" s="971"/>
      <c r="E327" s="971"/>
      <c r="F327" s="234" t="s">
        <v>659</v>
      </c>
      <c r="G327" s="196">
        <f>IF($B$327="Лікар-педіатр",G330*L327,IF($B$327="Лікар-терапевт","х",IF($B$327="Лікар загальної практики - сімейний лікар",G330*L327,0)))</f>
        <v>0</v>
      </c>
      <c r="H327" s="196">
        <f>IF($B$327="Лікар-педіатр",H330*L327,IF($B$327="Лікар-терапевт","х",IF($B$327="Лікар загальної практики - сімейний лікар",H330*L327,0)))</f>
        <v>0</v>
      </c>
      <c r="I327" s="196">
        <f>IF($B$327="Лікар-педіатр","x",IF($B$327="Лікар-терапевт",I330*L327,IF($B$327="Лікар загальної практики - сімейний лікар",I330*L327,0)))</f>
        <v>0</v>
      </c>
      <c r="J327" s="196">
        <f>IF($B$327="Лікар-педіатр","x",IF($B$327="Лікар-терапевт",J330*L327,IF($B$327="Лікар загальної практики - сімейний лікар",J330*L327,0)))</f>
        <v>0</v>
      </c>
      <c r="K327" s="196">
        <f>IF($B$327="Лікар-педіатр","x",IF($B$327="Лікар-терапевт",K330*L327,IF($B$327="Лікар загальної практики - сімейний лікар",K330*L327,0)))</f>
        <v>0</v>
      </c>
      <c r="L327" s="557"/>
      <c r="M327" s="966"/>
      <c r="N327" s="196">
        <f>IF($B$327="Лікар-педіатр",N330*S327,IF($B$327="Лікар-терапевт","х",IF($B$327="Лікар загальної практики - сімейний лікар",N330*S327,0)))</f>
        <v>0</v>
      </c>
      <c r="O327" s="196">
        <f>IF($B$327="Лікар-педіатр",O330*S327,IF($B$327="Лікар-терапевт","х",IF($B$327="Лікар загальної практики - сімейний лікар",O330*S327,0)))</f>
        <v>0</v>
      </c>
      <c r="P327" s="196">
        <f>IF($B$327="Лікар-педіатр","x",IF($B$327="Лікар-терапевт",P330*S327,IF($B$327="Лікар загальної практики - сімейний лікар",P330*S327,0)))</f>
        <v>0</v>
      </c>
      <c r="Q327" s="196">
        <f>IF($B$327="Лікар-педіатр","x",IF($B$327="Лікар-терапевт",Q330*S327,IF($B$327="Лікар загальної практики - сімейний лікар",Q330*S327,0)))</f>
        <v>0</v>
      </c>
      <c r="R327" s="196">
        <f>IF($B$327="Лікар-педіатр","x",IF($B$327="Лікар-терапевт",R330*S327,IF($B$327="Лікар загальної практики - сімейний лікар",R330*S327,0)))</f>
        <v>0</v>
      </c>
      <c r="S327" s="557"/>
      <c r="T327" s="966"/>
      <c r="U327" s="196">
        <f>IF($B$327="Лікар-педіатр",U330*Z327,IF($B$327="Лікар-терапевт","х",IF($B$327="Лікар загальної практики - сімейний лікар",U330*Z327,0)))</f>
        <v>0</v>
      </c>
      <c r="V327" s="196">
        <f>IF($B$327="Лікар-педіатр",V330*Z327,IF($B$327="Лікар-терапевт","х",IF($B$327="Лікар загальної практики - сімейний лікар",V330*Z327,0)))</f>
        <v>0</v>
      </c>
      <c r="W327" s="196">
        <f>IF($B$327="Лікар-педіатр","x",IF($B$327="Лікар-терапевт",W330*Z327,IF($B$327="Лікар загальної практики - сімейний лікар",W330*Z327,0)))</f>
        <v>0</v>
      </c>
      <c r="X327" s="196">
        <f>IF($B$327="Лікар-педіатр","x",IF($B$327="Лікар-терапевт",X330*Z327,IF($B$327="Лікар загальної практики - сімейний лікар",X330*Z327,0)))</f>
        <v>0</v>
      </c>
      <c r="Y327" s="196">
        <f>IF($B$327="Лікар-педіатр","x",IF($B$327="Лікар-терапевт",Y330*Z327,IF($B$327="Лікар загальної практики - сімейний лікар",Y330*Z327,0)))</f>
        <v>0</v>
      </c>
      <c r="Z327" s="557"/>
      <c r="AA327" s="966"/>
      <c r="AB327" s="196">
        <f>IF($B$327="Лікар-педіатр",AB330*AG327,IF($B$327="Лікар-терапевт","х",IF($B$327="Лікар загальної практики - сімейний лікар",AB330*AG327,0)))</f>
        <v>0</v>
      </c>
      <c r="AC327" s="196">
        <f>IF($B$327="Лікар-педіатр",AC330*AG327,IF($B$327="Лікар-терапевт","х",IF($B$327="Лікар загальної практики - сімейний лікар",AC330*AG327,0)))</f>
        <v>0</v>
      </c>
      <c r="AD327" s="196">
        <f>IF($B$327="Лікар-педіатр","x",IF($B$327="Лікар-терапевт",AD330*AG327,IF($B$327="Лікар загальної практики - сімейний лікар",AD330*AG327,0)))</f>
        <v>0</v>
      </c>
      <c r="AE327" s="196">
        <f>IF($B$327="Лікар-педіатр","x",IF($B$327="Лікар-терапевт",AE330*AG327,IF($B$327="Лікар загальної практики - сімейний лікар",AE330*AG327,0)))</f>
        <v>0</v>
      </c>
      <c r="AF327" s="196">
        <f>IF($B$327="Лікар-педіатр","x",IF($B$327="Лікар-терапевт",AF330*AG327,IF($B$327="Лікар загальної практики - сімейний лікар",AF330*AG327,0)))</f>
        <v>0</v>
      </c>
      <c r="AG327" s="557"/>
      <c r="AH327" s="966"/>
      <c r="AI327" s="540">
        <f>A327</f>
        <v>23</v>
      </c>
      <c r="AJ327" s="944">
        <f>B327</f>
        <v>0</v>
      </c>
      <c r="AK327" s="959">
        <f>C327</f>
        <v>0</v>
      </c>
      <c r="AL327" s="959">
        <f>D327</f>
        <v>0</v>
      </c>
      <c r="AM327" s="929" t="s">
        <v>79</v>
      </c>
      <c r="AN327" s="947">
        <f>SUM(AN332:AN338)</f>
        <v>0</v>
      </c>
      <c r="AO327" s="947">
        <f>SUM(AO332:AO338)</f>
        <v>0</v>
      </c>
      <c r="AP327" s="947">
        <f>SUM(AP332:AP338)</f>
        <v>0</v>
      </c>
      <c r="AQ327" s="947">
        <f>SUM(AQ332:AQ338)</f>
        <v>0</v>
      </c>
      <c r="AR327" s="962">
        <f>SUM(AN327:AQ331)</f>
        <v>0</v>
      </c>
    </row>
    <row r="328" spans="1:44" s="50" customFormat="1" ht="28.15" hidden="1" customHeight="1">
      <c r="A328" s="197"/>
      <c r="B328" s="969"/>
      <c r="C328" s="970"/>
      <c r="D328" s="971"/>
      <c r="E328" s="971"/>
      <c r="F328" s="234" t="s">
        <v>660</v>
      </c>
      <c r="G328" s="196">
        <f>IF($B$327="Лікар-педіатр",G330*L328,IF($B$327="Лікар-терапевт","х",IF($B$327="Лікар загальної практики - сімейний лікар",G330*L328,0)))</f>
        <v>0</v>
      </c>
      <c r="H328" s="196">
        <f>IF($B$327="Лікар-педіатр",H330*L328,IF($B$327="Лікар-терапевт","х",IF($B$327="Лікар загальної практики - сімейний лікар",H330*L328,0)))</f>
        <v>0</v>
      </c>
      <c r="I328" s="196">
        <f>IF($B$327="Лікар-педіатр","x",IF($B$327="Лікар-терапевт",I330*L328,IF($B$327="Лікар загальної практики - сімейний лікар",I330*L328,0)))</f>
        <v>0</v>
      </c>
      <c r="J328" s="196">
        <f>IF($B$327="Лікар-педіатр","x",IF($B$327="Лікар-терапевт",J330*L328,IF($B$327="Лікар загальної практики - сімейний лікар",J330*L328,0)))</f>
        <v>0</v>
      </c>
      <c r="K328" s="196">
        <f>IF($B$327="Лікар-педіатр","x",IF($B$327="Лікар-терапевт",K330*L328,IF($B$327="Лікар загальної практики - сімейний лікар",K330*L328,0)))</f>
        <v>0</v>
      </c>
      <c r="L328" s="557"/>
      <c r="M328" s="966"/>
      <c r="N328" s="196">
        <f>IF($B$327="Лікар-педіатр",N330*S328,IF($B$327="Лікар-терапевт","х",IF($B$327="Лікар загальної практики - сімейний лікар",N330*S328,0)))</f>
        <v>0</v>
      </c>
      <c r="O328" s="196">
        <f>IF($B$327="Лікар-педіатр",O330*S328,IF($B$327="Лікар-терапевт","х",IF($B$327="Лікар загальної практики - сімейний лікар",O330*S328,0)))</f>
        <v>0</v>
      </c>
      <c r="P328" s="196">
        <f>IF($B$327="Лікар-педіатр","x",IF($B$327="Лікар-терапевт",P330*S328,IF($B$327="Лікар загальної практики - сімейний лікар",P330*S328,0)))</f>
        <v>0</v>
      </c>
      <c r="Q328" s="196">
        <f>IF($B$327="Лікар-педіатр","x",IF($B$327="Лікар-терапевт",Q330*S328,IF($B$327="Лікар загальної практики - сімейний лікар",Q330*S328,0)))</f>
        <v>0</v>
      </c>
      <c r="R328" s="196">
        <f>IF($B$327="Лікар-педіатр","x",IF($B$327="Лікар-терапевт",R330*S328,IF($B$327="Лікар загальної практики - сімейний лікар",R330*S328,0)))</f>
        <v>0</v>
      </c>
      <c r="S328" s="557"/>
      <c r="T328" s="966"/>
      <c r="U328" s="196">
        <f>IF($B$327="Лікар-педіатр",U330*Z328,IF($B$327="Лікар-терапевт","х",IF($B$327="Лікар загальної практики - сімейний лікар",U330*Z328,0)))</f>
        <v>0</v>
      </c>
      <c r="V328" s="196">
        <f>IF($B$327="Лікар-педіатр",V330*Z328,IF($B$327="Лікар-терапевт","х",IF($B$327="Лікар загальної практики - сімейний лікар",V330*Z328,0)))</f>
        <v>0</v>
      </c>
      <c r="W328" s="196">
        <f>IF($B$327="Лікар-педіатр","x",IF($B$327="Лікар-терапевт",W330*Z328,IF($B$327="Лікар загальної практики - сімейний лікар",W330*Z328,0)))</f>
        <v>0</v>
      </c>
      <c r="X328" s="196">
        <f>IF($B$327="Лікар-педіатр","x",IF($B$327="Лікар-терапевт",X330*Z328,IF($B$327="Лікар загальної практики - сімейний лікар",X330*Z328,0)))</f>
        <v>0</v>
      </c>
      <c r="Y328" s="196">
        <f>IF($B$327="Лікар-педіатр","x",IF($B$327="Лікар-терапевт",Y330*Z328,IF($B$327="Лікар загальної практики - сімейний лікар",Y330*Z328,0)))</f>
        <v>0</v>
      </c>
      <c r="Z328" s="557"/>
      <c r="AA328" s="966"/>
      <c r="AB328" s="196">
        <f>IF($B$327="Лікар-педіатр",AB330*AG328,IF($B$327="Лікар-терапевт","х",IF($B$327="Лікар загальної практики - сімейний лікар",AB330*AG328,0)))</f>
        <v>0</v>
      </c>
      <c r="AC328" s="196">
        <f>IF($B$327="Лікар-педіатр",AC330*AG328,IF($B$327="Лікар-терапевт","х",IF($B$327="Лікар загальної практики - сімейний лікар",AC330*AG328,0)))</f>
        <v>0</v>
      </c>
      <c r="AD328" s="196">
        <f>IF($B$327="Лікар-педіатр","x",IF($B$327="Лікар-терапевт",AD330*AG328,IF($B$327="Лікар загальної практики - сімейний лікар",AD330*AG328,0)))</f>
        <v>0</v>
      </c>
      <c r="AE328" s="196">
        <f>IF($B$327="Лікар-педіатр","x",IF($B$327="Лікар-терапевт",AE330*AG328,IF($B$327="Лікар загальної практики - сімейний лікар",AE330*AG328,0)))</f>
        <v>0</v>
      </c>
      <c r="AF328" s="196">
        <f>IF($B$327="Лікар-педіатр","x",IF($B$327="Лікар-терапевт",AF330*AG328,IF($B$327="Лікар загальної практики - сімейний лікар",AF330*AG328,0)))</f>
        <v>0</v>
      </c>
      <c r="AG328" s="557"/>
      <c r="AH328" s="966"/>
      <c r="AI328" s="198"/>
      <c r="AJ328" s="945"/>
      <c r="AK328" s="960"/>
      <c r="AL328" s="960"/>
      <c r="AM328" s="930"/>
      <c r="AN328" s="948"/>
      <c r="AO328" s="948"/>
      <c r="AP328" s="948"/>
      <c r="AQ328" s="948"/>
      <c r="AR328" s="963"/>
    </row>
    <row r="329" spans="1:44" s="90" customFormat="1" ht="31.15" hidden="1" customHeight="1">
      <c r="A329" s="240"/>
      <c r="B329" s="969"/>
      <c r="C329" s="970"/>
      <c r="D329" s="971"/>
      <c r="E329" s="971"/>
      <c r="F329" s="241" t="s">
        <v>661</v>
      </c>
      <c r="G329" s="199">
        <f>IF(B327="Лікар загальної практики - сімейний лікар"," ",IF(B327="Лікар-педіатр"," ",IF(B327="Лікар-терапевт","х",0)))</f>
        <v>0</v>
      </c>
      <c r="H329" s="199">
        <f>IF(B327="Лікар загальної практики - сімейний лікар"," ",IF(B327="Лікар-педіатр"," ",IF(B327="Лікар-терапевт","х",0)))</f>
        <v>0</v>
      </c>
      <c r="I329" s="199">
        <f>IF(B327="Лікар загальної практики - сімейний лікар"," ",IF(B327="Лікар-педіатр","х",IF(B327="Лікар-терапевт"," ",0)))</f>
        <v>0</v>
      </c>
      <c r="J329" s="199">
        <f>IF(B327="Лікар загальної практики - сімейний лікар"," ",IF(B327="Лікар-педіатр","х",IF(B327="Лікар-терапевт"," ",0)))</f>
        <v>0</v>
      </c>
      <c r="K329" s="199">
        <f>IF(B327="Лікар загальної практики - сімейний лікар"," ",IF(B327="Лікар-педіатр","х",IF(B327="Лікар-терапевт"," ",0)))</f>
        <v>0</v>
      </c>
      <c r="L329" s="200">
        <f>SUM(G329:K329)</f>
        <v>0</v>
      </c>
      <c r="M329" s="966"/>
      <c r="N329" s="199">
        <f>IF(B327="Лікар загальної практики - сімейний лікар"," ",IF(B327="Лікар-педіатр"," ",IF(B327="Лікар-терапевт","х",0)))</f>
        <v>0</v>
      </c>
      <c r="O329" s="199">
        <f>IF(B327="Лікар загальної практики - сімейний лікар"," ",IF(B327="Лікар-педіатр"," ",IF(B327="Лікар-терапевт","х",0)))</f>
        <v>0</v>
      </c>
      <c r="P329" s="199">
        <f>IF(B327="Лікар загальної практики - сімейний лікар"," ",IF(B327="Лікар-педіатр","х",IF(B327="Лікар-терапевт"," ",0)))</f>
        <v>0</v>
      </c>
      <c r="Q329" s="199">
        <f>IF(B327="Лікар загальної практики - сімейний лікар"," ",IF(B327="Лікар-педіатр","х",IF(B327="Лікар-терапевт"," ",0)))</f>
        <v>0</v>
      </c>
      <c r="R329" s="199">
        <f>IF(B327="Лікар загальної практики - сімейний лікар"," ",IF(B327="Лікар-педіатр","х",IF(B327="Лікар-терапевт"," ",0)))</f>
        <v>0</v>
      </c>
      <c r="S329" s="200">
        <f>SUM(N329:R329)</f>
        <v>0</v>
      </c>
      <c r="T329" s="966"/>
      <c r="U329" s="199">
        <f>IF(B327="Лікар загальної практики - сімейний лікар"," ",IF(B327="Лікар-педіатр"," ",IF(B327="Лікар-терапевт","х",0)))</f>
        <v>0</v>
      </c>
      <c r="V329" s="199">
        <f>IF(B327="Лікар загальної практики - сімейний лікар"," ",IF(B327="Лікар-педіатр"," ",IF(B327="Лікар-терапевт","х",0)))</f>
        <v>0</v>
      </c>
      <c r="W329" s="199">
        <f>IF(B327="Лікар загальної практики - сімейний лікар"," ",IF(B327="Лікар-педіатр","х",IF(B327="Лікар-терапевт"," ",0)))</f>
        <v>0</v>
      </c>
      <c r="X329" s="199">
        <f>IF(B327="Лікар загальної практики - сімейний лікар"," ",IF(B327="Лікар-педіатр","х",IF(B327="Лікар-терапевт"," ",0)))</f>
        <v>0</v>
      </c>
      <c r="Y329" s="199">
        <f>IF(B327="Лікар загальної практики - сімейний лікар"," ",IF(B327="Лікар-педіатр","х",IF(B327="Лікар-терапевт"," ",0)))</f>
        <v>0</v>
      </c>
      <c r="Z329" s="200">
        <f>SUM(U329:Y329)</f>
        <v>0</v>
      </c>
      <c r="AA329" s="966"/>
      <c r="AB329" s="199">
        <f>IF(B327="Лікар загальної практики - сімейний лікар"," ",IF(B327="Лікар-педіатр"," ",IF(B327="Лікар-терапевт","х",0)))</f>
        <v>0</v>
      </c>
      <c r="AC329" s="199">
        <f>IF(B327="Лікар загальної практики - сімейний лікар"," ",IF(B327="Лікар-педіатр"," ",IF(B327="Лікар-терапевт","х",0)))</f>
        <v>0</v>
      </c>
      <c r="AD329" s="199">
        <f>IF(B327="Лікар загальної практики - сімейний лікар"," ",IF(B327="Лікар-педіатр","х",IF(B327="Лікар-терапевт"," ",0)))</f>
        <v>0</v>
      </c>
      <c r="AE329" s="199">
        <f>IF(B327="Лікар загальної практики - сімейний лікар"," ",IF(B327="Лікар-педіатр","х",IF(B327="Лікар-терапевт"," ",0)))</f>
        <v>0</v>
      </c>
      <c r="AF329" s="199">
        <f>IF(B327="Лікар загальної практики - сімейний лікар"," ",IF(B327="Лікар-педіатр","х",IF(B327="Лікар-терапевт"," ",0)))</f>
        <v>0</v>
      </c>
      <c r="AG329" s="200">
        <f>SUM(AB329:AF329)</f>
        <v>0</v>
      </c>
      <c r="AH329" s="966"/>
      <c r="AI329" s="242"/>
      <c r="AJ329" s="945"/>
      <c r="AK329" s="960"/>
      <c r="AL329" s="960"/>
      <c r="AM329" s="930"/>
      <c r="AN329" s="948"/>
      <c r="AO329" s="948"/>
      <c r="AP329" s="948"/>
      <c r="AQ329" s="948"/>
      <c r="AR329" s="963"/>
    </row>
    <row r="330" spans="1:44" s="50" customFormat="1" ht="31.9" hidden="1" customHeight="1" thickBot="1">
      <c r="A330" s="197"/>
      <c r="B330" s="969"/>
      <c r="C330" s="970"/>
      <c r="D330" s="971"/>
      <c r="E330" s="971"/>
      <c r="F330" s="236" t="s">
        <v>426</v>
      </c>
      <c r="G330" s="203">
        <f>IF($B$327="Лікар-педіатр",G329/L329,IF($B$327="Лікар-терапевт","х",IF($B$327="Лікар загальної практики - сімейний лікар",G329/L329,0)))</f>
        <v>0</v>
      </c>
      <c r="H330" s="203">
        <f>IF($B$327="Лікар-педіатр",H329/L329,IF($B$327="Лікар-терапевт","х",IF($B$327="Лікар загальної практики - сімейний лікар",H329/L329,0)))</f>
        <v>0</v>
      </c>
      <c r="I330" s="203">
        <f>IF($B$327="Лікар-педіатр","x",IF($B$327="Лікар-терапевт",I329/L329,IF($B$327="Лікар загальної практики - сімейний лікар",I329/L329,0)))</f>
        <v>0</v>
      </c>
      <c r="J330" s="203">
        <f>IF($B$327="Лікар-педіатр","x",IF($B$327="Лікар-терапевт",J329/L329,IF($B$327="Лікар загальної практики - сімейний лікар",J329/L329,0)))</f>
        <v>0</v>
      </c>
      <c r="K330" s="203">
        <f>IF($B$327="Лікар-педіатр","x",IF($B$327="Лікар-терапевт",K329/L329,IF($B$327="Лікар загальної практики - сімейний лікар",K329/L329,0)))</f>
        <v>0</v>
      </c>
      <c r="L330" s="203">
        <f>SUM(G330:K330)</f>
        <v>0</v>
      </c>
      <c r="M330" s="966"/>
      <c r="N330" s="203">
        <f>IF($B$327="Лікар-педіатр",N329/S329,IF($B$327="Лікар-терапевт","х",IF($B$327="Лікар загальної практики - сімейний лікар",N329/S329,0)))</f>
        <v>0</v>
      </c>
      <c r="O330" s="203">
        <f>IF($B$327="Лікар-педіатр",O329/S329,IF($B$327="Лікар-терапевт","х",IF($B$327="Лікар загальної практики - сімейний лікар",O329/S329,0)))</f>
        <v>0</v>
      </c>
      <c r="P330" s="203">
        <f>IF($B$327="Лікар-педіатр","x",IF($B$327="Лікар-терапевт",P329/S329,IF($B$327="Лікар загальної практики - сімейний лікар",P329/S329,0)))</f>
        <v>0</v>
      </c>
      <c r="Q330" s="203">
        <f>IF($B$327="Лікар-педіатр","x",IF($B$327="Лікар-терапевт",Q329/S329,IF($B$327="Лікар загальної практики - сімейний лікар",Q329/S329,0)))</f>
        <v>0</v>
      </c>
      <c r="R330" s="203">
        <f>IF($B$327="Лікар-педіатр","x",IF($B$327="Лікар-терапевт",R329/S329,IF($B$327="Лікар загальної практики - сімейний лікар",R329/S329,0)))</f>
        <v>0</v>
      </c>
      <c r="S330" s="203">
        <f>SUM(N330:R330)</f>
        <v>0</v>
      </c>
      <c r="T330" s="966"/>
      <c r="U330" s="203">
        <f>IF($B$327="Лікар-педіатр",U329/Z329,IF($B$327="Лікар-терапевт","х",IF($B$327="Лікар загальної практики - сімейний лікар",U329/Z329,0)))</f>
        <v>0</v>
      </c>
      <c r="V330" s="203">
        <f>IF($B$327="Лікар-педіатр",V329/Z329,IF($B$327="Лікар-терапевт","х",IF($B$327="Лікар загальної практики - сімейний лікар",V329/Z329,0)))</f>
        <v>0</v>
      </c>
      <c r="W330" s="203">
        <f>IF($B$327="Лікар-педіатр","x",IF($B$327="Лікар-терапевт",W329/Z329,IF($B$327="Лікар загальної практики - сімейний лікар",W329/Z329,0)))</f>
        <v>0</v>
      </c>
      <c r="X330" s="203">
        <f>IF($B$327="Лікар-педіатр","x",IF($B$327="Лікар-терапевт",X329/Z329,IF($B$327="Лікар загальної практики - сімейний лікар",X329/Z329,0)))</f>
        <v>0</v>
      </c>
      <c r="Y330" s="203">
        <f>IF($B$327="Лікар-педіатр","x",IF($B$327="Лікар-терапевт",Y329/Z329,IF($B$327="Лікар загальної практики - сімейний лікар",Y329/Z329,0)))</f>
        <v>0</v>
      </c>
      <c r="Z330" s="203">
        <f>SUM(U330:Y330)</f>
        <v>0</v>
      </c>
      <c r="AA330" s="966"/>
      <c r="AB330" s="203">
        <f>IF($B$327="Лікар-педіатр",AB329/AG329,IF($B$327="Лікар-терапевт","х",IF($B$327="Лікар загальної практики - сімейний лікар",AB329/AG329,0)))</f>
        <v>0</v>
      </c>
      <c r="AC330" s="203">
        <f>IF($B$327="Лікар-педіатр",AC329/AG329,IF($B$327="Лікар-терапевт","х",IF($B$327="Лікар загальної практики - сімейний лікар",AC329/AG329,0)))</f>
        <v>0</v>
      </c>
      <c r="AD330" s="203">
        <f>IF($B$327="Лікар-педіатр","x",IF($B$327="Лікар-терапевт",AD329/AG329,IF($B$327="Лікар загальної практики - сімейний лікар",AD329/AG329,0)))</f>
        <v>0</v>
      </c>
      <c r="AE330" s="203">
        <f>IF($B$327="Лікар-педіатр","x",IF($B$327="Лікар-терапевт",AE329/AG329,IF($B$327="Лікар загальної практики - сімейний лікар",AE329/AG329,0)))</f>
        <v>0</v>
      </c>
      <c r="AF330" s="203">
        <f>IF($B$327="Лікар-педіатр","x",IF($B$327="Лікар-терапевт",AF329/AG329,IF($B$327="Лікар загальної практики - сімейний лікар",AF329/AG329,0)))</f>
        <v>0</v>
      </c>
      <c r="AG330" s="203">
        <f>SUM(AB330:AF330)</f>
        <v>0</v>
      </c>
      <c r="AH330" s="966"/>
      <c r="AI330" s="201"/>
      <c r="AJ330" s="945"/>
      <c r="AK330" s="960"/>
      <c r="AL330" s="960"/>
      <c r="AM330" s="930"/>
      <c r="AN330" s="948"/>
      <c r="AO330" s="948"/>
      <c r="AP330" s="948"/>
      <c r="AQ330" s="948"/>
      <c r="AR330" s="963"/>
    </row>
    <row r="331" spans="1:44" s="50" customFormat="1" ht="45" hidden="1" customHeight="1" thickBot="1">
      <c r="A331" s="197"/>
      <c r="B331" s="969"/>
      <c r="C331" s="970"/>
      <c r="D331" s="971"/>
      <c r="E331" s="972"/>
      <c r="F331" s="204" t="s">
        <v>662</v>
      </c>
      <c r="G331" s="205">
        <f>IF($B$327="Лікар загальної практики - сімейний лікар",AVERAGE(G327:G329),IF($B$327="Лікар-педіатр",AVERAGE(G327:G329),IF($B$327="Лікар-терапевт","х",0)))</f>
        <v>0</v>
      </c>
      <c r="H331" s="205">
        <f>IF($B$327="Лікар загальної практики - сімейний лікар",AVERAGE(H327:H329),IF($B$327="Лікар-педіатр",AVERAGE(H327:H329),IF($B$327="Лікар-терапевт","х",0)))</f>
        <v>0</v>
      </c>
      <c r="I331" s="205">
        <f>IF($B$327="Лікар загальної практики - сімейний лікар",AVERAGE(I327:I329),IF($B$327="Лікар-педіатр","x",IF($B$327="Лікар-терапевт",AVERAGE(I327:I329),0)))</f>
        <v>0</v>
      </c>
      <c r="J331" s="205">
        <f>IF($B$327="Лікар загальної практики - сімейний лікар",AVERAGE(J327:J329),IF($B$327="Лікар-педіатр","x",IF($B$327="Лікар-терапевт",AVERAGE(J327:J329),0)))</f>
        <v>0</v>
      </c>
      <c r="K331" s="205">
        <f>IF($B$327="Лікар загальної практики - сімейний лікар",AVERAGE(K327:K329),IF($B$327="Лікар-педіатр","x",IF($B$327="Лікар-терапевт",AVERAGE(K327:K329),0)))</f>
        <v>0</v>
      </c>
      <c r="L331" s="206">
        <f>SUM(G331:K331)</f>
        <v>0</v>
      </c>
      <c r="M331" s="973"/>
      <c r="N331" s="205">
        <f>IF($B$327="Лікар загальної практики - сімейний лікар",AVERAGE(N327:N329),IF($B$327="Лікар-педіатр",AVERAGE(N327:N329),IF($B$327="Лікар-терапевт","х",0)))</f>
        <v>0</v>
      </c>
      <c r="O331" s="205">
        <f>IF($B$327="Лікар загальної практики - сімейний лікар",AVERAGE(O327:O329),IF($B$327="Лікар-педіатр",AVERAGE(O327:O329),IF($B$327="Лікар-терапевт","х",0)))</f>
        <v>0</v>
      </c>
      <c r="P331" s="205">
        <f>IF($B$327="Лікар загальної практики - сімейний лікар",AVERAGE(P327:P329),IF($B$327="Лікар-педіатр","x",IF($B$327="Лікар-терапевт",AVERAGE(P327:P329),0)))</f>
        <v>0</v>
      </c>
      <c r="Q331" s="205">
        <f>IF($B$327="Лікар загальної практики - сімейний лікар",AVERAGE(Q327:Q329),IF($B$327="Лікар-педіатр","x",IF($B$327="Лікар-терапевт",AVERAGE(Q327:Q329),0)))</f>
        <v>0</v>
      </c>
      <c r="R331" s="205">
        <f>IF($B$327="Лікар загальної практики - сімейний лікар",AVERAGE(R327:R329),IF($B$327="Лікар-педіатр","x",IF($B$327="Лікар-терапевт",AVERAGE(R327:R329),0)))</f>
        <v>0</v>
      </c>
      <c r="S331" s="206">
        <f>SUM(N331:R331)</f>
        <v>0</v>
      </c>
      <c r="T331" s="973"/>
      <c r="U331" s="205">
        <f>IF($B$327="Лікар загальної практики - сімейний лікар",AVERAGE(U327:U329),IF($B$327="Лікар-педіатр",AVERAGE(U327:U329),IF($B$327="Лікар-терапевт","х",0)))</f>
        <v>0</v>
      </c>
      <c r="V331" s="205">
        <f>IF($B$327="Лікар загальної практики - сімейний лікар",AVERAGE(V327:V329),IF($B$327="Лікар-педіатр",AVERAGE(V327:V329),IF($B$327="Лікар-терапевт","х",0)))</f>
        <v>0</v>
      </c>
      <c r="W331" s="205">
        <f>IF($B$327="Лікар загальної практики - сімейний лікар",AVERAGE(W327:W329),IF($B$327="Лікар-педіатр","x",IF($B$327="Лікар-терапевт",AVERAGE(W327:W329),0)))</f>
        <v>0</v>
      </c>
      <c r="X331" s="205">
        <f>IF($B$327="Лікар загальної практики - сімейний лікар",AVERAGE(X327:X329),IF($B$327="Лікар-педіатр","x",IF($B$327="Лікар-терапевт",AVERAGE(X327:X329),0)))</f>
        <v>0</v>
      </c>
      <c r="Y331" s="205">
        <f>IF($B$327="Лікар загальної практики - сімейний лікар",AVERAGE(Y327:Y329),IF($B$327="Лікар-педіатр","x",IF($B$327="Лікар-терапевт",AVERAGE(Y327:Y329),0)))</f>
        <v>0</v>
      </c>
      <c r="Z331" s="206">
        <f>SUM(U331:Y331)</f>
        <v>0</v>
      </c>
      <c r="AA331" s="973"/>
      <c r="AB331" s="205">
        <f>IF($B$327="Лікар загальної практики - сімейний лікар",AVERAGE(AB327:AB329),IF($B$327="Лікар-педіатр",AVERAGE(AB327:AB329),IF($B$327="Лікар-терапевт","х",0)))</f>
        <v>0</v>
      </c>
      <c r="AC331" s="205">
        <f>IF($B$327="Лікар загальної практики - сімейний лікар",AVERAGE(AC327:AC329),IF($B$327="Лікар-педіатр",AVERAGE(AC327:AC329),IF($B$327="Лікар-терапевт","х",0)))</f>
        <v>0</v>
      </c>
      <c r="AD331" s="205">
        <f>IF($B$327="Лікар загальної практики - сімейний лікар",AVERAGE(AD327:AD329),IF($B$327="Лікар-педіатр","x",IF($B$327="Лікар-терапевт",AVERAGE(AD327:AD329),0)))</f>
        <v>0</v>
      </c>
      <c r="AE331" s="205">
        <f>IF($B$327="Лікар загальної практики - сімейний лікар",AVERAGE(AE327:AE329),IF($B$327="Лікар-педіатр","x",IF($B$327="Лікар-терапевт",AVERAGE(AE327:AE329),0)))</f>
        <v>0</v>
      </c>
      <c r="AF331" s="205">
        <f>IF($B$327="Лікар загальної практики - сімейний лікар",AVERAGE(AF327:AF329),IF($B$327="Лікар-педіатр","x",IF($B$327="Лікар-терапевт",AVERAGE(AF327:AF329),0)))</f>
        <v>0</v>
      </c>
      <c r="AG331" s="206">
        <f>SUM(AB331:AF331)</f>
        <v>0</v>
      </c>
      <c r="AH331" s="967"/>
      <c r="AI331" s="201"/>
      <c r="AJ331" s="945"/>
      <c r="AK331" s="960"/>
      <c r="AL331" s="960"/>
      <c r="AM331" s="931"/>
      <c r="AN331" s="949"/>
      <c r="AO331" s="949"/>
      <c r="AP331" s="949"/>
      <c r="AQ331" s="949"/>
      <c r="AR331" s="964"/>
    </row>
    <row r="332" spans="1:44" s="50" customFormat="1" ht="40.5" hidden="1">
      <c r="A332" s="197"/>
      <c r="B332" s="969"/>
      <c r="C332" s="970"/>
      <c r="D332" s="971"/>
      <c r="E332" s="971"/>
      <c r="F332" s="237" t="str">
        <f ca="1">IF(B327="Лікар-педіатр",Законод!$C$17,IF(B327="Лікар загальної практики - сімейний лікар",Законод!$C$21,IF(B327="Лікар-терапевт",Законод!$C$25,"х")))</f>
        <v>х</v>
      </c>
      <c r="G332" s="208">
        <f ca="1">IF($B$327="Лікар загальної практики - сімейний лікар",IF(L331&lt;=Законод!$C$22,G331,Законод!$C$22*'01_Доходи'!G330),IF($B$327="Лікар-педіатр",IF(L331&lt;=Законод!$C$18,G331,Законод!$C$18*'01_Доходи'!G330),IF($B$327="Лікар-терапевт","x",0)))</f>
        <v>0</v>
      </c>
      <c r="H332" s="208">
        <f ca="1">IF($B$327="Лікар загальної практики - сімейний лікар",IF(L331&lt;=Законод!$C$22,H331,Законод!$C$22*'01_Доходи'!H330),IF($B$327="Лікар-педіатр",IF(L331&lt;=Законод!$C$18,H331,Законод!$C$18*'01_Доходи'!H330),IF($B$327="Лікар-терапевт","x",0)))</f>
        <v>0</v>
      </c>
      <c r="I332" s="208">
        <f ca="1">IF($B$327="Лікар загальної практики - сімейний лікар",IF(L331&lt;=Законод!$C$22,I331,Законод!$C$22*'01_Доходи'!I330),IF($B$327="Лікар-педіатр","x",IF($B$327="Лікар-терапевт",IF(L331&lt;=Законод!$C$26,I331,Законод!$C$26*'01_Доходи'!I330),0)))</f>
        <v>0</v>
      </c>
      <c r="J332" s="208">
        <f ca="1">IF($B$327="Лікар загальної практики - сімейний лікар",IF(L331&lt;=Законод!$C$22,J331,Законод!$C$22*'01_Доходи'!J330),IF($B$327="Лікар-педіатр","x",IF($B$327="Лікар-терапевт",IF(L331&lt;=Законод!$C$26,J331,Законод!$C$26*'01_Доходи'!J330),0)))</f>
        <v>0</v>
      </c>
      <c r="K332" s="208">
        <f ca="1">IF($B$327="Лікар загальної практики - сімейний лікар",IF(L331&lt;=Законод!$C$22,K331,Законод!$C$22*'01_Доходи'!K330),IF($B$327="Лікар-педіатр","x",IF($B$327="Лікар-терапевт",IF(L331&lt;=Законод!$C$26,K331,Законод!$C$26*'01_Доходи'!K330),0)))</f>
        <v>0</v>
      </c>
      <c r="L332" s="209">
        <f ca="1">SUM(G332:K332)</f>
        <v>0</v>
      </c>
      <c r="M332" s="966"/>
      <c r="N332" s="208">
        <f ca="1">IF($B$327="Лікар загальної практики - сімейний лікар",IF(S331&lt;=Законод!$C$22,N331,Законод!$C$22*'01_Доходи'!N330),IF($B$327="Лікар-педіатр",IF(S331&lt;=Законод!$C$18,N331,Законод!$C$18*'01_Доходи'!N330),IF($B$327="Лікар-терапевт","x",0)))</f>
        <v>0</v>
      </c>
      <c r="O332" s="208">
        <f ca="1">IF($B$327="Лікар загальної практики - сімейний лікар",IF(S331&lt;=Законод!$C$22,O331,Законод!$C$22*'01_Доходи'!O330),IF($B$327="Лікар-педіатр",IF(S331&lt;=Законод!$C$18,O331,Законод!$C$18*'01_Доходи'!O330),IF($B$327="Лікар-терапевт","x",0)))</f>
        <v>0</v>
      </c>
      <c r="P332" s="208">
        <f ca="1">IF($B$327="Лікар загальної практики - сімейний лікар",IF(S331&lt;=Законод!$C$22,P331,Законод!$C$22*'01_Доходи'!P330),IF($B$327="Лікар-педіатр","x",IF($B$327="Лікар-терапевт",IF(S331&lt;=Законод!$C$26,P331,Законод!$C$26*'01_Доходи'!P330),0)))</f>
        <v>0</v>
      </c>
      <c r="Q332" s="208">
        <f ca="1">IF($B$327="Лікар загальної практики - сімейний лікар",IF(S331&lt;=Законод!$C$22,Q331,Законод!$C$22*'01_Доходи'!Q330),IF($B$327="Лікар-педіатр","x",IF($B$327="Лікар-терапевт",IF(S331&lt;=Законод!$C$26,Q331,Законод!$C$26*'01_Доходи'!Q330),0)))</f>
        <v>0</v>
      </c>
      <c r="R332" s="208">
        <f ca="1">IF($B$327="Лікар загальної практики - сімейний лікар",IF(S331&lt;=Законод!$C$22,R331,Законод!$C$22*'01_Доходи'!R330),IF($B$327="Лікар-педіатр","x",IF($B$327="Лікар-терапевт",IF(S331&lt;=Законод!$C$26,R331,Законод!$C$26*'01_Доходи'!R330),0)))</f>
        <v>0</v>
      </c>
      <c r="S332" s="209">
        <f ca="1">SUM(N332:R332)</f>
        <v>0</v>
      </c>
      <c r="T332" s="966"/>
      <c r="U332" s="208">
        <f ca="1">IF($B$327="Лікар загальної практики - сімейний лікар",IF(Z331&lt;=Законод!$C$22,U331,Законод!$C$22*'01_Доходи'!U330),IF($B$327="Лікар-педіатр",IF(Z331&lt;=Законод!$C$18,U331,Законод!$C$18*'01_Доходи'!U330),IF($B$327="Лікар-терапевт","x",0)))</f>
        <v>0</v>
      </c>
      <c r="V332" s="208">
        <f ca="1">IF($B$327="Лікар загальної практики - сімейний лікар",IF(Z331&lt;=Законод!$C$22,V331,Законод!$C$22*'01_Доходи'!V330),IF($B$327="Лікар-педіатр",IF(Z331&lt;=Законод!$C$18,V331,Законод!$C$18*'01_Доходи'!V330),IF($B$327="Лікар-терапевт","x",0)))</f>
        <v>0</v>
      </c>
      <c r="W332" s="208">
        <f ca="1">IF($B$327="Лікар загальної практики - сімейний лікар",IF(Z331&lt;=Законод!$C$22,W331,Законод!$C$22*'01_Доходи'!W330),IF($B$327="Лікар-педіатр","x",IF($B$327="Лікар-терапевт",IF(Z331&lt;=Законод!$C$26,W331,Законод!$C$26*'01_Доходи'!W330),0)))</f>
        <v>0</v>
      </c>
      <c r="X332" s="208">
        <f ca="1">IF($B$327="Лікар загальної практики - сімейний лікар",IF(Z331&lt;=Законод!$C$22,X331,Законод!$C$22*'01_Доходи'!X330),IF($B$327="Лікар-педіатр","x",IF($B$327="Лікар-терапевт",IF(Z331&lt;=Законод!$C$26,X331,Законод!$C$26*'01_Доходи'!X330),0)))</f>
        <v>0</v>
      </c>
      <c r="Y332" s="208">
        <f ca="1">IF($B$327="Лікар загальної практики - сімейний лікар",IF(Z331&lt;=Законод!$C$22,Y331,Законод!$C$22*'01_Доходи'!Y330),IF($B$327="Лікар-педіатр","x",IF($B$327="Лікар-терапевт",IF(Z331&lt;=Законод!$C$26,Y331,Законод!$C$26*'01_Доходи'!Y330),0)))</f>
        <v>0</v>
      </c>
      <c r="Z332" s="209">
        <f ca="1">SUM(U332:Y332)</f>
        <v>0</v>
      </c>
      <c r="AA332" s="966"/>
      <c r="AB332" s="208">
        <f ca="1">IF($B$327="Лікар загальної практики - сімейний лікар",IF(AG331&lt;=Законод!$C$22,AB331,Законод!$C$22*'01_Доходи'!AB330),IF($B$327="Лікар-педіатр",IF(AG331&lt;=Законод!$C$18,AB331,Законод!$C$18*'01_Доходи'!AB330),IF($B$327="Лікар-терапевт","x",0)))</f>
        <v>0</v>
      </c>
      <c r="AC332" s="208">
        <f ca="1">IF($B$327="Лікар загальної практики - сімейний лікар",IF(AG331&lt;=Законод!$C$22,AC331,Законод!$C$22*'01_Доходи'!AC330),IF($B$327="Лікар-педіатр",IF(AG331&lt;=Законод!$C$18,AC331,Законод!$C$18*'01_Доходи'!AC330),IF($B$327="Лікар-терапевт","x",0)))</f>
        <v>0</v>
      </c>
      <c r="AD332" s="208">
        <f ca="1">IF($B$327="Лікар загальної практики - сімейний лікар",IF(AG331&lt;=Законод!$C$22,AD331,Законод!$C$22*'01_Доходи'!AD330),IF($B$327="Лікар-педіатр","x",IF($B$327="Лікар-терапевт",IF(AG331&lt;=Законод!$C$26,AD331,Законод!$C$26*'01_Доходи'!AD330),0)))</f>
        <v>0</v>
      </c>
      <c r="AE332" s="208">
        <f ca="1">IF($B$327="Лікар загальної практики - сімейний лікар",IF(AG331&lt;=Законод!$C$22,AE331,Законод!$C$22*'01_Доходи'!AE330),IF($B$327="Лікар-педіатр","x",IF($B$327="Лікар-терапевт",IF(AG331&lt;=Законод!$C$26,AE331,Законод!$C$26*'01_Доходи'!AE330),0)))</f>
        <v>0</v>
      </c>
      <c r="AF332" s="208">
        <f ca="1">IF($B$327="Лікар загальної практики - сімейний лікар",IF(AG331&lt;=Законод!$C$22,AF331,Законод!$C$22*'01_Доходи'!AF330),IF($B$327="Лікар-педіатр","x",IF($B$327="Лікар-терапевт",IF(AG331&lt;=Законод!$C$26,AF331,Законод!$C$26*'01_Доходи'!AF330),0)))</f>
        <v>0</v>
      </c>
      <c r="AG332" s="209">
        <f ca="1">SUM(AB332:AF332)</f>
        <v>0</v>
      </c>
      <c r="AH332" s="966"/>
      <c r="AI332" s="201"/>
      <c r="AJ332" s="945"/>
      <c r="AK332" s="960"/>
      <c r="AL332" s="960"/>
      <c r="AM332" s="348" t="s">
        <v>451</v>
      </c>
      <c r="AN332" s="210">
        <f ca="1">IF(B327="Лікар загальної практики - сімейний лікар",G332*Законод!$C$11+'01_Доходи'!H332*Законод!$D$11+'01_Доходи'!I332*Законод!$E$11+'01_Доходи'!J332*Законод!$F$11+'01_Доходи'!K332*Законод!$G$11,IF(B327="Лікар-педіатр",G332*Законод!$C$11+'01_Доходи'!H332*Законод!$D$11,IF(B327="Лікар-терапевт",'01_Доходи'!I332*Законод!$E$11+'01_Доходи'!J332*Законод!$F$11+'01_Доходи'!K332*Законод!$G$11,0)))</f>
        <v>0</v>
      </c>
      <c r="AO332" s="210">
        <f ca="1">IF(B327="Лікар загальної практики - сімейний лікар",N332*Законод!$C$11+'01_Доходи'!O332*Законод!$D$11+'01_Доходи'!P332*Законод!$E$11+'01_Доходи'!Q332*Законод!$F$11+'01_Доходи'!R332*Законод!$G$11,IF(B327="Лікар-педіатр",N332*Законод!$C$11+'01_Доходи'!O332*Законод!$D$11,IF(B327="Лікар-терапевт",'01_Доходи'!P332*Законод!$E$11+'01_Доходи'!Q332*Законод!$F$11+'01_Доходи'!R332*Законод!$G$11,0)))</f>
        <v>0</v>
      </c>
      <c r="AP332" s="210">
        <f ca="1">IF(B327="Лікар загальної практики - сімейний лікар",U332*Законод!$C$11+'01_Доходи'!V332*Законод!$D$11+'01_Доходи'!W332*Законод!$E$11+'01_Доходи'!X332*Законод!$F$11+'01_Доходи'!Y332*Законод!$G$11,IF(B327="Лікар-педіатр",U332*Законод!$C$11+'01_Доходи'!V332*Законод!$D$11,IF(B327="Лікар-терапевт",'01_Доходи'!W332*Законод!$E$11+'01_Доходи'!X332*Законод!$F$11+'01_Доходи'!Y332*Законод!$G$11,0)))</f>
        <v>0</v>
      </c>
      <c r="AQ332" s="210">
        <f ca="1">IF(B327="Лікар загальної практики - сімейний лікар",AB332*Законод!$C$11+'01_Доходи'!AC332*Законод!$D$11+'01_Доходи'!AD332*Законод!$E$11+'01_Доходи'!AE332*Законод!$F$11+'01_Доходи'!AF332*Законод!$G$11,IF(B327="Лікар-педіатр",AB332*Законод!$C$11+'01_Доходи'!AC332*Законод!$D$11,IF(B327="Лікар-терапевт",'01_Доходи'!AD332*Законод!$E$11+'01_Доходи'!AE332*Законод!$F$11+'01_Доходи'!AF332*Законод!$G$11,0)))</f>
        <v>0</v>
      </c>
      <c r="AR332" s="211">
        <f t="shared" ref="AR332:AR338" si="65">SUM(AN332:AQ332)</f>
        <v>0</v>
      </c>
    </row>
    <row r="333" spans="1:44" s="50" customFormat="1" ht="31.9" hidden="1" customHeight="1">
      <c r="A333" s="197"/>
      <c r="B333" s="969"/>
      <c r="C333" s="970"/>
      <c r="D333" s="971"/>
      <c r="E333" s="971"/>
      <c r="F333" s="238" t="str">
        <f ca="1">IF(B327="Лікар-педіатр",Законод!$E$17,IF(B327="Лікар загальної практики - сімейний лікар",Законод!$E$21,IF(B327="Лікар-терапевт",Законод!$E$25,"х")))</f>
        <v>х</v>
      </c>
      <c r="G333" s="965" t="s">
        <v>423</v>
      </c>
      <c r="H333" s="965"/>
      <c r="I333" s="965"/>
      <c r="J333" s="965"/>
      <c r="K333" s="965"/>
      <c r="L333" s="196">
        <f ca="1">IF($B$327="Лікар загальної практики - сімейний лікар",IF(L331&lt;Законод!$C$22,0,(IF(AND(L331&gt;=Законод!$E$22,L331&lt;=Законод!$E$23),L331-Законод!$C$22,IF('01_Доходи'!L331&gt;=Законод!$F$22,Законод!$E$24,0)))),IF($B$327="Лікар-педіатр",IF(L331&lt;Законод!$C$18,0,(IF(AND(L331&gt;=Законод!$E$18,L331&lt;=Законод!$E$19),L331-Законод!$C$18,IF('01_Доходи'!L331&gt;=Законод!$F$18,Законод!$E$20,0)))),IF($B$327="Лікар-терапевт",IF(L331&lt;Законод!$C$26,0,(IF(AND(L331&gt;=Законод!$E$26,L331&lt;=Законод!$E$27),L331-Законод!$C$26,IF('01_Доходи'!L331&gt;=Законод!$F$26,Законод!$E$28,0)))),0)))</f>
        <v>0</v>
      </c>
      <c r="M333" s="966"/>
      <c r="N333" s="965" t="s">
        <v>423</v>
      </c>
      <c r="O333" s="965"/>
      <c r="P333" s="965"/>
      <c r="Q333" s="965"/>
      <c r="R333" s="965"/>
      <c r="S333" s="196">
        <f ca="1">IF($B$327="Лікар загальної практики - сімейний лікар",IF(S331&lt;Законод!$C$22,0,(IF(AND(S331&gt;=Законод!$E$22,S331&lt;=Законод!$E$23),S331-Законод!$C$22,IF('01_Доходи'!S331&gt;=Законод!$F$22,Законод!$E$24,0)))),IF($B$327="Лікар-педіатр",IF(S331&lt;Законод!$C$18,0,(IF(AND(S331&gt;=Законод!$E$18,S331&lt;=Законод!$E$19),S331-Законод!$C$18,IF('01_Доходи'!S331&gt;=Законод!$F$18,Законод!$E$20,0)))),IF($B$327="Лікар-терапевт",IF(S331&lt;Законод!$C$26,0,(IF(AND(S331&gt;=Законод!$E$26,S331&lt;=Законод!$E$27),S331-Законод!$C$26,IF('01_Доходи'!S331&gt;=Законод!$F$26,Законод!$E$28,0)))),0)))</f>
        <v>0</v>
      </c>
      <c r="T333" s="966"/>
      <c r="U333" s="965" t="s">
        <v>423</v>
      </c>
      <c r="V333" s="965"/>
      <c r="W333" s="965"/>
      <c r="X333" s="965"/>
      <c r="Y333" s="965"/>
      <c r="Z333" s="196">
        <f ca="1">IF($B$327="Лікар загальної практики - сімейний лікар",IF(Z331&lt;Законод!$C$22,0,(IF(AND(Z331&gt;=Законод!$E$22,Z331&lt;=Законод!$E$23),Z331-Законод!$C$22,IF('01_Доходи'!Z331&gt;=Законод!$F$22,Законод!$E$24,0)))),IF($B$327="Лікар-педіатр",IF(Z331&lt;Законод!$C$18,0,(IF(AND(Z331&gt;=Законод!$E$18,Z331&lt;=Законод!$E$19),Z331-Законод!$C$18,IF('01_Доходи'!Z331&gt;=Законод!$F$18,Законод!$E$20,0)))),IF($B$327="Лікар-терапевт",IF(Z331&lt;Законод!$C$26,0,(IF(AND(Z331&gt;=Законод!$E$26,Z331&lt;=Законод!$E$27),Z331-Законод!$C$26,IF('01_Доходи'!Z331&gt;=Законод!$F$26,Законод!$E$28,0)))),0)))</f>
        <v>0</v>
      </c>
      <c r="AA333" s="966"/>
      <c r="AB333" s="965" t="s">
        <v>423</v>
      </c>
      <c r="AC333" s="965"/>
      <c r="AD333" s="965"/>
      <c r="AE333" s="965"/>
      <c r="AF333" s="965"/>
      <c r="AG333" s="196">
        <f ca="1">IF($B$327="Лікар загальної практики - сімейний лікар",IF(AG331&lt;Законод!$C$22,0,(IF(AND(AG331&gt;=Законод!$E$22,AG331&lt;=Законод!$E$23),AG331-Законод!$C$22,IF('01_Доходи'!AG331&gt;=Законод!$F$22,Законод!$E$24,0)))),IF($B$327="Лікар-педіатр",IF(AG331&lt;Законод!$C$18,0,(IF(AND(AG331&gt;=Законод!$E$18,AG331&lt;=Законод!$E$19),AG331-Законод!$C$18,IF('01_Доходи'!AG331&gt;=Законод!$F$18,Законод!$E$20,0)))),IF($B$327="Лікар-терапевт",IF(AG331&lt;Законод!$C$26,0,(IF(AND(AG331&gt;=Законод!$E$26,AG331&lt;=Законод!$E$27),AG331-Законод!$C$26,IF('01_Доходи'!AG331&gt;=Законод!$F$26,Законод!$E$28,0)))),0)))</f>
        <v>0</v>
      </c>
      <c r="AH333" s="966"/>
      <c r="AI333" s="201"/>
      <c r="AJ333" s="945"/>
      <c r="AK333" s="960"/>
      <c r="AL333" s="960"/>
      <c r="AM333" s="926" t="s">
        <v>452</v>
      </c>
      <c r="AN333" s="210">
        <f ca="1">IF(B327="Лікар загальної практики - сімейний лікар",L333*Законод!$C$9/4*Законод!$E$16,IF(B327="Лікар-педіатр",L333*Законод!$C$9/4*Законод!$E$16,IF(B327="Лікар-терапевт",L333*Законод!$C$9/4*Законод!$E$16,0)))</f>
        <v>0</v>
      </c>
      <c r="AO333" s="210">
        <f ca="1">IF(B327="Лікар загальної практики - сімейний лікар",S333*Законод!$C$9/4*Законод!$E$16,IF(B327="Лікар-педіатр",S333*Законод!$C$9/4*Законод!$E$16,IF(B327="Лікар-терапевт",S333*Законод!$C$9/4*Законод!$E$16,0)))</f>
        <v>0</v>
      </c>
      <c r="AP333" s="210">
        <f ca="1">IF(B327="Лікар загальної практики - сімейний лікар",Z333*Законод!$C$9/4*Законод!$E$16,IF(B327="Лікар-педіатр",Z333*Законод!$C$9/4*Законод!$E$16,IF(B327="Лікар-терапевт",Z333*Законод!$C$9/4*Законод!$E$16,0)))</f>
        <v>0</v>
      </c>
      <c r="AQ333" s="210">
        <f ca="1">IF(B327="Лікар загальної практики - сімейний лікар",AG333*Законод!$C$9/4*Законод!$E$16,IF(B327="Лікар-педіатр",AG333*Законод!$C$9/4*Законод!$E$16,IF(B327="Лікар-терапевт",AG333*Законод!$C$9/4*Законод!$E$16,0)))</f>
        <v>0</v>
      </c>
      <c r="AR333" s="211">
        <f t="shared" si="65"/>
        <v>0</v>
      </c>
    </row>
    <row r="334" spans="1:44" s="50" customFormat="1" ht="31.9" hidden="1" customHeight="1">
      <c r="A334" s="197"/>
      <c r="B334" s="969"/>
      <c r="C334" s="970"/>
      <c r="D334" s="971"/>
      <c r="E334" s="971"/>
      <c r="F334" s="238" t="str">
        <f ca="1">IF(B327="Лікар-педіатр",Законод!$F$17,IF(B327="Лікар загальної практики - сімейний лікар",Законод!$F$21,IF(B327="Лікар-терапевт",Законод!$F$25,"х")))</f>
        <v>х</v>
      </c>
      <c r="G334" s="965" t="s">
        <v>423</v>
      </c>
      <c r="H334" s="965"/>
      <c r="I334" s="965"/>
      <c r="J334" s="965"/>
      <c r="K334" s="965"/>
      <c r="L334" s="196">
        <f ca="1">IF($B$327="Лікар загальної практики - сімейний лікар",IF(L331&lt;Законод!$C$22,0,(IF(AND(L331&gt;=Законод!$F$22,L331&lt;=Законод!$F$23),L331-Законод!$E$23,IF('01_Доходи'!L331&gt;=Законод!$G$22,Законод!$F$24,0)))),IF($B$327="Лікар-педіатр",IF(L331&lt;Законод!$C$18,0,(IF(AND(L331&gt;=Законод!$F$18,L331&lt;=Законод!$F$19),L331-Законод!$E$19,IF('01_Доходи'!L331&gt;=Законод!$G$18,Законод!$F$20,0)))),IF($B$327="Лікар-терапевт",IF(L331&lt;Законод!$C$26,0,(IF(AND(L331&gt;=Законод!$F$26,L331&lt;=Законод!$F$27),L331-Законод!$E$27,IF('01_Доходи'!L331&gt;=Законод!$G$26,Законод!$F$28,0)))),0)))</f>
        <v>0</v>
      </c>
      <c r="M334" s="966"/>
      <c r="N334" s="965" t="s">
        <v>423</v>
      </c>
      <c r="O334" s="965"/>
      <c r="P334" s="965"/>
      <c r="Q334" s="965"/>
      <c r="R334" s="965"/>
      <c r="S334" s="196">
        <f ca="1">IF($B$327="Лікар загальної практики - сімейний лікар",IF(S331&lt;Законод!$C$22,0,(IF(AND(S331&gt;=Законод!$F$22,S331&lt;=Законод!$F$23),S331-Законод!$E$23,IF('01_Доходи'!S331&gt;=Законод!$G$22,Законод!$F$24,0)))),IF($B$327="Лікар-педіатр",IF(S331&lt;Законод!$C$18,0,(IF(AND(S331&gt;=Законод!$F$18,S331&lt;=Законод!$F$19),S331-Законод!$E$19,IF('01_Доходи'!S331&gt;=Законод!$G$18,Законод!$F$20,0)))),IF($B$327="Лікар-терапевт",IF(S331&lt;Законод!$C$26,0,(IF(AND(S331&gt;=Законод!$F$26,S331&lt;=Законод!$F$27),S331-Законод!$E$27,IF('01_Доходи'!S331&gt;=Законод!$G$26,Законод!$F$28,0)))),0)))</f>
        <v>0</v>
      </c>
      <c r="T334" s="966"/>
      <c r="U334" s="965" t="s">
        <v>423</v>
      </c>
      <c r="V334" s="965"/>
      <c r="W334" s="965"/>
      <c r="X334" s="965"/>
      <c r="Y334" s="965"/>
      <c r="Z334" s="196">
        <f ca="1">IF($B$327="Лікар загальної практики - сімейний лікар",IF(Z331&lt;Законод!$C$22,0,(IF(AND(Z331&gt;=Законод!$F$22,Z331&lt;=Законод!$F$23),Z331-Законод!$E$23,IF('01_Доходи'!Z331&gt;=Законод!$G$22,Законод!$F$24,0)))),IF($B$327="Лікар-педіатр",IF(Z331&lt;Законод!$C$18,0,(IF(AND(Z331&gt;=Законод!$F$18,Z331&lt;=Законод!$F$19),Z331-Законод!$E$19,IF('01_Доходи'!Z331&gt;=Законод!$G$18,Законод!$F$20,0)))),IF($B$327="Лікар-терапевт",IF(Z331&lt;Законод!$C$26,0,(IF(AND(Z331&gt;=Законод!$F$26,Z331&lt;=Законод!$F$27),Z331-Законод!$E$27,IF('01_Доходи'!Z331&gt;=Законод!$G$26,Законод!$F$28,0)))),0)))</f>
        <v>0</v>
      </c>
      <c r="AA334" s="966"/>
      <c r="AB334" s="965" t="s">
        <v>423</v>
      </c>
      <c r="AC334" s="965"/>
      <c r="AD334" s="965"/>
      <c r="AE334" s="965"/>
      <c r="AF334" s="965"/>
      <c r="AG334" s="196">
        <f ca="1">IF($B$327="Лікар загальної практики - сімейний лікар",IF(AG331&lt;Законод!$C$22,0,(IF(AND(AG331&gt;=Законод!$F$22,AG331&lt;=Законод!$F$23),AG331-Законод!$E$23,IF('01_Доходи'!AG331&gt;=Законод!$G$22,Законод!$F$24,0)))),IF($B$327="Лікар-педіатр",IF(AG331&lt;Законод!$C$18,0,(IF(AND(AG331&gt;=Законод!$F$18,AG331&lt;=Законод!$F$19),AG331-Законод!$E$19,IF('01_Доходи'!AG331&gt;=Законод!$G$18,Законод!$F$20,0)))),IF($B$327="Лікар-терапевт",IF(AG331&lt;Законод!$C$26,0,(IF(AND(AG331&gt;=Законод!$F$26,AG331&lt;=Законод!$F$27),AG331-Законод!$E$27,IF('01_Доходи'!AG331&gt;=Законод!$G$26,Законод!$F$28,0)))),0)))</f>
        <v>0</v>
      </c>
      <c r="AH334" s="966"/>
      <c r="AI334" s="201"/>
      <c r="AJ334" s="945"/>
      <c r="AK334" s="960"/>
      <c r="AL334" s="960"/>
      <c r="AM334" s="927"/>
      <c r="AN334" s="210">
        <f ca="1">IF(B327="Лікар загальної практики - сімейний лікар",L334*Законод!$C$9/4*Законод!$F$16,IF(B327="Лікар-педіатр",L334*Законод!$C$9/4*Законод!$F$16,IF(B327="Лікар-терапевт",L334*Законод!$C$9/4*Законод!$F$16,0)))</f>
        <v>0</v>
      </c>
      <c r="AO334" s="210">
        <f ca="1">IF(B327="Лікар загальної практики - сімейний лікар",S334*Законод!$C$9/4*Законод!$F$16,IF(B327="Лікар-педіатр",S334*Законод!$C$9/4*Законод!$F$16,IF(B327="Лікар-терапевт",S334*Законод!$C$9/4*Законод!$F$16,0)))</f>
        <v>0</v>
      </c>
      <c r="AP334" s="210">
        <f ca="1">IF(B327="Лікар загальної практики - сімейний лікар",Z334*Законод!$C$9/4*Законод!$F$16,IF(B327="Лікар-педіатр",Z334*Законод!$C$9/4*Законод!$F$16,IF(B327="Лікар-терапевт",Z334*Законод!$C$9/4*Законод!$F$16,0)))</f>
        <v>0</v>
      </c>
      <c r="AQ334" s="210">
        <f ca="1">IF(B327="Лікар загальної практики - сімейний лікар",AG334*Законод!$C$9/4*Законод!$F$16,IF(B327="Лікар-педіатр",AG334*Законод!$C$9/4*Законод!$F$16,IF(B327="Лікар-терапевт",AG334*Законод!$C$9/4*Законод!$F$16,0)))</f>
        <v>0</v>
      </c>
      <c r="AR334" s="211">
        <f t="shared" si="65"/>
        <v>0</v>
      </c>
    </row>
    <row r="335" spans="1:44" s="50" customFormat="1" ht="31.9" hidden="1" customHeight="1">
      <c r="A335" s="197"/>
      <c r="B335" s="969"/>
      <c r="C335" s="970"/>
      <c r="D335" s="971"/>
      <c r="E335" s="971"/>
      <c r="F335" s="238" t="str">
        <f ca="1">IF(B327="Лікар-педіатр",Законод!$G$17,IF(B327="Лікар загальної практики - сімейний лікар",Законод!$G$21,IF(B327="Лікар-терапевт",Законод!$G$25,"х")))</f>
        <v>х</v>
      </c>
      <c r="G335" s="965" t="s">
        <v>423</v>
      </c>
      <c r="H335" s="965"/>
      <c r="I335" s="965"/>
      <c r="J335" s="965"/>
      <c r="K335" s="965"/>
      <c r="L335" s="196">
        <f ca="1">IF($B$327="Лікар загальної практики - сімейний лікар",IF(L331&lt;Законод!$C$22,0,(IF(AND(L331&gt;=Законод!$G$22,L331&lt;=Законод!$G$23),L331-Законод!$F$23,IF('01_Доходи'!L331&gt;=Законод!$H$22,Законод!$G$24,0)))),IF($B$327="Лікар-педіатр",IF(L331&lt;Законод!$C$18,0,(IF(AND(L331&gt;=Законод!$G$18,L331&lt;=Законод!$G$19),L331-Законод!$F$19,IF('01_Доходи'!L331&gt;=Законод!$H$18,Законод!$G$20,0)))),IF($B$327="Лікар-терапевт",IF(L331&lt;Законод!$C$26,0,(IF(AND(L331&gt;=Законод!$G$26,L331&lt;=Законод!$G$27),L331-Законод!$F$27,IF('01_Доходи'!L331&gt;=Законод!$H$26,Законод!$G$28,0)))),0)))</f>
        <v>0</v>
      </c>
      <c r="M335" s="966"/>
      <c r="N335" s="965" t="s">
        <v>423</v>
      </c>
      <c r="O335" s="965"/>
      <c r="P335" s="965"/>
      <c r="Q335" s="965"/>
      <c r="R335" s="965"/>
      <c r="S335" s="196">
        <f ca="1">IF($B$327="Лікар загальної практики - сімейний лікар",IF(S331&lt;Законод!$C$22,0,(IF(AND(S331&gt;=Законод!$G$22,S331&lt;=Законод!$G$23),S331-Законод!$F$23,IF('01_Доходи'!S331&gt;=Законод!$H$22,Законод!$G$24,0)))),IF($B$327="Лікар-педіатр",IF(S331&lt;Законод!$C$18,0,(IF(AND(S331&gt;=Законод!$G$18,S331&lt;=Законод!$G$19),S331-Законод!$F$19,IF('01_Доходи'!S331&gt;=Законод!$H$18,Законод!$G$20,0)))),IF($B$327="Лікар-терапевт",IF(S331&lt;Законод!$C$26,0,(IF(AND(S331&gt;=Законод!$G$26,S331&lt;=Законод!$G$27),S331-Законод!$F$27,IF('01_Доходи'!S331&gt;=Законод!$H$26,Законод!$G$28,0)))),0)))</f>
        <v>0</v>
      </c>
      <c r="T335" s="966"/>
      <c r="U335" s="965" t="s">
        <v>423</v>
      </c>
      <c r="V335" s="965"/>
      <c r="W335" s="965"/>
      <c r="X335" s="965"/>
      <c r="Y335" s="965"/>
      <c r="Z335" s="196">
        <f ca="1">IF($B$327="Лікар загальної практики - сімейний лікар",IF(Z331&lt;Законод!$C$22,0,(IF(AND(Z331&gt;=Законод!$G$22,Z331&lt;=Законод!$G$23),Z331-Законод!$F$23,IF('01_Доходи'!Z331&gt;=Законод!$H$22,Законод!$G$24,0)))),IF($B$327="Лікар-педіатр",IF(Z331&lt;Законод!$C$18,0,(IF(AND(Z331&gt;=Законод!$G$18,Z331&lt;=Законод!$G$19),Z331-Законод!$F$19,IF('01_Доходи'!Z331&gt;=Законод!$H$18,Законод!$G$20,0)))),IF($B$327="Лікар-терапевт",IF(Z331&lt;Законод!$C$26,0,(IF(AND(Z331&gt;=Законод!$G$26,Z331&lt;=Законод!$G$27),Z331-Законод!$F$27,IF('01_Доходи'!Z331&gt;=Законод!$H$26,Законод!$G$28,0)))),0)))</f>
        <v>0</v>
      </c>
      <c r="AA335" s="966"/>
      <c r="AB335" s="965" t="s">
        <v>423</v>
      </c>
      <c r="AC335" s="965"/>
      <c r="AD335" s="965"/>
      <c r="AE335" s="965"/>
      <c r="AF335" s="965"/>
      <c r="AG335" s="196">
        <f ca="1">IF($B$327="Лікар загальної практики - сімейний лікар",IF(AG331&lt;Законод!$C$22,0,(IF(AND(AG331&gt;=Законод!$G$22,AG331&lt;=Законод!$G$23),AG331-Законод!$F$23,IF('01_Доходи'!AG331&gt;=Законод!$H$22,Законод!$G$24,0)))),IF($B$327="Лікар-педіатр",IF(AG331&lt;Законод!$C$18,0,(IF(AND(AG331&gt;=Законод!$G$18,AG331&lt;=Законод!$G$19),AG331-Законод!$F$19,IF('01_Доходи'!AG331&gt;=Законод!$H$18,Законод!$G$20,0)))),IF($B$327="Лікар-терапевт",IF(AG331&lt;Законод!$C$26,0,(IF(AND(AG331&gt;=Законод!$G$26,AG331&lt;=Законод!$G$27),AG331-Законод!$F$27,IF('01_Доходи'!AG331&gt;=Законод!$H$26,Законод!$G$28,0)))),0)))</f>
        <v>0</v>
      </c>
      <c r="AH335" s="966"/>
      <c r="AI335" s="201"/>
      <c r="AJ335" s="945"/>
      <c r="AK335" s="960"/>
      <c r="AL335" s="960"/>
      <c r="AM335" s="927"/>
      <c r="AN335" s="210">
        <f ca="1">IF(B327="Лікар загальної практики - сімейний лікар",L335*Законод!$C$9/4*Законод!$G$16,IF(B327="Лікар-педіатр",L335*Законод!$C$9/4*Законод!$G$16,IF(B327="Лікар-терапевт",L335*Законод!$C$9/4*Законод!$G$16,0)))</f>
        <v>0</v>
      </c>
      <c r="AO335" s="210">
        <f ca="1">IF(B327="Лікар загальної практики - сімейний лікар",S335*Законод!$C$9/4*Законод!$G$16,IF(B327="Лікар-педіатр",S335*Законод!$C$9/4*Законод!$G$16,IF(B327="Лікар-терапевт",S335*Законод!$C$9/4*Законод!$G$16,0)))</f>
        <v>0</v>
      </c>
      <c r="AP335" s="210">
        <f ca="1">IF(B327="Лікар загальної практики - сімейний лікар",Z335*Законод!$C$9/4*Законод!$G$16,IF(B327="Лікар-педіатр",Z335*Законод!$C$9/4*Законод!$G$16,IF(B327="Лікар-терапевт",Z335*Законод!$C$9/4*Законод!$G$16,0)))</f>
        <v>0</v>
      </c>
      <c r="AQ335" s="210">
        <f ca="1">IF(B327="Лікар загальної практики - сімейний лікар",AG335*Законод!$C$9/4*Законод!$G$16,IF(B327="Лікар-педіатр",AG335*Законод!$C$9/4*Законод!$G$16,IF(B327="Лікар-терапевт",AG335*Законод!$C$9/4*Законод!$G$16,0)))</f>
        <v>0</v>
      </c>
      <c r="AR335" s="211">
        <f t="shared" si="65"/>
        <v>0</v>
      </c>
    </row>
    <row r="336" spans="1:44" s="50" customFormat="1" ht="31.9" hidden="1" customHeight="1">
      <c r="A336" s="197"/>
      <c r="B336" s="969"/>
      <c r="C336" s="970"/>
      <c r="D336" s="971"/>
      <c r="E336" s="971"/>
      <c r="F336" s="238" t="str">
        <f ca="1">IF(B327="Лікар-педіатр",Законод!$H$17,IF(B327="Лікар загальної практики - сімейний лікар",Законод!$H$21,IF(B327="Лікар-терапевт",Законод!$H$25,"х")))</f>
        <v>х</v>
      </c>
      <c r="G336" s="965" t="s">
        <v>423</v>
      </c>
      <c r="H336" s="965"/>
      <c r="I336" s="965"/>
      <c r="J336" s="965"/>
      <c r="K336" s="965"/>
      <c r="L336" s="196">
        <f ca="1">IF($B$327="Лікар загальної практики - сімейний лікар",IF(L331&lt;Законод!$C$22,0,(IF(AND(L331&gt;=Законод!$H$22,L331&lt;=Законод!$H$23),L331-Законод!$G$23,IF('01_Доходи'!L331&gt;=Законод!$I$22,Законод!$H$24,0)))),IF($B$327="Лікар-педіатр",IF(L331&lt;Законод!$C$18,0,(IF(AND(L331&gt;=Законод!$H$18,L331&lt;=Законод!$H$19),L331-Законод!$G$19,IF('01_Доходи'!L331&gt;=Законод!$I$18,Законод!$H$20,0)))),IF($B$327="Лікар-терапевт",IF(L331&lt;Законод!$C$26,0,(IF(AND(L331&gt;=Законод!$H$26,L331&lt;=Законод!$H$27),L331-Законод!$G$27,IF(L331&gt;=Законод!$I$26,Законод!$H$28,0)))),0)))</f>
        <v>0</v>
      </c>
      <c r="M336" s="966"/>
      <c r="N336" s="965" t="s">
        <v>423</v>
      </c>
      <c r="O336" s="965"/>
      <c r="P336" s="965"/>
      <c r="Q336" s="965"/>
      <c r="R336" s="965"/>
      <c r="S336" s="196">
        <f ca="1">IF($B$327="Лікар загальної практики - сімейний лікар",IF(S331&lt;Законод!$C$22,0,(IF(AND(S331&gt;=Законод!$H$22,S331&lt;=Законод!$H$23),S331-Законод!$G$23,IF('01_Доходи'!S331&gt;=Законод!$I$22,Законод!$H$24,0)))),IF($B$327="Лікар-педіатр",IF(S331&lt;Законод!$C$18,0,(IF(AND(S331&gt;=Законод!$H$18,S331&lt;=Законод!$H$19),S331-Законод!$G$19,IF('01_Доходи'!S331&gt;=Законод!$I$18,Законод!$H$20,0)))),IF($B$327="Лікар-терапевт",IF(S331&lt;Законод!$C$26,0,(IF(AND(S331&gt;=Законод!$H$26,S331&lt;=Законод!$H$27),S331-Законод!$G$27,IF(S331&gt;=Законод!$I$26,Законод!$H$28,0)))),0)))</f>
        <v>0</v>
      </c>
      <c r="T336" s="966"/>
      <c r="U336" s="965" t="s">
        <v>423</v>
      </c>
      <c r="V336" s="965"/>
      <c r="W336" s="965"/>
      <c r="X336" s="965"/>
      <c r="Y336" s="965"/>
      <c r="Z336" s="196">
        <f ca="1">IF($B$327="Лікар загальної практики - сімейний лікар",IF(Z331&lt;Законод!$C$22,0,(IF(AND(Z331&gt;=Законод!$H$22,Z331&lt;=Законод!$H$23),Z331-Законод!$G$23,IF('01_Доходи'!Z331&gt;=Законод!$I$22,Законод!$H$24,0)))),IF($B$327="Лікар-педіатр",IF(Z331&lt;Законод!$C$18,0,(IF(AND(Z331&gt;=Законод!$H$18,Z331&lt;=Законод!$H$19),Z331-Законод!$G$19,IF('01_Доходи'!Z331&gt;=Законод!$I$18,Законод!$H$20,0)))),IF($B$327="Лікар-терапевт",IF(Z331&lt;Законод!$C$26,0,(IF(AND(Z331&gt;=Законод!$H$26,Z331&lt;=Законод!$H$27),Z331-Законод!$G$27,IF(Z331&gt;=Законод!$I$26,Законод!$H$28,0)))),0)))</f>
        <v>0</v>
      </c>
      <c r="AA336" s="966"/>
      <c r="AB336" s="965" t="s">
        <v>423</v>
      </c>
      <c r="AC336" s="965"/>
      <c r="AD336" s="965"/>
      <c r="AE336" s="965"/>
      <c r="AF336" s="965"/>
      <c r="AG336" s="196">
        <f ca="1">IF($B$327="Лікар загальної практики - сімейний лікар",IF(AG331&lt;Законод!$C$22,0,(IF(AND(AG331&gt;=Законод!$H$22,AG331&lt;=Законод!$H$23),AG331-Законод!$G$23,IF('01_Доходи'!AG331&gt;=Законод!$I$22,Законод!$H$24,0)))),IF($B$327="Лікар-педіатр",IF(AG331&lt;Законод!$C$18,0,(IF(AND(AG331&gt;=Законод!$H$18,AG331&lt;=Законод!$H$19),AG331-Законод!$G$19,IF('01_Доходи'!AG331&gt;=Законод!$I$18,Законод!$H$20,0)))),IF($B$327="Лікар-терапевт",IF(AG331&lt;Законод!$C$26,0,(IF(AND(AG331&gt;=Законод!$H$26,AG331&lt;=Законод!$H$27),AG331-Законод!$G$27,IF(AG331&gt;=Законод!$I$26,Законод!$H$28,0)))),0)))</f>
        <v>0</v>
      </c>
      <c r="AH336" s="966"/>
      <c r="AI336" s="201"/>
      <c r="AJ336" s="945"/>
      <c r="AK336" s="960"/>
      <c r="AL336" s="960"/>
      <c r="AM336" s="927"/>
      <c r="AN336" s="210">
        <f ca="1">IF(B327="Лікар загальної практики - сімейний лікар",L336*Законод!$C$9/4*Законод!$H$16,IF(B327="Лікар-педіатр",L336*Законод!$C$9/4*Законод!$H$16,IF(B327="Лікар-терапевт",L336*Законод!$C$9/4*Законод!$H$16,0)))</f>
        <v>0</v>
      </c>
      <c r="AO336" s="210">
        <f ca="1">IF(B327="Лікар загальної практики - сімейний лікар",S336*Законод!$C$9/4*Законод!$H$16,IF(B327="Лікар-педіатр",S336*Законод!$C$9/4*Законод!$H$16,IF(B327="Лікар-терапевт",S336*Законод!$C$9/4*Законод!$H$16,0)))</f>
        <v>0</v>
      </c>
      <c r="AP336" s="210">
        <f ca="1">IF(B327="Лікар загальної практики - сімейний лікар",Z336*Законод!$C$9/4*Законод!$H$16,IF(B327="Лікар-педіатр",Z336*Законод!$C$9/4*Законод!$H$16,IF(B327="Лікар-терапевт",Z336*Законод!$C$9/4*Законод!$H$16,0)))</f>
        <v>0</v>
      </c>
      <c r="AQ336" s="210">
        <f ca="1">IF(B327="Лікар загальної практики - сімейний лікар",AG336*Законод!$C$9/4*Законод!$H$16,IF(B327="Лікар-педіатр",AG336*Законод!$C$9/4*Законод!$H$16,IF(B327="Лікар-терапевт",AG336*Законод!$C$9/4*Законод!$H$16,0)))</f>
        <v>0</v>
      </c>
      <c r="AR336" s="211">
        <f t="shared" si="65"/>
        <v>0</v>
      </c>
    </row>
    <row r="337" spans="1:44" s="50" customFormat="1" ht="31.9" hidden="1" customHeight="1">
      <c r="A337" s="197"/>
      <c r="B337" s="969"/>
      <c r="C337" s="970"/>
      <c r="D337" s="971"/>
      <c r="E337" s="971"/>
      <c r="F337" s="238" t="str">
        <f ca="1">IF(B327="Лікар-педіатр",Законод!$I$17,IF(B327="Лікар загальної практики - сімейний лікар",Законод!$I$21,IF(B327="Лікар-терапевт",Законод!$I$25,"х")))</f>
        <v>х</v>
      </c>
      <c r="G337" s="965" t="s">
        <v>423</v>
      </c>
      <c r="H337" s="965"/>
      <c r="I337" s="965"/>
      <c r="J337" s="965"/>
      <c r="K337" s="965"/>
      <c r="L337" s="196">
        <f ca="1">IF($B$327="Лікар загальної практики - сімейний лікар",IF(L331&lt;Законод!$C$22,0,(IF(AND(L331&gt;=Законод!$I$22,L331&lt;=Законод!$I$23),L331-Законод!$H$23,IF('01_Доходи'!L331&gt;=Законод!$I$22,Законод!$I$24,0)))),IF($B$327="Лікар-педіатр",IF(L331&lt;Законод!$C$18,0,(IF(AND(L331&gt;=Законод!$I$18,L331&lt;=Законод!$I$19),L331-Законод!$H$19,IF('01_Доходи'!L331&gt;=Законод!$I$18,Законод!$H$20,0)))),IF($B$327="Лікар-терапевт",IF(L331&lt;Законод!$C$26,0,(IF(AND(L331&gt;=Законод!$I$26,L331&lt;=Законод!$I$27),L331-Законод!$H$27,IF('01_Доходи'!L331&gt;=Законод!$I$26,Законод!$H$28,0)))),0)))</f>
        <v>0</v>
      </c>
      <c r="M337" s="966"/>
      <c r="N337" s="965" t="s">
        <v>423</v>
      </c>
      <c r="O337" s="965"/>
      <c r="P337" s="965"/>
      <c r="Q337" s="965"/>
      <c r="R337" s="965"/>
      <c r="S337" s="196">
        <f ca="1">IF($B$327="Лікар загальної практики - сімейний лікар",IF(S331&lt;Законод!$C$22,0,(IF(AND(S331&gt;=Законод!$I$22,S331&lt;=Законод!$I$23),S331-Законод!$H$23,IF('01_Доходи'!S331&gt;=Законод!$I$22,Законод!$I$24,0)))),IF($B$327="Лікар-педіатр",IF(S331&lt;Законод!$C$18,0,(IF(AND(S331&gt;=Законод!$I$18,S331&lt;=Законод!$I$19),S331-Законод!$H$19,IF('01_Доходи'!S331&gt;=Законод!$I$18,Законод!$H$20,0)))),IF($B$327="Лікар-терапевт",IF(S331&lt;Законод!$C$26,0,(IF(AND(S331&gt;=Законод!$I$26,S331&lt;=Законод!$I$27),S331-Законод!$H$27,IF('01_Доходи'!S331&gt;=Законод!$I$26,Законод!$H$28,0)))),0)))</f>
        <v>0</v>
      </c>
      <c r="T337" s="966"/>
      <c r="U337" s="965" t="s">
        <v>423</v>
      </c>
      <c r="V337" s="965"/>
      <c r="W337" s="965"/>
      <c r="X337" s="965"/>
      <c r="Y337" s="965"/>
      <c r="Z337" s="196">
        <f ca="1">IF($B$327="Лікар загальної практики - сімейний лікар",IF(Z331&lt;Законод!$C$22,0,(IF(AND(Z331&gt;=Законод!$I$22,Z331&lt;=Законод!$I$23),Z331-Законод!$H$23,IF('01_Доходи'!Z331&gt;=Законод!$I$22,Законод!$I$24,0)))),IF($B$327="Лікар-педіатр",IF(Z331&lt;Законод!$C$18,0,(IF(AND(Z331&gt;=Законод!$I$18,Z331&lt;=Законод!$I$19),Z331-Законод!$H$19,IF('01_Доходи'!Z331&gt;=Законод!$I$18,Законод!$H$20,0)))),IF($B$327="Лікар-терапевт",IF(Z331&lt;Законод!$C$26,0,(IF(AND(Z331&gt;=Законод!$I$26,Z331&lt;=Законод!$I$27),Z331-Законод!$H$27,IF('01_Доходи'!Z331&gt;=Законод!$I$26,Законод!$H$28,0)))),0)))</f>
        <v>0</v>
      </c>
      <c r="AA337" s="966"/>
      <c r="AB337" s="965" t="s">
        <v>423</v>
      </c>
      <c r="AC337" s="965"/>
      <c r="AD337" s="965"/>
      <c r="AE337" s="965"/>
      <c r="AF337" s="965"/>
      <c r="AG337" s="196">
        <f ca="1">IF($B$327="Лікар загальної практики - сімейний лікар",IF(AG331&lt;Законод!$C$22,0,(IF(AND(AG331&gt;=Законод!$I$22,AG331&lt;=Законод!$I$23),AG331-Законод!$H$23,IF('01_Доходи'!AG331&gt;=Законод!$I$22,Законод!$I$24,0)))),IF($B$327="Лікар-педіатр",IF(AG331&lt;Законод!$C$18,0,(IF(AND(AG331&gt;=Законод!$I$18,AG331&lt;=Законод!$I$19),AG331-Законод!$H$19,IF('01_Доходи'!AG331&gt;=Законод!$I$18,Законод!$H$20,0)))),IF($B$327="Лікар-терапевт",IF(AG331&lt;Законод!$C$26,0,(IF(AND(AG331&gt;=Законод!$I$26,AG331&lt;=Законод!$I$27),AG331-Законод!$H$27,IF('01_Доходи'!AG331&gt;=Законод!$I$26,Законод!$H$28,0)))),0)))</f>
        <v>0</v>
      </c>
      <c r="AH337" s="966"/>
      <c r="AI337" s="201"/>
      <c r="AJ337" s="945"/>
      <c r="AK337" s="960"/>
      <c r="AL337" s="960"/>
      <c r="AM337" s="927"/>
      <c r="AN337" s="210">
        <f ca="1">IF(B327="Лікар загальної практики - сімейний лікар",L337*Законод!$C$9/4*Законод!$I$16,IF(B327="Лікар-педіатр",L337*Законод!$C$9/4*Законод!$I$16,IF(B327="Лікар-терапевт",L337*Законод!$C$9/4*Законод!$I$16,0)))</f>
        <v>0</v>
      </c>
      <c r="AO337" s="210">
        <f ca="1">IF(B327="Лікар загальної практики - сімейний лікар",S337*Законод!$C$9/4*Законод!$I$16,IF(B327="Лікар-педіатр",S337*Законод!$C$9/4*Законод!$I$16,IF(B327="Лікар-терапевт",S337*Законод!$C$9/4*Законод!$I$16,0)))</f>
        <v>0</v>
      </c>
      <c r="AP337" s="210">
        <f ca="1">IF(B327="Лікар загальної практики - сімейний лікар",Z337*Законод!$C$9/4*Законод!$I$16,IF(B327="Лікар-педіатр",Z337*Законод!$C$9/4*Законод!$I$16,IF(B327="Лікар-терапевт",Z337*Законод!$C$9/4*Законод!$I$16,0)))</f>
        <v>0</v>
      </c>
      <c r="AQ337" s="210">
        <f ca="1">IF(B327="Лікар загальної практики - сімейний лікар",AG337*Законод!$C$9/4*Законод!$I$16,IF(B327="Лікар-педіатр",AG337*Законод!$C$9/4*Законод!$I$16,IF(B327="Лікар-терапевт",AG337*Законод!$C$9/4*Законод!$I$16,0)))</f>
        <v>0</v>
      </c>
      <c r="AR337" s="211">
        <f t="shared" si="65"/>
        <v>0</v>
      </c>
    </row>
    <row r="338" spans="1:44" s="218" customFormat="1" ht="31.9" hidden="1" customHeight="1" thickBot="1">
      <c r="A338" s="213"/>
      <c r="B338" s="969"/>
      <c r="C338" s="970"/>
      <c r="D338" s="971"/>
      <c r="E338" s="971"/>
      <c r="F338" s="239" t="str">
        <f ca="1">IF(B327="Лікар-педіатр",Законод!$J$17,IF(B327="Лікар загальної практики - сімейний лікар",Законод!$J$21,IF(B327="Лікар-терапевт",Законод!$J$25,"х")))</f>
        <v>х</v>
      </c>
      <c r="G338" s="968" t="s">
        <v>423</v>
      </c>
      <c r="H338" s="968"/>
      <c r="I338" s="968"/>
      <c r="J338" s="968"/>
      <c r="K338" s="968"/>
      <c r="L338" s="196">
        <f ca="1">IF($B$327="Лікар загальної практики - сімейний лікар",IF(L331&gt;=Законод!$J$22,'01_Доходи'!L331-('01_Доходи'!L332+'01_Доходи'!L333+'01_Доходи'!L334+'01_Доходи'!L335+'01_Доходи'!L336+'01_Доходи'!L337),0),IF($B$327="Лікар-педіатр",IF(L331&gt;=Законод!$J$18,'01_Доходи'!L331-('01_Доходи'!L332+'01_Доходи'!L333+'01_Доходи'!L334+'01_Доходи'!L335+'01_Доходи'!L336+'01_Доходи'!L337),0),IF($B$327="Лікар-терапевт",IF('01_Доходи'!L331&gt;=Законод!$J$26,L331-Законод!$I$27,0),0)))</f>
        <v>0</v>
      </c>
      <c r="M338" s="966"/>
      <c r="N338" s="968" t="s">
        <v>423</v>
      </c>
      <c r="O338" s="968"/>
      <c r="P338" s="968"/>
      <c r="Q338" s="968"/>
      <c r="R338" s="968"/>
      <c r="S338" s="196">
        <f ca="1">IF($B$327="Лікар загальної практики - сімейний лікар",IF(S331&gt;=Законод!$J$22,'01_Доходи'!S331-('01_Доходи'!S332+'01_Доходи'!S333+'01_Доходи'!S334+'01_Доходи'!S335+'01_Доходи'!S336+'01_Доходи'!S337),0),IF($B$327="Лікар-педіатр",IF(S331&gt;=Законод!$J$18,'01_Доходи'!S331-('01_Доходи'!S332+'01_Доходи'!S333+'01_Доходи'!S334+'01_Доходи'!S335+'01_Доходи'!S336+'01_Доходи'!S337),0),IF($B$327="Лікар-терапевт",IF('01_Доходи'!S331&gt;=Законод!$J$26,S331-Законод!$I$27,0),0)))</f>
        <v>0</v>
      </c>
      <c r="T338" s="966"/>
      <c r="U338" s="968" t="s">
        <v>423</v>
      </c>
      <c r="V338" s="968"/>
      <c r="W338" s="968"/>
      <c r="X338" s="968"/>
      <c r="Y338" s="968"/>
      <c r="Z338" s="196">
        <f ca="1">IF($B$327="Лікар загальної практики - сімейний лікар",IF(Z331&gt;=Законод!$J$22,'01_Доходи'!Z331-('01_Доходи'!Z332+'01_Доходи'!Z333+'01_Доходи'!Z334+'01_Доходи'!Z335+'01_Доходи'!Z336+'01_Доходи'!Z337),0),IF($B$327="Лікар-педіатр",IF(Z331&gt;=Законод!$J$18,'01_Доходи'!Z331-('01_Доходи'!Z332+'01_Доходи'!Z333+'01_Доходи'!Z334+'01_Доходи'!Z335+'01_Доходи'!Z336+'01_Доходи'!Z337),0),IF($B$327="Лікар-терапевт",IF('01_Доходи'!Z331&gt;=Законод!$J$26,Z331-Законод!$I$27,0),0)))</f>
        <v>0</v>
      </c>
      <c r="AA338" s="966"/>
      <c r="AB338" s="968" t="s">
        <v>423</v>
      </c>
      <c r="AC338" s="968"/>
      <c r="AD338" s="968"/>
      <c r="AE338" s="968"/>
      <c r="AF338" s="968"/>
      <c r="AG338" s="196">
        <f ca="1">IF($B$327="Лікар загальної практики - сімейний лікар",IF(AG331&gt;=Законод!$J$22,'01_Доходи'!AG331-('01_Доходи'!AG332+'01_Доходи'!AG333+'01_Доходи'!AG334+'01_Доходи'!AG335+'01_Доходи'!AG336+'01_Доходи'!AG337),0),IF($B$327="Лікар-педіатр",IF(AG331&gt;=Законод!$J$18,'01_Доходи'!AG331-('01_Доходи'!AG332+'01_Доходи'!AG333+'01_Доходи'!AG334+'01_Доходи'!AG335+'01_Доходи'!AG336+'01_Доходи'!AG337),0),IF($B$327="Лікар-терапевт",IF('01_Доходи'!AG331&gt;=Законод!$J$26,AG331-Законод!$I$27,0),0)))</f>
        <v>0</v>
      </c>
      <c r="AH338" s="966"/>
      <c r="AI338" s="215"/>
      <c r="AJ338" s="946"/>
      <c r="AK338" s="961"/>
      <c r="AL338" s="961"/>
      <c r="AM338" s="928"/>
      <c r="AN338" s="216">
        <f ca="1">IF(B327="Лікар загальної практики - сімейний лікар",L338*Законод!$C$9/4*Законод!$J$16,IF(B327="Лікар-педіатр",L338*Законод!$C$9/4*Законод!$J$16,IF(B327="Лікар-терапевт",L338*Законод!$C$9/4*Законод!$J$16,0)))</f>
        <v>0</v>
      </c>
      <c r="AO338" s="216">
        <f ca="1">IF(B327="Лікар загальної практики - сімейний лікар",S338*Законод!$C$9/4*Законод!$J$16,IF(B327="Лікар-педіатр",S338*Законод!$C$9/4*Законод!$J$16,IF(B327="Лікар-терапевт",S338*Законод!$C$9/4*Законод!$J$16,0)))</f>
        <v>0</v>
      </c>
      <c r="AP338" s="216">
        <f ca="1">IF(B327="Лікар загальної практики - сімейний лікар",S338*Законод!$C$9/4*Законод!$J$16,IF(B327="Лікар-педіатр",S338*Законод!$C$9/4*Законод!$J$16,IF(B327="Лікар-терапевт",S338*Законод!$C$9/4*Законод!$J$16,0)))</f>
        <v>0</v>
      </c>
      <c r="AQ338" s="216">
        <f ca="1">IF(B327="Лікар загальної практики - сімейний лікар",AG338*Законод!$C$9/4*Законод!$J$16,IF(B327="Лікар-педіатр",AG338*Законод!$C$9/4*Законод!$J$16,IF(B327="Лікар-терапевт",AG338*Законод!$C$9/4*Законод!$J$16,0)))</f>
        <v>0</v>
      </c>
      <c r="AR338" s="217">
        <f t="shared" si="65"/>
        <v>0</v>
      </c>
    </row>
    <row r="339" spans="1:44" s="247" customFormat="1" ht="23.45" hidden="1" customHeight="1">
      <c r="A339" s="243"/>
      <c r="B339" s="244"/>
      <c r="C339" s="244"/>
      <c r="D339" s="244"/>
      <c r="E339" s="244"/>
      <c r="F339" s="245"/>
      <c r="G339" s="246"/>
      <c r="H339" s="246"/>
      <c r="L339" s="248"/>
      <c r="S339" s="248"/>
      <c r="Z339" s="248"/>
      <c r="AG339" s="248"/>
      <c r="AM339" s="249"/>
      <c r="AR339" s="250"/>
    </row>
    <row r="340" spans="1:44" s="191" customFormat="1" ht="27.6" hidden="1" customHeight="1">
      <c r="A340" s="194">
        <f>A327+1</f>
        <v>24</v>
      </c>
      <c r="B340" s="969"/>
      <c r="C340" s="970"/>
      <c r="D340" s="971"/>
      <c r="E340" s="971"/>
      <c r="F340" s="234" t="s">
        <v>659</v>
      </c>
      <c r="G340" s="196">
        <f>IF($B$340="Лікар-педіатр",G343*L340,IF($B$340="Лікар-терапевт","х",IF($B$340="Лікар загальної практики - сімейний лікар",G343*L340,0)))</f>
        <v>0</v>
      </c>
      <c r="H340" s="196">
        <f>IF($B$340="Лікар-педіатр",H343*L340,IF($B$340="Лікар-терапевт","х",IF($B$340="Лікар загальної практики - сімейний лікар",H343*L340,0)))</f>
        <v>0</v>
      </c>
      <c r="I340" s="196">
        <f>IF($B$340="Лікар-педіатр","x",IF($B$340="Лікар-терапевт",I343*L340,IF($B$340="Лікар загальної практики - сімейний лікар",I343*L340,0)))</f>
        <v>0</v>
      </c>
      <c r="J340" s="196">
        <f>IF($B$340="Лікар-педіатр","x",IF($B$340="Лікар-терапевт",J343*L340,IF($B$340="Лікар загальної практики - сімейний лікар",J343*L340,0)))</f>
        <v>0</v>
      </c>
      <c r="K340" s="196">
        <f>IF($B$340="Лікар-педіатр","x",IF($B$340="Лікар-терапевт",K343*L340,IF($B$340="Лікар загальної практики - сімейний лікар",K343*L340,0)))</f>
        <v>0</v>
      </c>
      <c r="L340" s="557"/>
      <c r="M340" s="966"/>
      <c r="N340" s="196">
        <f>IF($B$340="Лікар-педіатр",N343*S340,IF($B$340="Лікар-терапевт","х",IF($B$340="Лікар загальної практики - сімейний лікар",N343*S340,0)))</f>
        <v>0</v>
      </c>
      <c r="O340" s="196">
        <f>IF($B$340="Лікар-педіатр",O343*S340,IF($B$340="Лікар-терапевт","х",IF($B$340="Лікар загальної практики - сімейний лікар",O343*S340,0)))</f>
        <v>0</v>
      </c>
      <c r="P340" s="196">
        <f>IF($B$340="Лікар-педіатр","x",IF($B$340="Лікар-терапевт",P343*S340,IF($B$340="Лікар загальної практики - сімейний лікар",P343*S340,0)))</f>
        <v>0</v>
      </c>
      <c r="Q340" s="196">
        <f>IF($B$340="Лікар-педіатр","x",IF($B$340="Лікар-терапевт",Q343*S340,IF($B$340="Лікар загальної практики - сімейний лікар",Q343*S340,0)))</f>
        <v>0</v>
      </c>
      <c r="R340" s="196">
        <f>IF($B$340="Лікар-педіатр","x",IF($B$340="Лікар-терапевт",R343*S340,IF($B$340="Лікар загальної практики - сімейний лікар",R343*S340,0)))</f>
        <v>0</v>
      </c>
      <c r="S340" s="557"/>
      <c r="T340" s="966"/>
      <c r="U340" s="196">
        <f>IF($B$340="Лікар-педіатр",U343*Z340,IF($B$340="Лікар-терапевт","х",IF($B$340="Лікар загальної практики - сімейний лікар",U343*Z340,0)))</f>
        <v>0</v>
      </c>
      <c r="V340" s="196">
        <f>IF($B$340="Лікар-педіатр",V343*Z340,IF($B$340="Лікар-терапевт","х",IF($B$340="Лікар загальної практики - сімейний лікар",V343*Z340,0)))</f>
        <v>0</v>
      </c>
      <c r="W340" s="196">
        <f>IF($B$340="Лікар-педіатр","x",IF($B$340="Лікар-терапевт",W343*Z340,IF($B$340="Лікар загальної практики - сімейний лікар",W343*Z340,0)))</f>
        <v>0</v>
      </c>
      <c r="X340" s="196">
        <f>IF($B$340="Лікар-педіатр","x",IF($B$340="Лікар-терапевт",X343*Z340,IF($B$340="Лікар загальної практики - сімейний лікар",X343*Z340,0)))</f>
        <v>0</v>
      </c>
      <c r="Y340" s="196">
        <f>IF($B$340="Лікар-педіатр","x",IF($B$340="Лікар-терапевт",Y343*Z340,IF($B$340="Лікар загальної практики - сімейний лікар",Y343*Z340,0)))</f>
        <v>0</v>
      </c>
      <c r="Z340" s="557"/>
      <c r="AA340" s="966"/>
      <c r="AB340" s="196">
        <f>IF($B$340="Лікар-педіатр",AB343*AG340,IF($B$340="Лікар-терапевт","х",IF($B$340="Лікар загальної практики - сімейний лікар",AB343*AG340,0)))</f>
        <v>0</v>
      </c>
      <c r="AC340" s="196">
        <f>IF($B$340="Лікар-педіатр",AC343*AG340,IF($B$340="Лікар-терапевт","х",IF($B$340="Лікар загальної практики - сімейний лікар",AC343*AG340,0)))</f>
        <v>0</v>
      </c>
      <c r="AD340" s="196">
        <f>IF($B$340="Лікар-педіатр","x",IF($B$340="Лікар-терапевт",AD343*AG340,IF($B$340="Лікар загальної практики - сімейний лікар",AD343*AG340,0)))</f>
        <v>0</v>
      </c>
      <c r="AE340" s="196">
        <f>IF($B$340="Лікар-педіатр","x",IF($B$340="Лікар-терапевт",AE343*AG340,IF($B$340="Лікар загальної практики - сімейний лікар",AE343*AG340,0)))</f>
        <v>0</v>
      </c>
      <c r="AF340" s="196">
        <f>IF($B$340="Лікар-педіатр","x",IF($B$340="Лікар-терапевт",AF343*AG340,IF($B$340="Лікар загальної практики - сімейний лікар",AF343*AG340,0)))</f>
        <v>0</v>
      </c>
      <c r="AG340" s="557"/>
      <c r="AH340" s="966"/>
      <c r="AI340" s="540">
        <f>A340</f>
        <v>24</v>
      </c>
      <c r="AJ340" s="944">
        <f>B340</f>
        <v>0</v>
      </c>
      <c r="AK340" s="959">
        <f>C340</f>
        <v>0</v>
      </c>
      <c r="AL340" s="959">
        <f>D340</f>
        <v>0</v>
      </c>
      <c r="AM340" s="929" t="s">
        <v>79</v>
      </c>
      <c r="AN340" s="947">
        <f>SUM(AN345:AN351)</f>
        <v>0</v>
      </c>
      <c r="AO340" s="947">
        <f>SUM(AO345:AO351)</f>
        <v>0</v>
      </c>
      <c r="AP340" s="947">
        <f>SUM(AP345:AP351)</f>
        <v>0</v>
      </c>
      <c r="AQ340" s="947">
        <f>SUM(AQ345:AQ351)</f>
        <v>0</v>
      </c>
      <c r="AR340" s="962">
        <f>SUM(AN340:AQ344)</f>
        <v>0</v>
      </c>
    </row>
    <row r="341" spans="1:44" s="50" customFormat="1" ht="28.15" hidden="1" customHeight="1">
      <c r="A341" s="197"/>
      <c r="B341" s="969"/>
      <c r="C341" s="970"/>
      <c r="D341" s="971"/>
      <c r="E341" s="971"/>
      <c r="F341" s="234" t="s">
        <v>660</v>
      </c>
      <c r="G341" s="196">
        <f>IF($B$340="Лікар-педіатр",G343*L341,IF($B$340="Лікар-терапевт","х",IF($B$340="Лікар загальної практики - сімейний лікар",G343*L341,0)))</f>
        <v>0</v>
      </c>
      <c r="H341" s="196">
        <f>IF($B$340="Лікар-педіатр",H343*L341,IF($B$340="Лікар-терапевт","х",IF($B$340="Лікар загальної практики - сімейний лікар",H343*L341,0)))</f>
        <v>0</v>
      </c>
      <c r="I341" s="196">
        <f>IF($B$340="Лікар-педіатр","x",IF($B$340="Лікар-терапевт",I343*L341,IF($B$340="Лікар загальної практики - сімейний лікар",I343*L341,0)))</f>
        <v>0</v>
      </c>
      <c r="J341" s="196">
        <f>IF($B$340="Лікар-педіатр","x",IF($B$340="Лікар-терапевт",J343*L341,IF($B$340="Лікар загальної практики - сімейний лікар",J343*L341,0)))</f>
        <v>0</v>
      </c>
      <c r="K341" s="196">
        <f>IF($B$340="Лікар-педіатр","x",IF($B$340="Лікар-терапевт",K343*L341,IF($B$340="Лікар загальної практики - сімейний лікар",K343*L341,0)))</f>
        <v>0</v>
      </c>
      <c r="L341" s="557"/>
      <c r="M341" s="966"/>
      <c r="N341" s="196">
        <f>IF($B$340="Лікар-педіатр",N343*S341,IF($B$340="Лікар-терапевт","х",IF($B$340="Лікар загальної практики - сімейний лікар",N343*S341,0)))</f>
        <v>0</v>
      </c>
      <c r="O341" s="196">
        <f>IF($B$340="Лікар-педіатр",O343*S341,IF($B$340="Лікар-терапевт","х",IF($B$340="Лікар загальної практики - сімейний лікар",O343*S341,0)))</f>
        <v>0</v>
      </c>
      <c r="P341" s="196">
        <f>IF($B$340="Лікар-педіатр","x",IF($B$340="Лікар-терапевт",P343*S341,IF($B$340="Лікар загальної практики - сімейний лікар",P343*S341,0)))</f>
        <v>0</v>
      </c>
      <c r="Q341" s="196">
        <f>IF($B$340="Лікар-педіатр","x",IF($B$340="Лікар-терапевт",Q343*S341,IF($B$340="Лікар загальної практики - сімейний лікар",Q343*S341,0)))</f>
        <v>0</v>
      </c>
      <c r="R341" s="196">
        <f>IF($B$340="Лікар-педіатр","x",IF($B$340="Лікар-терапевт",R343*S341,IF($B$340="Лікар загальної практики - сімейний лікар",R343*S341,0)))</f>
        <v>0</v>
      </c>
      <c r="S341" s="557"/>
      <c r="T341" s="966"/>
      <c r="U341" s="196">
        <f>IF($B$340="Лікар-педіатр",U343*Z341,IF($B$340="Лікар-терапевт","х",IF($B$340="Лікар загальної практики - сімейний лікар",U343*Z341,0)))</f>
        <v>0</v>
      </c>
      <c r="V341" s="196">
        <f>IF($B$340="Лікар-педіатр",V343*Z341,IF($B$340="Лікар-терапевт","х",IF($B$340="Лікар загальної практики - сімейний лікар",V343*Z341,0)))</f>
        <v>0</v>
      </c>
      <c r="W341" s="196">
        <f>IF($B$340="Лікар-педіатр","x",IF($B$340="Лікар-терапевт",W343*Z341,IF($B$340="Лікар загальної практики - сімейний лікар",W343*Z341,0)))</f>
        <v>0</v>
      </c>
      <c r="X341" s="196">
        <f>IF($B$340="Лікар-педіатр","x",IF($B$340="Лікар-терапевт",X343*Z341,IF($B$340="Лікар загальної практики - сімейний лікар",X343*Z341,0)))</f>
        <v>0</v>
      </c>
      <c r="Y341" s="196">
        <f>IF($B$340="Лікар-педіатр","x",IF($B$340="Лікар-терапевт",Y343*Z341,IF($B$340="Лікар загальної практики - сімейний лікар",Y343*Z341,0)))</f>
        <v>0</v>
      </c>
      <c r="Z341" s="557"/>
      <c r="AA341" s="966"/>
      <c r="AB341" s="196">
        <f>IF($B$340="Лікар-педіатр",AB343*AG341,IF($B$340="Лікар-терапевт","х",IF($B$340="Лікар загальної практики - сімейний лікар",AB343*AG341,0)))</f>
        <v>0</v>
      </c>
      <c r="AC341" s="196">
        <f>IF($B$340="Лікар-педіатр",AC343*AG341,IF($B$340="Лікар-терапевт","х",IF($B$340="Лікар загальної практики - сімейний лікар",AC343*AG341,0)))</f>
        <v>0</v>
      </c>
      <c r="AD341" s="196">
        <f>IF($B$340="Лікар-педіатр","x",IF($B$340="Лікар-терапевт",AD343*AG341,IF($B$340="Лікар загальної практики - сімейний лікар",AD343*AG341,0)))</f>
        <v>0</v>
      </c>
      <c r="AE341" s="196">
        <f>IF($B$340="Лікар-педіатр","x",IF($B$340="Лікар-терапевт",AE343*AG341,IF($B$340="Лікар загальної практики - сімейний лікар",AE343*AG341,0)))</f>
        <v>0</v>
      </c>
      <c r="AF341" s="196">
        <f>IF($B$340="Лікар-педіатр","x",IF($B$340="Лікар-терапевт",AF343*AG341,IF($B$340="Лікар загальної практики - сімейний лікар",AF343*AG341,0)))</f>
        <v>0</v>
      </c>
      <c r="AG341" s="557"/>
      <c r="AH341" s="966"/>
      <c r="AI341" s="198"/>
      <c r="AJ341" s="945"/>
      <c r="AK341" s="960"/>
      <c r="AL341" s="960"/>
      <c r="AM341" s="930"/>
      <c r="AN341" s="948"/>
      <c r="AO341" s="948"/>
      <c r="AP341" s="948"/>
      <c r="AQ341" s="948"/>
      <c r="AR341" s="963"/>
    </row>
    <row r="342" spans="1:44" s="90" customFormat="1" ht="31.15" hidden="1" customHeight="1">
      <c r="A342" s="240"/>
      <c r="B342" s="969"/>
      <c r="C342" s="970"/>
      <c r="D342" s="971"/>
      <c r="E342" s="971"/>
      <c r="F342" s="241" t="s">
        <v>661</v>
      </c>
      <c r="G342" s="199">
        <f>IF(B340="Лікар загальної практики - сімейний лікар"," ",IF(B340="Лікар-педіатр"," ",IF(B340="Лікар-терапевт","х",0)))</f>
        <v>0</v>
      </c>
      <c r="H342" s="199">
        <f>IF(B340="Лікар загальної практики - сімейний лікар"," ",IF(B340="Лікар-педіатр"," ",IF(B340="Лікар-терапевт","х",0)))</f>
        <v>0</v>
      </c>
      <c r="I342" s="199">
        <f>IF(B340="Лікар загальної практики - сімейний лікар"," ",IF(B340="Лікар-педіатр","х",IF(B340="Лікар-терапевт"," ",0)))</f>
        <v>0</v>
      </c>
      <c r="J342" s="199">
        <f>IF(B340="Лікар загальної практики - сімейний лікар"," ",IF(B340="Лікар-педіатр","х",IF(B340="Лікар-терапевт"," ",0)))</f>
        <v>0</v>
      </c>
      <c r="K342" s="199">
        <f>IF(B340="Лікар загальної практики - сімейний лікар"," ",IF(B340="Лікар-педіатр","х",IF(B340="Лікар-терапевт"," ",0)))</f>
        <v>0</v>
      </c>
      <c r="L342" s="200">
        <f>SUM(G342:K342)</f>
        <v>0</v>
      </c>
      <c r="M342" s="966"/>
      <c r="N342" s="199">
        <f>IF(B340="Лікар загальної практики - сімейний лікар"," ",IF(B340="Лікар-педіатр"," ",IF(B340="Лікар-терапевт","х",0)))</f>
        <v>0</v>
      </c>
      <c r="O342" s="199">
        <f>IF(B340="Лікар загальної практики - сімейний лікар"," ",IF(B340="Лікар-педіатр"," ",IF(B340="Лікар-терапевт","х",0)))</f>
        <v>0</v>
      </c>
      <c r="P342" s="199">
        <f>IF(B340="Лікар загальної практики - сімейний лікар"," ",IF(B340="Лікар-педіатр","х",IF(B340="Лікар-терапевт"," ",0)))</f>
        <v>0</v>
      </c>
      <c r="Q342" s="199">
        <f>IF(B340="Лікар загальної практики - сімейний лікар"," ",IF(B340="Лікар-педіатр","х",IF(B340="Лікар-терапевт"," ",0)))</f>
        <v>0</v>
      </c>
      <c r="R342" s="199">
        <f>IF(B340="Лікар загальної практики - сімейний лікар"," ",IF(B340="Лікар-педіатр","х",IF(B340="Лікар-терапевт"," ",0)))</f>
        <v>0</v>
      </c>
      <c r="S342" s="200">
        <f>SUM(N342:R342)</f>
        <v>0</v>
      </c>
      <c r="T342" s="966"/>
      <c r="U342" s="199">
        <f>IF(B340="Лікар загальної практики - сімейний лікар"," ",IF(B340="Лікар-педіатр"," ",IF(B340="Лікар-терапевт","х",0)))</f>
        <v>0</v>
      </c>
      <c r="V342" s="199">
        <f>IF(B340="Лікар загальної практики - сімейний лікар"," ",IF(B340="Лікар-педіатр"," ",IF(B340="Лікар-терапевт","х",0)))</f>
        <v>0</v>
      </c>
      <c r="W342" s="199">
        <f>IF(B340="Лікар загальної практики - сімейний лікар"," ",IF(B340="Лікар-педіатр","х",IF(B340="Лікар-терапевт"," ",0)))</f>
        <v>0</v>
      </c>
      <c r="X342" s="199">
        <f>IF(B340="Лікар загальної практики - сімейний лікар"," ",IF(B340="Лікар-педіатр","х",IF(B340="Лікар-терапевт"," ",0)))</f>
        <v>0</v>
      </c>
      <c r="Y342" s="199">
        <f>IF(B340="Лікар загальної практики - сімейний лікар"," ",IF(B340="Лікар-педіатр","х",IF(B340="Лікар-терапевт"," ",0)))</f>
        <v>0</v>
      </c>
      <c r="Z342" s="200">
        <f>SUM(U342:Y342)</f>
        <v>0</v>
      </c>
      <c r="AA342" s="966"/>
      <c r="AB342" s="199">
        <f>IF(B340="Лікар загальної практики - сімейний лікар"," ",IF(B340="Лікар-педіатр"," ",IF(B340="Лікар-терапевт","х",0)))</f>
        <v>0</v>
      </c>
      <c r="AC342" s="199">
        <f>IF(B340="Лікар загальної практики - сімейний лікар"," ",IF(B340="Лікар-педіатр"," ",IF(B340="Лікар-терапевт","х",0)))</f>
        <v>0</v>
      </c>
      <c r="AD342" s="199">
        <f>IF(B340="Лікар загальної практики - сімейний лікар"," ",IF(B340="Лікар-педіатр","х",IF(B340="Лікар-терапевт"," ",0)))</f>
        <v>0</v>
      </c>
      <c r="AE342" s="199">
        <f>IF(B340="Лікар загальної практики - сімейний лікар"," ",IF(B340="Лікар-педіатр","х",IF(B340="Лікар-терапевт"," ",0)))</f>
        <v>0</v>
      </c>
      <c r="AF342" s="199">
        <f>IF(B340="Лікар загальної практики - сімейний лікар"," ",IF(B340="Лікар-педіатр","х",IF(B340="Лікар-терапевт"," ",0)))</f>
        <v>0</v>
      </c>
      <c r="AG342" s="200">
        <f>SUM(AB342:AF342)</f>
        <v>0</v>
      </c>
      <c r="AH342" s="966"/>
      <c r="AI342" s="242"/>
      <c r="AJ342" s="945"/>
      <c r="AK342" s="960"/>
      <c r="AL342" s="960"/>
      <c r="AM342" s="930"/>
      <c r="AN342" s="948"/>
      <c r="AO342" s="948"/>
      <c r="AP342" s="948"/>
      <c r="AQ342" s="948"/>
      <c r="AR342" s="963"/>
    </row>
    <row r="343" spans="1:44" s="50" customFormat="1" ht="31.9" hidden="1" customHeight="1" thickBot="1">
      <c r="A343" s="197"/>
      <c r="B343" s="969"/>
      <c r="C343" s="970"/>
      <c r="D343" s="971"/>
      <c r="E343" s="971"/>
      <c r="F343" s="236" t="s">
        <v>426</v>
      </c>
      <c r="G343" s="203">
        <f>IF($B$340="Лікар-педіатр",G342/L342,IF($B$340="Лікар-терапевт","х",IF($B$340="Лікар загальної практики - сімейний лікар",G342/L342,0)))</f>
        <v>0</v>
      </c>
      <c r="H343" s="203">
        <f>IF($B$340="Лікар-педіатр",H342/L342,IF($B$340="Лікар-терапевт","х",IF($B$340="Лікар загальної практики - сімейний лікар",H342/L342,0)))</f>
        <v>0</v>
      </c>
      <c r="I343" s="203">
        <f>IF($B$340="Лікар-педіатр","x",IF($B$340="Лікар-терапевт",I342/L342,IF($B$340="Лікар загальної практики - сімейний лікар",I342/L342,0)))</f>
        <v>0</v>
      </c>
      <c r="J343" s="203">
        <f>IF($B$340="Лікар-педіатр","x",IF($B$340="Лікар-терапевт",J342/L342,IF($B$340="Лікар загальної практики - сімейний лікар",J342/L342,0)))</f>
        <v>0</v>
      </c>
      <c r="K343" s="203">
        <f>IF($B$340="Лікар-педіатр","x",IF($B$340="Лікар-терапевт",K342/L342,IF($B$340="Лікар загальної практики - сімейний лікар",K342/L342,0)))</f>
        <v>0</v>
      </c>
      <c r="L343" s="203">
        <f>SUM(G343:K343)</f>
        <v>0</v>
      </c>
      <c r="M343" s="966"/>
      <c r="N343" s="203">
        <f>IF($B$340="Лікар-педіатр",N342/S342,IF($B$340="Лікар-терапевт","х",IF($B$340="Лікар загальної практики - сімейний лікар",N342/S342,0)))</f>
        <v>0</v>
      </c>
      <c r="O343" s="203">
        <f>IF($B$340="Лікар-педіатр",O342/S342,IF($B$340="Лікар-терапевт","х",IF($B$340="Лікар загальної практики - сімейний лікар",O342/S342,0)))</f>
        <v>0</v>
      </c>
      <c r="P343" s="203">
        <f>IF($B$340="Лікар-педіатр","x",IF($B$340="Лікар-терапевт",P342/S342,IF($B$340="Лікар загальної практики - сімейний лікар",P342/S342,0)))</f>
        <v>0</v>
      </c>
      <c r="Q343" s="203">
        <f>IF($B$340="Лікар-педіатр","x",IF($B$340="Лікар-терапевт",Q342/S342,IF($B$340="Лікар загальної практики - сімейний лікар",Q342/S342,0)))</f>
        <v>0</v>
      </c>
      <c r="R343" s="203">
        <f>IF($B$340="Лікар-педіатр","x",IF($B$340="Лікар-терапевт",R342/S342,IF($B$340="Лікар загальної практики - сімейний лікар",R342/S342,0)))</f>
        <v>0</v>
      </c>
      <c r="S343" s="203">
        <f>SUM(N343:R343)</f>
        <v>0</v>
      </c>
      <c r="T343" s="966"/>
      <c r="U343" s="203">
        <f>IF($B$340="Лікар-педіатр",U342/Z342,IF($B$340="Лікар-терапевт","х",IF($B$340="Лікар загальної практики - сімейний лікар",U342/Z342,0)))</f>
        <v>0</v>
      </c>
      <c r="V343" s="203">
        <f>IF($B$340="Лікар-педіатр",V342/Z342,IF($B$340="Лікар-терапевт","х",IF($B$340="Лікар загальної практики - сімейний лікар",V342/Z342,0)))</f>
        <v>0</v>
      </c>
      <c r="W343" s="203">
        <f>IF($B$340="Лікар-педіатр","x",IF($B$340="Лікар-терапевт",W342/Z342,IF($B$340="Лікар загальної практики - сімейний лікар",W342/Z342,0)))</f>
        <v>0</v>
      </c>
      <c r="X343" s="203">
        <f>IF($B$340="Лікар-педіатр","x",IF($B$340="Лікар-терапевт",X342/Z342,IF($B$340="Лікар загальної практики - сімейний лікар",X342/Z342,0)))</f>
        <v>0</v>
      </c>
      <c r="Y343" s="203">
        <f>IF($B$340="Лікар-педіатр","x",IF($B$340="Лікар-терапевт",Y342/Z342,IF($B$340="Лікар загальної практики - сімейний лікар",Y342/Z342,0)))</f>
        <v>0</v>
      </c>
      <c r="Z343" s="203">
        <f>SUM(U343:Y343)</f>
        <v>0</v>
      </c>
      <c r="AA343" s="966"/>
      <c r="AB343" s="203">
        <f>IF($B$340="Лікар-педіатр",AB342/AG342,IF($B$340="Лікар-терапевт","х",IF($B$340="Лікар загальної практики - сімейний лікар",AB342/AG342,0)))</f>
        <v>0</v>
      </c>
      <c r="AC343" s="203">
        <f>IF($B$340="Лікар-педіатр",AC342/AG342,IF($B$340="Лікар-терапевт","х",IF($B$340="Лікар загальної практики - сімейний лікар",AC342/AG342,0)))</f>
        <v>0</v>
      </c>
      <c r="AD343" s="203">
        <f>IF($B$340="Лікар-педіатр","x",IF($B$340="Лікар-терапевт",AD342/AG342,IF($B$340="Лікар загальної практики - сімейний лікар",AD342/AG342,0)))</f>
        <v>0</v>
      </c>
      <c r="AE343" s="203">
        <f>IF($B$340="Лікар-педіатр","x",IF($B$340="Лікар-терапевт",AE342/AG342,IF($B$340="Лікар загальної практики - сімейний лікар",AE342/AG342,0)))</f>
        <v>0</v>
      </c>
      <c r="AF343" s="203">
        <f>IF($B$340="Лікар-педіатр","x",IF($B$340="Лікар-терапевт",AF342/AG342,IF($B$340="Лікар загальної практики - сімейний лікар",AF342/AG342,0)))</f>
        <v>0</v>
      </c>
      <c r="AG343" s="203">
        <f>SUM(AB343:AF343)</f>
        <v>0</v>
      </c>
      <c r="AH343" s="966"/>
      <c r="AI343" s="201"/>
      <c r="AJ343" s="945"/>
      <c r="AK343" s="960"/>
      <c r="AL343" s="960"/>
      <c r="AM343" s="930"/>
      <c r="AN343" s="948"/>
      <c r="AO343" s="948"/>
      <c r="AP343" s="948"/>
      <c r="AQ343" s="948"/>
      <c r="AR343" s="963"/>
    </row>
    <row r="344" spans="1:44" s="50" customFormat="1" ht="45" hidden="1" customHeight="1" thickBot="1">
      <c r="A344" s="197"/>
      <c r="B344" s="969"/>
      <c r="C344" s="970"/>
      <c r="D344" s="971"/>
      <c r="E344" s="972"/>
      <c r="F344" s="204" t="s">
        <v>662</v>
      </c>
      <c r="G344" s="205">
        <f>IF($B$340="Лікар загальної практики - сімейний лікар",AVERAGE(G340:G342),IF($B$340="Лікар-педіатр",AVERAGE(G340:G342),IF($B$340="Лікар-терапевт","х",0)))</f>
        <v>0</v>
      </c>
      <c r="H344" s="205">
        <f>IF($B$340="Лікар загальної практики - сімейний лікар",AVERAGE(H340:H342),IF($B$340="Лікар-педіатр",AVERAGE(H340:H342),IF($B$340="Лікар-терапевт","х",0)))</f>
        <v>0</v>
      </c>
      <c r="I344" s="205">
        <f>IF($B$340="Лікар загальної практики - сімейний лікар",AVERAGE(I340:I342),IF($B$340="Лікар-педіатр","x",IF($B$340="Лікар-терапевт",AVERAGE(I340:I342),0)))</f>
        <v>0</v>
      </c>
      <c r="J344" s="205">
        <f>IF($B$340="Лікар загальної практики - сімейний лікар",AVERAGE(J340:J342),IF($B$340="Лікар-педіатр","x",IF($B$340="Лікар-терапевт",AVERAGE(J340:J342),0)))</f>
        <v>0</v>
      </c>
      <c r="K344" s="205">
        <f>IF($B$340="Лікар загальної практики - сімейний лікар",AVERAGE(K340:K342),IF($B$340="Лікар-педіатр","x",IF($B$340="Лікар-терапевт",AVERAGE(K340:K342),0)))</f>
        <v>0</v>
      </c>
      <c r="L344" s="206">
        <f>SUM(G344:K344)</f>
        <v>0</v>
      </c>
      <c r="M344" s="973"/>
      <c r="N344" s="205">
        <f>IF($B$340="Лікар загальної практики - сімейний лікар",AVERAGE(N340:N342),IF($B$340="Лікар-педіатр",AVERAGE(N340:N342),IF($B$340="Лікар-терапевт","х",0)))</f>
        <v>0</v>
      </c>
      <c r="O344" s="205">
        <f>IF($B$340="Лікар загальної практики - сімейний лікар",AVERAGE(O340:O342),IF($B$340="Лікар-педіатр",AVERAGE(O340:O342),IF($B$340="Лікар-терапевт","х",0)))</f>
        <v>0</v>
      </c>
      <c r="P344" s="205">
        <f>IF($B$340="Лікар загальної практики - сімейний лікар",AVERAGE(P340:P342),IF($B$340="Лікар-педіатр","x",IF($B$340="Лікар-терапевт",AVERAGE(P340:P342),0)))</f>
        <v>0</v>
      </c>
      <c r="Q344" s="205">
        <f>IF($B$340="Лікар загальної практики - сімейний лікар",AVERAGE(Q340:Q342),IF($B$340="Лікар-педіатр","x",IF($B$340="Лікар-терапевт",AVERAGE(Q340:Q342),0)))</f>
        <v>0</v>
      </c>
      <c r="R344" s="205">
        <f>IF($B$340="Лікар загальної практики - сімейний лікар",AVERAGE(R340:R342),IF($B$340="Лікар-педіатр","x",IF($B$340="Лікар-терапевт",AVERAGE(R340:R342),0)))</f>
        <v>0</v>
      </c>
      <c r="S344" s="206">
        <f>SUM(N344:R344)</f>
        <v>0</v>
      </c>
      <c r="T344" s="973"/>
      <c r="U344" s="205">
        <f>IF($B$340="Лікар загальної практики - сімейний лікар",AVERAGE(U340:U342),IF($B$340="Лікар-педіатр",AVERAGE(U340:U342),IF($B$340="Лікар-терапевт","х",0)))</f>
        <v>0</v>
      </c>
      <c r="V344" s="205">
        <f>IF($B$340="Лікар загальної практики - сімейний лікар",AVERAGE(V340:V342),IF($B$340="Лікар-педіатр",AVERAGE(V340:V342),IF($B$340="Лікар-терапевт","х",0)))</f>
        <v>0</v>
      </c>
      <c r="W344" s="205">
        <f>IF($B$340="Лікар загальної практики - сімейний лікар",AVERAGE(W340:W342),IF($B$340="Лікар-педіатр","x",IF($B$340="Лікар-терапевт",AVERAGE(W340:W342),0)))</f>
        <v>0</v>
      </c>
      <c r="X344" s="205">
        <f>IF($B$340="Лікар загальної практики - сімейний лікар",AVERAGE(X340:X342),IF($B$340="Лікар-педіатр","x",IF($B$340="Лікар-терапевт",AVERAGE(X340:X342),0)))</f>
        <v>0</v>
      </c>
      <c r="Y344" s="205">
        <f>IF($B$340="Лікар загальної практики - сімейний лікар",AVERAGE(Y340:Y342),IF($B$340="Лікар-педіатр","x",IF($B$340="Лікар-терапевт",AVERAGE(Y340:Y342),0)))</f>
        <v>0</v>
      </c>
      <c r="Z344" s="206">
        <f>SUM(U344:Y344)</f>
        <v>0</v>
      </c>
      <c r="AA344" s="973"/>
      <c r="AB344" s="205">
        <f>IF($B$340="Лікар загальної практики - сімейний лікар",AVERAGE(AB340:AB342),IF($B$340="Лікар-педіатр",AVERAGE(AB340:AB342),IF($B$340="Лікар-терапевт","х",0)))</f>
        <v>0</v>
      </c>
      <c r="AC344" s="205">
        <f>IF($B$340="Лікар загальної практики - сімейний лікар",AVERAGE(AC340:AC342),IF($B$340="Лікар-педіатр",AVERAGE(AC340:AC342),IF($B$340="Лікар-терапевт","х",0)))</f>
        <v>0</v>
      </c>
      <c r="AD344" s="205">
        <f>IF($B$340="Лікар загальної практики - сімейний лікар",AVERAGE(AD340:AD342),IF($B$340="Лікар-педіатр","x",IF($B$340="Лікар-терапевт",AVERAGE(AD340:AD342),0)))</f>
        <v>0</v>
      </c>
      <c r="AE344" s="205">
        <f>IF($B$340="Лікар загальної практики - сімейний лікар",AVERAGE(AE340:AE342),IF($B$340="Лікар-педіатр","x",IF($B$340="Лікар-терапевт",AVERAGE(AE340:AE342),0)))</f>
        <v>0</v>
      </c>
      <c r="AF344" s="205">
        <f>IF($B$340="Лікар загальної практики - сімейний лікар",AVERAGE(AF340:AF342),IF($B$340="Лікар-педіатр","x",IF($B$340="Лікар-терапевт",AVERAGE(AF340:AF342),0)))</f>
        <v>0</v>
      </c>
      <c r="AG344" s="206">
        <f>SUM(AB344:AF344)</f>
        <v>0</v>
      </c>
      <c r="AH344" s="967"/>
      <c r="AI344" s="201"/>
      <c r="AJ344" s="945"/>
      <c r="AK344" s="960"/>
      <c r="AL344" s="960"/>
      <c r="AM344" s="931"/>
      <c r="AN344" s="949"/>
      <c r="AO344" s="949"/>
      <c r="AP344" s="949"/>
      <c r="AQ344" s="949"/>
      <c r="AR344" s="964"/>
    </row>
    <row r="345" spans="1:44" s="50" customFormat="1" ht="40.5" hidden="1">
      <c r="A345" s="197"/>
      <c r="B345" s="969"/>
      <c r="C345" s="970"/>
      <c r="D345" s="971"/>
      <c r="E345" s="971"/>
      <c r="F345" s="237" t="str">
        <f ca="1">IF(B340="Лікар-педіатр",Законод!$C$17,IF(B340="Лікар загальної практики - сімейний лікар",Законод!$C$21,IF(B340="Лікар-терапевт",Законод!$C$25,"х")))</f>
        <v>х</v>
      </c>
      <c r="G345" s="208">
        <f ca="1">IF($B$340="Лікар загальної практики - сімейний лікар",IF(L344&lt;=Законод!$C$22,G344,Законод!$C$22*'01_Доходи'!G343),IF($B$340="Лікар-педіатр",IF(L344&lt;=Законод!$C$18,G344,Законод!$C$18*'01_Доходи'!G343),IF($B$340="Лікар-терапевт","x",0)))</f>
        <v>0</v>
      </c>
      <c r="H345" s="208">
        <f ca="1">IF($B$340="Лікар загальної практики - сімейний лікар",IF(L344&lt;=Законод!$C$22,H344,Законод!$C$22*'01_Доходи'!H343),IF($B$340="Лікар-педіатр",IF(L344&lt;=Законод!$C$18,H344,Законод!$C$18*'01_Доходи'!H343),IF($B$340="Лікар-терапевт","x",0)))</f>
        <v>0</v>
      </c>
      <c r="I345" s="208">
        <f ca="1">IF($B$340="Лікар загальної практики - сімейний лікар",IF(L344&lt;=Законод!$C$22,I344,Законод!$C$22*'01_Доходи'!I343),IF($B$340="Лікар-педіатр","x",IF($B$340="Лікар-терапевт",IF(L344&lt;=Законод!$C$26,I344,Законод!$C$26*'01_Доходи'!I343),0)))</f>
        <v>0</v>
      </c>
      <c r="J345" s="208">
        <f ca="1">IF($B$340="Лікар загальної практики - сімейний лікар",IF(L344&lt;=Законод!$C$22,J344,Законод!$C$22*'01_Доходи'!J343),IF($B$340="Лікар-педіатр","x",IF($B$340="Лікар-терапевт",IF(L344&lt;=Законод!$C$26,J344,Законод!$C$26*'01_Доходи'!J343),0)))</f>
        <v>0</v>
      </c>
      <c r="K345" s="208">
        <f ca="1">IF($B$340="Лікар загальної практики - сімейний лікар",IF(L344&lt;=Законод!$C$22,K344,Законод!$C$22*'01_Доходи'!K343),IF($B$340="Лікар-педіатр","x",IF($B$340="Лікар-терапевт",IF(L344&lt;=Законод!$C$26,K344,Законод!$C$26*'01_Доходи'!K343),0)))</f>
        <v>0</v>
      </c>
      <c r="L345" s="209">
        <f ca="1">SUM(G345:K345)</f>
        <v>0</v>
      </c>
      <c r="M345" s="966"/>
      <c r="N345" s="208">
        <f ca="1">IF($B$340="Лікар загальної практики - сімейний лікар",IF(S344&lt;=Законод!$C$22,N344,Законод!$C$22*'01_Доходи'!N343),IF($B$340="Лікар-педіатр",IF(S344&lt;=Законод!$C$18,N344,Законод!$C$18*'01_Доходи'!N343),IF($B$340="Лікар-терапевт","x",0)))</f>
        <v>0</v>
      </c>
      <c r="O345" s="208">
        <f ca="1">IF($B$340="Лікар загальної практики - сімейний лікар",IF(S344&lt;=Законод!$C$22,O344,Законод!$C$22*'01_Доходи'!O343),IF($B$340="Лікар-педіатр",IF(S344&lt;=Законод!$C$18,O344,Законод!$C$18*'01_Доходи'!O343),IF($B$340="Лікар-терапевт","x",0)))</f>
        <v>0</v>
      </c>
      <c r="P345" s="208">
        <f ca="1">IF($B$340="Лікар загальної практики - сімейний лікар",IF(S344&lt;=Законод!$C$22,P344,Законод!$C$22*'01_Доходи'!P343),IF($B$340="Лікар-педіатр","x",IF($B$340="Лікар-терапевт",IF(S344&lt;=Законод!$C$26,P344,Законод!$C$26*'01_Доходи'!P343),0)))</f>
        <v>0</v>
      </c>
      <c r="Q345" s="208">
        <f ca="1">IF($B$340="Лікар загальної практики - сімейний лікар",IF(S344&lt;=Законод!$C$22,Q344,Законод!$C$22*'01_Доходи'!Q343),IF($B$340="Лікар-педіатр","x",IF($B$340="Лікар-терапевт",IF(S344&lt;=Законод!$C$26,Q344,Законод!$C$26*'01_Доходи'!Q343),0)))</f>
        <v>0</v>
      </c>
      <c r="R345" s="208">
        <f ca="1">IF($B$340="Лікар загальної практики - сімейний лікар",IF(S344&lt;=Законод!$C$22,R344,Законод!$C$22*'01_Доходи'!R343),IF($B$340="Лікар-педіатр","x",IF($B$340="Лікар-терапевт",IF(S344&lt;=Законод!$C$26,R344,Законод!$C$26*'01_Доходи'!R343),0)))</f>
        <v>0</v>
      </c>
      <c r="S345" s="209">
        <f ca="1">SUM(N345:R345)</f>
        <v>0</v>
      </c>
      <c r="T345" s="966"/>
      <c r="U345" s="208">
        <f ca="1">IF($B$340="Лікар загальної практики - сімейний лікар",IF(Z344&lt;=Законод!$C$22,U344,Законод!$C$22*'01_Доходи'!U343),IF($B$340="Лікар-педіатр",IF(Z344&lt;=Законод!$C$18,U344,Законод!$C$18*'01_Доходи'!U343),IF($B$340="Лікар-терапевт","x",0)))</f>
        <v>0</v>
      </c>
      <c r="V345" s="208">
        <f ca="1">IF($B$340="Лікар загальної практики - сімейний лікар",IF(Z344&lt;=Законод!$C$22,V344,Законод!$C$22*'01_Доходи'!V343),IF($B$340="Лікар-педіатр",IF(Z344&lt;=Законод!$C$18,V344,Законод!$C$18*'01_Доходи'!V343),IF($B$340="Лікар-терапевт","x",0)))</f>
        <v>0</v>
      </c>
      <c r="W345" s="208">
        <f ca="1">IF($B$340="Лікар загальної практики - сімейний лікар",IF(Z344&lt;=Законод!$C$22,W344,Законод!$C$22*'01_Доходи'!W343),IF($B$340="Лікар-педіатр","x",IF($B$340="Лікар-терапевт",IF(Z344&lt;=Законод!$C$26,W344,Законод!$C$26*'01_Доходи'!W343),0)))</f>
        <v>0</v>
      </c>
      <c r="X345" s="208">
        <f ca="1">IF($B$340="Лікар загальної практики - сімейний лікар",IF(Z344&lt;=Законод!$C$22,X344,Законод!$C$22*'01_Доходи'!X343),IF($B$340="Лікар-педіатр","x",IF($B$340="Лікар-терапевт",IF(Z344&lt;=Законод!$C$26,X344,Законод!$C$26*'01_Доходи'!X343),0)))</f>
        <v>0</v>
      </c>
      <c r="Y345" s="208">
        <f ca="1">IF($B$340="Лікар загальної практики - сімейний лікар",IF(Z344&lt;=Законод!$C$22,Y344,Законод!$C$22*'01_Доходи'!Y343),IF($B$340="Лікар-педіатр","x",IF($B$340="Лікар-терапевт",IF(Z344&lt;=Законод!$C$26,Y344,Законод!$C$26*'01_Доходи'!Y343),0)))</f>
        <v>0</v>
      </c>
      <c r="Z345" s="209">
        <f ca="1">SUM(U345:Y345)</f>
        <v>0</v>
      </c>
      <c r="AA345" s="966"/>
      <c r="AB345" s="208">
        <f ca="1">IF($B$340="Лікар загальної практики - сімейний лікар",IF(AG344&lt;=Законод!$C$22,AB344,Законод!$C$22*'01_Доходи'!AB343),IF($B$340="Лікар-педіатр",IF(AG344&lt;=Законод!$C$18,AB344,Законод!$C$18*'01_Доходи'!AB343),IF($B$340="Лікар-терапевт","x",0)))</f>
        <v>0</v>
      </c>
      <c r="AC345" s="208">
        <f ca="1">IF($B$340="Лікар загальної практики - сімейний лікар",IF(AG344&lt;=Законод!$C$22,AC344,Законод!$C$22*'01_Доходи'!AC343),IF($B$340="Лікар-педіатр",IF(AG344&lt;=Законод!$C$18,AC344,Законод!$C$18*'01_Доходи'!AC343),IF($B$340="Лікар-терапевт","x",0)))</f>
        <v>0</v>
      </c>
      <c r="AD345" s="208">
        <f ca="1">IF($B$340="Лікар загальної практики - сімейний лікар",IF(AG344&lt;=Законод!$C$22,AD344,Законод!$C$22*'01_Доходи'!AD343),IF($B$340="Лікар-педіатр","x",IF($B$340="Лікар-терапевт",IF(AG344&lt;=Законод!$C$26,AD344,Законод!$C$26*'01_Доходи'!AD343),0)))</f>
        <v>0</v>
      </c>
      <c r="AE345" s="208">
        <f ca="1">IF($B$340="Лікар загальної практики - сімейний лікар",IF(AG344&lt;=Законод!$C$22,AE344,Законод!$C$22*'01_Доходи'!AE343),IF($B$340="Лікар-педіатр","x",IF($B$340="Лікар-терапевт",IF(AG344&lt;=Законод!$C$26,AE344,Законод!$C$26*'01_Доходи'!AE343),0)))</f>
        <v>0</v>
      </c>
      <c r="AF345" s="208">
        <f ca="1">IF($B$340="Лікар загальної практики - сімейний лікар",IF(AG344&lt;=Законод!$C$22,AF344,Законод!$C$22*'01_Доходи'!AF343),IF($B$340="Лікар-педіатр","x",IF($B$340="Лікар-терапевт",IF(AG344&lt;=Законод!$C$26,AF344,Законод!$C$26*'01_Доходи'!AF343),0)))</f>
        <v>0</v>
      </c>
      <c r="AG345" s="209">
        <f ca="1">SUM(AB345:AF345)</f>
        <v>0</v>
      </c>
      <c r="AH345" s="966"/>
      <c r="AI345" s="201"/>
      <c r="AJ345" s="945"/>
      <c r="AK345" s="960"/>
      <c r="AL345" s="960"/>
      <c r="AM345" s="348" t="s">
        <v>451</v>
      </c>
      <c r="AN345" s="210">
        <f ca="1">IF(B340="Лікар загальної практики - сімейний лікар",G345*Законод!$C$11+'01_Доходи'!H345*Законод!$D$11+'01_Доходи'!I345*Законод!$E$11+'01_Доходи'!J345*Законод!$F$11+'01_Доходи'!K345*Законод!$G$11,IF(B340="Лікар-педіатр",G345*Законод!$C$11+'01_Доходи'!H345*Законод!$D$11,IF(B340="Лікар-терапевт",'01_Доходи'!I345*Законод!$E$11+'01_Доходи'!J345*Законод!$F$11+'01_Доходи'!K345*Законод!$G$11,0)))</f>
        <v>0</v>
      </c>
      <c r="AO345" s="210">
        <f ca="1">IF(B340="Лікар загальної практики - сімейний лікар",N345*Законод!$C$11+'01_Доходи'!O345*Законод!$D$11+'01_Доходи'!P345*Законод!$E$11+'01_Доходи'!Q345*Законод!$F$11+'01_Доходи'!R345*Законод!$G$11,IF(B340="Лікар-педіатр",N345*Законод!$C$11+'01_Доходи'!O345*Законод!$D$11,IF(B340="Лікар-терапевт",'01_Доходи'!P345*Законод!$E$11+'01_Доходи'!Q345*Законод!$F$11+'01_Доходи'!R345*Законод!$G$11,0)))</f>
        <v>0</v>
      </c>
      <c r="AP345" s="210">
        <f ca="1">IF(B340="Лікар загальної практики - сімейний лікар",U345*Законод!$C$11+'01_Доходи'!V345*Законод!$D$11+'01_Доходи'!W345*Законод!$E$11+'01_Доходи'!X345*Законод!$F$11+'01_Доходи'!Y345*Законод!$G$11,IF(B340="Лікар-педіатр",U345*Законод!$C$11+'01_Доходи'!V345*Законод!$D$11,IF(B340="Лікар-терапевт",'01_Доходи'!W345*Законод!$E$11+'01_Доходи'!X345*Законод!$F$11+'01_Доходи'!Y345*Законод!$G$11,0)))</f>
        <v>0</v>
      </c>
      <c r="AQ345" s="210">
        <f ca="1">IF(B340="Лікар загальної практики - сімейний лікар",AB345*Законод!$C$11+'01_Доходи'!AC345*Законод!$D$11+'01_Доходи'!AD345*Законод!$E$11+'01_Доходи'!AE345*Законод!$F$11+'01_Доходи'!AF345*Законод!$G$11,IF(B340="Лікар-педіатр",AB345*Законод!$C$11+'01_Доходи'!AC345*Законод!$D$11,IF(B340="Лікар-терапевт",'01_Доходи'!AD345*Законод!$E$11+'01_Доходи'!AE345*Законод!$F$11+'01_Доходи'!AF345*Законод!$G$11,0)))</f>
        <v>0</v>
      </c>
      <c r="AR345" s="211">
        <f t="shared" ref="AR345:AR351" si="66">SUM(AN345:AQ345)</f>
        <v>0</v>
      </c>
    </row>
    <row r="346" spans="1:44" s="50" customFormat="1" ht="31.9" hidden="1" customHeight="1">
      <c r="A346" s="197"/>
      <c r="B346" s="969"/>
      <c r="C346" s="970"/>
      <c r="D346" s="971"/>
      <c r="E346" s="971"/>
      <c r="F346" s="238" t="str">
        <f ca="1">IF(B340="Лікар-педіатр",Законод!$E$17,IF(B340="Лікар загальної практики - сімейний лікар",Законод!$E$21,IF(B340="Лікар-терапевт",Законод!$E$25,"х")))</f>
        <v>х</v>
      </c>
      <c r="G346" s="965" t="s">
        <v>423</v>
      </c>
      <c r="H346" s="965"/>
      <c r="I346" s="965"/>
      <c r="J346" s="965"/>
      <c r="K346" s="965"/>
      <c r="L346" s="196">
        <f ca="1">IF($B$340="Лікар загальної практики - сімейний лікар",IF(L344&lt;Законод!$C$22,0,(IF(AND(L344&gt;=Законод!$E$22,L344&lt;=Законод!$E$23),L344-Законод!$C$22,IF('01_Доходи'!L344&gt;=Законод!$F$22,Законод!$E$24,0)))),IF($B$340="Лікар-педіатр",IF(L344&lt;Законод!$C$18,0,(IF(AND(L344&gt;=Законод!$E$18,L344&lt;=Законод!$E$19),L344-Законод!$C$18,IF('01_Доходи'!L344&gt;=Законод!$F$18,Законод!$E$20,0)))),IF($B$340="Лікар-терапевт",IF(L344&lt;Законод!$C$26,0,(IF(AND(L344&gt;=Законод!$E$26,L344&lt;=Законод!$E$27),L344-Законод!$C$26,IF('01_Доходи'!L344&gt;=Законод!$F$26,Законод!$E$28,0)))),0)))</f>
        <v>0</v>
      </c>
      <c r="M346" s="966"/>
      <c r="N346" s="965" t="s">
        <v>423</v>
      </c>
      <c r="O346" s="965"/>
      <c r="P346" s="965"/>
      <c r="Q346" s="965"/>
      <c r="R346" s="965"/>
      <c r="S346" s="196">
        <f ca="1">IF($B$340="Лікар загальної практики - сімейний лікар",IF(S344&lt;Законод!$C$22,0,(IF(AND(S344&gt;=Законод!$E$22,S344&lt;=Законод!$E$23),S344-Законод!$C$22,IF('01_Доходи'!S344&gt;=Законод!$F$22,Законод!$E$24,0)))),IF($B$340="Лікар-педіатр",IF(S344&lt;Законод!$C$18,0,(IF(AND(S344&gt;=Законод!$E$18,S344&lt;=Законод!$E$19),S344-Законод!$C$18,IF('01_Доходи'!S344&gt;=Законод!$F$18,Законод!$E$20,0)))),IF($B$340="Лікар-терапевт",IF(S344&lt;Законод!$C$26,0,(IF(AND(S344&gt;=Законод!$E$26,S344&lt;=Законод!$E$27),S344-Законод!$C$26,IF('01_Доходи'!S344&gt;=Законод!$F$26,Законод!$E$28,0)))),0)))</f>
        <v>0</v>
      </c>
      <c r="T346" s="966"/>
      <c r="U346" s="965" t="s">
        <v>423</v>
      </c>
      <c r="V346" s="965"/>
      <c r="W346" s="965"/>
      <c r="X346" s="965"/>
      <c r="Y346" s="965"/>
      <c r="Z346" s="196">
        <f ca="1">IF($B$340="Лікар загальної практики - сімейний лікар",IF(Z344&lt;Законод!$C$22,0,(IF(AND(Z344&gt;=Законод!$E$22,Z344&lt;=Законод!$E$23),Z344-Законод!$C$22,IF('01_Доходи'!Z344&gt;=Законод!$F$22,Законод!$E$24,0)))),IF($B$340="Лікар-педіатр",IF(Z344&lt;Законод!$C$18,0,(IF(AND(Z344&gt;=Законод!$E$18,Z344&lt;=Законод!$E$19),Z344-Законод!$C$18,IF('01_Доходи'!Z344&gt;=Законод!$F$18,Законод!$E$20,0)))),IF($B$340="Лікар-терапевт",IF(Z344&lt;Законод!$C$26,0,(IF(AND(Z344&gt;=Законод!$E$26,Z344&lt;=Законод!$E$27),Z344-Законод!$C$26,IF('01_Доходи'!Z344&gt;=Законод!$F$26,Законод!$E$28,0)))),0)))</f>
        <v>0</v>
      </c>
      <c r="AA346" s="966"/>
      <c r="AB346" s="965" t="s">
        <v>423</v>
      </c>
      <c r="AC346" s="965"/>
      <c r="AD346" s="965"/>
      <c r="AE346" s="965"/>
      <c r="AF346" s="965"/>
      <c r="AG346" s="196">
        <f ca="1">IF($B$340="Лікар загальної практики - сімейний лікар",IF(AG344&lt;Законод!$C$22,0,(IF(AND(AG344&gt;=Законод!$E$22,AG344&lt;=Законод!$E$23),AG344-Законод!$C$22,IF('01_Доходи'!AG344&gt;=Законод!$F$22,Законод!$E$24,0)))),IF($B$340="Лікар-педіатр",IF(AG344&lt;Законод!$C$18,0,(IF(AND(AG344&gt;=Законод!$E$18,AG344&lt;=Законод!$E$19),AG344-Законод!$C$18,IF('01_Доходи'!AG344&gt;=Законод!$F$18,Законод!$E$20,0)))),IF($B$340="Лікар-терапевт",IF(AG344&lt;Законод!$C$26,0,(IF(AND(AG344&gt;=Законод!$E$26,AG344&lt;=Законод!$E$27),AG344-Законод!$C$26,IF('01_Доходи'!AG344&gt;=Законод!$F$26,Законод!$E$28,0)))),0)))</f>
        <v>0</v>
      </c>
      <c r="AH346" s="966"/>
      <c r="AI346" s="201"/>
      <c r="AJ346" s="945"/>
      <c r="AK346" s="960"/>
      <c r="AL346" s="960"/>
      <c r="AM346" s="926" t="s">
        <v>452</v>
      </c>
      <c r="AN346" s="210">
        <f ca="1">IF(B340="Лікар загальної практики - сімейний лікар",L346*Законод!$C$9/4*Законод!$E$16,IF(B340="Лікар-педіатр",L346*Законод!$C$9/4*Законод!$E$16,IF(B340="Лікар-терапевт",L346*Законод!$C$9/4*Законод!$E$16,0)))</f>
        <v>0</v>
      </c>
      <c r="AO346" s="210">
        <f ca="1">IF(B340="Лікар загальної практики - сімейний лікар",S346*Законод!$C$9/4*Законод!$E$16,IF(B340="Лікар-педіатр",S346*Законод!$C$9/4*Законод!$E$16,IF(B340="Лікар-терапевт",S346*Законод!$C$9/4*Законод!$E$16,0)))</f>
        <v>0</v>
      </c>
      <c r="AP346" s="210">
        <f ca="1">IF(B340="Лікар загальної практики - сімейний лікар",Z346*Законод!$C$9/4*Законод!$E$16,IF(B340="Лікар-педіатр",Z346*Законод!$C$9/4*Законод!$E$16,IF(B340="Лікар-терапевт",Z346*Законод!$C$9/4*Законод!$E$16,0)))</f>
        <v>0</v>
      </c>
      <c r="AQ346" s="210">
        <f ca="1">IF(B340="Лікар загальної практики - сімейний лікар",AG346*Законод!$C$9/4*Законод!$E$16,IF(B340="Лікар-педіатр",AG346*Законод!$C$9/4*Законод!$E$16,IF(B340="Лікар-терапевт",AG346*Законод!$C$9/4*Законод!$E$16,0)))</f>
        <v>0</v>
      </c>
      <c r="AR346" s="211">
        <f t="shared" si="66"/>
        <v>0</v>
      </c>
    </row>
    <row r="347" spans="1:44" s="50" customFormat="1" ht="31.9" hidden="1" customHeight="1">
      <c r="A347" s="197"/>
      <c r="B347" s="969"/>
      <c r="C347" s="970"/>
      <c r="D347" s="971"/>
      <c r="E347" s="971"/>
      <c r="F347" s="238" t="str">
        <f ca="1">IF(B340="Лікар-педіатр",Законод!$F$17,IF(B340="Лікар загальної практики - сімейний лікар",Законод!$F$21,IF(B340="Лікар-терапевт",Законод!$F$25,"х")))</f>
        <v>х</v>
      </c>
      <c r="G347" s="965" t="s">
        <v>423</v>
      </c>
      <c r="H347" s="965"/>
      <c r="I347" s="965"/>
      <c r="J347" s="965"/>
      <c r="K347" s="965"/>
      <c r="L347" s="196">
        <f ca="1">IF($B$340="Лікар загальної практики - сімейний лікар",IF(L344&lt;Законод!$C$22,0,(IF(AND(L344&gt;=Законод!$F$22,L344&lt;=Законод!$F$23),L344-Законод!$E$23,IF('01_Доходи'!L344&gt;=Законод!$G$22,Законод!$F$24,0)))),IF($B$340="Лікар-педіатр",IF(L344&lt;Законод!$C$18,0,(IF(AND(L344&gt;=Законод!$F$18,L344&lt;=Законод!$F$19),L344-Законод!$E$19,IF('01_Доходи'!L344&gt;=Законод!$G$18,Законод!$F$20,0)))),IF($B$340="Лікар-терапевт",IF(L344&lt;Законод!$C$26,0,(IF(AND(L344&gt;=Законод!$F$26,L344&lt;=Законод!$F$27),L344-Законод!$E$27,IF('01_Доходи'!L344&gt;=Законод!$G$26,Законод!$F$28,0)))),0)))</f>
        <v>0</v>
      </c>
      <c r="M347" s="966"/>
      <c r="N347" s="965" t="s">
        <v>423</v>
      </c>
      <c r="O347" s="965"/>
      <c r="P347" s="965"/>
      <c r="Q347" s="965"/>
      <c r="R347" s="965"/>
      <c r="S347" s="196">
        <f ca="1">IF($B$340="Лікар загальної практики - сімейний лікар",IF(S344&lt;Законод!$C$22,0,(IF(AND(S344&gt;=Законод!$F$22,S344&lt;=Законод!$F$23),S344-Законод!$E$23,IF('01_Доходи'!S344&gt;=Законод!$G$22,Законод!$F$24,0)))),IF($B$340="Лікар-педіатр",IF(S344&lt;Законод!$C$18,0,(IF(AND(S344&gt;=Законод!$F$18,S344&lt;=Законод!$F$19),S344-Законод!$E$19,IF('01_Доходи'!S344&gt;=Законод!$G$18,Законод!$F$20,0)))),IF($B$340="Лікар-терапевт",IF(S344&lt;Законод!$C$26,0,(IF(AND(S344&gt;=Законод!$F$26,S344&lt;=Законод!$F$27),S344-Законод!$E$27,IF('01_Доходи'!S344&gt;=Законод!$G$26,Законод!$F$28,0)))),0)))</f>
        <v>0</v>
      </c>
      <c r="T347" s="966"/>
      <c r="U347" s="965" t="s">
        <v>423</v>
      </c>
      <c r="V347" s="965"/>
      <c r="W347" s="965"/>
      <c r="X347" s="965"/>
      <c r="Y347" s="965"/>
      <c r="Z347" s="196">
        <f ca="1">IF($B$340="Лікар загальної практики - сімейний лікар",IF(Z344&lt;Законод!$C$22,0,(IF(AND(Z344&gt;=Законод!$F$22,Z344&lt;=Законод!$F$23),Z344-Законод!$E$23,IF('01_Доходи'!Z344&gt;=Законод!$G$22,Законод!$F$24,0)))),IF($B$340="Лікар-педіатр",IF(Z344&lt;Законод!$C$18,0,(IF(AND(Z344&gt;=Законод!$F$18,Z344&lt;=Законод!$F$19),Z344-Законод!$E$19,IF('01_Доходи'!Z344&gt;=Законод!$G$18,Законод!$F$20,0)))),IF($B$340="Лікар-терапевт",IF(Z344&lt;Законод!$C$26,0,(IF(AND(Z344&gt;=Законод!$F$26,Z344&lt;=Законод!$F$27),Z344-Законод!$E$27,IF('01_Доходи'!Z344&gt;=Законод!$G$26,Законод!$F$28,0)))),0)))</f>
        <v>0</v>
      </c>
      <c r="AA347" s="966"/>
      <c r="AB347" s="965" t="s">
        <v>423</v>
      </c>
      <c r="AC347" s="965"/>
      <c r="AD347" s="965"/>
      <c r="AE347" s="965"/>
      <c r="AF347" s="965"/>
      <c r="AG347" s="196">
        <f ca="1">IF($B$340="Лікар загальної практики - сімейний лікар",IF(AG344&lt;Законод!$C$22,0,(IF(AND(AG344&gt;=Законод!$F$22,AG344&lt;=Законод!$F$23),AG344-Законод!$E$23,IF('01_Доходи'!AG344&gt;=Законод!$G$22,Законод!$F$24,0)))),IF($B$340="Лікар-педіатр",IF(AG344&lt;Законод!$C$18,0,(IF(AND(AG344&gt;=Законод!$F$18,AG344&lt;=Законод!$F$19),AG344-Законод!$E$19,IF('01_Доходи'!AG344&gt;=Законод!$G$18,Законод!$F$20,0)))),IF($B$340="Лікар-терапевт",IF(AG344&lt;Законод!$C$26,0,(IF(AND(AG344&gt;=Законод!$F$26,AG344&lt;=Законод!$F$27),AG344-Законод!$E$27,IF('01_Доходи'!AG344&gt;=Законод!$G$26,Законод!$F$28,0)))),0)))</f>
        <v>0</v>
      </c>
      <c r="AH347" s="966"/>
      <c r="AI347" s="201"/>
      <c r="AJ347" s="945"/>
      <c r="AK347" s="960"/>
      <c r="AL347" s="960"/>
      <c r="AM347" s="927"/>
      <c r="AN347" s="210">
        <f ca="1">IF(B340="Лікар загальної практики - сімейний лікар",L347*Законод!$C$9/4*Законод!$F$16,IF(B340="Лікар-педіатр",L347*Законод!$C$9/4*Законод!$F$16,IF(B340="Лікар-терапевт",L347*Законод!$C$9/4*Законод!$F$16,0)))</f>
        <v>0</v>
      </c>
      <c r="AO347" s="210">
        <f ca="1">IF(B340="Лікар загальної практики - сімейний лікар",S347*Законод!$C$9/4*Законод!$F$16,IF(B340="Лікар-педіатр",S347*Законод!$C$9/4*Законод!$F$16,IF(B340="Лікар-терапевт",S347*Законод!$C$9/4*Законод!$F$16,0)))</f>
        <v>0</v>
      </c>
      <c r="AP347" s="210">
        <f ca="1">IF(B340="Лікар загальної практики - сімейний лікар",Z347*Законод!$C$9/4*Законод!$F$16,IF(B340="Лікар-педіатр",Z347*Законод!$C$9/4*Законод!$F$16,IF(B340="Лікар-терапевт",Z347*Законод!$C$9/4*Законод!$F$16,0)))</f>
        <v>0</v>
      </c>
      <c r="AQ347" s="210">
        <f ca="1">IF(B340="Лікар загальної практики - сімейний лікар",AG347*Законод!$C$9/4*Законод!$F$16,IF(B340="Лікар-педіатр",AG347*Законод!$C$9/4*Законод!$F$16,IF(B340="Лікар-терапевт",AG347*Законод!$C$9/4*Законод!$F$16,0)))</f>
        <v>0</v>
      </c>
      <c r="AR347" s="211">
        <f t="shared" si="66"/>
        <v>0</v>
      </c>
    </row>
    <row r="348" spans="1:44" s="50" customFormat="1" ht="31.9" hidden="1" customHeight="1">
      <c r="A348" s="197"/>
      <c r="B348" s="969"/>
      <c r="C348" s="970"/>
      <c r="D348" s="971"/>
      <c r="E348" s="971"/>
      <c r="F348" s="238" t="str">
        <f ca="1">IF(B340="Лікар-педіатр",Законод!$G$17,IF(B340="Лікар загальної практики - сімейний лікар",Законод!$G$21,IF(B340="Лікар-терапевт",Законод!$G$25,"х")))</f>
        <v>х</v>
      </c>
      <c r="G348" s="965" t="s">
        <v>423</v>
      </c>
      <c r="H348" s="965"/>
      <c r="I348" s="965"/>
      <c r="J348" s="965"/>
      <c r="K348" s="965"/>
      <c r="L348" s="196">
        <f ca="1">IF($B$340="Лікар загальної практики - сімейний лікар",IF(L344&lt;Законод!$C$22,0,(IF(AND(L344&gt;=Законод!$G$22,L344&lt;=Законод!$G$23),L344-Законод!$F$23,IF('01_Доходи'!L344&gt;=Законод!$H$22,Законод!$G$24,0)))),IF($B$340="Лікар-педіатр",IF(L344&lt;Законод!$C$18,0,(IF(AND(L344&gt;=Законод!$G$18,L344&lt;=Законод!$G$19),L344-Законод!$F$19,IF('01_Доходи'!L344&gt;=Законод!$H$18,Законод!$G$20,0)))),IF($B$340="Лікар-терапевт",IF(L344&lt;Законод!$C$26,0,(IF(AND(L344&gt;=Законод!$G$26,L344&lt;=Законод!$G$27),L344-Законод!$F$27,IF('01_Доходи'!L344&gt;=Законод!$H$26,Законод!$G$28,0)))),0)))</f>
        <v>0</v>
      </c>
      <c r="M348" s="966"/>
      <c r="N348" s="965" t="s">
        <v>423</v>
      </c>
      <c r="O348" s="965"/>
      <c r="P348" s="965"/>
      <c r="Q348" s="965"/>
      <c r="R348" s="965"/>
      <c r="S348" s="196">
        <f ca="1">IF($B$340="Лікар загальної практики - сімейний лікар",IF(S344&lt;Законод!$C$22,0,(IF(AND(S344&gt;=Законод!$G$22,S344&lt;=Законод!$G$23),S344-Законод!$F$23,IF('01_Доходи'!S344&gt;=Законод!$H$22,Законод!$G$24,0)))),IF($B$340="Лікар-педіатр",IF(S344&lt;Законод!$C$18,0,(IF(AND(S344&gt;=Законод!$G$18,S344&lt;=Законод!$G$19),S344-Законод!$F$19,IF('01_Доходи'!S344&gt;=Законод!$H$18,Законод!$G$20,0)))),IF($B$340="Лікар-терапевт",IF(S344&lt;Законод!$C$26,0,(IF(AND(S344&gt;=Законод!$G$26,S344&lt;=Законод!$G$27),S344-Законод!$F$27,IF('01_Доходи'!S344&gt;=Законод!$H$26,Законод!$G$28,0)))),0)))</f>
        <v>0</v>
      </c>
      <c r="T348" s="966"/>
      <c r="U348" s="965" t="s">
        <v>423</v>
      </c>
      <c r="V348" s="965"/>
      <c r="W348" s="965"/>
      <c r="X348" s="965"/>
      <c r="Y348" s="965"/>
      <c r="Z348" s="196">
        <f ca="1">IF($B$340="Лікар загальної практики - сімейний лікар",IF(Z344&lt;Законод!$C$22,0,(IF(AND(Z344&gt;=Законод!$G$22,Z344&lt;=Законод!$G$23),Z344-Законод!$F$23,IF('01_Доходи'!Z344&gt;=Законод!$H$22,Законод!$G$24,0)))),IF($B$340="Лікар-педіатр",IF(Z344&lt;Законод!$C$18,0,(IF(AND(Z344&gt;=Законод!$G$18,Z344&lt;=Законод!$G$19),Z344-Законод!$F$19,IF('01_Доходи'!Z344&gt;=Законод!$H$18,Законод!$G$20,0)))),IF($B$340="Лікар-терапевт",IF(Z344&lt;Законод!$C$26,0,(IF(AND(Z344&gt;=Законод!$G$26,Z344&lt;=Законод!$G$27),Z344-Законод!$F$27,IF('01_Доходи'!Z344&gt;=Законод!$H$26,Законод!$G$28,0)))),0)))</f>
        <v>0</v>
      </c>
      <c r="AA348" s="966"/>
      <c r="AB348" s="965" t="s">
        <v>423</v>
      </c>
      <c r="AC348" s="965"/>
      <c r="AD348" s="965"/>
      <c r="AE348" s="965"/>
      <c r="AF348" s="965"/>
      <c r="AG348" s="196">
        <f ca="1">IF($B$340="Лікар загальної практики - сімейний лікар",IF(AG344&lt;Законод!$C$22,0,(IF(AND(AG344&gt;=Законод!$G$22,AG344&lt;=Законод!$G$23),AG344-Законод!$F$23,IF('01_Доходи'!AG344&gt;=Законод!$H$22,Законод!$G$24,0)))),IF($B$340="Лікар-педіатр",IF(AG344&lt;Законод!$C$18,0,(IF(AND(AG344&gt;=Законод!$G$18,AG344&lt;=Законод!$G$19),AG344-Законод!$F$19,IF('01_Доходи'!AG344&gt;=Законод!$H$18,Законод!$G$20,0)))),IF($B$340="Лікар-терапевт",IF(AG344&lt;Законод!$C$26,0,(IF(AND(AG344&gt;=Законод!$G$26,AG344&lt;=Законод!$G$27),AG344-Законод!$F$27,IF('01_Доходи'!AG344&gt;=Законод!$H$26,Законод!$G$28,0)))),0)))</f>
        <v>0</v>
      </c>
      <c r="AH348" s="966"/>
      <c r="AI348" s="201"/>
      <c r="AJ348" s="945"/>
      <c r="AK348" s="960"/>
      <c r="AL348" s="960"/>
      <c r="AM348" s="927"/>
      <c r="AN348" s="210">
        <f ca="1">IF(B340="Лікар загальної практики - сімейний лікар",L348*Законод!$C$9/4*Законод!$G$16,IF(B340="Лікар-педіатр",L348*Законод!$C$9/4*Законод!$G$16,IF(B340="Лікар-терапевт",L348*Законод!$C$9/4*Законод!$G$16,0)))</f>
        <v>0</v>
      </c>
      <c r="AO348" s="210">
        <f ca="1">IF(B340="Лікар загальної практики - сімейний лікар",S348*Законод!$C$9/4*Законод!$G$16,IF(B340="Лікар-педіатр",S348*Законод!$C$9/4*Законод!$G$16,IF(B340="Лікар-терапевт",S348*Законод!$C$9/4*Законод!$G$16,0)))</f>
        <v>0</v>
      </c>
      <c r="AP348" s="210">
        <f ca="1">IF(B340="Лікар загальної практики - сімейний лікар",Z348*Законод!$C$9/4*Законод!$G$16,IF(B340="Лікар-педіатр",Z348*Законод!$C$9/4*Законод!$G$16,IF(B340="Лікар-терапевт",Z348*Законод!$C$9/4*Законод!$G$16,0)))</f>
        <v>0</v>
      </c>
      <c r="AQ348" s="210">
        <f ca="1">IF(B340="Лікар загальної практики - сімейний лікар",AG348*Законод!$C$9/4*Законод!$G$16,IF(B340="Лікар-педіатр",AG348*Законод!$C$9/4*Законод!$G$16,IF(B340="Лікар-терапевт",AG348*Законод!$C$9/4*Законод!$G$16,0)))</f>
        <v>0</v>
      </c>
      <c r="AR348" s="211">
        <f t="shared" si="66"/>
        <v>0</v>
      </c>
    </row>
    <row r="349" spans="1:44" s="50" customFormat="1" ht="31.9" hidden="1" customHeight="1">
      <c r="A349" s="197"/>
      <c r="B349" s="969"/>
      <c r="C349" s="970"/>
      <c r="D349" s="971"/>
      <c r="E349" s="971"/>
      <c r="F349" s="238" t="str">
        <f ca="1">IF(B340="Лікар-педіатр",Законод!$H$17,IF(B340="Лікар загальної практики - сімейний лікар",Законод!$H$21,IF(B340="Лікар-терапевт",Законод!$H$25,"х")))</f>
        <v>х</v>
      </c>
      <c r="G349" s="965" t="s">
        <v>423</v>
      </c>
      <c r="H349" s="965"/>
      <c r="I349" s="965"/>
      <c r="J349" s="965"/>
      <c r="K349" s="965"/>
      <c r="L349" s="196">
        <f ca="1">IF($B$340="Лікар загальної практики - сімейний лікар",IF(L344&lt;Законод!$C$22,0,(IF(AND(L344&gt;=Законод!$H$22,L344&lt;=Законод!$H$23),L344-Законод!$G$23,IF('01_Доходи'!L344&gt;=Законод!$I$22,Законод!$H$24,0)))),IF($B$340="Лікар-педіатр",IF(L344&lt;Законод!$C$18,0,(IF(AND(L344&gt;=Законод!$H$18,L344&lt;=Законод!$H$19),L344-Законод!$G$19,IF('01_Доходи'!L344&gt;=Законод!$I$18,Законод!$H$20,0)))),IF($B$340="Лікар-терапевт",IF(L344&lt;Законод!$C$26,0,(IF(AND(L344&gt;=Законод!$H$26,L344&lt;=Законод!$H$27),L344-Законод!$G$27,IF(L344&gt;=Законод!$I$26,Законод!$H$28,0)))),0)))</f>
        <v>0</v>
      </c>
      <c r="M349" s="966"/>
      <c r="N349" s="965" t="s">
        <v>423</v>
      </c>
      <c r="O349" s="965"/>
      <c r="P349" s="965"/>
      <c r="Q349" s="965"/>
      <c r="R349" s="965"/>
      <c r="S349" s="196">
        <f ca="1">IF($B$340="Лікар загальної практики - сімейний лікар",IF(S344&lt;Законод!$C$22,0,(IF(AND(S344&gt;=Законод!$H$22,S344&lt;=Законод!$H$23),S344-Законод!$G$23,IF('01_Доходи'!S344&gt;=Законод!$I$22,Законод!$H$24,0)))),IF($B$340="Лікар-педіатр",IF(S344&lt;Законод!$C$18,0,(IF(AND(S344&gt;=Законод!$H$18,S344&lt;=Законод!$H$19),S344-Законод!$G$19,IF('01_Доходи'!S344&gt;=Законод!$I$18,Законод!$H$20,0)))),IF($B$340="Лікар-терапевт",IF(S344&lt;Законод!$C$26,0,(IF(AND(S344&gt;=Законод!$H$26,S344&lt;=Законод!$H$27),S344-Законод!$G$27,IF(S344&gt;=Законод!$I$26,Законод!$H$28,0)))),0)))</f>
        <v>0</v>
      </c>
      <c r="T349" s="966"/>
      <c r="U349" s="965" t="s">
        <v>423</v>
      </c>
      <c r="V349" s="965"/>
      <c r="W349" s="965"/>
      <c r="X349" s="965"/>
      <c r="Y349" s="965"/>
      <c r="Z349" s="196">
        <f ca="1">IF($B$340="Лікар загальної практики - сімейний лікар",IF(Z344&lt;Законод!$C$22,0,(IF(AND(Z344&gt;=Законод!$H$22,Z344&lt;=Законод!$H$23),Z344-Законод!$G$23,IF('01_Доходи'!Z344&gt;=Законод!$I$22,Законод!$H$24,0)))),IF($B$340="Лікар-педіатр",IF(Z344&lt;Законод!$C$18,0,(IF(AND(Z344&gt;=Законод!$H$18,Z344&lt;=Законод!$H$19),Z344-Законод!$G$19,IF('01_Доходи'!Z344&gt;=Законод!$I$18,Законод!$H$20,0)))),IF($B$340="Лікар-терапевт",IF(Z344&lt;Законод!$C$26,0,(IF(AND(Z344&gt;=Законод!$H$26,Z344&lt;=Законод!$H$27),Z344-Законод!$G$27,IF(Z344&gt;=Законод!$I$26,Законод!$H$28,0)))),0)))</f>
        <v>0</v>
      </c>
      <c r="AA349" s="966"/>
      <c r="AB349" s="965" t="s">
        <v>423</v>
      </c>
      <c r="AC349" s="965"/>
      <c r="AD349" s="965"/>
      <c r="AE349" s="965"/>
      <c r="AF349" s="965"/>
      <c r="AG349" s="196">
        <f ca="1">IF($B$340="Лікар загальної практики - сімейний лікар",IF(AG344&lt;Законод!$C$22,0,(IF(AND(AG344&gt;=Законод!$H$22,AG344&lt;=Законод!$H$23),AG344-Законод!$G$23,IF('01_Доходи'!AG344&gt;=Законод!$I$22,Законод!$H$24,0)))),IF($B$340="Лікар-педіатр",IF(AG344&lt;Законод!$C$18,0,(IF(AND(AG344&gt;=Законод!$H$18,AG344&lt;=Законод!$H$19),AG344-Законод!$G$19,IF('01_Доходи'!AG344&gt;=Законод!$I$18,Законод!$H$20,0)))),IF($B$340="Лікар-терапевт",IF(AG344&lt;Законод!$C$26,0,(IF(AND(AG344&gt;=Законод!$H$26,AG344&lt;=Законод!$H$27),AG344-Законод!$G$27,IF(AG344&gt;=Законод!$I$26,Законод!$H$28,0)))),0)))</f>
        <v>0</v>
      </c>
      <c r="AH349" s="966"/>
      <c r="AI349" s="201"/>
      <c r="AJ349" s="945"/>
      <c r="AK349" s="960"/>
      <c r="AL349" s="960"/>
      <c r="AM349" s="927"/>
      <c r="AN349" s="210">
        <f ca="1">IF(B340="Лікар загальної практики - сімейний лікар",L349*Законод!$C$9/4*Законод!$H$16,IF(B340="Лікар-педіатр",L349*Законод!$C$9/4*Законод!$H$16,IF(B340="Лікар-терапевт",L349*Законод!$C$9/4*Законод!$H$16,0)))</f>
        <v>0</v>
      </c>
      <c r="AO349" s="210">
        <f ca="1">IF(B340="Лікар загальної практики - сімейний лікар",S349*Законод!$C$9/4*Законод!$H$16,IF(B340="Лікар-педіатр",S349*Законод!$C$9/4*Законод!$H$16,IF(B340="Лікар-терапевт",S349*Законод!$C$9/4*Законод!$H$16,0)))</f>
        <v>0</v>
      </c>
      <c r="AP349" s="210">
        <f ca="1">IF(B340="Лікар загальної практики - сімейний лікар",Z349*Законод!$C$9/4*Законод!$H$16,IF(B340="Лікар-педіатр",Z349*Законод!$C$9/4*Законод!$H$16,IF(B340="Лікар-терапевт",Z349*Законод!$C$9/4*Законод!$H$16,0)))</f>
        <v>0</v>
      </c>
      <c r="AQ349" s="210">
        <f ca="1">IF(B340="Лікар загальної практики - сімейний лікар",AG349*Законод!$C$9/4*Законод!$H$16,IF(B340="Лікар-педіатр",AG349*Законод!$C$9/4*Законод!$H$16,IF(B340="Лікар-терапевт",AG349*Законод!$C$9/4*Законод!$H$16,0)))</f>
        <v>0</v>
      </c>
      <c r="AR349" s="211">
        <f t="shared" si="66"/>
        <v>0</v>
      </c>
    </row>
    <row r="350" spans="1:44" s="50" customFormat="1" ht="31.9" hidden="1" customHeight="1">
      <c r="A350" s="197"/>
      <c r="B350" s="969"/>
      <c r="C350" s="970"/>
      <c r="D350" s="971"/>
      <c r="E350" s="971"/>
      <c r="F350" s="238" t="str">
        <f ca="1">IF(B340="Лікар-педіатр",Законод!$I$17,IF(B340="Лікар загальної практики - сімейний лікар",Законод!$I$21,IF(B340="Лікар-терапевт",Законод!$I$25,"х")))</f>
        <v>х</v>
      </c>
      <c r="G350" s="965" t="s">
        <v>423</v>
      </c>
      <c r="H350" s="965"/>
      <c r="I350" s="965"/>
      <c r="J350" s="965"/>
      <c r="K350" s="965"/>
      <c r="L350" s="196">
        <f ca="1">IF($B$340="Лікар загальної практики - сімейний лікар",IF(L344&lt;Законод!$C$22,0,(IF(AND(L344&gt;=Законод!$I$22,L344&lt;=Законод!$I$23),L344-Законод!$H$23,IF('01_Доходи'!L344&gt;=Законод!$I$22,Законод!$I$24,0)))),IF($B$340="Лікар-педіатр",IF(L344&lt;Законод!$C$18,0,(IF(AND(L344&gt;=Законод!$I$18,L344&lt;=Законод!$I$19),L344-Законод!$H$19,IF('01_Доходи'!L344&gt;=Законод!$I$18,Законод!$H$20,0)))),IF($B$340="Лікар-терапевт",IF(L344&lt;Законод!$C$26,0,(IF(AND(L344&gt;=Законод!$I$26,L344&lt;=Законод!$I$27),L344-Законод!$H$27,IF('01_Доходи'!L344&gt;=Законод!$I$26,Законод!$H$28,0)))),0)))</f>
        <v>0</v>
      </c>
      <c r="M350" s="966"/>
      <c r="N350" s="965" t="s">
        <v>423</v>
      </c>
      <c r="O350" s="965"/>
      <c r="P350" s="965"/>
      <c r="Q350" s="965"/>
      <c r="R350" s="965"/>
      <c r="S350" s="196">
        <f ca="1">IF($B$340="Лікар загальної практики - сімейний лікар",IF(S344&lt;Законод!$C$22,0,(IF(AND(S344&gt;=Законод!$I$22,S344&lt;=Законод!$I$23),S344-Законод!$H$23,IF('01_Доходи'!S344&gt;=Законод!$I$22,Законод!$I$24,0)))),IF($B$340="Лікар-педіатр",IF(S344&lt;Законод!$C$18,0,(IF(AND(S344&gt;=Законод!$I$18,S344&lt;=Законод!$I$19),S344-Законод!$H$19,IF('01_Доходи'!S344&gt;=Законод!$I$18,Законод!$H$20,0)))),IF($B$340="Лікар-терапевт",IF(S344&lt;Законод!$C$26,0,(IF(AND(S344&gt;=Законод!$I$26,S344&lt;=Законод!$I$27),S344-Законод!$H$27,IF('01_Доходи'!S344&gt;=Законод!$I$26,Законод!$H$28,0)))),0)))</f>
        <v>0</v>
      </c>
      <c r="T350" s="966"/>
      <c r="U350" s="965" t="s">
        <v>423</v>
      </c>
      <c r="V350" s="965"/>
      <c r="W350" s="965"/>
      <c r="X350" s="965"/>
      <c r="Y350" s="965"/>
      <c r="Z350" s="196">
        <f ca="1">IF($B$340="Лікар загальної практики - сімейний лікар",IF(Z344&lt;Законод!$C$22,0,(IF(AND(Z344&gt;=Законод!$I$22,Z344&lt;=Законод!$I$23),Z344-Законод!$H$23,IF('01_Доходи'!Z344&gt;=Законод!$I$22,Законод!$I$24,0)))),IF($B$340="Лікар-педіатр",IF(Z344&lt;Законод!$C$18,0,(IF(AND(Z344&gt;=Законод!$I$18,Z344&lt;=Законод!$I$19),Z344-Законод!$H$19,IF('01_Доходи'!Z344&gt;=Законод!$I$18,Законод!$H$20,0)))),IF($B$340="Лікар-терапевт",IF(Z344&lt;Законод!$C$26,0,(IF(AND(Z344&gt;=Законод!$I$26,Z344&lt;=Законод!$I$27),Z344-Законод!$H$27,IF('01_Доходи'!Z344&gt;=Законод!$I$26,Законод!$H$28,0)))),0)))</f>
        <v>0</v>
      </c>
      <c r="AA350" s="966"/>
      <c r="AB350" s="965" t="s">
        <v>423</v>
      </c>
      <c r="AC350" s="965"/>
      <c r="AD350" s="965"/>
      <c r="AE350" s="965"/>
      <c r="AF350" s="965"/>
      <c r="AG350" s="196">
        <f ca="1">IF($B$340="Лікар загальної практики - сімейний лікар",IF(AG344&lt;Законод!$C$22,0,(IF(AND(AG344&gt;=Законод!$I$22,AG344&lt;=Законод!$I$23),AG344-Законод!$H$23,IF('01_Доходи'!AG344&gt;=Законод!$I$22,Законод!$I$24,0)))),IF($B$340="Лікар-педіатр",IF(AG344&lt;Законод!$C$18,0,(IF(AND(AG344&gt;=Законод!$I$18,AG344&lt;=Законод!$I$19),AG344-Законод!$H$19,IF('01_Доходи'!AG344&gt;=Законод!$I$18,Законод!$H$20,0)))),IF($B$340="Лікар-терапевт",IF(AG344&lt;Законод!$C$26,0,(IF(AND(AG344&gt;=Законод!$I$26,AG344&lt;=Законод!$I$27),AG344-Законод!$H$27,IF('01_Доходи'!AG344&gt;=Законод!$I$26,Законод!$H$28,0)))),0)))</f>
        <v>0</v>
      </c>
      <c r="AH350" s="966"/>
      <c r="AI350" s="201"/>
      <c r="AJ350" s="945"/>
      <c r="AK350" s="960"/>
      <c r="AL350" s="960"/>
      <c r="AM350" s="927"/>
      <c r="AN350" s="210">
        <f ca="1">IF(B340="Лікар загальної практики - сімейний лікар",L350*Законод!$C$9/4*Законод!$I$16,IF(B340="Лікар-педіатр",L350*Законод!$C$9/4*Законод!$I$16,IF(B340="Лікар-терапевт",L350*Законод!$C$9/4*Законод!$I$16,0)))</f>
        <v>0</v>
      </c>
      <c r="AO350" s="210">
        <f ca="1">IF(B340="Лікар загальної практики - сімейний лікар",S350*Законод!$C$9/4*Законод!$I$16,IF(B340="Лікар-педіатр",S350*Законод!$C$9/4*Законод!$I$16,IF(B340="Лікар-терапевт",S350*Законод!$C$9/4*Законод!$I$16,0)))</f>
        <v>0</v>
      </c>
      <c r="AP350" s="210">
        <f ca="1">IF(B340="Лікар загальної практики - сімейний лікар",Z350*Законод!$C$9/4*Законод!$I$16,IF(B340="Лікар-педіатр",Z350*Законод!$C$9/4*Законод!$I$16,IF(B340="Лікар-терапевт",Z350*Законод!$C$9/4*Законод!$I$16,0)))</f>
        <v>0</v>
      </c>
      <c r="AQ350" s="210">
        <f ca="1">IF(B340="Лікар загальної практики - сімейний лікар",AG350*Законод!$C$9/4*Законод!$I$16,IF(B340="Лікар-педіатр",AG350*Законод!$C$9/4*Законод!$I$16,IF(B340="Лікар-терапевт",AG350*Законод!$C$9/4*Законод!$I$16,0)))</f>
        <v>0</v>
      </c>
      <c r="AR350" s="211">
        <f t="shared" si="66"/>
        <v>0</v>
      </c>
    </row>
    <row r="351" spans="1:44" s="218" customFormat="1" ht="31.9" hidden="1" customHeight="1" thickBot="1">
      <c r="A351" s="213"/>
      <c r="B351" s="969"/>
      <c r="C351" s="970"/>
      <c r="D351" s="971"/>
      <c r="E351" s="971"/>
      <c r="F351" s="239" t="str">
        <f ca="1">IF(B340="Лікар-педіатр",Законод!$J$17,IF(B340="Лікар загальної практики - сімейний лікар",Законод!$J$21,IF(B340="Лікар-терапевт",Законод!$J$25,"х")))</f>
        <v>х</v>
      </c>
      <c r="G351" s="968" t="s">
        <v>423</v>
      </c>
      <c r="H351" s="968"/>
      <c r="I351" s="968"/>
      <c r="J351" s="968"/>
      <c r="K351" s="968"/>
      <c r="L351" s="196">
        <f ca="1">IF($B$340="Лікар загальної практики - сімейний лікар",IF(L344&gt;=Законод!$J$22,'01_Доходи'!L344-('01_Доходи'!L345+'01_Доходи'!L346+'01_Доходи'!L347+'01_Доходи'!L348+'01_Доходи'!L349+'01_Доходи'!L350),0),IF($B$340="Лікар-педіатр",IF(L344&gt;=Законод!$J$18,'01_Доходи'!L344-('01_Доходи'!L345+'01_Доходи'!L346+'01_Доходи'!L347+'01_Доходи'!L348+'01_Доходи'!L349+'01_Доходи'!L350),0),IF($B$340="Лікар-терапевт",IF('01_Доходи'!L344&gt;=Законод!$J$26,L344-Законод!$I$27,0),0)))</f>
        <v>0</v>
      </c>
      <c r="M351" s="966"/>
      <c r="N351" s="968" t="s">
        <v>423</v>
      </c>
      <c r="O351" s="968"/>
      <c r="P351" s="968"/>
      <c r="Q351" s="968"/>
      <c r="R351" s="968"/>
      <c r="S351" s="196">
        <f ca="1">IF($B$340="Лікар загальної практики - сімейний лікар",IF(S344&gt;=Законод!$J$22,'01_Доходи'!S344-('01_Доходи'!S345+'01_Доходи'!S346+'01_Доходи'!S347+'01_Доходи'!S348+'01_Доходи'!S349+'01_Доходи'!S350),0),IF($B$340="Лікар-педіатр",IF(S344&gt;=Законод!$J$18,'01_Доходи'!S344-('01_Доходи'!S345+'01_Доходи'!S346+'01_Доходи'!S347+'01_Доходи'!S348+'01_Доходи'!S349+'01_Доходи'!S350),0),IF($B$340="Лікар-терапевт",IF('01_Доходи'!S344&gt;=Законод!$J$26,S344-Законод!$I$27,0),0)))</f>
        <v>0</v>
      </c>
      <c r="T351" s="966"/>
      <c r="U351" s="968" t="s">
        <v>423</v>
      </c>
      <c r="V351" s="968"/>
      <c r="W351" s="968"/>
      <c r="X351" s="968"/>
      <c r="Y351" s="968"/>
      <c r="Z351" s="196">
        <f ca="1">IF($B$340="Лікар загальної практики - сімейний лікар",IF(Z344&gt;=Законод!$J$22,'01_Доходи'!Z344-('01_Доходи'!Z345+'01_Доходи'!Z346+'01_Доходи'!Z347+'01_Доходи'!Z348+'01_Доходи'!Z349+'01_Доходи'!Z350),0),IF($B$340="Лікар-педіатр",IF(Z344&gt;=Законод!$J$18,'01_Доходи'!Z344-('01_Доходи'!Z345+'01_Доходи'!Z346+'01_Доходи'!Z347+'01_Доходи'!Z348+'01_Доходи'!Z349+'01_Доходи'!Z350),0),IF($B$340="Лікар-терапевт",IF('01_Доходи'!Z344&gt;=Законод!$J$26,Z344-Законод!$I$27,0),0)))</f>
        <v>0</v>
      </c>
      <c r="AA351" s="966"/>
      <c r="AB351" s="968" t="s">
        <v>423</v>
      </c>
      <c r="AC351" s="968"/>
      <c r="AD351" s="968"/>
      <c r="AE351" s="968"/>
      <c r="AF351" s="968"/>
      <c r="AG351" s="196">
        <f ca="1">IF($B$340="Лікар загальної практики - сімейний лікар",IF(AG344&gt;=Законод!$J$22,'01_Доходи'!AG344-('01_Доходи'!AG345+'01_Доходи'!AG346+'01_Доходи'!AG347+'01_Доходи'!AG348+'01_Доходи'!AG349+'01_Доходи'!AG350),0),IF($B$340="Лікар-педіатр",IF(AG344&gt;=Законод!$J$18,'01_Доходи'!AG344-('01_Доходи'!AG345+'01_Доходи'!AG346+'01_Доходи'!AG347+'01_Доходи'!AG348+'01_Доходи'!AG349+'01_Доходи'!AG350),0),IF($B$340="Лікар-терапевт",IF('01_Доходи'!AG344&gt;=Законод!$J$26,AG344-Законод!$I$27,0),0)))</f>
        <v>0</v>
      </c>
      <c r="AH351" s="966"/>
      <c r="AI351" s="215"/>
      <c r="AJ351" s="946"/>
      <c r="AK351" s="961"/>
      <c r="AL351" s="961"/>
      <c r="AM351" s="928"/>
      <c r="AN351" s="216">
        <f ca="1">IF(B340="Лікар загальної практики - сімейний лікар",L351*Законод!$C$9/4*Законод!$J$16,IF(B340="Лікар-педіатр",L351*Законод!$C$9/4*Законод!$J$16,IF(B340="Лікар-терапевт",L351*Законод!$C$9/4*Законод!$J$16,0)))</f>
        <v>0</v>
      </c>
      <c r="AO351" s="216">
        <f ca="1">IF(B340="Лікар загальної практики - сімейний лікар",S351*Законод!$C$9/4*Законод!$J$16,IF(B340="Лікар-педіатр",S351*Законод!$C$9/4*Законод!$J$16,IF(B340="Лікар-терапевт",S351*Законод!$C$9/4*Законод!$J$16,0)))</f>
        <v>0</v>
      </c>
      <c r="AP351" s="216">
        <f ca="1">IF(B340="Лікар загальної практики - сімейний лікар",S351*Законод!$C$9/4*Законод!$J$16,IF(B340="Лікар-педіатр",S351*Законод!$C$9/4*Законод!$J$16,IF(B340="Лікар-терапевт",S351*Законод!$C$9/4*Законод!$J$16,0)))</f>
        <v>0</v>
      </c>
      <c r="AQ351" s="216">
        <f ca="1">IF(B340="Лікар загальної практики - сімейний лікар",AG351*Законод!$C$9/4*Законод!$J$16,IF(B340="Лікар-педіатр",AG351*Законод!$C$9/4*Законод!$J$16,IF(B340="Лікар-терапевт",AG351*Законод!$C$9/4*Законод!$J$16,0)))</f>
        <v>0</v>
      </c>
      <c r="AR351" s="217">
        <f t="shared" si="66"/>
        <v>0</v>
      </c>
    </row>
    <row r="352" spans="1:44" s="247" customFormat="1" ht="23.45" hidden="1" customHeight="1" thickBot="1">
      <c r="A352" s="243"/>
      <c r="B352" s="244"/>
      <c r="C352" s="244"/>
      <c r="D352" s="244"/>
      <c r="E352" s="244"/>
      <c r="F352" s="245"/>
      <c r="G352" s="246"/>
      <c r="H352" s="246"/>
      <c r="L352" s="248"/>
      <c r="S352" s="248"/>
      <c r="Z352" s="248"/>
      <c r="AG352" s="248"/>
      <c r="AM352" s="249"/>
      <c r="AR352" s="250"/>
    </row>
    <row r="353" spans="1:44" s="191" customFormat="1" ht="27.6" hidden="1" customHeight="1">
      <c r="A353" s="194">
        <f>A340+1</f>
        <v>25</v>
      </c>
      <c r="B353" s="950"/>
      <c r="C353" s="953"/>
      <c r="D353" s="956"/>
      <c r="E353" s="938"/>
      <c r="F353" s="234" t="s">
        <v>659</v>
      </c>
      <c r="G353" s="196">
        <f>IF($B$353="Лікар-педіатр",G356*L353,IF($B$353="Лікар-терапевт","х",IF($B$353="Лікар загальної практики - сімейний лікар",G356*L353,0)))</f>
        <v>0</v>
      </c>
      <c r="H353" s="196">
        <f>IF($B$353="Лікар-педіатр",H356*L353,IF($B$353="Лікар-терапевт","х",IF($B$353="Лікар загальної практики - сімейний лікар",H356*L353,0)))</f>
        <v>0</v>
      </c>
      <c r="I353" s="196">
        <f>IF($B$353="Лікар-педіатр","x",IF($B$353="Лікар-терапевт",I356*L353,IF($B$353="Лікар загальної практики - сімейний лікар",I356*L353,0)))</f>
        <v>0</v>
      </c>
      <c r="J353" s="196">
        <f>IF($B$353="Лікар-педіатр","x",IF($B$353="Лікар-терапевт",J356*L353,IF($B$353="Лікар загальної практики - сімейний лікар",J356*L353,0)))</f>
        <v>0</v>
      </c>
      <c r="K353" s="196">
        <f>IF($B$353="Лікар-педіатр","x",IF($B$353="Лікар-терапевт",K356*L353,IF($B$353="Лікар загальної практики - сімейний лікар",K356*L353,0)))</f>
        <v>0</v>
      </c>
      <c r="L353" s="557"/>
      <c r="M353" s="941"/>
      <c r="N353" s="196">
        <f>IF($B$353="Лікар-педіатр",N356*S353,IF($B$353="Лікар-терапевт","х",IF($B$353="Лікар загальної практики - сімейний лікар",N356*S353,0)))</f>
        <v>0</v>
      </c>
      <c r="O353" s="196">
        <f>IF($B$353="Лікар-педіатр",O356*S353,IF($B$353="Лікар-терапевт","х",IF($B$353="Лікар загальної практики - сімейний лікар",O356*S353,0)))</f>
        <v>0</v>
      </c>
      <c r="P353" s="196">
        <f>IF($B$353="Лікар-педіатр","x",IF($B$353="Лікар-терапевт",P356*S353,IF($B$353="Лікар загальної практики - сімейний лікар",P356*S353,0)))</f>
        <v>0</v>
      </c>
      <c r="Q353" s="196">
        <f>IF($B$353="Лікар-педіатр","x",IF($B$353="Лікар-терапевт",Q356*S353,IF($B$353="Лікар загальної практики - сімейний лікар",Q356*S353,0)))</f>
        <v>0</v>
      </c>
      <c r="R353" s="196">
        <f>IF($B$353="Лікар-педіатр","x",IF($B$353="Лікар-терапевт",R356*S353,IF($B$353="Лікар загальної практики - сімейний лікар",R356*S353,0)))</f>
        <v>0</v>
      </c>
      <c r="S353" s="557"/>
      <c r="T353" s="941"/>
      <c r="U353" s="196">
        <f>IF($B$353="Лікар-педіатр",U356*Z353,IF($B$353="Лікар-терапевт","х",IF($B$353="Лікар загальної практики - сімейний лікар",U356*Z353,0)))</f>
        <v>0</v>
      </c>
      <c r="V353" s="196">
        <f>IF($B$353="Лікар-педіатр",V356*Z353,IF($B$353="Лікар-терапевт","х",IF($B$353="Лікар загальної практики - сімейний лікар",V356*Z353,0)))</f>
        <v>0</v>
      </c>
      <c r="W353" s="196">
        <f>IF($B$353="Лікар-педіатр","x",IF($B$353="Лікар-терапевт",W356*Z353,IF($B$353="Лікар загальної практики - сімейний лікар",W356*Z353,0)))</f>
        <v>0</v>
      </c>
      <c r="X353" s="196">
        <f>IF($B$353="Лікар-педіатр","x",IF($B$353="Лікар-терапевт",X356*Z353,IF($B$353="Лікар загальної практики - сімейний лікар",X356*Z353,0)))</f>
        <v>0</v>
      </c>
      <c r="Y353" s="196">
        <f>IF($B$353="Лікар-педіатр","x",IF($B$353="Лікар-терапевт",Y356*Z353,IF($B$353="Лікар загальної практики - сімейний лікар",Y356*Z353,0)))</f>
        <v>0</v>
      </c>
      <c r="Z353" s="557"/>
      <c r="AA353" s="941"/>
      <c r="AB353" s="196">
        <f>IF($B$353="Лікар-педіатр",AB356*AG353,IF($B$353="Лікар-терапевт","х",IF($B$353="Лікар загальної практики - сімейний лікар",AB356*AG353,0)))</f>
        <v>0</v>
      </c>
      <c r="AC353" s="196">
        <f>IF($B$353="Лікар-педіатр",AC356*AG353,IF($B$353="Лікар-терапевт","х",IF($B$353="Лікар загальної практики - сімейний лікар",AC356*AG353,0)))</f>
        <v>0</v>
      </c>
      <c r="AD353" s="196">
        <f>IF($B$353="Лікар-педіатр","x",IF($B$353="Лікар-терапевт",AD356*AG353,IF($B$353="Лікар загальної практики - сімейний лікар",AD356*AG353,0)))</f>
        <v>0</v>
      </c>
      <c r="AE353" s="196">
        <f>IF($B$353="Лікар-педіатр","x",IF($B$353="Лікар-терапевт",AE356*AG353,IF($B$353="Лікар загальної практики - сімейний лікар",AE356*AG353,0)))</f>
        <v>0</v>
      </c>
      <c r="AF353" s="196">
        <f>IF($B$353="Лікар-педіатр","x",IF($B$353="Лікар-терапевт",AF356*AG353,IF($B$353="Лікар загальної практики - сімейний лікар",AF356*AG353,0)))</f>
        <v>0</v>
      </c>
      <c r="AG353" s="557"/>
      <c r="AH353" s="941"/>
      <c r="AI353" s="540">
        <f>A353</f>
        <v>25</v>
      </c>
      <c r="AJ353" s="944">
        <f>B353</f>
        <v>0</v>
      </c>
      <c r="AK353" s="959">
        <f>C353</f>
        <v>0</v>
      </c>
      <c r="AL353" s="959">
        <f>D353</f>
        <v>0</v>
      </c>
      <c r="AM353" s="929" t="s">
        <v>79</v>
      </c>
      <c r="AN353" s="947">
        <f>SUM(AN358:AN364)</f>
        <v>0</v>
      </c>
      <c r="AO353" s="947">
        <f>SUM(AO358:AO364)</f>
        <v>0</v>
      </c>
      <c r="AP353" s="947">
        <f>SUM(AP358:AP364)</f>
        <v>0</v>
      </c>
      <c r="AQ353" s="947">
        <f>SUM(AQ358:AQ364)</f>
        <v>0</v>
      </c>
      <c r="AR353" s="962">
        <f>SUM(AN353:AQ357)</f>
        <v>0</v>
      </c>
    </row>
    <row r="354" spans="1:44" s="50" customFormat="1" ht="28.15" hidden="1" customHeight="1">
      <c r="A354" s="197"/>
      <c r="B354" s="951"/>
      <c r="C354" s="954"/>
      <c r="D354" s="957"/>
      <c r="E354" s="939"/>
      <c r="F354" s="234" t="s">
        <v>660</v>
      </c>
      <c r="G354" s="196">
        <f>IF($B$353="Лікар-педіатр",G356*L354,IF($B$353="Лікар-терапевт","х",IF($B$353="Лікар загальної практики - сімейний лікар",G356*L354,0)))</f>
        <v>0</v>
      </c>
      <c r="H354" s="196">
        <f>IF($B$353="Лікар-педіатр",H356*L354,IF($B$353="Лікар-терапевт","х",IF($B$353="Лікар загальної практики - сімейний лікар",H356*L354,0)))</f>
        <v>0</v>
      </c>
      <c r="I354" s="196">
        <f>IF($B$353="Лікар-педіатр","x",IF($B$353="Лікар-терапевт",I356*L354,IF($B$353="Лікар загальної практики - сімейний лікар",I356*L354,0)))</f>
        <v>0</v>
      </c>
      <c r="J354" s="196">
        <f>IF($B$353="Лікар-педіатр","x",IF($B$353="Лікар-терапевт",J356*L354,IF($B$353="Лікар загальної практики - сімейний лікар",J356*L354,0)))</f>
        <v>0</v>
      </c>
      <c r="K354" s="196">
        <f>IF($B$353="Лікар-педіатр","x",IF($B$353="Лікар-терапевт",K356*L354,IF($B$353="Лікар загальної практики - сімейний лікар",K356*L354,0)))</f>
        <v>0</v>
      </c>
      <c r="L354" s="557"/>
      <c r="M354" s="942"/>
      <c r="N354" s="196">
        <f>IF($B$353="Лікар-педіатр",N356*S354,IF($B$353="Лікар-терапевт","х",IF($B$353="Лікар загальної практики - сімейний лікар",N356*S354,0)))</f>
        <v>0</v>
      </c>
      <c r="O354" s="196">
        <f>IF($B$353="Лікар-педіатр",O356*S354,IF($B$353="Лікар-терапевт","х",IF($B$353="Лікар загальної практики - сімейний лікар",O356*S354,0)))</f>
        <v>0</v>
      </c>
      <c r="P354" s="196">
        <f>IF($B$353="Лікар-педіатр","x",IF($B$353="Лікар-терапевт",P356*S354,IF($B$353="Лікар загальної практики - сімейний лікар",P356*S354,0)))</f>
        <v>0</v>
      </c>
      <c r="Q354" s="196">
        <f>IF($B$353="Лікар-педіатр","x",IF($B$353="Лікар-терапевт",Q356*S354,IF($B$353="Лікар загальної практики - сімейний лікар",Q356*S354,0)))</f>
        <v>0</v>
      </c>
      <c r="R354" s="196">
        <f>IF($B$353="Лікар-педіатр","x",IF($B$353="Лікар-терапевт",R356*S354,IF($B$353="Лікар загальної практики - сімейний лікар",R356*S354,0)))</f>
        <v>0</v>
      </c>
      <c r="S354" s="557"/>
      <c r="T354" s="942"/>
      <c r="U354" s="196">
        <f>IF($B$353="Лікар-педіатр",U356*Z354,IF($B$353="Лікар-терапевт","х",IF($B$353="Лікар загальної практики - сімейний лікар",U356*Z354,0)))</f>
        <v>0</v>
      </c>
      <c r="V354" s="196">
        <f>IF($B$353="Лікар-педіатр",V356*Z354,IF($B$353="Лікар-терапевт","х",IF($B$353="Лікар загальної практики - сімейний лікар",V356*Z354,0)))</f>
        <v>0</v>
      </c>
      <c r="W354" s="196">
        <f>IF($B$353="Лікар-педіатр","x",IF($B$353="Лікар-терапевт",W356*Z354,IF($B$353="Лікар загальної практики - сімейний лікар",W356*Z354,0)))</f>
        <v>0</v>
      </c>
      <c r="X354" s="196">
        <f>IF($B$353="Лікар-педіатр","x",IF($B$353="Лікар-терапевт",X356*Z354,IF($B$353="Лікар загальної практики - сімейний лікар",X356*Z354,0)))</f>
        <v>0</v>
      </c>
      <c r="Y354" s="196">
        <f>IF($B$353="Лікар-педіатр","x",IF($B$353="Лікар-терапевт",Y356*Z354,IF($B$353="Лікар загальної практики - сімейний лікар",Y356*Z354,0)))</f>
        <v>0</v>
      </c>
      <c r="Z354" s="557"/>
      <c r="AA354" s="942"/>
      <c r="AB354" s="196">
        <f>IF($B$353="Лікар-педіатр",AB356*AG354,IF($B$353="Лікар-терапевт","х",IF($B$353="Лікар загальної практики - сімейний лікар",AB356*AG354,0)))</f>
        <v>0</v>
      </c>
      <c r="AC354" s="196">
        <f>IF($B$353="Лікар-педіатр",AC356*AG354,IF($B$353="Лікар-терапевт","х",IF($B$353="Лікар загальної практики - сімейний лікар",AC356*AG354,0)))</f>
        <v>0</v>
      </c>
      <c r="AD354" s="196">
        <f>IF($B$353="Лікар-педіатр","x",IF($B$353="Лікар-терапевт",AD356*AG354,IF($B$353="Лікар загальної практики - сімейний лікар",AD356*AG354,0)))</f>
        <v>0</v>
      </c>
      <c r="AE354" s="196">
        <f>IF($B$353="Лікар-педіатр","x",IF($B$353="Лікар-терапевт",AE356*AG354,IF($B$353="Лікар загальної практики - сімейний лікар",AE356*AG354,0)))</f>
        <v>0</v>
      </c>
      <c r="AF354" s="196">
        <f>IF($B$353="Лікар-педіатр","x",IF($B$353="Лікар-терапевт",AF356*AG354,IF($B$353="Лікар загальної практики - сімейний лікар",AF356*AG354,0)))</f>
        <v>0</v>
      </c>
      <c r="AG354" s="557"/>
      <c r="AH354" s="942"/>
      <c r="AI354" s="198"/>
      <c r="AJ354" s="945"/>
      <c r="AK354" s="960"/>
      <c r="AL354" s="960"/>
      <c r="AM354" s="930"/>
      <c r="AN354" s="948"/>
      <c r="AO354" s="948"/>
      <c r="AP354" s="948"/>
      <c r="AQ354" s="948"/>
      <c r="AR354" s="963"/>
    </row>
    <row r="355" spans="1:44" s="90" customFormat="1" ht="31.15" hidden="1" customHeight="1">
      <c r="A355" s="240"/>
      <c r="B355" s="951"/>
      <c r="C355" s="954"/>
      <c r="D355" s="957"/>
      <c r="E355" s="939"/>
      <c r="F355" s="241" t="s">
        <v>661</v>
      </c>
      <c r="G355" s="199">
        <f>IF(B353="Лікар загальної практики - сімейний лікар"," ",IF(B353="Лікар-педіатр"," ",IF(B353="Лікар-терапевт","х",0)))</f>
        <v>0</v>
      </c>
      <c r="H355" s="199">
        <f>IF(B353="Лікар загальної практики - сімейний лікар"," ",IF(B353="Лікар-педіатр"," ",IF(B353="Лікар-терапевт","х",0)))</f>
        <v>0</v>
      </c>
      <c r="I355" s="199">
        <f>IF(B353="Лікар загальної практики - сімейний лікар"," ",IF(B353="Лікар-педіатр","х",IF(B353="Лікар-терапевт"," ",0)))</f>
        <v>0</v>
      </c>
      <c r="J355" s="199">
        <f>IF(B353="Лікар загальної практики - сімейний лікар"," ",IF(B353="Лікар-педіатр","х",IF(B353="Лікар-терапевт"," ",0)))</f>
        <v>0</v>
      </c>
      <c r="K355" s="199">
        <f>IF(B353="Лікар загальної практики - сімейний лікар"," ",IF(B353="Лікар-педіатр","х",IF(B353="Лікар-терапевт"," ",0)))</f>
        <v>0</v>
      </c>
      <c r="L355" s="200">
        <f>SUM(G355:K355)</f>
        <v>0</v>
      </c>
      <c r="M355" s="942"/>
      <c r="N355" s="199">
        <f>IF(B353="Лікар загальної практики - сімейний лікар"," ",IF(B353="Лікар-педіатр"," ",IF(B353="Лікар-терапевт","х",0)))</f>
        <v>0</v>
      </c>
      <c r="O355" s="199">
        <f>IF(B353="Лікар загальної практики - сімейний лікар"," ",IF(B353="Лікар-педіатр"," ",IF(B353="Лікар-терапевт","х",0)))</f>
        <v>0</v>
      </c>
      <c r="P355" s="199">
        <f>IF(B353="Лікар загальної практики - сімейний лікар"," ",IF(B353="Лікар-педіатр","х",IF(B353="Лікар-терапевт"," ",0)))</f>
        <v>0</v>
      </c>
      <c r="Q355" s="199">
        <f>IF(B353="Лікар загальної практики - сімейний лікар"," ",IF(B353="Лікар-педіатр","х",IF(B353="Лікар-терапевт"," ",0)))</f>
        <v>0</v>
      </c>
      <c r="R355" s="199">
        <f>IF(B353="Лікар загальної практики - сімейний лікар"," ",IF(B353="Лікар-педіатр","х",IF(B353="Лікар-терапевт"," ",0)))</f>
        <v>0</v>
      </c>
      <c r="S355" s="200">
        <f>SUM(N355:R355)</f>
        <v>0</v>
      </c>
      <c r="T355" s="942"/>
      <c r="U355" s="199">
        <f>IF(B353="Лікар загальної практики - сімейний лікар"," ",IF(B353="Лікар-педіатр"," ",IF(B353="Лікар-терапевт","х",0)))</f>
        <v>0</v>
      </c>
      <c r="V355" s="199">
        <f>IF(B353="Лікар загальної практики - сімейний лікар"," ",IF(B353="Лікар-педіатр"," ",IF(B353="Лікар-терапевт","х",0)))</f>
        <v>0</v>
      </c>
      <c r="W355" s="199">
        <f>IF(B353="Лікар загальної практики - сімейний лікар"," ",IF(B353="Лікар-педіатр","х",IF(B353="Лікар-терапевт"," ",0)))</f>
        <v>0</v>
      </c>
      <c r="X355" s="199">
        <f>IF(B353="Лікар загальної практики - сімейний лікар"," ",IF(B353="Лікар-педіатр","х",IF(B353="Лікар-терапевт"," ",0)))</f>
        <v>0</v>
      </c>
      <c r="Y355" s="199">
        <f>IF(B353="Лікар загальної практики - сімейний лікар"," ",IF(B353="Лікар-педіатр","х",IF(B353="Лікар-терапевт"," ",0)))</f>
        <v>0</v>
      </c>
      <c r="Z355" s="200">
        <f>SUM(U355:Y355)</f>
        <v>0</v>
      </c>
      <c r="AA355" s="942"/>
      <c r="AB355" s="199">
        <f>IF(B353="Лікар загальної практики - сімейний лікар"," ",IF(B353="Лікар-педіатр"," ",IF(B353="Лікар-терапевт","х",0)))</f>
        <v>0</v>
      </c>
      <c r="AC355" s="199">
        <f>IF(B353="Лікар загальної практики - сімейний лікар"," ",IF(B353="Лікар-педіатр"," ",IF(B353="Лікар-терапевт","х",0)))</f>
        <v>0</v>
      </c>
      <c r="AD355" s="199">
        <f>IF(B353="Лікар загальної практики - сімейний лікар"," ",IF(B353="Лікар-педіатр","х",IF(B353="Лікар-терапевт"," ",0)))</f>
        <v>0</v>
      </c>
      <c r="AE355" s="199">
        <f>IF(B353="Лікар загальної практики - сімейний лікар"," ",IF(B353="Лікар-педіатр","х",IF(B353="Лікар-терапевт"," ",0)))</f>
        <v>0</v>
      </c>
      <c r="AF355" s="199">
        <f>IF(B353="Лікар загальної практики - сімейний лікар"," ",IF(B353="Лікар-педіатр","х",IF(B353="Лікар-терапевт"," ",0)))</f>
        <v>0</v>
      </c>
      <c r="AG355" s="200">
        <f>SUM(AB355:AF355)</f>
        <v>0</v>
      </c>
      <c r="AH355" s="942"/>
      <c r="AI355" s="242"/>
      <c r="AJ355" s="945"/>
      <c r="AK355" s="960"/>
      <c r="AL355" s="960"/>
      <c r="AM355" s="930"/>
      <c r="AN355" s="948"/>
      <c r="AO355" s="948"/>
      <c r="AP355" s="948"/>
      <c r="AQ355" s="948"/>
      <c r="AR355" s="963"/>
    </row>
    <row r="356" spans="1:44" s="50" customFormat="1" ht="31.9" hidden="1" customHeight="1" thickBot="1">
      <c r="A356" s="197"/>
      <c r="B356" s="951"/>
      <c r="C356" s="954"/>
      <c r="D356" s="957"/>
      <c r="E356" s="939"/>
      <c r="F356" s="236" t="s">
        <v>426</v>
      </c>
      <c r="G356" s="203">
        <f>IF($B$353="Лікар-педіатр",G355/L355,IF($B$353="Лікар-терапевт","х",IF($B$353="Лікар загальної практики - сімейний лікар",G355/L355,0)))</f>
        <v>0</v>
      </c>
      <c r="H356" s="203">
        <f>IF($B$353="Лікар-педіатр",H355/L355,IF($B$353="Лікар-терапевт","х",IF($B$353="Лікар загальної практики - сімейний лікар",H355/L355,0)))</f>
        <v>0</v>
      </c>
      <c r="I356" s="203">
        <f>IF($B$353="Лікар-педіатр","x",IF($B$353="Лікар-терапевт",I355/L355,IF($B$353="Лікар загальної практики - сімейний лікар",I355/L355,0)))</f>
        <v>0</v>
      </c>
      <c r="J356" s="203">
        <f>IF($B$353="Лікар-педіатр","x",IF($B$353="Лікар-терапевт",J355/L355,IF($B$353="Лікар загальної практики - сімейний лікар",J355/L355,0)))</f>
        <v>0</v>
      </c>
      <c r="K356" s="203">
        <f>IF($B$353="Лікар-педіатр","x",IF($B$353="Лікар-терапевт",K355/L355,IF($B$353="Лікар загальної практики - сімейний лікар",K355/L355,0)))</f>
        <v>0</v>
      </c>
      <c r="L356" s="203">
        <f>SUM(G356:K356)</f>
        <v>0</v>
      </c>
      <c r="M356" s="942"/>
      <c r="N356" s="203">
        <f>IF($B$353="Лікар-педіатр",N355/S355,IF($B$353="Лікар-терапевт","х",IF($B$353="Лікар загальної практики - сімейний лікар",N355/S355,0)))</f>
        <v>0</v>
      </c>
      <c r="O356" s="203">
        <f>IF($B$353="Лікар-педіатр",O355/S355,IF($B$353="Лікар-терапевт","х",IF($B$353="Лікар загальної практики - сімейний лікар",O355/S355,0)))</f>
        <v>0</v>
      </c>
      <c r="P356" s="203">
        <f>IF($B$353="Лікар-педіатр","x",IF($B$353="Лікар-терапевт",P355/S355,IF($B$353="Лікар загальної практики - сімейний лікар",P355/S355,0)))</f>
        <v>0</v>
      </c>
      <c r="Q356" s="203">
        <f>IF($B$353="Лікар-педіатр","x",IF($B$353="Лікар-терапевт",Q355/S355,IF($B$353="Лікар загальної практики - сімейний лікар",Q355/S355,0)))</f>
        <v>0</v>
      </c>
      <c r="R356" s="203">
        <f>IF($B$353="Лікар-педіатр","x",IF($B$353="Лікар-терапевт",R355/S355,IF($B$353="Лікар загальної практики - сімейний лікар",R355/S355,0)))</f>
        <v>0</v>
      </c>
      <c r="S356" s="203">
        <f>SUM(N356:R356)</f>
        <v>0</v>
      </c>
      <c r="T356" s="942"/>
      <c r="U356" s="203">
        <f>IF($B$353="Лікар-педіатр",U355/Z355,IF($B$353="Лікар-терапевт","х",IF($B$353="Лікар загальної практики - сімейний лікар",U355/Z355,0)))</f>
        <v>0</v>
      </c>
      <c r="V356" s="203">
        <f>IF($B$353="Лікар-педіатр",V355/Z355,IF($B$353="Лікар-терапевт","х",IF($B$353="Лікар загальної практики - сімейний лікар",V355/Z355,0)))</f>
        <v>0</v>
      </c>
      <c r="W356" s="203">
        <f>IF($B$353="Лікар-педіатр","x",IF($B$353="Лікар-терапевт",W355/Z355,IF($B$353="Лікар загальної практики - сімейний лікар",W355/Z355,0)))</f>
        <v>0</v>
      </c>
      <c r="X356" s="203">
        <f>IF($B$353="Лікар-педіатр","x",IF($B$353="Лікар-терапевт",X355/Z355,IF($B$353="Лікар загальної практики - сімейний лікар",X355/Z355,0)))</f>
        <v>0</v>
      </c>
      <c r="Y356" s="203">
        <f>IF($B$353="Лікар-педіатр","x",IF($B$353="Лікар-терапевт",Y355/Z355,IF($B$353="Лікар загальної практики - сімейний лікар",Y355/Z355,0)))</f>
        <v>0</v>
      </c>
      <c r="Z356" s="203">
        <f>SUM(U356:Y356)</f>
        <v>0</v>
      </c>
      <c r="AA356" s="942"/>
      <c r="AB356" s="203">
        <f>IF($B$353="Лікар-педіатр",AB355/AG355,IF($B$353="Лікар-терапевт","х",IF($B$353="Лікар загальної практики - сімейний лікар",AB355/AG355,0)))</f>
        <v>0</v>
      </c>
      <c r="AC356" s="203">
        <f>IF($B$353="Лікар-педіатр",AC355/AG355,IF($B$353="Лікар-терапевт","х",IF($B$353="Лікар загальної практики - сімейний лікар",AC355/AG355,0)))</f>
        <v>0</v>
      </c>
      <c r="AD356" s="203">
        <f>IF($B$353="Лікар-педіатр","x",IF($B$353="Лікар-терапевт",AD355/AG355,IF($B$353="Лікар загальної практики - сімейний лікар",AD355/AG355,0)))</f>
        <v>0</v>
      </c>
      <c r="AE356" s="203">
        <f>IF($B$353="Лікар-педіатр","x",IF($B$353="Лікар-терапевт",AE355/AG355,IF($B$353="Лікар загальної практики - сімейний лікар",AE355/AG355,0)))</f>
        <v>0</v>
      </c>
      <c r="AF356" s="203">
        <f>IF($B$353="Лікар-педіатр","x",IF($B$353="Лікар-терапевт",AF355/AG355,IF($B$353="Лікар загальної практики - сімейний лікар",AF355/AG355,0)))</f>
        <v>0</v>
      </c>
      <c r="AG356" s="203">
        <f>SUM(AB356:AF356)</f>
        <v>0</v>
      </c>
      <c r="AH356" s="942"/>
      <c r="AI356" s="201"/>
      <c r="AJ356" s="945"/>
      <c r="AK356" s="960"/>
      <c r="AL356" s="960"/>
      <c r="AM356" s="930"/>
      <c r="AN356" s="948"/>
      <c r="AO356" s="948"/>
      <c r="AP356" s="948"/>
      <c r="AQ356" s="948"/>
      <c r="AR356" s="963"/>
    </row>
    <row r="357" spans="1:44" s="50" customFormat="1" ht="45" hidden="1" customHeight="1" thickBot="1">
      <c r="A357" s="197"/>
      <c r="B357" s="951"/>
      <c r="C357" s="954"/>
      <c r="D357" s="957"/>
      <c r="E357" s="939"/>
      <c r="F357" s="204" t="s">
        <v>662</v>
      </c>
      <c r="G357" s="205">
        <f>IF($B$353="Лікар загальної практики - сімейний лікар",AVERAGE(G353:G355),IF($B$353="Лікар-педіатр",AVERAGE(G353:G355),IF($B$353="Лікар-терапевт","х",0)))</f>
        <v>0</v>
      </c>
      <c r="H357" s="205">
        <f>IF($B$353="Лікар загальної практики - сімейний лікар",AVERAGE(H353:H355),IF($B$353="Лікар-педіатр",AVERAGE(H353:H355),IF($B$353="Лікар-терапевт","х",0)))</f>
        <v>0</v>
      </c>
      <c r="I357" s="205">
        <f>IF($B$353="Лікар загальної практики - сімейний лікар",AVERAGE(I353:I355),IF($B$353="Лікар-педіатр","x",IF($B$353="Лікар-терапевт",AVERAGE(I353:I355),0)))</f>
        <v>0</v>
      </c>
      <c r="J357" s="205">
        <f>IF($B$353="Лікар загальної практики - сімейний лікар",AVERAGE(J353:J355),IF($B$353="Лікар-педіатр","x",IF($B$353="Лікар-терапевт",AVERAGE(J353:J355),0)))</f>
        <v>0</v>
      </c>
      <c r="K357" s="205">
        <f>IF($B$353="Лікар загальної практики - сімейний лікар",AVERAGE(K353:K355),IF($B$353="Лікар-педіатр","x",IF($B$353="Лікар-терапевт",AVERAGE(K353:K355),0)))</f>
        <v>0</v>
      </c>
      <c r="L357" s="206">
        <f>SUM(G357:K357)</f>
        <v>0</v>
      </c>
      <c r="M357" s="942"/>
      <c r="N357" s="205">
        <f>IF($B$353="Лікар загальної практики - сімейний лікар",AVERAGE(N353:N355),IF($B$353="Лікар-педіатр",AVERAGE(N353:N355),IF($B$353="Лікар-терапевт","х",0)))</f>
        <v>0</v>
      </c>
      <c r="O357" s="205">
        <f>IF($B$353="Лікар загальної практики - сімейний лікар",AVERAGE(O353:O355),IF($B$353="Лікар-педіатр",AVERAGE(O353:O355),IF($B$353="Лікар-терапевт","х",0)))</f>
        <v>0</v>
      </c>
      <c r="P357" s="205">
        <f>IF($B$353="Лікар загальної практики - сімейний лікар",AVERAGE(P353:P355),IF($B$353="Лікар-педіатр","x",IF($B$353="Лікар-терапевт",AVERAGE(P353:P355),0)))</f>
        <v>0</v>
      </c>
      <c r="Q357" s="205">
        <f>IF($B$353="Лікар загальної практики - сімейний лікар",AVERAGE(Q353:Q355),IF($B$353="Лікар-педіатр","x",IF($B$353="Лікар-терапевт",AVERAGE(Q353:Q355),0)))</f>
        <v>0</v>
      </c>
      <c r="R357" s="205">
        <f>IF($B$353="Лікар загальної практики - сімейний лікар",AVERAGE(R353:R355),IF($B$353="Лікар-педіатр","x",IF($B$353="Лікар-терапевт",AVERAGE(R353:R355),0)))</f>
        <v>0</v>
      </c>
      <c r="S357" s="206">
        <f>SUM(N357:R357)</f>
        <v>0</v>
      </c>
      <c r="T357" s="942"/>
      <c r="U357" s="205">
        <f>IF($B$353="Лікар загальної практики - сімейний лікар",AVERAGE(U353:U355),IF($B$353="Лікар-педіатр",AVERAGE(U353:U355),IF($B$353="Лікар-терапевт","х",0)))</f>
        <v>0</v>
      </c>
      <c r="V357" s="205">
        <f>IF($B$353="Лікар загальної практики - сімейний лікар",AVERAGE(V353:V355),IF($B$353="Лікар-педіатр",AVERAGE(V353:V355),IF($B$353="Лікар-терапевт","х",0)))</f>
        <v>0</v>
      </c>
      <c r="W357" s="205">
        <f>IF($B$353="Лікар загальної практики - сімейний лікар",AVERAGE(W353:W355),IF($B$353="Лікар-педіатр","x",IF($B$353="Лікар-терапевт",AVERAGE(W353:W355),0)))</f>
        <v>0</v>
      </c>
      <c r="X357" s="205">
        <f>IF($B$353="Лікар загальної практики - сімейний лікар",AVERAGE(X353:X355),IF($B$353="Лікар-педіатр","x",IF($B$353="Лікар-терапевт",AVERAGE(X353:X355),0)))</f>
        <v>0</v>
      </c>
      <c r="Y357" s="205">
        <f>IF($B$353="Лікар загальної практики - сімейний лікар",AVERAGE(Y353:Y355),IF($B$353="Лікар-педіатр","x",IF($B$353="Лікар-терапевт",AVERAGE(Y353:Y355),0)))</f>
        <v>0</v>
      </c>
      <c r="Z357" s="206">
        <f>SUM(U357:Y357)</f>
        <v>0</v>
      </c>
      <c r="AA357" s="942"/>
      <c r="AB357" s="205">
        <f>IF($B$353="Лікар загальної практики - сімейний лікар",AVERAGE(AB353:AB355),IF($B$353="Лікар-педіатр",AVERAGE(AB353:AB355),IF($B$353="Лікар-терапевт","х",0)))</f>
        <v>0</v>
      </c>
      <c r="AC357" s="205">
        <f>IF($B$353="Лікар загальної практики - сімейний лікар",AVERAGE(AC353:AC355),IF($B$353="Лікар-педіатр",AVERAGE(AC353:AC355),IF($B$353="Лікар-терапевт","х",0)))</f>
        <v>0</v>
      </c>
      <c r="AD357" s="205">
        <f>IF($B$353="Лікар загальної практики - сімейний лікар",AVERAGE(AD353:AD355),IF($B$353="Лікар-педіатр","x",IF($B$353="Лікар-терапевт",AVERAGE(AD353:AD355),0)))</f>
        <v>0</v>
      </c>
      <c r="AE357" s="205">
        <f>IF($B$353="Лікар загальної практики - сімейний лікар",AVERAGE(AE353:AE355),IF($B$353="Лікар-педіатр","x",IF($B$353="Лікар-терапевт",AVERAGE(AE353:AE355),0)))</f>
        <v>0</v>
      </c>
      <c r="AF357" s="205">
        <f>IF($B$353="Лікар загальної практики - сімейний лікар",AVERAGE(AF353:AF355),IF($B$353="Лікар-педіатр","x",IF($B$353="Лікар-терапевт",AVERAGE(AF353:AF355),0)))</f>
        <v>0</v>
      </c>
      <c r="AG357" s="206">
        <f>SUM(AB357:AF357)</f>
        <v>0</v>
      </c>
      <c r="AH357" s="942"/>
      <c r="AI357" s="201"/>
      <c r="AJ357" s="945"/>
      <c r="AK357" s="960"/>
      <c r="AL357" s="960"/>
      <c r="AM357" s="931"/>
      <c r="AN357" s="949"/>
      <c r="AO357" s="949"/>
      <c r="AP357" s="949"/>
      <c r="AQ357" s="949"/>
      <c r="AR357" s="964"/>
    </row>
    <row r="358" spans="1:44" s="50" customFormat="1" ht="40.5" hidden="1">
      <c r="A358" s="197"/>
      <c r="B358" s="951"/>
      <c r="C358" s="954"/>
      <c r="D358" s="957"/>
      <c r="E358" s="939"/>
      <c r="F358" s="237" t="str">
        <f ca="1">IF(B353="Лікар-педіатр",Законод!$C$17,IF(B353="Лікар загальної практики - сімейний лікар",Законод!$C$21,IF(B353="Лікар-терапевт",Законод!$C$25,"х")))</f>
        <v>х</v>
      </c>
      <c r="G358" s="208">
        <f ca="1">IF($B$353="Лікар загальної практики - сімейний лікар",IF(L357&lt;=Законод!$C$22,G357,Законод!$C$22*'01_Доходи'!G356),IF($B$353="Лікар-педіатр",IF(L357&lt;=Законод!$C$18,G357,Законод!$C$18*'01_Доходи'!G356),IF($B$353="Лікар-терапевт","x",0)))</f>
        <v>0</v>
      </c>
      <c r="H358" s="208">
        <f ca="1">IF($B$353="Лікар загальної практики - сімейний лікар",IF(L357&lt;=Законод!$C$22,H357,Законод!$C$22*'01_Доходи'!H356),IF($B$353="Лікар-педіатр",IF(L357&lt;=Законод!$C$18,H357,Законод!$C$18*'01_Доходи'!H356),IF($B$353="Лікар-терапевт","x",0)))</f>
        <v>0</v>
      </c>
      <c r="I358" s="208">
        <f ca="1">IF($B$353="Лікар загальної практики - сімейний лікар",IF(L357&lt;=Законод!$C$22,I357,Законод!$C$22*'01_Доходи'!I356),IF($B$353="Лікар-педіатр","x",IF($B$353="Лікар-терапевт",IF(L357&lt;=Законод!$C$26,I357,Законод!$C$26*'01_Доходи'!I356),0)))</f>
        <v>0</v>
      </c>
      <c r="J358" s="208">
        <f ca="1">IF($B$353="Лікар загальної практики - сімейний лікар",IF(L357&lt;=Законод!$C$22,J357,Законод!$C$22*'01_Доходи'!J356),IF($B$353="Лікар-педіатр","x",IF($B$353="Лікар-терапевт",IF(L357&lt;=Законод!$C$26,J357,Законод!$C$26*'01_Доходи'!J356),0)))</f>
        <v>0</v>
      </c>
      <c r="K358" s="208">
        <f ca="1">IF($B$353="Лікар загальної практики - сімейний лікар",IF(L357&lt;=Законод!$C$22,K357,Законод!$C$22*'01_Доходи'!K356),IF($B$353="Лікар-педіатр","x",IF($B$353="Лікар-терапевт",IF(L357&lt;=Законод!$C$26,K357,Законод!$C$26*'01_Доходи'!K356),0)))</f>
        <v>0</v>
      </c>
      <c r="L358" s="209">
        <f ca="1">SUM(G358:K358)</f>
        <v>0</v>
      </c>
      <c r="M358" s="942"/>
      <c r="N358" s="208">
        <f ca="1">IF($B$353="Лікар загальної практики - сімейний лікар",IF(S357&lt;=Законод!$C$22,N357,Законод!$C$22*'01_Доходи'!N356),IF($B$353="Лікар-педіатр",IF(S357&lt;=Законод!$C$18,N357,Законод!$C$18*'01_Доходи'!N356),IF($B$353="Лікар-терапевт","x",0)))</f>
        <v>0</v>
      </c>
      <c r="O358" s="208">
        <f ca="1">IF($B$353="Лікар загальної практики - сімейний лікар",IF(S357&lt;=Законод!$C$22,O357,Законод!$C$22*'01_Доходи'!O356),IF($B$353="Лікар-педіатр",IF(S357&lt;=Законод!$C$18,O357,Законод!$C$18*'01_Доходи'!O356),IF($B$353="Лікар-терапевт","x",0)))</f>
        <v>0</v>
      </c>
      <c r="P358" s="208">
        <f ca="1">IF($B$353="Лікар загальної практики - сімейний лікар",IF(S357&lt;=Законод!$C$22,P357,Законод!$C$22*'01_Доходи'!P356),IF($B$353="Лікар-педіатр","x",IF($B$353="Лікар-терапевт",IF(S357&lt;=Законод!$C$26,P357,Законод!$C$26*'01_Доходи'!P356),0)))</f>
        <v>0</v>
      </c>
      <c r="Q358" s="208">
        <f ca="1">IF($B$353="Лікар загальної практики - сімейний лікар",IF(S357&lt;=Законод!$C$22,Q357,Законод!$C$22*'01_Доходи'!Q356),IF($B$353="Лікар-педіатр","x",IF($B$353="Лікар-терапевт",IF(S357&lt;=Законод!$C$26,Q357,Законод!$C$26*'01_Доходи'!Q356),0)))</f>
        <v>0</v>
      </c>
      <c r="R358" s="208">
        <f ca="1">IF($B$353="Лікар загальної практики - сімейний лікар",IF(S357&lt;=Законод!$C$22,R357,Законод!$C$22*'01_Доходи'!R356),IF($B$353="Лікар-педіатр","x",IF($B$353="Лікар-терапевт",IF(S357&lt;=Законод!$C$26,R357,Законод!$C$26*'01_Доходи'!R356),0)))</f>
        <v>0</v>
      </c>
      <c r="S358" s="209">
        <f ca="1">SUM(N358:R358)</f>
        <v>0</v>
      </c>
      <c r="T358" s="942"/>
      <c r="U358" s="208">
        <f ca="1">IF($B$353="Лікар загальної практики - сімейний лікар",IF(Z357&lt;=Законод!$C$22,U357,Законод!$C$22*'01_Доходи'!U356),IF($B$353="Лікар-педіатр",IF(Z357&lt;=Законод!$C$18,U357,Законод!$C$18*'01_Доходи'!U356),IF($B$353="Лікар-терапевт","x",0)))</f>
        <v>0</v>
      </c>
      <c r="V358" s="208">
        <f ca="1">IF($B$353="Лікар загальної практики - сімейний лікар",IF(Z357&lt;=Законод!$C$22,V357,Законод!$C$22*'01_Доходи'!V356),IF($B$353="Лікар-педіатр",IF(Z357&lt;=Законод!$C$18,V357,Законод!$C$18*'01_Доходи'!V356),IF($B$353="Лікар-терапевт","x",0)))</f>
        <v>0</v>
      </c>
      <c r="W358" s="208">
        <f ca="1">IF($B$353="Лікар загальної практики - сімейний лікар",IF(Z357&lt;=Законод!$C$22,W357,Законод!$C$22*'01_Доходи'!W356),IF($B$353="Лікар-педіатр","x",IF($B$353="Лікар-терапевт",IF(Z357&lt;=Законод!$C$26,W357,Законод!$C$26*'01_Доходи'!W356),0)))</f>
        <v>0</v>
      </c>
      <c r="X358" s="208">
        <f ca="1">IF($B$353="Лікар загальної практики - сімейний лікар",IF(Z357&lt;=Законод!$C$22,X357,Законод!$C$22*'01_Доходи'!X356),IF($B$353="Лікар-педіатр","x",IF($B$353="Лікар-терапевт",IF(Z357&lt;=Законод!$C$26,X357,Законод!$C$26*'01_Доходи'!X356),0)))</f>
        <v>0</v>
      </c>
      <c r="Y358" s="208">
        <f ca="1">IF($B$353="Лікар загальної практики - сімейний лікар",IF(Z357&lt;=Законод!$C$22,Y357,Законод!$C$22*'01_Доходи'!Y356),IF($B$353="Лікар-педіатр","x",IF($B$353="Лікар-терапевт",IF(Z357&lt;=Законод!$C$26,Y357,Законод!$C$26*'01_Доходи'!Y356),0)))</f>
        <v>0</v>
      </c>
      <c r="Z358" s="209">
        <f ca="1">SUM(U358:Y358)</f>
        <v>0</v>
      </c>
      <c r="AA358" s="942"/>
      <c r="AB358" s="208">
        <f ca="1">IF($B$353="Лікар загальної практики - сімейний лікар",IF(AG357&lt;=Законод!$C$22,AB357,Законод!$C$22*'01_Доходи'!AB356),IF($B$353="Лікар-педіатр",IF(AG357&lt;=Законод!$C$18,AB357,Законод!$C$18*'01_Доходи'!AB356),IF($B$353="Лікар-терапевт","x",0)))</f>
        <v>0</v>
      </c>
      <c r="AC358" s="208">
        <f ca="1">IF($B$353="Лікар загальної практики - сімейний лікар",IF(AG357&lt;=Законод!$C$22,AC357,Законод!$C$22*'01_Доходи'!AC356),IF($B$353="Лікар-педіатр",IF(AG357&lt;=Законод!$C$18,AC357,Законод!$C$18*'01_Доходи'!AC356),IF($B$353="Лікар-терапевт","x",0)))</f>
        <v>0</v>
      </c>
      <c r="AD358" s="208">
        <f ca="1">IF($B$353="Лікар загальної практики - сімейний лікар",IF(AG357&lt;=Законод!$C$22,AD357,Законод!$C$22*'01_Доходи'!AD356),IF($B$353="Лікар-педіатр","x",IF($B$353="Лікар-терапевт",IF(AG357&lt;=Законод!$C$26,AD357,Законод!$C$26*'01_Доходи'!AD356),0)))</f>
        <v>0</v>
      </c>
      <c r="AE358" s="208">
        <f ca="1">IF($B$353="Лікар загальної практики - сімейний лікар",IF(AG357&lt;=Законод!$C$22,AE357,Законод!$C$22*'01_Доходи'!AE356),IF($B$353="Лікар-педіатр","x",IF($B$353="Лікар-терапевт",IF(AG357&lt;=Законод!$C$26,AE357,Законод!$C$26*'01_Доходи'!AE356),0)))</f>
        <v>0</v>
      </c>
      <c r="AF358" s="208">
        <f ca="1">IF($B$353="Лікар загальної практики - сімейний лікар",IF(AG357&lt;=Законод!$C$22,AF357,Законод!$C$22*'01_Доходи'!AF356),IF($B$353="Лікар-педіатр","x",IF($B$353="Лікар-терапевт",IF(AG357&lt;=Законод!$C$26,AF357,Законод!$C$26*'01_Доходи'!AF356),0)))</f>
        <v>0</v>
      </c>
      <c r="AG358" s="209">
        <f ca="1">SUM(AB358:AF358)</f>
        <v>0</v>
      </c>
      <c r="AH358" s="942"/>
      <c r="AI358" s="201"/>
      <c r="AJ358" s="945"/>
      <c r="AK358" s="960"/>
      <c r="AL358" s="960"/>
      <c r="AM358" s="348" t="s">
        <v>451</v>
      </c>
      <c r="AN358" s="210">
        <f ca="1">IF(B353="Лікар загальної практики - сімейний лікар",G358*Законод!$C$11+'01_Доходи'!H358*Законод!$D$11+'01_Доходи'!I358*Законод!$E$11+'01_Доходи'!J358*Законод!$F$11+'01_Доходи'!K358*Законод!$G$11,IF(B353="Лікар-педіатр",G358*Законод!$C$11+'01_Доходи'!H358*Законод!$D$11,IF(B353="Лікар-терапевт",'01_Доходи'!I358*Законод!$E$11+'01_Доходи'!J358*Законод!$F$11+'01_Доходи'!K358*Законод!$G$11,0)))</f>
        <v>0</v>
      </c>
      <c r="AO358" s="210">
        <f ca="1">IF(B353="Лікар загальної практики - сімейний лікар",N358*Законод!$C$11+'01_Доходи'!O358*Законод!$D$11+'01_Доходи'!P358*Законод!$E$11+'01_Доходи'!Q358*Законод!$F$11+'01_Доходи'!R358*Законод!$G$11,IF(B353="Лікар-педіатр",N358*Законод!$C$11+'01_Доходи'!O358*Законод!$D$11,IF(B353="Лікар-терапевт",'01_Доходи'!P358*Законод!$E$11+'01_Доходи'!Q358*Законод!$F$11+'01_Доходи'!R358*Законод!$G$11,0)))</f>
        <v>0</v>
      </c>
      <c r="AP358" s="210">
        <f ca="1">IF(B353="Лікар загальної практики - сімейний лікар",U358*Законод!$C$11+'01_Доходи'!V358*Законод!$D$11+'01_Доходи'!W358*Законод!$E$11+'01_Доходи'!X358*Законод!$F$11+'01_Доходи'!Y358*Законод!$G$11,IF(B353="Лікар-педіатр",U358*Законод!$C$11+'01_Доходи'!V358*Законод!$D$11,IF(B353="Лікар-терапевт",'01_Доходи'!W358*Законод!$E$11+'01_Доходи'!X358*Законод!$F$11+'01_Доходи'!Y358*Законод!$G$11,0)))</f>
        <v>0</v>
      </c>
      <c r="AQ358" s="210">
        <f ca="1">IF(B353="Лікар загальної практики - сімейний лікар",AB358*Законод!$C$11+'01_Доходи'!AC358*Законод!$D$11+'01_Доходи'!AD358*Законод!$E$11+'01_Доходи'!AE358*Законод!$F$11+'01_Доходи'!AF358*Законод!$G$11,IF(B353="Лікар-педіатр",AB358*Законод!$C$11+'01_Доходи'!AC358*Законод!$D$11,IF(B353="Лікар-терапевт",'01_Доходи'!AD358*Законод!$E$11+'01_Доходи'!AE358*Законод!$F$11+'01_Доходи'!AF358*Законод!$G$11,0)))</f>
        <v>0</v>
      </c>
      <c r="AR358" s="211">
        <f t="shared" ref="AR358:AR364" si="67">SUM(AN358:AQ358)</f>
        <v>0</v>
      </c>
    </row>
    <row r="359" spans="1:44" s="50" customFormat="1" ht="31.9" hidden="1" customHeight="1">
      <c r="A359" s="197"/>
      <c r="B359" s="951"/>
      <c r="C359" s="954"/>
      <c r="D359" s="957"/>
      <c r="E359" s="939"/>
      <c r="F359" s="238" t="str">
        <f ca="1">IF(B353="Лікар-педіатр",Законод!$E$17,IF(B353="Лікар загальної практики - сімейний лікар",Законод!$E$21,IF(B353="Лікар-терапевт",Законод!$E$25,"х")))</f>
        <v>х</v>
      </c>
      <c r="G359" s="935" t="s">
        <v>423</v>
      </c>
      <c r="H359" s="936"/>
      <c r="I359" s="936"/>
      <c r="J359" s="936"/>
      <c r="K359" s="937"/>
      <c r="L359" s="196">
        <f ca="1">IF($B$353="Лікар загальної практики - сімейний лікар",IF(L357&lt;Законод!$C$22,0,(IF(AND(L357&gt;=Законод!$E$22,L357&lt;=Законод!$E$23),L357-Законод!$C$22,IF('01_Доходи'!L357&gt;=Законод!$F$22,Законод!$E$24,0)))),IF($B$353="Лікар-педіатр",IF(L357&lt;Законод!$C$18,0,(IF(AND(L357&gt;=Законод!$E$18,L357&lt;=Законод!$E$19),L357-Законод!$C$18,IF('01_Доходи'!L357&gt;=Законод!$F$18,Законод!$E$20,0)))),IF($B$353="Лікар-терапевт",IF(L357&lt;Законод!$C$26,0,(IF(AND(L357&gt;=Законод!$E$26,L357&lt;=Законод!$E$27),L357-Законод!$C$26,IF('01_Доходи'!L357&gt;=Законод!$F$26,Законод!$E$28,0)))),0)))</f>
        <v>0</v>
      </c>
      <c r="M359" s="942"/>
      <c r="N359" s="935" t="s">
        <v>423</v>
      </c>
      <c r="O359" s="936"/>
      <c r="P359" s="936"/>
      <c r="Q359" s="936"/>
      <c r="R359" s="937"/>
      <c r="S359" s="196">
        <f ca="1">IF($B$353="Лікар загальної практики - сімейний лікар",IF(S357&lt;Законод!$C$22,0,(IF(AND(S357&gt;=Законод!$E$22,S357&lt;=Законод!$E$23),S357-Законод!$C$22,IF('01_Доходи'!S357&gt;=Законод!$F$22,Законод!$E$24,0)))),IF($B$353="Лікар-педіатр",IF(S357&lt;Законод!$C$18,0,(IF(AND(S357&gt;=Законод!$E$18,S357&lt;=Законод!$E$19),S357-Законод!$C$18,IF('01_Доходи'!S357&gt;=Законод!$F$18,Законод!$E$20,0)))),IF($B$353="Лікар-терапевт",IF(S357&lt;Законод!$C$26,0,(IF(AND(S357&gt;=Законод!$E$26,S357&lt;=Законод!$E$27),S357-Законод!$C$26,IF('01_Доходи'!S357&gt;=Законод!$F$26,Законод!$E$28,0)))),0)))</f>
        <v>0</v>
      </c>
      <c r="T359" s="942"/>
      <c r="U359" s="935" t="s">
        <v>423</v>
      </c>
      <c r="V359" s="936"/>
      <c r="W359" s="936"/>
      <c r="X359" s="936"/>
      <c r="Y359" s="937"/>
      <c r="Z359" s="196">
        <f ca="1">IF($B$353="Лікар загальної практики - сімейний лікар",IF(Z357&lt;Законод!$C$22,0,(IF(AND(Z357&gt;=Законод!$E$22,Z357&lt;=Законод!$E$23),Z357-Законод!$C$22,IF('01_Доходи'!Z357&gt;=Законод!$F$22,Законод!$E$24,0)))),IF($B$353="Лікар-педіатр",IF(Z357&lt;Законод!$C$18,0,(IF(AND(Z357&gt;=Законод!$E$18,Z357&lt;=Законод!$E$19),Z357-Законод!$C$18,IF('01_Доходи'!Z357&gt;=Законод!$F$18,Законод!$E$20,0)))),IF($B$353="Лікар-терапевт",IF(Z357&lt;Законод!$C$26,0,(IF(AND(Z357&gt;=Законод!$E$26,Z357&lt;=Законод!$E$27),Z357-Законод!$C$26,IF('01_Доходи'!Z357&gt;=Законод!$F$26,Законод!$E$28,0)))),0)))</f>
        <v>0</v>
      </c>
      <c r="AA359" s="942"/>
      <c r="AB359" s="935" t="s">
        <v>423</v>
      </c>
      <c r="AC359" s="936"/>
      <c r="AD359" s="936"/>
      <c r="AE359" s="936"/>
      <c r="AF359" s="937"/>
      <c r="AG359" s="196">
        <f ca="1">IF($B$353="Лікар загальної практики - сімейний лікар",IF(AG357&lt;Законод!$C$22,0,(IF(AND(AG357&gt;=Законод!$E$22,AG357&lt;=Законод!$E$23),AG357-Законод!$C$22,IF('01_Доходи'!AG357&gt;=Законод!$F$22,Законод!$E$24,0)))),IF($B$353="Лікар-педіатр",IF(AG357&lt;Законод!$C$18,0,(IF(AND(AG357&gt;=Законод!$E$18,AG357&lt;=Законод!$E$19),AG357-Законод!$C$18,IF('01_Доходи'!AG357&gt;=Законод!$F$18,Законод!$E$20,0)))),IF($B$353="Лікар-терапевт",IF(AG357&lt;Законод!$C$26,0,(IF(AND(AG357&gt;=Законод!$E$26,AG357&lt;=Законод!$E$27),AG357-Законод!$C$26,IF('01_Доходи'!AG357&gt;=Законод!$F$26,Законод!$E$28,0)))),0)))</f>
        <v>0</v>
      </c>
      <c r="AH359" s="942"/>
      <c r="AI359" s="201"/>
      <c r="AJ359" s="945"/>
      <c r="AK359" s="960"/>
      <c r="AL359" s="960"/>
      <c r="AM359" s="926" t="s">
        <v>452</v>
      </c>
      <c r="AN359" s="210">
        <f ca="1">IF(B353="Лікар загальної практики - сімейний лікар",L359*Законод!$C$9/4*Законод!$E$16,IF(B353="Лікар-педіатр",L359*Законод!$C$9/4*Законод!$E$16,IF(B353="Лікар-терапевт",L359*Законод!$C$9/4*Законод!$E$16,0)))</f>
        <v>0</v>
      </c>
      <c r="AO359" s="210">
        <f ca="1">IF(B353="Лікар загальної практики - сімейний лікар",S359*Законод!$C$9/4*Законод!$E$16,IF(B353="Лікар-педіатр",S359*Законод!$C$9/4*Законод!$E$16,IF(B353="Лікар-терапевт",S359*Законод!$C$9/4*Законод!$E$16,0)))</f>
        <v>0</v>
      </c>
      <c r="AP359" s="210">
        <f ca="1">IF(B353="Лікар загальної практики - сімейний лікар",Z359*Законод!$C$9/4*Законод!$E$16,IF(B353="Лікар-педіатр",Z359*Законод!$C$9/4*Законод!$E$16,IF(B353="Лікар-терапевт",Z359*Законод!$C$9/4*Законод!$E$16,0)))</f>
        <v>0</v>
      </c>
      <c r="AQ359" s="210">
        <f ca="1">IF(B353="Лікар загальної практики - сімейний лікар",AG359*Законод!$C$9/4*Законод!$E$16,IF(B353="Лікар-педіатр",AG359*Законод!$C$9/4*Законод!$E$16,IF(B353="Лікар-терапевт",AG359*Законод!$C$9/4*Законод!$E$16,0)))</f>
        <v>0</v>
      </c>
      <c r="AR359" s="211">
        <f t="shared" si="67"/>
        <v>0</v>
      </c>
    </row>
    <row r="360" spans="1:44" s="50" customFormat="1" ht="31.9" hidden="1" customHeight="1">
      <c r="A360" s="197"/>
      <c r="B360" s="951"/>
      <c r="C360" s="954"/>
      <c r="D360" s="957"/>
      <c r="E360" s="939"/>
      <c r="F360" s="238" t="str">
        <f ca="1">IF(B353="Лікар-педіатр",Законод!$F$17,IF(B353="Лікар загальної практики - сімейний лікар",Законод!$F$21,IF(B353="Лікар-терапевт",Законод!$F$25,"х")))</f>
        <v>х</v>
      </c>
      <c r="G360" s="935" t="s">
        <v>423</v>
      </c>
      <c r="H360" s="936"/>
      <c r="I360" s="936"/>
      <c r="J360" s="936"/>
      <c r="K360" s="937"/>
      <c r="L360" s="196">
        <f ca="1">IF($B$353="Лікар загальної практики - сімейний лікар",IF(L357&lt;Законод!$C$22,0,(IF(AND(L357&gt;=Законод!$F$22,L357&lt;=Законод!$F$23),L357-Законод!$E$23,IF('01_Доходи'!L357&gt;=Законод!$G$22,Законод!$F$24,0)))),IF($B$353="Лікар-педіатр",IF(L357&lt;Законод!$C$18,0,(IF(AND(L357&gt;=Законод!$F$18,L357&lt;=Законод!$F$19),L357-Законод!$E$19,IF('01_Доходи'!L357&gt;=Законод!$G$18,Законод!$F$20,0)))),IF($B$353="Лікар-терапевт",IF(L357&lt;Законод!$C$26,0,(IF(AND(L357&gt;=Законод!$F$26,L357&lt;=Законод!$F$27),L357-Законод!$E$27,IF('01_Доходи'!L357&gt;=Законод!$G$26,Законод!$F$28,0)))),0)))</f>
        <v>0</v>
      </c>
      <c r="M360" s="942"/>
      <c r="N360" s="935" t="s">
        <v>423</v>
      </c>
      <c r="O360" s="936"/>
      <c r="P360" s="936"/>
      <c r="Q360" s="936"/>
      <c r="R360" s="937"/>
      <c r="S360" s="196">
        <f ca="1">IF($B$353="Лікар загальної практики - сімейний лікар",IF(S357&lt;Законод!$C$22,0,(IF(AND(S357&gt;=Законод!$F$22,S357&lt;=Законод!$F$23),S357-Законод!$E$23,IF('01_Доходи'!S357&gt;=Законод!$G$22,Законод!$F$24,0)))),IF($B$353="Лікар-педіатр",IF(S357&lt;Законод!$C$18,0,(IF(AND(S357&gt;=Законод!$F$18,S357&lt;=Законод!$F$19),S357-Законод!$E$19,IF('01_Доходи'!S357&gt;=Законод!$G$18,Законод!$F$20,0)))),IF($B$353="Лікар-терапевт",IF(S357&lt;Законод!$C$26,0,(IF(AND(S357&gt;=Законод!$F$26,S357&lt;=Законод!$F$27),S357-Законод!$E$27,IF('01_Доходи'!S357&gt;=Законод!$G$26,Законод!$F$28,0)))),0)))</f>
        <v>0</v>
      </c>
      <c r="T360" s="942"/>
      <c r="U360" s="935" t="s">
        <v>423</v>
      </c>
      <c r="V360" s="936"/>
      <c r="W360" s="936"/>
      <c r="X360" s="936"/>
      <c r="Y360" s="937"/>
      <c r="Z360" s="196">
        <f ca="1">IF($B$353="Лікар загальної практики - сімейний лікар",IF(Z357&lt;Законод!$C$22,0,(IF(AND(Z357&gt;=Законод!$F$22,Z357&lt;=Законод!$F$23),Z357-Законод!$E$23,IF('01_Доходи'!Z357&gt;=Законод!$G$22,Законод!$F$24,0)))),IF($B$353="Лікар-педіатр",IF(Z357&lt;Законод!$C$18,0,(IF(AND(Z357&gt;=Законод!$F$18,Z357&lt;=Законод!$F$19),Z357-Законод!$E$19,IF('01_Доходи'!Z357&gt;=Законод!$G$18,Законод!$F$20,0)))),IF($B$353="Лікар-терапевт",IF(Z357&lt;Законод!$C$26,0,(IF(AND(Z357&gt;=Законод!$F$26,Z357&lt;=Законод!$F$27),Z357-Законод!$E$27,IF('01_Доходи'!Z357&gt;=Законод!$G$26,Законод!$F$28,0)))),0)))</f>
        <v>0</v>
      </c>
      <c r="AA360" s="942"/>
      <c r="AB360" s="935" t="s">
        <v>423</v>
      </c>
      <c r="AC360" s="936"/>
      <c r="AD360" s="936"/>
      <c r="AE360" s="936"/>
      <c r="AF360" s="937"/>
      <c r="AG360" s="196">
        <f ca="1">IF($B$353="Лікар загальної практики - сімейний лікар",IF(AG357&lt;Законод!$C$22,0,(IF(AND(AG357&gt;=Законод!$F$22,AG357&lt;=Законод!$F$23),AG357-Законод!$E$23,IF('01_Доходи'!AG357&gt;=Законод!$G$22,Законод!$F$24,0)))),IF($B$353="Лікар-педіатр",IF(AG357&lt;Законод!$C$18,0,(IF(AND(AG357&gt;=Законод!$F$18,AG357&lt;=Законод!$F$19),AG357-Законод!$E$19,IF('01_Доходи'!AG357&gt;=Законод!$G$18,Законод!$F$20,0)))),IF($B$353="Лікар-терапевт",IF(AG357&lt;Законод!$C$26,0,(IF(AND(AG357&gt;=Законод!$F$26,AG357&lt;=Законод!$F$27),AG357-Законод!$E$27,IF('01_Доходи'!AG357&gt;=Законод!$G$26,Законод!$F$28,0)))),0)))</f>
        <v>0</v>
      </c>
      <c r="AH360" s="942"/>
      <c r="AI360" s="201"/>
      <c r="AJ360" s="945"/>
      <c r="AK360" s="960"/>
      <c r="AL360" s="960"/>
      <c r="AM360" s="927"/>
      <c r="AN360" s="210">
        <f ca="1">IF(B353="Лікар загальної практики - сімейний лікар",L360*Законод!$C$9/4*Законод!$F$16,IF(B353="Лікар-педіатр",L360*Законод!$C$9/4*Законод!$F$16,IF(B353="Лікар-терапевт",L360*Законод!$C$9/4*Законод!$F$16,0)))</f>
        <v>0</v>
      </c>
      <c r="AO360" s="210">
        <f ca="1">IF(B353="Лікар загальної практики - сімейний лікар",S360*Законод!$C$9/4*Законод!$F$16,IF(B353="Лікар-педіатр",S360*Законод!$C$9/4*Законод!$F$16,IF(B353="Лікар-терапевт",S360*Законод!$C$9/4*Законод!$F$16,0)))</f>
        <v>0</v>
      </c>
      <c r="AP360" s="210">
        <f ca="1">IF(B353="Лікар загальної практики - сімейний лікар",Z360*Законод!$C$9/4*Законод!$F$16,IF(B353="Лікар-педіатр",Z360*Законод!$C$9/4*Законод!$F$16,IF(B353="Лікар-терапевт",Z360*Законод!$C$9/4*Законод!$F$16,0)))</f>
        <v>0</v>
      </c>
      <c r="AQ360" s="210">
        <f ca="1">IF(B353="Лікар загальної практики - сімейний лікар",AG360*Законод!$C$9/4*Законод!$F$16,IF(B353="Лікар-педіатр",AG360*Законод!$C$9/4*Законод!$F$16,IF(B353="Лікар-терапевт",AG360*Законод!$C$9/4*Законод!$F$16,0)))</f>
        <v>0</v>
      </c>
      <c r="AR360" s="211">
        <f t="shared" si="67"/>
        <v>0</v>
      </c>
    </row>
    <row r="361" spans="1:44" s="50" customFormat="1" ht="31.9" hidden="1" customHeight="1">
      <c r="A361" s="197"/>
      <c r="B361" s="951"/>
      <c r="C361" s="954"/>
      <c r="D361" s="957"/>
      <c r="E361" s="939"/>
      <c r="F361" s="238" t="str">
        <f ca="1">IF(B353="Лікар-педіатр",Законод!$G$17,IF(B353="Лікар загальної практики - сімейний лікар",Законод!$G$21,IF(B353="Лікар-терапевт",Законод!$G$25,"х")))</f>
        <v>х</v>
      </c>
      <c r="G361" s="935" t="s">
        <v>423</v>
      </c>
      <c r="H361" s="936"/>
      <c r="I361" s="936"/>
      <c r="J361" s="936"/>
      <c r="K361" s="937"/>
      <c r="L361" s="196">
        <f ca="1">IF($B$353="Лікар загальної практики - сімейний лікар",IF(L357&lt;Законод!$C$22,0,(IF(AND(L357&gt;=Законод!$G$22,L357&lt;=Законод!$G$23),L357-Законод!$F$23,IF('01_Доходи'!L357&gt;=Законод!$H$22,Законод!$G$24,0)))),IF($B$353="Лікар-педіатр",IF(L357&lt;Законод!$C$18,0,(IF(AND(L357&gt;=Законод!$G$18,L357&lt;=Законод!$G$19),L357-Законод!$F$19,IF('01_Доходи'!L357&gt;=Законод!$H$18,Законод!$G$20,0)))),IF($B$353="Лікар-терапевт",IF(L357&lt;Законод!$C$26,0,(IF(AND(L357&gt;=Законод!$G$26,L357&lt;=Законод!$G$27),L357-Законод!$F$27,IF('01_Доходи'!L357&gt;=Законод!$H$26,Законод!$G$28,0)))),0)))</f>
        <v>0</v>
      </c>
      <c r="M361" s="942"/>
      <c r="N361" s="935" t="s">
        <v>423</v>
      </c>
      <c r="O361" s="936"/>
      <c r="P361" s="936"/>
      <c r="Q361" s="936"/>
      <c r="R361" s="937"/>
      <c r="S361" s="196">
        <f ca="1">IF($B$353="Лікар загальної практики - сімейний лікар",IF(S357&lt;Законод!$C$22,0,(IF(AND(S357&gt;=Законод!$G$22,S357&lt;=Законод!$G$23),S357-Законод!$F$23,IF('01_Доходи'!S357&gt;=Законод!$H$22,Законод!$G$24,0)))),IF($B$353="Лікар-педіатр",IF(S357&lt;Законод!$C$18,0,(IF(AND(S357&gt;=Законод!$G$18,S357&lt;=Законод!$G$19),S357-Законод!$F$19,IF('01_Доходи'!S357&gt;=Законод!$H$18,Законод!$G$20,0)))),IF($B$353="Лікар-терапевт",IF(S357&lt;Законод!$C$26,0,(IF(AND(S357&gt;=Законод!$G$26,S357&lt;=Законод!$G$27),S357-Законод!$F$27,IF('01_Доходи'!S357&gt;=Законод!$H$26,Законод!$G$28,0)))),0)))</f>
        <v>0</v>
      </c>
      <c r="T361" s="942"/>
      <c r="U361" s="935" t="s">
        <v>423</v>
      </c>
      <c r="V361" s="936"/>
      <c r="W361" s="936"/>
      <c r="X361" s="936"/>
      <c r="Y361" s="937"/>
      <c r="Z361" s="196">
        <f ca="1">IF($B$353="Лікар загальної практики - сімейний лікар",IF(Z357&lt;Законод!$C$22,0,(IF(AND(Z357&gt;=Законод!$G$22,Z357&lt;=Законод!$G$23),Z357-Законод!$F$23,IF('01_Доходи'!Z357&gt;=Законод!$H$22,Законод!$G$24,0)))),IF($B$353="Лікар-педіатр",IF(Z357&lt;Законод!$C$18,0,(IF(AND(Z357&gt;=Законод!$G$18,Z357&lt;=Законод!$G$19),Z357-Законод!$F$19,IF('01_Доходи'!Z357&gt;=Законод!$H$18,Законод!$G$20,0)))),IF($B$353="Лікар-терапевт",IF(Z357&lt;Законод!$C$26,0,(IF(AND(Z357&gt;=Законод!$G$26,Z357&lt;=Законод!$G$27),Z357-Законод!$F$27,IF('01_Доходи'!Z357&gt;=Законод!$H$26,Законод!$G$28,0)))),0)))</f>
        <v>0</v>
      </c>
      <c r="AA361" s="942"/>
      <c r="AB361" s="935" t="s">
        <v>423</v>
      </c>
      <c r="AC361" s="936"/>
      <c r="AD361" s="936"/>
      <c r="AE361" s="936"/>
      <c r="AF361" s="937"/>
      <c r="AG361" s="196">
        <f ca="1">IF($B$353="Лікар загальної практики - сімейний лікар",IF(AG357&lt;Законод!$C$22,0,(IF(AND(AG357&gt;=Законод!$G$22,AG357&lt;=Законод!$G$23),AG357-Законод!$F$23,IF('01_Доходи'!AG357&gt;=Законод!$H$22,Законод!$G$24,0)))),IF($B$353="Лікар-педіатр",IF(AG357&lt;Законод!$C$18,0,(IF(AND(AG357&gt;=Законод!$G$18,AG357&lt;=Законод!$G$19),AG357-Законод!$F$19,IF('01_Доходи'!AG357&gt;=Законод!$H$18,Законод!$G$20,0)))),IF($B$353="Лікар-терапевт",IF(AG357&lt;Законод!$C$26,0,(IF(AND(AG357&gt;=Законод!$G$26,AG357&lt;=Законод!$G$27),AG357-Законод!$F$27,IF('01_Доходи'!AG357&gt;=Законод!$H$26,Законод!$G$28,0)))),0)))</f>
        <v>0</v>
      </c>
      <c r="AH361" s="942"/>
      <c r="AI361" s="201"/>
      <c r="AJ361" s="945"/>
      <c r="AK361" s="960"/>
      <c r="AL361" s="960"/>
      <c r="AM361" s="927"/>
      <c r="AN361" s="210">
        <f ca="1">IF(B353="Лікар загальної практики - сімейний лікар",L361*Законод!$C$9/4*Законод!$G$16,IF(B353="Лікар-педіатр",L361*Законод!$C$9/4*Законод!$G$16,IF(B353="Лікар-терапевт",L361*Законод!$C$9/4*Законод!$G$16,0)))</f>
        <v>0</v>
      </c>
      <c r="AO361" s="210">
        <f ca="1">IF(B353="Лікар загальної практики - сімейний лікар",S361*Законод!$C$9/4*Законод!$G$16,IF(B353="Лікар-педіатр",S361*Законод!$C$9/4*Законод!$G$16,IF(B353="Лікар-терапевт",S361*Законод!$C$9/4*Законод!$G$16,0)))</f>
        <v>0</v>
      </c>
      <c r="AP361" s="210">
        <f ca="1">IF(B353="Лікар загальної практики - сімейний лікар",Z361*Законод!$C$9/4*Законод!$G$16,IF(B353="Лікар-педіатр",Z361*Законод!$C$9/4*Законод!$G$16,IF(B353="Лікар-терапевт",Z361*Законод!$C$9/4*Законод!$G$16,0)))</f>
        <v>0</v>
      </c>
      <c r="AQ361" s="210">
        <f ca="1">IF(B353="Лікар загальної практики - сімейний лікар",AG361*Законод!$C$9/4*Законод!$G$16,IF(B353="Лікар-педіатр",AG361*Законод!$C$9/4*Законод!$G$16,IF(B353="Лікар-терапевт",AG361*Законод!$C$9/4*Законод!$G$16,0)))</f>
        <v>0</v>
      </c>
      <c r="AR361" s="211">
        <f t="shared" si="67"/>
        <v>0</v>
      </c>
    </row>
    <row r="362" spans="1:44" s="50" customFormat="1" ht="31.9" hidden="1" customHeight="1">
      <c r="A362" s="197"/>
      <c r="B362" s="951"/>
      <c r="C362" s="954"/>
      <c r="D362" s="957"/>
      <c r="E362" s="939"/>
      <c r="F362" s="238" t="str">
        <f ca="1">IF(B353="Лікар-педіатр",Законод!$H$17,IF(B353="Лікар загальної практики - сімейний лікар",Законод!$H$21,IF(B353="Лікар-терапевт",Законод!$H$25,"х")))</f>
        <v>х</v>
      </c>
      <c r="G362" s="935" t="s">
        <v>423</v>
      </c>
      <c r="H362" s="936"/>
      <c r="I362" s="936"/>
      <c r="J362" s="936"/>
      <c r="K362" s="937"/>
      <c r="L362" s="196">
        <f ca="1">IF($B$353="Лікар загальної практики - сімейний лікар",IF(L357&lt;Законод!$C$22,0,(IF(AND(L357&gt;=Законод!$H$22,L357&lt;=Законод!$H$23),L357-Законод!$G$23,IF('01_Доходи'!L357&gt;=Законод!$I$22,Законод!$H$24,0)))),IF($B$353="Лікар-педіатр",IF(L357&lt;Законод!$C$18,0,(IF(AND(L357&gt;=Законод!$H$18,L357&lt;=Законод!$H$19),L357-Законод!$G$19,IF('01_Доходи'!L357&gt;=Законод!$I$18,Законод!$H$20,0)))),IF($B$353="Лікар-терапевт",IF(L357&lt;Законод!$C$26,0,(IF(AND(L357&gt;=Законод!$H$26,L357&lt;=Законод!$H$27),L357-Законод!$G$27,IF(L357&gt;=Законод!$I$26,Законод!$H$28,0)))),0)))</f>
        <v>0</v>
      </c>
      <c r="M362" s="942"/>
      <c r="N362" s="935" t="s">
        <v>423</v>
      </c>
      <c r="O362" s="936"/>
      <c r="P362" s="936"/>
      <c r="Q362" s="936"/>
      <c r="R362" s="937"/>
      <c r="S362" s="196">
        <f ca="1">IF($B$353="Лікар загальної практики - сімейний лікар",IF(S357&lt;Законод!$C$22,0,(IF(AND(S357&gt;=Законод!$H$22,S357&lt;=Законод!$H$23),S357-Законод!$G$23,IF('01_Доходи'!S357&gt;=Законод!$I$22,Законод!$H$24,0)))),IF($B$353="Лікар-педіатр",IF(S357&lt;Законод!$C$18,0,(IF(AND(S357&gt;=Законод!$H$18,S357&lt;=Законод!$H$19),S357-Законод!$G$19,IF('01_Доходи'!S357&gt;=Законод!$I$18,Законод!$H$20,0)))),IF($B$353="Лікар-терапевт",IF(S357&lt;Законод!$C$26,0,(IF(AND(S357&gt;=Законод!$H$26,S357&lt;=Законод!$H$27),S357-Законод!$G$27,IF(S357&gt;=Законод!$I$26,Законод!$H$28,0)))),0)))</f>
        <v>0</v>
      </c>
      <c r="T362" s="942"/>
      <c r="U362" s="935" t="s">
        <v>423</v>
      </c>
      <c r="V362" s="936"/>
      <c r="W362" s="936"/>
      <c r="X362" s="936"/>
      <c r="Y362" s="937"/>
      <c r="Z362" s="196">
        <f ca="1">IF($B$353="Лікар загальної практики - сімейний лікар",IF(Z357&lt;Законод!$C$22,0,(IF(AND(Z357&gt;=Законод!$H$22,Z357&lt;=Законод!$H$23),Z357-Законод!$G$23,IF('01_Доходи'!Z357&gt;=Законод!$I$22,Законод!$H$24,0)))),IF($B$353="Лікар-педіатр",IF(Z357&lt;Законод!$C$18,0,(IF(AND(Z357&gt;=Законод!$H$18,Z357&lt;=Законод!$H$19),Z357-Законод!$G$19,IF('01_Доходи'!Z357&gt;=Законод!$I$18,Законод!$H$20,0)))),IF($B$353="Лікар-терапевт",IF(Z357&lt;Законод!$C$26,0,(IF(AND(Z357&gt;=Законод!$H$26,Z357&lt;=Законод!$H$27),Z357-Законод!$G$27,IF(Z357&gt;=Законод!$I$26,Законод!$H$28,0)))),0)))</f>
        <v>0</v>
      </c>
      <c r="AA362" s="942"/>
      <c r="AB362" s="935" t="s">
        <v>423</v>
      </c>
      <c r="AC362" s="936"/>
      <c r="AD362" s="936"/>
      <c r="AE362" s="936"/>
      <c r="AF362" s="937"/>
      <c r="AG362" s="196">
        <f ca="1">IF($B$353="Лікар загальної практики - сімейний лікар",IF(AG357&lt;Законод!$C$22,0,(IF(AND(AG357&gt;=Законод!$H$22,AG357&lt;=Законод!$H$23),AG357-Законод!$G$23,IF('01_Доходи'!AG357&gt;=Законод!$I$22,Законод!$H$24,0)))),IF($B$353="Лікар-педіатр",IF(AG357&lt;Законод!$C$18,0,(IF(AND(AG357&gt;=Законод!$H$18,AG357&lt;=Законод!$H$19),AG357-Законод!$G$19,IF('01_Доходи'!AG357&gt;=Законод!$I$18,Законод!$H$20,0)))),IF($B$353="Лікар-терапевт",IF(AG357&lt;Законод!$C$26,0,(IF(AND(AG357&gt;=Законод!$H$26,AG357&lt;=Законод!$H$27),AG357-Законод!$G$27,IF(AG357&gt;=Законод!$I$26,Законод!$H$28,0)))),0)))</f>
        <v>0</v>
      </c>
      <c r="AH362" s="942"/>
      <c r="AI362" s="201"/>
      <c r="AJ362" s="945"/>
      <c r="AK362" s="960"/>
      <c r="AL362" s="960"/>
      <c r="AM362" s="927"/>
      <c r="AN362" s="210">
        <f ca="1">IF(B353="Лікар загальної практики - сімейний лікар",L362*Законод!$C$9/4*Законод!$H$16,IF(B353="Лікар-педіатр",L362*Законод!$C$9/4*Законод!$H$16,IF(B353="Лікар-терапевт",L362*Законод!$C$9/4*Законод!$H$16,0)))</f>
        <v>0</v>
      </c>
      <c r="AO362" s="210">
        <f ca="1">IF(B353="Лікар загальної практики - сімейний лікар",S362*Законод!$C$9/4*Законод!$H$16,IF(B353="Лікар-педіатр",S362*Законод!$C$9/4*Законод!$H$16,IF(B353="Лікар-терапевт",S362*Законод!$C$9/4*Законод!$H$16,0)))</f>
        <v>0</v>
      </c>
      <c r="AP362" s="210">
        <f ca="1">IF(B353="Лікар загальної практики - сімейний лікар",Z362*Законод!$C$9/4*Законод!$H$16,IF(B353="Лікар-педіатр",Z362*Законод!$C$9/4*Законод!$H$16,IF(B353="Лікар-терапевт",Z362*Законод!$C$9/4*Законод!$H$16,0)))</f>
        <v>0</v>
      </c>
      <c r="AQ362" s="210">
        <f ca="1">IF(B353="Лікар загальної практики - сімейний лікар",AG362*Законод!$C$9/4*Законод!$H$16,IF(B353="Лікар-педіатр",AG362*Законод!$C$9/4*Законод!$H$16,IF(B353="Лікар-терапевт",AG362*Законод!$C$9/4*Законод!$H$16,0)))</f>
        <v>0</v>
      </c>
      <c r="AR362" s="211">
        <f t="shared" si="67"/>
        <v>0</v>
      </c>
    </row>
    <row r="363" spans="1:44" s="50" customFormat="1" ht="31.9" hidden="1" customHeight="1">
      <c r="A363" s="197"/>
      <c r="B363" s="951"/>
      <c r="C363" s="954"/>
      <c r="D363" s="957"/>
      <c r="E363" s="939"/>
      <c r="F363" s="238" t="str">
        <f ca="1">IF(B353="Лікар-педіатр",Законод!$I$17,IF(B353="Лікар загальної практики - сімейний лікар",Законод!$I$21,IF(B353="Лікар-терапевт",Законод!$I$25,"х")))</f>
        <v>х</v>
      </c>
      <c r="G363" s="935" t="s">
        <v>423</v>
      </c>
      <c r="H363" s="936"/>
      <c r="I363" s="936"/>
      <c r="J363" s="936"/>
      <c r="K363" s="937"/>
      <c r="L363" s="196">
        <f ca="1">IF($B$353="Лікар загальної практики - сімейний лікар",IF(L357&lt;Законод!$C$22,0,(IF(AND(L357&gt;=Законод!$I$22,L357&lt;=Законод!$I$23),L357-Законод!$H$23,IF('01_Доходи'!L357&gt;=Законод!$I$22,Законод!$I$24,0)))),IF($B$353="Лікар-педіатр",IF(L357&lt;Законод!$C$18,0,(IF(AND(L357&gt;=Законод!$I$18,L357&lt;=Законод!$I$19),L357-Законод!$H$19,IF('01_Доходи'!L357&gt;=Законод!$I$18,Законод!$H$20,0)))),IF($B$353="Лікар-терапевт",IF(L357&lt;Законод!$C$26,0,(IF(AND(L357&gt;=Законод!$I$26,L357&lt;=Законод!$I$27),L357-Законод!$H$27,IF('01_Доходи'!L357&gt;=Законод!$I$26,Законод!$H$28,0)))),0)))</f>
        <v>0</v>
      </c>
      <c r="M363" s="942"/>
      <c r="N363" s="935" t="s">
        <v>423</v>
      </c>
      <c r="O363" s="936"/>
      <c r="P363" s="936"/>
      <c r="Q363" s="936"/>
      <c r="R363" s="937"/>
      <c r="S363" s="196">
        <f ca="1">IF($B$353="Лікар загальної практики - сімейний лікар",IF(S357&lt;Законод!$C$22,0,(IF(AND(S357&gt;=Законод!$I$22,S357&lt;=Законод!$I$23),S357-Законод!$H$23,IF('01_Доходи'!S357&gt;=Законод!$I$22,Законод!$I$24,0)))),IF($B$353="Лікар-педіатр",IF(S357&lt;Законод!$C$18,0,(IF(AND(S357&gt;=Законод!$I$18,S357&lt;=Законод!$I$19),S357-Законод!$H$19,IF('01_Доходи'!S357&gt;=Законод!$I$18,Законод!$H$20,0)))),IF($B$353="Лікар-терапевт",IF(S357&lt;Законод!$C$26,0,(IF(AND(S357&gt;=Законод!$I$26,S357&lt;=Законод!$I$27),S357-Законод!$H$27,IF('01_Доходи'!S357&gt;=Законод!$I$26,Законод!$H$28,0)))),0)))</f>
        <v>0</v>
      </c>
      <c r="T363" s="942"/>
      <c r="U363" s="935" t="s">
        <v>423</v>
      </c>
      <c r="V363" s="936"/>
      <c r="W363" s="936"/>
      <c r="X363" s="936"/>
      <c r="Y363" s="937"/>
      <c r="Z363" s="196">
        <f ca="1">IF($B$353="Лікар загальної практики - сімейний лікар",IF(Z357&lt;Законод!$C$22,0,(IF(AND(Z357&gt;=Законод!$I$22,Z357&lt;=Законод!$I$23),Z357-Законод!$H$23,IF('01_Доходи'!Z357&gt;=Законод!$I$22,Законод!$I$24,0)))),IF($B$353="Лікар-педіатр",IF(Z357&lt;Законод!$C$18,0,(IF(AND(Z357&gt;=Законод!$I$18,Z357&lt;=Законод!$I$19),Z357-Законод!$H$19,IF('01_Доходи'!Z357&gt;=Законод!$I$18,Законод!$H$20,0)))),IF($B$353="Лікар-терапевт",IF(Z357&lt;Законод!$C$26,0,(IF(AND(Z357&gt;=Законод!$I$26,Z357&lt;=Законод!$I$27),Z357-Законод!$H$27,IF('01_Доходи'!Z357&gt;=Законод!$I$26,Законод!$H$28,0)))),0)))</f>
        <v>0</v>
      </c>
      <c r="AA363" s="942"/>
      <c r="AB363" s="935" t="s">
        <v>423</v>
      </c>
      <c r="AC363" s="936"/>
      <c r="AD363" s="936"/>
      <c r="AE363" s="936"/>
      <c r="AF363" s="937"/>
      <c r="AG363" s="196">
        <f ca="1">IF($B$353="Лікар загальної практики - сімейний лікар",IF(AG357&lt;Законод!$C$22,0,(IF(AND(AG357&gt;=Законод!$I$22,AG357&lt;=Законод!$I$23),AG357-Законод!$H$23,IF('01_Доходи'!AG357&gt;=Законод!$I$22,Законод!$I$24,0)))),IF($B$353="Лікар-педіатр",IF(AG357&lt;Законод!$C$18,0,(IF(AND(AG357&gt;=Законод!$I$18,AG357&lt;=Законод!$I$19),AG357-Законод!$H$19,IF('01_Доходи'!AG357&gt;=Законод!$I$18,Законод!$H$20,0)))),IF($B$353="Лікар-терапевт",IF(AG357&lt;Законод!$C$26,0,(IF(AND(AG357&gt;=Законод!$I$26,AG357&lt;=Законод!$I$27),AG357-Законод!$H$27,IF('01_Доходи'!AG357&gt;=Законод!$I$26,Законод!$H$28,0)))),0)))</f>
        <v>0</v>
      </c>
      <c r="AH363" s="942"/>
      <c r="AI363" s="201"/>
      <c r="AJ363" s="945"/>
      <c r="AK363" s="960"/>
      <c r="AL363" s="960"/>
      <c r="AM363" s="927"/>
      <c r="AN363" s="210">
        <f ca="1">IF(B353="Лікар загальної практики - сімейний лікар",L363*Законод!$C$9/4*Законод!$I$16,IF(B353="Лікар-педіатр",L363*Законод!$C$9/4*Законод!$I$16,IF(B353="Лікар-терапевт",L363*Законод!$C$9/4*Законод!$I$16,0)))</f>
        <v>0</v>
      </c>
      <c r="AO363" s="210">
        <f ca="1">IF(B353="Лікар загальної практики - сімейний лікар",S363*Законод!$C$9/4*Законод!$I$16,IF(B353="Лікар-педіатр",S363*Законод!$C$9/4*Законод!$I$16,IF(B353="Лікар-терапевт",S363*Законод!$C$9/4*Законод!$I$16,0)))</f>
        <v>0</v>
      </c>
      <c r="AP363" s="210">
        <f ca="1">IF(B353="Лікар загальної практики - сімейний лікар",Z363*Законод!$C$9/4*Законод!$I$16,IF(B353="Лікар-педіатр",Z363*Законод!$C$9/4*Законод!$I$16,IF(B353="Лікар-терапевт",Z363*Законод!$C$9/4*Законод!$I$16,0)))</f>
        <v>0</v>
      </c>
      <c r="AQ363" s="210">
        <f ca="1">IF(B353="Лікар загальної практики - сімейний лікар",AG363*Законод!$C$9/4*Законод!$I$16,IF(B353="Лікар-педіатр",AG363*Законод!$C$9/4*Законод!$I$16,IF(B353="Лікар-терапевт",AG363*Законод!$C$9/4*Законод!$I$16,0)))</f>
        <v>0</v>
      </c>
      <c r="AR363" s="211">
        <f t="shared" si="67"/>
        <v>0</v>
      </c>
    </row>
    <row r="364" spans="1:44" s="218" customFormat="1" ht="31.9" hidden="1" customHeight="1" thickBot="1">
      <c r="A364" s="213"/>
      <c r="B364" s="952"/>
      <c r="C364" s="955"/>
      <c r="D364" s="958"/>
      <c r="E364" s="940"/>
      <c r="F364" s="239" t="str">
        <f ca="1">IF(B353="Лікар-педіатр",Законод!$J$17,IF(B353="Лікар загальної практики - сімейний лікар",Законод!$J$21,IF(B353="Лікар-терапевт",Законод!$J$25,"х")))</f>
        <v>х</v>
      </c>
      <c r="G364" s="932" t="s">
        <v>423</v>
      </c>
      <c r="H364" s="933"/>
      <c r="I364" s="933"/>
      <c r="J364" s="933"/>
      <c r="K364" s="934"/>
      <c r="L364" s="196">
        <f ca="1">IF($B$353="Лікар загальної практики - сімейний лікар",IF(L357&gt;=Законод!$J$22,'01_Доходи'!L357-('01_Доходи'!L358+'01_Доходи'!L359+'01_Доходи'!L360+'01_Доходи'!L361+'01_Доходи'!L362+'01_Доходи'!L363),0),IF($B$353="Лікар-педіатр",IF(L357&gt;=Законод!$J$18,'01_Доходи'!L357-('01_Доходи'!L358+'01_Доходи'!L359+'01_Доходи'!L360+'01_Доходи'!L361+'01_Доходи'!L362+'01_Доходи'!L363),0),IF($B$353="Лікар-терапевт",IF('01_Доходи'!L357&gt;=Законод!$J$26,L357-Законод!$I$27,0),0)))</f>
        <v>0</v>
      </c>
      <c r="M364" s="943"/>
      <c r="N364" s="932" t="s">
        <v>423</v>
      </c>
      <c r="O364" s="933"/>
      <c r="P364" s="933"/>
      <c r="Q364" s="933"/>
      <c r="R364" s="934"/>
      <c r="S364" s="196">
        <f ca="1">IF($B$353="Лікар загальної практики - сімейний лікар",IF(S357&gt;=Законод!$J$22,'01_Доходи'!S357-('01_Доходи'!S358+'01_Доходи'!S359+'01_Доходи'!S360+'01_Доходи'!S361+'01_Доходи'!S362+'01_Доходи'!S363),0),IF($B$353="Лікар-педіатр",IF(S357&gt;=Законод!$J$18,'01_Доходи'!S357-('01_Доходи'!S358+'01_Доходи'!S359+'01_Доходи'!S360+'01_Доходи'!S361+'01_Доходи'!S362+'01_Доходи'!S363),0),IF($B$353="Лікар-терапевт",IF('01_Доходи'!S357&gt;=Законод!$J$26,S357-Законод!$I$27,0),0)))</f>
        <v>0</v>
      </c>
      <c r="T364" s="943"/>
      <c r="U364" s="932" t="s">
        <v>423</v>
      </c>
      <c r="V364" s="933"/>
      <c r="W364" s="933"/>
      <c r="X364" s="933"/>
      <c r="Y364" s="934"/>
      <c r="Z364" s="196">
        <f ca="1">IF($B$353="Лікар загальної практики - сімейний лікар",IF(Z357&gt;=Законод!$J$22,'01_Доходи'!Z357-('01_Доходи'!Z358+'01_Доходи'!Z359+'01_Доходи'!Z360+'01_Доходи'!Z361+'01_Доходи'!Z362+'01_Доходи'!Z363),0),IF($B$353="Лікар-педіатр",IF(Z357&gt;=Законод!$J$18,'01_Доходи'!Z357-('01_Доходи'!Z358+'01_Доходи'!Z359+'01_Доходи'!Z360+'01_Доходи'!Z361+'01_Доходи'!Z362+'01_Доходи'!Z363),0),IF($B$353="Лікар-терапевт",IF('01_Доходи'!Z357&gt;=Законод!$J$26,Z357-Законод!$I$27,0),0)))</f>
        <v>0</v>
      </c>
      <c r="AA364" s="943"/>
      <c r="AB364" s="932" t="s">
        <v>423</v>
      </c>
      <c r="AC364" s="933"/>
      <c r="AD364" s="933"/>
      <c r="AE364" s="933"/>
      <c r="AF364" s="934"/>
      <c r="AG364" s="196">
        <f ca="1">IF($B$353="Лікар загальної практики - сімейний лікар",IF(AG357&gt;=Законод!$J$22,'01_Доходи'!AG357-('01_Доходи'!AG358+'01_Доходи'!AG359+'01_Доходи'!AG360+'01_Доходи'!AG361+'01_Доходи'!AG362+'01_Доходи'!AG363),0),IF($B$353="Лікар-педіатр",IF(AG357&gt;=Законод!$J$18,'01_Доходи'!AG357-('01_Доходи'!AG358+'01_Доходи'!AG359+'01_Доходи'!AG360+'01_Доходи'!AG361+'01_Доходи'!AG362+'01_Доходи'!AG363),0),IF($B$353="Лікар-терапевт",IF('01_Доходи'!AG357&gt;=Законод!$J$26,AG357-Законод!$I$27,0),0)))</f>
        <v>0</v>
      </c>
      <c r="AH364" s="943"/>
      <c r="AI364" s="215"/>
      <c r="AJ364" s="946"/>
      <c r="AK364" s="961"/>
      <c r="AL364" s="961"/>
      <c r="AM364" s="928"/>
      <c r="AN364" s="216">
        <f ca="1">IF(B353="Лікар загальної практики - сімейний лікар",L364*Законод!$C$9/4*Законод!$J$16,IF(B353="Лікар-педіатр",L364*Законод!$C$9/4*Законод!$J$16,IF(B353="Лікар-терапевт",L364*Законод!$C$9/4*Законод!$J$16,0)))</f>
        <v>0</v>
      </c>
      <c r="AO364" s="216">
        <f ca="1">IF(B353="Лікар загальної практики - сімейний лікар",S364*Законод!$C$9/4*Законод!$J$16,IF(B353="Лікар-педіатр",S364*Законод!$C$9/4*Законод!$J$16,IF(B353="Лікар-терапевт",S364*Законод!$C$9/4*Законод!$J$16,0)))</f>
        <v>0</v>
      </c>
      <c r="AP364" s="216">
        <f ca="1">IF(B353="Лікар загальної практики - сімейний лікар",S364*Законод!$C$9/4*Законод!$J$16,IF(B353="Лікар-педіатр",S364*Законод!$C$9/4*Законод!$J$16,IF(B353="Лікар-терапевт",S364*Законод!$C$9/4*Законод!$J$16,0)))</f>
        <v>0</v>
      </c>
      <c r="AQ364" s="216">
        <f ca="1">IF(B353="Лікар загальної практики - сімейний лікар",AG364*Законод!$C$9/4*Законод!$J$16,IF(B353="Лікар-педіатр",AG364*Законод!$C$9/4*Законод!$J$16,IF(B353="Лікар-терапевт",AG364*Законод!$C$9/4*Законод!$J$16,0)))</f>
        <v>0</v>
      </c>
      <c r="AR364" s="217">
        <f t="shared" si="67"/>
        <v>0</v>
      </c>
    </row>
    <row r="365" spans="1:44" s="247" customFormat="1" ht="23.45" hidden="1" customHeight="1" thickBot="1">
      <c r="A365" s="243"/>
      <c r="B365" s="244"/>
      <c r="C365" s="244"/>
      <c r="D365" s="244"/>
      <c r="E365" s="244"/>
      <c r="F365" s="245"/>
      <c r="G365" s="246"/>
      <c r="H365" s="246"/>
      <c r="L365" s="248"/>
      <c r="S365" s="248"/>
      <c r="Z365" s="248"/>
      <c r="AG365" s="248"/>
      <c r="AM365" s="249"/>
      <c r="AR365" s="250"/>
    </row>
    <row r="366" spans="1:44" s="191" customFormat="1" ht="27.6" hidden="1" customHeight="1">
      <c r="A366" s="194">
        <f>A353+1</f>
        <v>26</v>
      </c>
      <c r="B366" s="950"/>
      <c r="C366" s="953"/>
      <c r="D366" s="956"/>
      <c r="E366" s="938"/>
      <c r="F366" s="234" t="s">
        <v>659</v>
      </c>
      <c r="G366" s="196">
        <f>IF($B$366="Лікар-педіатр",G369*L366,IF($B$366="Лікар-терапевт","х",IF($B$366="Лікар загальної практики - сімейний лікар",G369*L366,0)))</f>
        <v>0</v>
      </c>
      <c r="H366" s="196">
        <f>IF($B$366="Лікар-педіатр",H369*L366,IF($B$366="Лікар-терапевт","х",IF($B$366="Лікар загальної практики - сімейний лікар",H369*L366,0)))</f>
        <v>0</v>
      </c>
      <c r="I366" s="196">
        <f>IF($B$366="Лікар-педіатр","x",IF($B$366="Лікар-терапевт",I369*L366,IF($B$366="Лікар загальної практики - сімейний лікар",I369*L366,0)))</f>
        <v>0</v>
      </c>
      <c r="J366" s="196">
        <f>IF($B$366="Лікар-педіатр","x",IF($B$366="Лікар-терапевт",J369*L366,IF($B$366="Лікар загальної практики - сімейний лікар",J369*L366,0)))</f>
        <v>0</v>
      </c>
      <c r="K366" s="196">
        <f>IF($B$366="Лікар-педіатр","x",IF($B$366="Лікар-терапевт",K369*L366,IF($B$366="Лікар загальної практики - сімейний лікар",K369*L366,0)))</f>
        <v>0</v>
      </c>
      <c r="L366" s="557"/>
      <c r="M366" s="941"/>
      <c r="N366" s="196">
        <f>IF($B$366="Лікар-педіатр",N369*S366,IF($B$366="Лікар-терапевт","х",IF($B$366="Лікар загальної практики - сімейний лікар",N369*S366,0)))</f>
        <v>0</v>
      </c>
      <c r="O366" s="196">
        <f>IF($B$366="Лікар-педіатр",O369*S366,IF($B$366="Лікар-терапевт","х",IF($B$366="Лікар загальної практики - сімейний лікар",O369*S366,0)))</f>
        <v>0</v>
      </c>
      <c r="P366" s="196">
        <f>IF($B$366="Лікар-педіатр","x",IF($B$366="Лікар-терапевт",P369*S366,IF($B$366="Лікар загальної практики - сімейний лікар",P369*S366,0)))</f>
        <v>0</v>
      </c>
      <c r="Q366" s="196">
        <f>IF($B$366="Лікар-педіатр","x",IF($B$366="Лікар-терапевт",Q369*S366,IF($B$366="Лікар загальної практики - сімейний лікар",Q369*S366,0)))</f>
        <v>0</v>
      </c>
      <c r="R366" s="196">
        <f>IF($B$366="Лікар-педіатр","x",IF($B$366="Лікар-терапевт",R369*S366,IF($B$366="Лікар загальної практики - сімейний лікар",R369*S366,0)))</f>
        <v>0</v>
      </c>
      <c r="S366" s="557"/>
      <c r="T366" s="941"/>
      <c r="U366" s="196">
        <f>IF($B$366="Лікар-педіатр",U369*Z366,IF($B$366="Лікар-терапевт","х",IF($B$366="Лікар загальної практики - сімейний лікар",U369*Z366,0)))</f>
        <v>0</v>
      </c>
      <c r="V366" s="196">
        <f>IF($B$366="Лікар-педіатр",V369*Z366,IF($B$366="Лікар-терапевт","х",IF($B$366="Лікар загальної практики - сімейний лікар",V369*Z366,0)))</f>
        <v>0</v>
      </c>
      <c r="W366" s="196">
        <f>IF($B$366="Лікар-педіатр","x",IF($B$366="Лікар-терапевт",W369*Z366,IF($B$366="Лікар загальної практики - сімейний лікар",W369*Z366,0)))</f>
        <v>0</v>
      </c>
      <c r="X366" s="196">
        <f>IF($B$366="Лікар-педіатр","x",IF($B$366="Лікар-терапевт",X369*Z366,IF($B$366="Лікар загальної практики - сімейний лікар",X369*Z366,0)))</f>
        <v>0</v>
      </c>
      <c r="Y366" s="196">
        <f>IF($B$366="Лікар-педіатр","x",IF($B$366="Лікар-терапевт",Y369*Z366,IF($B$366="Лікар загальної практики - сімейний лікар",Y369*Z366,0)))</f>
        <v>0</v>
      </c>
      <c r="Z366" s="557"/>
      <c r="AA366" s="941"/>
      <c r="AB366" s="196">
        <f>IF($B$366="Лікар-педіатр",AB369*AG366,IF($B$366="Лікар-терапевт","х",IF($B$366="Лікар загальної практики - сімейний лікар",AB369*AG366,0)))</f>
        <v>0</v>
      </c>
      <c r="AC366" s="196">
        <f>IF($B$366="Лікар-педіатр",AC369*AG366,IF($B$366="Лікар-терапевт","х",IF($B$366="Лікар загальної практики - сімейний лікар",AC369*AG366,0)))</f>
        <v>0</v>
      </c>
      <c r="AD366" s="196">
        <f>IF($B$366="Лікар-педіатр","x",IF($B$366="Лікар-терапевт",AD369*AG366,IF($B$366="Лікар загальної практики - сімейний лікар",AD369*AG366,0)))</f>
        <v>0</v>
      </c>
      <c r="AE366" s="196">
        <f>IF($B$366="Лікар-педіатр","x",IF($B$366="Лікар-терапевт",AE369*AG366,IF($B$366="Лікар загальної практики - сімейний лікар",AE369*AG366,0)))</f>
        <v>0</v>
      </c>
      <c r="AF366" s="196">
        <f>IF($B$366="Лікар-педіатр","x",IF($B$366="Лікар-терапевт",AF369*AG366,IF($B$366="Лікар загальної практики - сімейний лікар",AF369*AG366,0)))</f>
        <v>0</v>
      </c>
      <c r="AG366" s="557"/>
      <c r="AH366" s="941"/>
      <c r="AI366" s="540">
        <f>A366</f>
        <v>26</v>
      </c>
      <c r="AJ366" s="944">
        <f>B366</f>
        <v>0</v>
      </c>
      <c r="AK366" s="959">
        <f>C366</f>
        <v>0</v>
      </c>
      <c r="AL366" s="959">
        <f>D366</f>
        <v>0</v>
      </c>
      <c r="AM366" s="929" t="s">
        <v>79</v>
      </c>
      <c r="AN366" s="947">
        <f>SUM(AN371:AN377)</f>
        <v>0</v>
      </c>
      <c r="AO366" s="947">
        <f>SUM(AO371:AO377)</f>
        <v>0</v>
      </c>
      <c r="AP366" s="947">
        <f>SUM(AP371:AP377)</f>
        <v>0</v>
      </c>
      <c r="AQ366" s="947">
        <f>SUM(AQ371:AQ377)</f>
        <v>0</v>
      </c>
      <c r="AR366" s="962">
        <f>SUM(AN366:AQ370)</f>
        <v>0</v>
      </c>
    </row>
    <row r="367" spans="1:44" s="50" customFormat="1" ht="28.15" hidden="1" customHeight="1">
      <c r="A367" s="197"/>
      <c r="B367" s="951"/>
      <c r="C367" s="954"/>
      <c r="D367" s="957"/>
      <c r="E367" s="939"/>
      <c r="F367" s="234" t="s">
        <v>660</v>
      </c>
      <c r="G367" s="196">
        <f>IF($B$366="Лікар-педіатр",G369*L367,IF($B$366="Лікар-терапевт","х",IF($B$366="Лікар загальної практики - сімейний лікар",G369*L367,0)))</f>
        <v>0</v>
      </c>
      <c r="H367" s="196">
        <f>IF($B$366="Лікар-педіатр",H369*L367,IF($B$366="Лікар-терапевт","х",IF($B$366="Лікар загальної практики - сімейний лікар",H369*L367,0)))</f>
        <v>0</v>
      </c>
      <c r="I367" s="196">
        <f>IF($B$366="Лікар-педіатр","x",IF($B$366="Лікар-терапевт",I369*L367,IF($B$366="Лікар загальної практики - сімейний лікар",I369*L367,0)))</f>
        <v>0</v>
      </c>
      <c r="J367" s="196">
        <f>IF($B$366="Лікар-педіатр","x",IF($B$366="Лікар-терапевт",J369*L367,IF($B$366="Лікар загальної практики - сімейний лікар",J369*L367,0)))</f>
        <v>0</v>
      </c>
      <c r="K367" s="196">
        <f>IF($B$366="Лікар-педіатр","x",IF($B$366="Лікар-терапевт",K369*L367,IF($B$366="Лікар загальної практики - сімейний лікар",K369*L367,0)))</f>
        <v>0</v>
      </c>
      <c r="L367" s="557"/>
      <c r="M367" s="942"/>
      <c r="N367" s="196">
        <f>IF($B$366="Лікар-педіатр",N369*S367,IF($B$366="Лікар-терапевт","х",IF($B$366="Лікар загальної практики - сімейний лікар",N369*S367,0)))</f>
        <v>0</v>
      </c>
      <c r="O367" s="196">
        <f>IF($B$366="Лікар-педіатр",O369*S367,IF($B$366="Лікар-терапевт","х",IF($B$366="Лікар загальної практики - сімейний лікар",O369*S367,0)))</f>
        <v>0</v>
      </c>
      <c r="P367" s="196">
        <f>IF($B$366="Лікар-педіатр","x",IF($B$366="Лікар-терапевт",P369*S367,IF($B$366="Лікар загальної практики - сімейний лікар",P369*S367,0)))</f>
        <v>0</v>
      </c>
      <c r="Q367" s="196">
        <f>IF($B$366="Лікар-педіатр","x",IF($B$366="Лікар-терапевт",Q369*S367,IF($B$366="Лікар загальної практики - сімейний лікар",Q369*S367,0)))</f>
        <v>0</v>
      </c>
      <c r="R367" s="196">
        <f>IF($B$366="Лікар-педіатр","x",IF($B$366="Лікар-терапевт",R369*S367,IF($B$366="Лікар загальної практики - сімейний лікар",R369*S367,0)))</f>
        <v>0</v>
      </c>
      <c r="S367" s="557"/>
      <c r="T367" s="942"/>
      <c r="U367" s="196">
        <f>IF($B$366="Лікар-педіатр",U369*Z367,IF($B$366="Лікар-терапевт","х",IF($B$366="Лікар загальної практики - сімейний лікар",U369*Z367,0)))</f>
        <v>0</v>
      </c>
      <c r="V367" s="196">
        <f>IF($B$366="Лікар-педіатр",V369*Z367,IF($B$366="Лікар-терапевт","х",IF($B$366="Лікар загальної практики - сімейний лікар",V369*Z367,0)))</f>
        <v>0</v>
      </c>
      <c r="W367" s="196">
        <f>IF($B$366="Лікар-педіатр","x",IF($B$366="Лікар-терапевт",W369*Z367,IF($B$366="Лікар загальної практики - сімейний лікар",W369*Z367,0)))</f>
        <v>0</v>
      </c>
      <c r="X367" s="196">
        <f>IF($B$366="Лікар-педіатр","x",IF($B$366="Лікар-терапевт",X369*Z367,IF($B$366="Лікар загальної практики - сімейний лікар",X369*Z367,0)))</f>
        <v>0</v>
      </c>
      <c r="Y367" s="196">
        <f>IF($B$366="Лікар-педіатр","x",IF($B$366="Лікар-терапевт",Y369*Z367,IF($B$366="Лікар загальної практики - сімейний лікар",Y369*Z367,0)))</f>
        <v>0</v>
      </c>
      <c r="Z367" s="557"/>
      <c r="AA367" s="942"/>
      <c r="AB367" s="196">
        <f>IF($B$366="Лікар-педіатр",AB369*AG367,IF($B$366="Лікар-терапевт","х",IF($B$366="Лікар загальної практики - сімейний лікар",AB369*AG367,0)))</f>
        <v>0</v>
      </c>
      <c r="AC367" s="196">
        <f>IF($B$366="Лікар-педіатр",AC369*AG367,IF($B$366="Лікар-терапевт","х",IF($B$366="Лікар загальної практики - сімейний лікар",AC369*AG367,0)))</f>
        <v>0</v>
      </c>
      <c r="AD367" s="196">
        <f>IF($B$366="Лікар-педіатр","x",IF($B$366="Лікар-терапевт",AD369*AG367,IF($B$366="Лікар загальної практики - сімейний лікар",AD369*AG367,0)))</f>
        <v>0</v>
      </c>
      <c r="AE367" s="196">
        <f>IF($B$366="Лікар-педіатр","x",IF($B$366="Лікар-терапевт",AE369*AG367,IF($B$366="Лікар загальної практики - сімейний лікар",AE369*AG367,0)))</f>
        <v>0</v>
      </c>
      <c r="AF367" s="196">
        <f>IF($B$366="Лікар-педіатр","x",IF($B$366="Лікар-терапевт",AF369*AG367,IF($B$366="Лікар загальної практики - сімейний лікар",AF369*AG367,0)))</f>
        <v>0</v>
      </c>
      <c r="AG367" s="557"/>
      <c r="AH367" s="942"/>
      <c r="AI367" s="198"/>
      <c r="AJ367" s="945"/>
      <c r="AK367" s="960"/>
      <c r="AL367" s="960"/>
      <c r="AM367" s="930"/>
      <c r="AN367" s="948"/>
      <c r="AO367" s="948"/>
      <c r="AP367" s="948"/>
      <c r="AQ367" s="948"/>
      <c r="AR367" s="963"/>
    </row>
    <row r="368" spans="1:44" s="90" customFormat="1" ht="31.15" hidden="1" customHeight="1">
      <c r="A368" s="240"/>
      <c r="B368" s="951"/>
      <c r="C368" s="954"/>
      <c r="D368" s="957"/>
      <c r="E368" s="939"/>
      <c r="F368" s="241" t="s">
        <v>661</v>
      </c>
      <c r="G368" s="199">
        <f>IF(B366="Лікар загальної практики - сімейний лікар"," ",IF(B366="Лікар-педіатр"," ",IF(B366="Лікар-терапевт","х",0)))</f>
        <v>0</v>
      </c>
      <c r="H368" s="199">
        <f>IF(B366="Лікар загальної практики - сімейний лікар"," ",IF(B366="Лікар-педіатр"," ",IF(B366="Лікар-терапевт","х",0)))</f>
        <v>0</v>
      </c>
      <c r="I368" s="199">
        <f>IF(B366="Лікар загальної практики - сімейний лікар"," ",IF(B366="Лікар-педіатр","х",IF(B366="Лікар-терапевт"," ",0)))</f>
        <v>0</v>
      </c>
      <c r="J368" s="199">
        <f>IF(B366="Лікар загальної практики - сімейний лікар"," ",IF(B366="Лікар-педіатр","х",IF(B366="Лікар-терапевт"," ",0)))</f>
        <v>0</v>
      </c>
      <c r="K368" s="199">
        <f>IF(B366="Лікар загальної практики - сімейний лікар"," ",IF(B366="Лікар-педіатр","х",IF(B366="Лікар-терапевт"," ",0)))</f>
        <v>0</v>
      </c>
      <c r="L368" s="200">
        <f>SUM(G368:K368)</f>
        <v>0</v>
      </c>
      <c r="M368" s="942"/>
      <c r="N368" s="199">
        <f>IF(B366="Лікар загальної практики - сімейний лікар"," ",IF(B366="Лікар-педіатр"," ",IF(B366="Лікар-терапевт","х",0)))</f>
        <v>0</v>
      </c>
      <c r="O368" s="199">
        <f>IF(B366="Лікар загальної практики - сімейний лікар"," ",IF(B366="Лікар-педіатр"," ",IF(B366="Лікар-терапевт","х",0)))</f>
        <v>0</v>
      </c>
      <c r="P368" s="199">
        <f>IF(B366="Лікар загальної практики - сімейний лікар"," ",IF(B366="Лікар-педіатр","х",IF(B366="Лікар-терапевт"," ",0)))</f>
        <v>0</v>
      </c>
      <c r="Q368" s="199">
        <f>IF(B366="Лікар загальної практики - сімейний лікар"," ",IF(B366="Лікар-педіатр","х",IF(B366="Лікар-терапевт"," ",0)))</f>
        <v>0</v>
      </c>
      <c r="R368" s="199">
        <f>IF(B366="Лікар загальної практики - сімейний лікар"," ",IF(B366="Лікар-педіатр","х",IF(B366="Лікар-терапевт"," ",0)))</f>
        <v>0</v>
      </c>
      <c r="S368" s="200">
        <f>SUM(N368:R368)</f>
        <v>0</v>
      </c>
      <c r="T368" s="942"/>
      <c r="U368" s="199">
        <f>IF(B366="Лікар загальної практики - сімейний лікар"," ",IF(B366="Лікар-педіатр"," ",IF(B366="Лікар-терапевт","х",0)))</f>
        <v>0</v>
      </c>
      <c r="V368" s="199">
        <f>IF(B366="Лікар загальної практики - сімейний лікар"," ",IF(B366="Лікар-педіатр"," ",IF(B366="Лікар-терапевт","х",0)))</f>
        <v>0</v>
      </c>
      <c r="W368" s="199">
        <f>IF(B366="Лікар загальної практики - сімейний лікар"," ",IF(B366="Лікар-педіатр","х",IF(B366="Лікар-терапевт"," ",0)))</f>
        <v>0</v>
      </c>
      <c r="X368" s="199">
        <f>IF(B366="Лікар загальної практики - сімейний лікар"," ",IF(B366="Лікар-педіатр","х",IF(B366="Лікар-терапевт"," ",0)))</f>
        <v>0</v>
      </c>
      <c r="Y368" s="199">
        <f>IF(B366="Лікар загальної практики - сімейний лікар"," ",IF(B366="Лікар-педіатр","х",IF(B366="Лікар-терапевт"," ",0)))</f>
        <v>0</v>
      </c>
      <c r="Z368" s="200">
        <f>SUM(U368:Y368)</f>
        <v>0</v>
      </c>
      <c r="AA368" s="942"/>
      <c r="AB368" s="199">
        <f>IF(B366="Лікар загальної практики - сімейний лікар"," ",IF(B366="Лікар-педіатр"," ",IF(B366="Лікар-терапевт","х",0)))</f>
        <v>0</v>
      </c>
      <c r="AC368" s="199">
        <f>IF(B366="Лікар загальної практики - сімейний лікар"," ",IF(B366="Лікар-педіатр"," ",IF(B366="Лікар-терапевт","х",0)))</f>
        <v>0</v>
      </c>
      <c r="AD368" s="199">
        <f>IF(B366="Лікар загальної практики - сімейний лікар"," ",IF(B366="Лікар-педіатр","х",IF(B366="Лікар-терапевт"," ",0)))</f>
        <v>0</v>
      </c>
      <c r="AE368" s="199">
        <f>IF(B366="Лікар загальної практики - сімейний лікар"," ",IF(B366="Лікар-педіатр","х",IF(B366="Лікар-терапевт"," ",0)))</f>
        <v>0</v>
      </c>
      <c r="AF368" s="199">
        <f>IF(B366="Лікар загальної практики - сімейний лікар"," ",IF(B366="Лікар-педіатр","х",IF(B366="Лікар-терапевт"," ",0)))</f>
        <v>0</v>
      </c>
      <c r="AG368" s="200">
        <f>SUM(AB368:AF368)</f>
        <v>0</v>
      </c>
      <c r="AH368" s="942"/>
      <c r="AI368" s="242"/>
      <c r="AJ368" s="945"/>
      <c r="AK368" s="960"/>
      <c r="AL368" s="960"/>
      <c r="AM368" s="930"/>
      <c r="AN368" s="948"/>
      <c r="AO368" s="948"/>
      <c r="AP368" s="948"/>
      <c r="AQ368" s="948"/>
      <c r="AR368" s="963"/>
    </row>
    <row r="369" spans="1:44" s="50" customFormat="1" ht="31.9" hidden="1" customHeight="1" thickBot="1">
      <c r="A369" s="197"/>
      <c r="B369" s="951"/>
      <c r="C369" s="954"/>
      <c r="D369" s="957"/>
      <c r="E369" s="939"/>
      <c r="F369" s="236" t="s">
        <v>426</v>
      </c>
      <c r="G369" s="203">
        <f>IF($B$366="Лікар-педіатр",G368/L368,IF($B$366="Лікар-терапевт","х",IF($B$366="Лікар загальної практики - сімейний лікар",G368/L368,0)))</f>
        <v>0</v>
      </c>
      <c r="H369" s="203">
        <f>IF($B$366="Лікар-педіатр",H368/L368,IF($B$366="Лікар-терапевт","х",IF($B$366="Лікар загальної практики - сімейний лікар",H368/L368,0)))</f>
        <v>0</v>
      </c>
      <c r="I369" s="203">
        <f>IF($B$366="Лікар-педіатр","x",IF($B$366="Лікар-терапевт",I368/L368,IF($B$366="Лікар загальної практики - сімейний лікар",I368/L368,0)))</f>
        <v>0</v>
      </c>
      <c r="J369" s="203">
        <f>IF($B$366="Лікар-педіатр","x",IF($B$366="Лікар-терапевт",J368/L368,IF($B$366="Лікар загальної практики - сімейний лікар",J368/L368,0)))</f>
        <v>0</v>
      </c>
      <c r="K369" s="203">
        <f>IF($B$366="Лікар-педіатр","x",IF($B$366="Лікар-терапевт",K368/L368,IF($B$366="Лікар загальної практики - сімейний лікар",K368/L368,0)))</f>
        <v>0</v>
      </c>
      <c r="L369" s="203">
        <f>SUM(G369:K369)</f>
        <v>0</v>
      </c>
      <c r="M369" s="942"/>
      <c r="N369" s="203">
        <f>IF($B$366="Лікар-педіатр",N368/S368,IF($B$366="Лікар-терапевт","х",IF($B$366="Лікар загальної практики - сімейний лікар",N368/S368,0)))</f>
        <v>0</v>
      </c>
      <c r="O369" s="203">
        <f>IF($B$366="Лікар-педіатр",O368/S368,IF($B$366="Лікар-терапевт","х",IF($B$366="Лікар загальної практики - сімейний лікар",O368/S368,0)))</f>
        <v>0</v>
      </c>
      <c r="P369" s="203">
        <f>IF($B$366="Лікар-педіатр","x",IF($B$366="Лікар-терапевт",P368/S368,IF($B$366="Лікар загальної практики - сімейний лікар",P368/S368,0)))</f>
        <v>0</v>
      </c>
      <c r="Q369" s="203">
        <f>IF($B$366="Лікар-педіатр","x",IF($B$366="Лікар-терапевт",Q368/S368,IF($B$366="Лікар загальної практики - сімейний лікар",Q368/S368,0)))</f>
        <v>0</v>
      </c>
      <c r="R369" s="203">
        <f>IF($B$366="Лікар-педіатр","x",IF($B$366="Лікар-терапевт",R368/S368,IF($B$366="Лікар загальної практики - сімейний лікар",R368/S368,0)))</f>
        <v>0</v>
      </c>
      <c r="S369" s="203">
        <f>SUM(N369:R369)</f>
        <v>0</v>
      </c>
      <c r="T369" s="942"/>
      <c r="U369" s="203">
        <f>IF($B$366="Лікар-педіатр",U368/Z368,IF($B$366="Лікар-терапевт","х",IF($B$366="Лікар загальної практики - сімейний лікар",U368/Z368,0)))</f>
        <v>0</v>
      </c>
      <c r="V369" s="203">
        <f>IF($B$366="Лікар-педіатр",V368/Z368,IF($B$366="Лікар-терапевт","х",IF($B$366="Лікар загальної практики - сімейний лікар",V368/Z368,0)))</f>
        <v>0</v>
      </c>
      <c r="W369" s="203">
        <f>IF($B$366="Лікар-педіатр","x",IF($B$366="Лікар-терапевт",W368/Z368,IF($B$366="Лікар загальної практики - сімейний лікар",W368/Z368,0)))</f>
        <v>0</v>
      </c>
      <c r="X369" s="203">
        <f>IF($B$366="Лікар-педіатр","x",IF($B$366="Лікар-терапевт",X368/Z368,IF($B$366="Лікар загальної практики - сімейний лікар",X368/Z368,0)))</f>
        <v>0</v>
      </c>
      <c r="Y369" s="203">
        <f>IF($B$366="Лікар-педіатр","x",IF($B$366="Лікар-терапевт",Y368/Z368,IF($B$366="Лікар загальної практики - сімейний лікар",Y368/Z368,0)))</f>
        <v>0</v>
      </c>
      <c r="Z369" s="203">
        <f>SUM(U369:Y369)</f>
        <v>0</v>
      </c>
      <c r="AA369" s="942"/>
      <c r="AB369" s="203">
        <f>IF($B$366="Лікар-педіатр",AB368/AG368,IF($B$366="Лікар-терапевт","х",IF($B$366="Лікар загальної практики - сімейний лікар",AB368/AG368,0)))</f>
        <v>0</v>
      </c>
      <c r="AC369" s="203">
        <f>IF($B$366="Лікар-педіатр",AC368/AG368,IF($B$366="Лікар-терапевт","х",IF($B$366="Лікар загальної практики - сімейний лікар",AC368/AG368,0)))</f>
        <v>0</v>
      </c>
      <c r="AD369" s="203">
        <f>IF($B$366="Лікар-педіатр","x",IF($B$366="Лікар-терапевт",AD368/AG368,IF($B$366="Лікар загальної практики - сімейний лікар",AD368/AG368,0)))</f>
        <v>0</v>
      </c>
      <c r="AE369" s="203">
        <f>IF($B$366="Лікар-педіатр","x",IF($B$366="Лікар-терапевт",AE368/AG368,IF($B$366="Лікар загальної практики - сімейний лікар",AE368/AG368,0)))</f>
        <v>0</v>
      </c>
      <c r="AF369" s="203">
        <f>IF($B$366="Лікар-педіатр","x",IF($B$366="Лікар-терапевт",AF368/AG368,IF($B$366="Лікар загальної практики - сімейний лікар",AF368/AG368,0)))</f>
        <v>0</v>
      </c>
      <c r="AG369" s="203">
        <f>SUM(AB369:AF369)</f>
        <v>0</v>
      </c>
      <c r="AH369" s="942"/>
      <c r="AI369" s="201"/>
      <c r="AJ369" s="945"/>
      <c r="AK369" s="960"/>
      <c r="AL369" s="960"/>
      <c r="AM369" s="930"/>
      <c r="AN369" s="948"/>
      <c r="AO369" s="948"/>
      <c r="AP369" s="948"/>
      <c r="AQ369" s="948"/>
      <c r="AR369" s="963"/>
    </row>
    <row r="370" spans="1:44" s="50" customFormat="1" ht="45" hidden="1" customHeight="1" thickBot="1">
      <c r="A370" s="197"/>
      <c r="B370" s="951"/>
      <c r="C370" s="954"/>
      <c r="D370" s="957"/>
      <c r="E370" s="939"/>
      <c r="F370" s="204" t="s">
        <v>662</v>
      </c>
      <c r="G370" s="205">
        <f>IF($B$366="Лікар загальної практики - сімейний лікар",AVERAGE(G366:G368),IF($B$366="Лікар-педіатр",AVERAGE(G366:G368),IF($B$366="Лікар-терапевт","х",0)))</f>
        <v>0</v>
      </c>
      <c r="H370" s="205">
        <f>IF($B$366="Лікар загальної практики - сімейний лікар",AVERAGE(H366:H368),IF($B$366="Лікар-педіатр",AVERAGE(H366:H368),IF($B$366="Лікар-терапевт","х",0)))</f>
        <v>0</v>
      </c>
      <c r="I370" s="205">
        <f>IF($B$366="Лікар загальної практики - сімейний лікар",AVERAGE(I366:I368),IF($B$366="Лікар-педіатр","x",IF($B$366="Лікар-терапевт",AVERAGE(I366:I368),0)))</f>
        <v>0</v>
      </c>
      <c r="J370" s="205">
        <f>IF($B$366="Лікар загальної практики - сімейний лікар",AVERAGE(J366:J368),IF($B$366="Лікар-педіатр","x",IF($B$366="Лікар-терапевт",AVERAGE(J366:J368),0)))</f>
        <v>0</v>
      </c>
      <c r="K370" s="205">
        <f>IF($B$366="Лікар загальної практики - сімейний лікар",AVERAGE(K366:K368),IF($B$366="Лікар-педіатр","x",IF($B$366="Лікар-терапевт",AVERAGE(K366:K368),0)))</f>
        <v>0</v>
      </c>
      <c r="L370" s="206">
        <f>SUM(G370:K370)</f>
        <v>0</v>
      </c>
      <c r="M370" s="942"/>
      <c r="N370" s="205">
        <f>IF($B$366="Лікар загальної практики - сімейний лікар",AVERAGE(N366:N368),IF($B$366="Лікар-педіатр",AVERAGE(N366:N368),IF($B$366="Лікар-терапевт","х",0)))</f>
        <v>0</v>
      </c>
      <c r="O370" s="205">
        <f>IF($B$366="Лікар загальної практики - сімейний лікар",AVERAGE(O366:O368),IF($B$366="Лікар-педіатр",AVERAGE(O366:O368),IF($B$366="Лікар-терапевт","х",0)))</f>
        <v>0</v>
      </c>
      <c r="P370" s="205">
        <f>IF($B$366="Лікар загальної практики - сімейний лікар",AVERAGE(P366:P368),IF($B$366="Лікар-педіатр","x",IF($B$366="Лікар-терапевт",AVERAGE(P366:P368),0)))</f>
        <v>0</v>
      </c>
      <c r="Q370" s="205">
        <f>IF($B$366="Лікар загальної практики - сімейний лікар",AVERAGE(Q366:Q368),IF($B$366="Лікар-педіатр","x",IF($B$366="Лікар-терапевт",AVERAGE(Q366:Q368),0)))</f>
        <v>0</v>
      </c>
      <c r="R370" s="205">
        <f>IF($B$366="Лікар загальної практики - сімейний лікар",AVERAGE(R366:R368),IF($B$366="Лікар-педіатр","x",IF($B$366="Лікар-терапевт",AVERAGE(R366:R368),0)))</f>
        <v>0</v>
      </c>
      <c r="S370" s="206">
        <f>SUM(N370:R370)</f>
        <v>0</v>
      </c>
      <c r="T370" s="942"/>
      <c r="U370" s="205">
        <f>IF($B$366="Лікар загальної практики - сімейний лікар",AVERAGE(U366:U368),IF($B$366="Лікар-педіатр",AVERAGE(U366:U368),IF($B$366="Лікар-терапевт","х",0)))</f>
        <v>0</v>
      </c>
      <c r="V370" s="205">
        <f>IF($B$366="Лікар загальної практики - сімейний лікар",AVERAGE(V366:V368),IF($B$366="Лікар-педіатр",AVERAGE(V366:V368),IF($B$366="Лікар-терапевт","х",0)))</f>
        <v>0</v>
      </c>
      <c r="W370" s="205">
        <f>IF($B$366="Лікар загальної практики - сімейний лікар",AVERAGE(W366:W368),IF($B$366="Лікар-педіатр","x",IF($B$366="Лікар-терапевт",AVERAGE(W366:W368),0)))</f>
        <v>0</v>
      </c>
      <c r="X370" s="205">
        <f>IF($B$366="Лікар загальної практики - сімейний лікар",AVERAGE(X366:X368),IF($B$366="Лікар-педіатр","x",IF($B$366="Лікар-терапевт",AVERAGE(X366:X368),0)))</f>
        <v>0</v>
      </c>
      <c r="Y370" s="205">
        <f>IF($B$366="Лікар загальної практики - сімейний лікар",AVERAGE(Y366:Y368),IF($B$366="Лікар-педіатр","x",IF($B$366="Лікар-терапевт",AVERAGE(Y366:Y368),0)))</f>
        <v>0</v>
      </c>
      <c r="Z370" s="206">
        <f>SUM(U370:Y370)</f>
        <v>0</v>
      </c>
      <c r="AA370" s="942"/>
      <c r="AB370" s="205">
        <f>IF($B$366="Лікар загальної практики - сімейний лікар",AVERAGE(AB366:AB368),IF($B$366="Лікар-педіатр",AVERAGE(AB366:AB368),IF($B$366="Лікар-терапевт","х",0)))</f>
        <v>0</v>
      </c>
      <c r="AC370" s="205">
        <f>IF($B$366="Лікар загальної практики - сімейний лікар",AVERAGE(AC366:AC368),IF($B$366="Лікар-педіатр",AVERAGE(AC366:AC368),IF($B$366="Лікар-терапевт","х",0)))</f>
        <v>0</v>
      </c>
      <c r="AD370" s="205">
        <f>IF($B$366="Лікар загальної практики - сімейний лікар",AVERAGE(AD366:AD368),IF($B$366="Лікар-педіатр","x",IF($B$366="Лікар-терапевт",AVERAGE(AD366:AD368),0)))</f>
        <v>0</v>
      </c>
      <c r="AE370" s="205">
        <f>IF($B$366="Лікар загальної практики - сімейний лікар",AVERAGE(AE366:AE368),IF($B$366="Лікар-педіатр","x",IF($B$366="Лікар-терапевт",AVERAGE(AE366:AE368),0)))</f>
        <v>0</v>
      </c>
      <c r="AF370" s="205">
        <f>IF($B$366="Лікар загальної практики - сімейний лікар",AVERAGE(AF366:AF368),IF($B$366="Лікар-педіатр","x",IF($B$366="Лікар-терапевт",AVERAGE(AF366:AF368),0)))</f>
        <v>0</v>
      </c>
      <c r="AG370" s="206">
        <f>SUM(AB370:AF370)</f>
        <v>0</v>
      </c>
      <c r="AH370" s="942"/>
      <c r="AI370" s="201"/>
      <c r="AJ370" s="945"/>
      <c r="AK370" s="960"/>
      <c r="AL370" s="960"/>
      <c r="AM370" s="931"/>
      <c r="AN370" s="949"/>
      <c r="AO370" s="949"/>
      <c r="AP370" s="949"/>
      <c r="AQ370" s="949"/>
      <c r="AR370" s="964"/>
    </row>
    <row r="371" spans="1:44" s="50" customFormat="1" ht="40.5" hidden="1">
      <c r="A371" s="197"/>
      <c r="B371" s="951"/>
      <c r="C371" s="954"/>
      <c r="D371" s="957"/>
      <c r="E371" s="939"/>
      <c r="F371" s="237" t="str">
        <f ca="1">IF(B366="Лікар-педіатр",Законод!$C$17,IF(B366="Лікар загальної практики - сімейний лікар",Законод!$C$21,IF(B366="Лікар-терапевт",Законод!$C$25,"х")))</f>
        <v>х</v>
      </c>
      <c r="G371" s="208">
        <f ca="1">IF($B$366="Лікар загальної практики - сімейний лікар",IF(L370&lt;=Законод!$C$22,G370,Законод!$C$22*'01_Доходи'!G369),IF($B$366="Лікар-педіатр",IF(L370&lt;=Законод!$C$18,G370,Законод!$C$18*'01_Доходи'!G369),IF($B$366="Лікар-терапевт","x",0)))</f>
        <v>0</v>
      </c>
      <c r="H371" s="208">
        <f ca="1">IF($B$366="Лікар загальної практики - сімейний лікар",IF(L370&lt;=Законод!$C$22,H370,Законод!$C$22*'01_Доходи'!H369),IF($B$366="Лікар-педіатр",IF(L370&lt;=Законод!$C$18,H370,Законод!$C$18*'01_Доходи'!H369),IF($B$366="Лікар-терапевт","x",0)))</f>
        <v>0</v>
      </c>
      <c r="I371" s="208">
        <f ca="1">IF($B$366="Лікар загальної практики - сімейний лікар",IF(L370&lt;=Законод!$C$22,I370,Законод!$C$22*'01_Доходи'!I369),IF($B$366="Лікар-педіатр","x",IF($B$366="Лікар-терапевт",IF(L370&lt;=Законод!$C$26,I370,Законод!$C$26*'01_Доходи'!I369),0)))</f>
        <v>0</v>
      </c>
      <c r="J371" s="208">
        <f ca="1">IF($B$366="Лікар загальної практики - сімейний лікар",IF(L370&lt;=Законод!$C$22,J370,Законод!$C$22*'01_Доходи'!J369),IF($B$366="Лікар-педіатр","x",IF($B$366="Лікар-терапевт",IF(L370&lt;=Законод!$C$26,J370,Законод!$C$26*'01_Доходи'!J369),0)))</f>
        <v>0</v>
      </c>
      <c r="K371" s="208">
        <f ca="1">IF($B$366="Лікар загальної практики - сімейний лікар",IF(L370&lt;=Законод!$C$22,K370,Законод!$C$22*'01_Доходи'!K369),IF($B$366="Лікар-педіатр","x",IF($B$366="Лікар-терапевт",IF(L370&lt;=Законод!$C$26,K370,Законод!$C$26*'01_Доходи'!K369),0)))</f>
        <v>0</v>
      </c>
      <c r="L371" s="209">
        <f ca="1">SUM(G371:K371)</f>
        <v>0</v>
      </c>
      <c r="M371" s="942"/>
      <c r="N371" s="208">
        <f ca="1">IF($B$366="Лікар загальної практики - сімейний лікар",IF(S370&lt;=Законод!$C$22,N370,Законод!$C$22*'01_Доходи'!N369),IF($B$366="Лікар-педіатр",IF(S370&lt;=Законод!$C$18,N370,Законод!$C$18*'01_Доходи'!N369),IF($B$366="Лікар-терапевт","x",0)))</f>
        <v>0</v>
      </c>
      <c r="O371" s="208">
        <f ca="1">IF($B$366="Лікар загальної практики - сімейний лікар",IF(S370&lt;=Законод!$C$22,O370,Законод!$C$22*'01_Доходи'!O369),IF($B$366="Лікар-педіатр",IF(S370&lt;=Законод!$C$18,O370,Законод!$C$18*'01_Доходи'!O369),IF($B$366="Лікар-терапевт","x",0)))</f>
        <v>0</v>
      </c>
      <c r="P371" s="208">
        <f ca="1">IF($B$366="Лікар загальної практики - сімейний лікар",IF(S370&lt;=Законод!$C$22,P370,Законод!$C$22*'01_Доходи'!P369),IF($B$366="Лікар-педіатр","x",IF($B$366="Лікар-терапевт",IF(S370&lt;=Законод!$C$26,P370,Законод!$C$26*'01_Доходи'!P369),0)))</f>
        <v>0</v>
      </c>
      <c r="Q371" s="208">
        <f ca="1">IF($B$366="Лікар загальної практики - сімейний лікар",IF(S370&lt;=Законод!$C$22,Q370,Законод!$C$22*'01_Доходи'!Q369),IF($B$366="Лікар-педіатр","x",IF($B$366="Лікар-терапевт",IF(S370&lt;=Законод!$C$26,Q370,Законод!$C$26*'01_Доходи'!Q369),0)))</f>
        <v>0</v>
      </c>
      <c r="R371" s="208">
        <f ca="1">IF($B$366="Лікар загальної практики - сімейний лікар",IF(S370&lt;=Законод!$C$22,R370,Законод!$C$22*'01_Доходи'!R369),IF($B$366="Лікар-педіатр","x",IF($B$366="Лікар-терапевт",IF(S370&lt;=Законод!$C$26,R370,Законод!$C$26*'01_Доходи'!R369),0)))</f>
        <v>0</v>
      </c>
      <c r="S371" s="209">
        <f ca="1">SUM(N371:R371)</f>
        <v>0</v>
      </c>
      <c r="T371" s="942"/>
      <c r="U371" s="208">
        <f ca="1">IF($B$366="Лікар загальної практики - сімейний лікар",IF(Z370&lt;=Законод!$C$22,U370,Законод!$C$22*'01_Доходи'!U369),IF($B$366="Лікар-педіатр",IF(Z370&lt;=Законод!$C$18,U370,Законод!$C$18*'01_Доходи'!U369),IF($B$366="Лікар-терапевт","x",0)))</f>
        <v>0</v>
      </c>
      <c r="V371" s="208">
        <f ca="1">IF($B$366="Лікар загальної практики - сімейний лікар",IF(Z370&lt;=Законод!$C$22,V370,Законод!$C$22*'01_Доходи'!V369),IF($B$366="Лікар-педіатр",IF(Z370&lt;=Законод!$C$18,V370,Законод!$C$18*'01_Доходи'!V369),IF($B$366="Лікар-терапевт","x",0)))</f>
        <v>0</v>
      </c>
      <c r="W371" s="208">
        <f ca="1">IF($B$366="Лікар загальної практики - сімейний лікар",IF(Z370&lt;=Законод!$C$22,W370,Законод!$C$22*'01_Доходи'!W369),IF($B$366="Лікар-педіатр","x",IF($B$366="Лікар-терапевт",IF(Z370&lt;=Законод!$C$26,W370,Законод!$C$26*'01_Доходи'!W369),0)))</f>
        <v>0</v>
      </c>
      <c r="X371" s="208">
        <f ca="1">IF($B$366="Лікар загальної практики - сімейний лікар",IF(Z370&lt;=Законод!$C$22,X370,Законод!$C$22*'01_Доходи'!X369),IF($B$366="Лікар-педіатр","x",IF($B$366="Лікар-терапевт",IF(Z370&lt;=Законод!$C$26,X370,Законод!$C$26*'01_Доходи'!X369),0)))</f>
        <v>0</v>
      </c>
      <c r="Y371" s="208">
        <f ca="1">IF($B$366="Лікар загальної практики - сімейний лікар",IF(Z370&lt;=Законод!$C$22,Y370,Законод!$C$22*'01_Доходи'!Y369),IF($B$366="Лікар-педіатр","x",IF($B$366="Лікар-терапевт",IF(Z370&lt;=Законод!$C$26,Y370,Законод!$C$26*'01_Доходи'!Y369),0)))</f>
        <v>0</v>
      </c>
      <c r="Z371" s="209">
        <f ca="1">SUM(U371:Y371)</f>
        <v>0</v>
      </c>
      <c r="AA371" s="942"/>
      <c r="AB371" s="208">
        <f ca="1">IF($B$366="Лікар загальної практики - сімейний лікар",IF(AG370&lt;=Законод!$C$22,AB370,Законод!$C$22*'01_Доходи'!AB369),IF($B$366="Лікар-педіатр",IF(AG370&lt;=Законод!$C$18,AB370,Законод!$C$18*'01_Доходи'!AB369),IF($B$366="Лікар-терапевт","x",0)))</f>
        <v>0</v>
      </c>
      <c r="AC371" s="208">
        <f ca="1">IF($B$366="Лікар загальної практики - сімейний лікар",IF(AG370&lt;=Законод!$C$22,AC370,Законод!$C$22*'01_Доходи'!AC369),IF($B$366="Лікар-педіатр",IF(AG370&lt;=Законод!$C$18,AC370,Законод!$C$18*'01_Доходи'!AC369),IF($B$366="Лікар-терапевт","x",0)))</f>
        <v>0</v>
      </c>
      <c r="AD371" s="208">
        <f ca="1">IF($B$366="Лікар загальної практики - сімейний лікар",IF(AG370&lt;=Законод!$C$22,AD370,Законод!$C$22*'01_Доходи'!AD369),IF($B$366="Лікар-педіатр","x",IF($B$366="Лікар-терапевт",IF(AG370&lt;=Законод!$C$26,AD370,Законод!$C$26*'01_Доходи'!AD369),0)))</f>
        <v>0</v>
      </c>
      <c r="AE371" s="208">
        <f ca="1">IF($B$366="Лікар загальної практики - сімейний лікар",IF(AG370&lt;=Законод!$C$22,AE370,Законод!$C$22*'01_Доходи'!AE369),IF($B$366="Лікар-педіатр","x",IF($B$366="Лікар-терапевт",IF(AG370&lt;=Законод!$C$26,AE370,Законод!$C$26*'01_Доходи'!AE369),0)))</f>
        <v>0</v>
      </c>
      <c r="AF371" s="208">
        <f ca="1">IF($B$366="Лікар загальної практики - сімейний лікар",IF(AG370&lt;=Законод!$C$22,AF370,Законод!$C$22*'01_Доходи'!AF369),IF($B$366="Лікар-педіатр","x",IF($B$366="Лікар-терапевт",IF(AG370&lt;=Законод!$C$26,AF370,Законод!$C$26*'01_Доходи'!AF369),0)))</f>
        <v>0</v>
      </c>
      <c r="AG371" s="209">
        <f ca="1">SUM(AB371:AF371)</f>
        <v>0</v>
      </c>
      <c r="AH371" s="942"/>
      <c r="AI371" s="201"/>
      <c r="AJ371" s="945"/>
      <c r="AK371" s="960"/>
      <c r="AL371" s="960"/>
      <c r="AM371" s="348" t="s">
        <v>451</v>
      </c>
      <c r="AN371" s="210">
        <f ca="1">IF(B366="Лікар загальної практики - сімейний лікар",G371*Законод!$C$11+'01_Доходи'!H371*Законод!$D$11+'01_Доходи'!I371*Законод!$E$11+'01_Доходи'!J371*Законод!$F$11+'01_Доходи'!K371*Законод!$G$11,IF(B366="Лікар-педіатр",G371*Законод!$C$11+'01_Доходи'!H371*Законод!$D$11,IF(B366="Лікар-терапевт",'01_Доходи'!I371*Законод!$E$11+'01_Доходи'!J371*Законод!$F$11+'01_Доходи'!K371*Законод!$G$11,0)))</f>
        <v>0</v>
      </c>
      <c r="AO371" s="210">
        <f ca="1">IF(B366="Лікар загальної практики - сімейний лікар",N371*Законод!$C$11+'01_Доходи'!O371*Законод!$D$11+'01_Доходи'!P371*Законод!$E$11+'01_Доходи'!Q371*Законод!$F$11+'01_Доходи'!R371*Законод!$G$11,IF(B366="Лікар-педіатр",N371*Законод!$C$11+'01_Доходи'!O371*Законод!$D$11,IF(B366="Лікар-терапевт",'01_Доходи'!P371*Законод!$E$11+'01_Доходи'!Q371*Законод!$F$11+'01_Доходи'!R371*Законод!$G$11,0)))</f>
        <v>0</v>
      </c>
      <c r="AP371" s="210">
        <f ca="1">IF(B366="Лікар загальної практики - сімейний лікар",U371*Законод!$C$11+'01_Доходи'!V371*Законод!$D$11+'01_Доходи'!W371*Законод!$E$11+'01_Доходи'!X371*Законод!$F$11+'01_Доходи'!Y371*Законод!$G$11,IF(B366="Лікар-педіатр",U371*Законод!$C$11+'01_Доходи'!V371*Законод!$D$11,IF(B366="Лікар-терапевт",'01_Доходи'!W371*Законод!$E$11+'01_Доходи'!X371*Законод!$F$11+'01_Доходи'!Y371*Законод!$G$11,0)))</f>
        <v>0</v>
      </c>
      <c r="AQ371" s="210">
        <f ca="1">IF(B366="Лікар загальної практики - сімейний лікар",AB371*Законод!$C$11+'01_Доходи'!AC371*Законод!$D$11+'01_Доходи'!AD371*Законод!$E$11+'01_Доходи'!AE371*Законод!$F$11+'01_Доходи'!AF371*Законод!$G$11,IF(B366="Лікар-педіатр",AB371*Законод!$C$11+'01_Доходи'!AC371*Законод!$D$11,IF(B366="Лікар-терапевт",'01_Доходи'!AD371*Законод!$E$11+'01_Доходи'!AE371*Законод!$F$11+'01_Доходи'!AF371*Законод!$G$11,0)))</f>
        <v>0</v>
      </c>
      <c r="AR371" s="211">
        <f t="shared" ref="AR371:AR377" si="68">SUM(AN371:AQ371)</f>
        <v>0</v>
      </c>
    </row>
    <row r="372" spans="1:44" s="50" customFormat="1" ht="31.9" hidden="1" customHeight="1">
      <c r="A372" s="197"/>
      <c r="B372" s="951"/>
      <c r="C372" s="954"/>
      <c r="D372" s="957"/>
      <c r="E372" s="939"/>
      <c r="F372" s="238" t="str">
        <f ca="1">IF(B366="Лікар-педіатр",Законод!$E$17,IF(B366="Лікар загальної практики - сімейний лікар",Законод!$E$21,IF(B366="Лікар-терапевт",Законод!$E$25,"х")))</f>
        <v>х</v>
      </c>
      <c r="G372" s="935" t="s">
        <v>423</v>
      </c>
      <c r="H372" s="936"/>
      <c r="I372" s="936"/>
      <c r="J372" s="936"/>
      <c r="K372" s="937"/>
      <c r="L372" s="196">
        <f ca="1">IF($B$366="Лікар загальної практики - сімейний лікар",IF(L370&lt;Законод!$C$22,0,(IF(AND(L370&gt;=Законод!$E$22,L370&lt;=Законод!$E$23),L370-Законод!$C$22,IF('01_Доходи'!L370&gt;=Законод!$F$22,Законод!$E$24,0)))),IF($B$366="Лікар-педіатр",IF(L370&lt;Законод!$C$18,0,(IF(AND(L370&gt;=Законод!$E$18,L370&lt;=Законод!$E$19),L370-Законод!$C$18,IF('01_Доходи'!L370&gt;=Законод!$F$18,Законод!$E$20,0)))),IF($B$366="Лікар-терапевт",IF(L370&lt;Законод!$C$26,0,(IF(AND(L370&gt;=Законод!$E$26,L370&lt;=Законод!$E$27),L370-Законод!$C$26,IF('01_Доходи'!L370&gt;=Законод!$F$26,Законод!$E$28,0)))),0)))</f>
        <v>0</v>
      </c>
      <c r="M372" s="942"/>
      <c r="N372" s="935" t="s">
        <v>423</v>
      </c>
      <c r="O372" s="936"/>
      <c r="P372" s="936"/>
      <c r="Q372" s="936"/>
      <c r="R372" s="937"/>
      <c r="S372" s="196">
        <f ca="1">IF($B$366="Лікар загальної практики - сімейний лікар",IF(S370&lt;Законод!$C$22,0,(IF(AND(S370&gt;=Законод!$E$22,S370&lt;=Законод!$E$23),S370-Законод!$C$22,IF('01_Доходи'!S370&gt;=Законод!$F$22,Законод!$E$24,0)))),IF($B$366="Лікар-педіатр",IF(S370&lt;Законод!$C$18,0,(IF(AND(S370&gt;=Законод!$E$18,S370&lt;=Законод!$E$19),S370-Законод!$C$18,IF('01_Доходи'!S370&gt;=Законод!$F$18,Законод!$E$20,0)))),IF($B$366="Лікар-терапевт",IF(S370&lt;Законод!$C$26,0,(IF(AND(S370&gt;=Законод!$E$26,S370&lt;=Законод!$E$27),S370-Законод!$C$26,IF('01_Доходи'!S370&gt;=Законод!$F$26,Законод!$E$28,0)))),0)))</f>
        <v>0</v>
      </c>
      <c r="T372" s="942"/>
      <c r="U372" s="935" t="s">
        <v>423</v>
      </c>
      <c r="V372" s="936"/>
      <c r="W372" s="936"/>
      <c r="X372" s="936"/>
      <c r="Y372" s="937"/>
      <c r="Z372" s="196">
        <f ca="1">IF($B$366="Лікар загальної практики - сімейний лікар",IF(Z370&lt;Законод!$C$22,0,(IF(AND(Z370&gt;=Законод!$E$22,Z370&lt;=Законод!$E$23),Z370-Законод!$C$22,IF('01_Доходи'!Z370&gt;=Законод!$F$22,Законод!$E$24,0)))),IF($B$366="Лікар-педіатр",IF(Z370&lt;Законод!$C$18,0,(IF(AND(Z370&gt;=Законод!$E$18,Z370&lt;=Законод!$E$19),Z370-Законод!$C$18,IF('01_Доходи'!Z370&gt;=Законод!$F$18,Законод!$E$20,0)))),IF($B$366="Лікар-терапевт",IF(Z370&lt;Законод!$C$26,0,(IF(AND(Z370&gt;=Законод!$E$26,Z370&lt;=Законод!$E$27),Z370-Законод!$C$26,IF('01_Доходи'!Z370&gt;=Законод!$F$26,Законод!$E$28,0)))),0)))</f>
        <v>0</v>
      </c>
      <c r="AA372" s="942"/>
      <c r="AB372" s="935" t="s">
        <v>423</v>
      </c>
      <c r="AC372" s="936"/>
      <c r="AD372" s="936"/>
      <c r="AE372" s="936"/>
      <c r="AF372" s="937"/>
      <c r="AG372" s="196">
        <f ca="1">IF($B$366="Лікар загальної практики - сімейний лікар",IF(AG370&lt;Законод!$C$22,0,(IF(AND(AG370&gt;=Законод!$E$22,AG370&lt;=Законод!$E$23),AG370-Законод!$C$22,IF('01_Доходи'!AG370&gt;=Законод!$F$22,Законод!$E$24,0)))),IF($B$366="Лікар-педіатр",IF(AG370&lt;Законод!$C$18,0,(IF(AND(AG370&gt;=Законод!$E$18,AG370&lt;=Законод!$E$19),AG370-Законод!$C$18,IF('01_Доходи'!AG370&gt;=Законод!$F$18,Законод!$E$20,0)))),IF($B$366="Лікар-терапевт",IF(AG370&lt;Законод!$C$26,0,(IF(AND(AG370&gt;=Законод!$E$26,AG370&lt;=Законод!$E$27),AG370-Законод!$C$26,IF('01_Доходи'!AG370&gt;=Законод!$F$26,Законод!$E$28,0)))),0)))</f>
        <v>0</v>
      </c>
      <c r="AH372" s="942"/>
      <c r="AI372" s="201"/>
      <c r="AJ372" s="945"/>
      <c r="AK372" s="960"/>
      <c r="AL372" s="960"/>
      <c r="AM372" s="926" t="s">
        <v>452</v>
      </c>
      <c r="AN372" s="210">
        <f ca="1">IF(B366="Лікар загальної практики - сімейний лікар",L372*Законод!$C$9/4*Законод!$E$16,IF(B366="Лікар-педіатр",L372*Законод!$C$9/4*Законод!$E$16,IF(B366="Лікар-терапевт",L372*Законод!$C$9/4*Законод!$E$16,0)))</f>
        <v>0</v>
      </c>
      <c r="AO372" s="210">
        <f ca="1">IF(B366="Лікар загальної практики - сімейний лікар",S372*Законод!$C$9/4*Законод!$E$16,IF(B366="Лікар-педіатр",S372*Законод!$C$9/4*Законод!$E$16,IF(B366="Лікар-терапевт",S372*Законод!$C$9/4*Законод!$E$16,0)))</f>
        <v>0</v>
      </c>
      <c r="AP372" s="210">
        <f ca="1">IF(B366="Лікар загальної практики - сімейний лікар",Z372*Законод!$C$9/4*Законод!$E$16,IF(B366="Лікар-педіатр",Z372*Законод!$C$9/4*Законод!$E$16,IF(B366="Лікар-терапевт",Z372*Законод!$C$9/4*Законод!$E$16,0)))</f>
        <v>0</v>
      </c>
      <c r="AQ372" s="210">
        <f ca="1">IF(B366="Лікар загальної практики - сімейний лікар",AG372*Законод!$C$9/4*Законод!$E$16,IF(B366="Лікар-педіатр",AG372*Законод!$C$9/4*Законод!$E$16,IF(B366="Лікар-терапевт",AG372*Законод!$C$9/4*Законод!$E$16,0)))</f>
        <v>0</v>
      </c>
      <c r="AR372" s="211">
        <f t="shared" si="68"/>
        <v>0</v>
      </c>
    </row>
    <row r="373" spans="1:44" s="50" customFormat="1" ht="31.9" hidden="1" customHeight="1">
      <c r="A373" s="197"/>
      <c r="B373" s="951"/>
      <c r="C373" s="954"/>
      <c r="D373" s="957"/>
      <c r="E373" s="939"/>
      <c r="F373" s="238" t="str">
        <f ca="1">IF(B366="Лікар-педіатр",Законод!$F$17,IF(B366="Лікар загальної практики - сімейний лікар",Законод!$F$21,IF(B366="Лікар-терапевт",Законод!$F$25,"х")))</f>
        <v>х</v>
      </c>
      <c r="G373" s="935" t="s">
        <v>423</v>
      </c>
      <c r="H373" s="936"/>
      <c r="I373" s="936"/>
      <c r="J373" s="936"/>
      <c r="K373" s="937"/>
      <c r="L373" s="196">
        <f ca="1">IF($B$366="Лікар загальної практики - сімейний лікар",IF(L370&lt;Законод!$C$22,0,(IF(AND(L370&gt;=Законод!$F$22,L370&lt;=Законод!$F$23),L370-Законод!$E$23,IF('01_Доходи'!L370&gt;=Законод!$G$22,Законод!$F$24,0)))),IF($B$366="Лікар-педіатр",IF(L370&lt;Законод!$C$18,0,(IF(AND(L370&gt;=Законод!$F$18,L370&lt;=Законод!$F$19),L370-Законод!$E$19,IF('01_Доходи'!L370&gt;=Законод!$G$18,Законод!$F$20,0)))),IF($B$366="Лікар-терапевт",IF(L370&lt;Законод!$C$26,0,(IF(AND(L370&gt;=Законод!$F$26,L370&lt;=Законод!$F$27),L370-Законод!$E$27,IF('01_Доходи'!L370&gt;=Законод!$G$26,Законод!$F$28,0)))),0)))</f>
        <v>0</v>
      </c>
      <c r="M373" s="942"/>
      <c r="N373" s="935" t="s">
        <v>423</v>
      </c>
      <c r="O373" s="936"/>
      <c r="P373" s="936"/>
      <c r="Q373" s="936"/>
      <c r="R373" s="937"/>
      <c r="S373" s="196">
        <f ca="1">IF($B$366="Лікар загальної практики - сімейний лікар",IF(S370&lt;Законод!$C$22,0,(IF(AND(S370&gt;=Законод!$F$22,S370&lt;=Законод!$F$23),S370-Законод!$E$23,IF('01_Доходи'!S370&gt;=Законод!$G$22,Законод!$F$24,0)))),IF($B$366="Лікар-педіатр",IF(S370&lt;Законод!$C$18,0,(IF(AND(S370&gt;=Законод!$F$18,S370&lt;=Законод!$F$19),S370-Законод!$E$19,IF('01_Доходи'!S370&gt;=Законод!$G$18,Законод!$F$20,0)))),IF($B$366="Лікар-терапевт",IF(S370&lt;Законод!$C$26,0,(IF(AND(S370&gt;=Законод!$F$26,S370&lt;=Законод!$F$27),S370-Законод!$E$27,IF('01_Доходи'!S370&gt;=Законод!$G$26,Законод!$F$28,0)))),0)))</f>
        <v>0</v>
      </c>
      <c r="T373" s="942"/>
      <c r="U373" s="935" t="s">
        <v>423</v>
      </c>
      <c r="V373" s="936"/>
      <c r="W373" s="936"/>
      <c r="X373" s="936"/>
      <c r="Y373" s="937"/>
      <c r="Z373" s="196">
        <f ca="1">IF($B$366="Лікар загальної практики - сімейний лікар",IF(Z370&lt;Законод!$C$22,0,(IF(AND(Z370&gt;=Законод!$F$22,Z370&lt;=Законод!$F$23),Z370-Законод!$E$23,IF('01_Доходи'!Z370&gt;=Законод!$G$22,Законод!$F$24,0)))),IF($B$366="Лікар-педіатр",IF(Z370&lt;Законод!$C$18,0,(IF(AND(Z370&gt;=Законод!$F$18,Z370&lt;=Законод!$F$19),Z370-Законод!$E$19,IF('01_Доходи'!Z370&gt;=Законод!$G$18,Законод!$F$20,0)))),IF($B$366="Лікар-терапевт",IF(Z370&lt;Законод!$C$26,0,(IF(AND(Z370&gt;=Законод!$F$26,Z370&lt;=Законод!$F$27),Z370-Законод!$E$27,IF('01_Доходи'!Z370&gt;=Законод!$G$26,Законод!$F$28,0)))),0)))</f>
        <v>0</v>
      </c>
      <c r="AA373" s="942"/>
      <c r="AB373" s="935" t="s">
        <v>423</v>
      </c>
      <c r="AC373" s="936"/>
      <c r="AD373" s="936"/>
      <c r="AE373" s="936"/>
      <c r="AF373" s="937"/>
      <c r="AG373" s="196">
        <f ca="1">IF($B$366="Лікар загальної практики - сімейний лікар",IF(AG370&lt;Законод!$C$22,0,(IF(AND(AG370&gt;=Законод!$F$22,AG370&lt;=Законод!$F$23),AG370-Законод!$E$23,IF('01_Доходи'!AG370&gt;=Законод!$G$22,Законод!$F$24,0)))),IF($B$366="Лікар-педіатр",IF(AG370&lt;Законод!$C$18,0,(IF(AND(AG370&gt;=Законод!$F$18,AG370&lt;=Законод!$F$19),AG370-Законод!$E$19,IF('01_Доходи'!AG370&gt;=Законод!$G$18,Законод!$F$20,0)))),IF($B$366="Лікар-терапевт",IF(AG370&lt;Законод!$C$26,0,(IF(AND(AG370&gt;=Законод!$F$26,AG370&lt;=Законод!$F$27),AG370-Законод!$E$27,IF('01_Доходи'!AG370&gt;=Законод!$G$26,Законод!$F$28,0)))),0)))</f>
        <v>0</v>
      </c>
      <c r="AH373" s="942"/>
      <c r="AI373" s="201"/>
      <c r="AJ373" s="945"/>
      <c r="AK373" s="960"/>
      <c r="AL373" s="960"/>
      <c r="AM373" s="927"/>
      <c r="AN373" s="210">
        <f ca="1">IF(B366="Лікар загальної практики - сімейний лікар",L373*Законод!$C$9/4*Законод!$F$16,IF(B366="Лікар-педіатр",L373*Законод!$C$9/4*Законод!$F$16,IF(B366="Лікар-терапевт",L373*Законод!$C$9/4*Законод!$F$16,0)))</f>
        <v>0</v>
      </c>
      <c r="AO373" s="210">
        <f ca="1">IF(B366="Лікар загальної практики - сімейний лікар",S373*Законод!$C$9/4*Законод!$F$16,IF(B366="Лікар-педіатр",S373*Законод!$C$9/4*Законод!$F$16,IF(B366="Лікар-терапевт",S373*Законод!$C$9/4*Законод!$F$16,0)))</f>
        <v>0</v>
      </c>
      <c r="AP373" s="210">
        <f ca="1">IF(B366="Лікар загальної практики - сімейний лікар",Z373*Законод!$C$9/4*Законод!$F$16,IF(B366="Лікар-педіатр",Z373*Законод!$C$9/4*Законод!$F$16,IF(B366="Лікар-терапевт",Z373*Законод!$C$9/4*Законод!$F$16,0)))</f>
        <v>0</v>
      </c>
      <c r="AQ373" s="210">
        <f ca="1">IF(B366="Лікар загальної практики - сімейний лікар",AG373*Законод!$C$9/4*Законод!$F$16,IF(B366="Лікар-педіатр",AG373*Законод!$C$9/4*Законод!$F$16,IF(B366="Лікар-терапевт",AG373*Законод!$C$9/4*Законод!$F$16,0)))</f>
        <v>0</v>
      </c>
      <c r="AR373" s="211">
        <f t="shared" si="68"/>
        <v>0</v>
      </c>
    </row>
    <row r="374" spans="1:44" s="50" customFormat="1" ht="31.9" hidden="1" customHeight="1">
      <c r="A374" s="197"/>
      <c r="B374" s="951"/>
      <c r="C374" s="954"/>
      <c r="D374" s="957"/>
      <c r="E374" s="939"/>
      <c r="F374" s="238" t="str">
        <f ca="1">IF(B366="Лікар-педіатр",Законод!$G$17,IF(B366="Лікар загальної практики - сімейний лікар",Законод!$G$21,IF(B366="Лікар-терапевт",Законод!$G$25,"х")))</f>
        <v>х</v>
      </c>
      <c r="G374" s="935" t="s">
        <v>423</v>
      </c>
      <c r="H374" s="936"/>
      <c r="I374" s="936"/>
      <c r="J374" s="936"/>
      <c r="K374" s="937"/>
      <c r="L374" s="196">
        <f ca="1">IF($B$366="Лікар загальної практики - сімейний лікар",IF(L370&lt;Законод!$C$22,0,(IF(AND(L370&gt;=Законод!$G$22,L370&lt;=Законод!$G$23),L370-Законод!$F$23,IF('01_Доходи'!L370&gt;=Законод!$H$22,Законод!$G$24,0)))),IF($B$366="Лікар-педіатр",IF(L370&lt;Законод!$C$18,0,(IF(AND(L370&gt;=Законод!$G$18,L370&lt;=Законод!$G$19),L370-Законод!$F$19,IF('01_Доходи'!L370&gt;=Законод!$H$18,Законод!$G$20,0)))),IF($B$366="Лікар-терапевт",IF(L370&lt;Законод!$C$26,0,(IF(AND(L370&gt;=Законод!$G$26,L370&lt;=Законод!$G$27),L370-Законод!$F$27,IF('01_Доходи'!L370&gt;=Законод!$H$26,Законод!$G$28,0)))),0)))</f>
        <v>0</v>
      </c>
      <c r="M374" s="942"/>
      <c r="N374" s="935" t="s">
        <v>423</v>
      </c>
      <c r="O374" s="936"/>
      <c r="P374" s="936"/>
      <c r="Q374" s="936"/>
      <c r="R374" s="937"/>
      <c r="S374" s="196">
        <f ca="1">IF($B$366="Лікар загальної практики - сімейний лікар",IF(S370&lt;Законод!$C$22,0,(IF(AND(S370&gt;=Законод!$G$22,S370&lt;=Законод!$G$23),S370-Законод!$F$23,IF('01_Доходи'!S370&gt;=Законод!$H$22,Законод!$G$24,0)))),IF($B$366="Лікар-педіатр",IF(S370&lt;Законод!$C$18,0,(IF(AND(S370&gt;=Законод!$G$18,S370&lt;=Законод!$G$19),S370-Законод!$F$19,IF('01_Доходи'!S370&gt;=Законод!$H$18,Законод!$G$20,0)))),IF($B$366="Лікар-терапевт",IF(S370&lt;Законод!$C$26,0,(IF(AND(S370&gt;=Законод!$G$26,S370&lt;=Законод!$G$27),S370-Законод!$F$27,IF('01_Доходи'!S370&gt;=Законод!$H$26,Законод!$G$28,0)))),0)))</f>
        <v>0</v>
      </c>
      <c r="T374" s="942"/>
      <c r="U374" s="935" t="s">
        <v>423</v>
      </c>
      <c r="V374" s="936"/>
      <c r="W374" s="936"/>
      <c r="X374" s="936"/>
      <c r="Y374" s="937"/>
      <c r="Z374" s="196">
        <f ca="1">IF($B$366="Лікар загальної практики - сімейний лікар",IF(Z370&lt;Законод!$C$22,0,(IF(AND(Z370&gt;=Законод!$G$22,Z370&lt;=Законод!$G$23),Z370-Законод!$F$23,IF('01_Доходи'!Z370&gt;=Законод!$H$22,Законод!$G$24,0)))),IF($B$366="Лікар-педіатр",IF(Z370&lt;Законод!$C$18,0,(IF(AND(Z370&gt;=Законод!$G$18,Z370&lt;=Законод!$G$19),Z370-Законод!$F$19,IF('01_Доходи'!Z370&gt;=Законод!$H$18,Законод!$G$20,0)))),IF($B$366="Лікар-терапевт",IF(Z370&lt;Законод!$C$26,0,(IF(AND(Z370&gt;=Законод!$G$26,Z370&lt;=Законод!$G$27),Z370-Законод!$F$27,IF('01_Доходи'!Z370&gt;=Законод!$H$26,Законод!$G$28,0)))),0)))</f>
        <v>0</v>
      </c>
      <c r="AA374" s="942"/>
      <c r="AB374" s="935" t="s">
        <v>423</v>
      </c>
      <c r="AC374" s="936"/>
      <c r="AD374" s="936"/>
      <c r="AE374" s="936"/>
      <c r="AF374" s="937"/>
      <c r="AG374" s="196">
        <f ca="1">IF($B$366="Лікар загальної практики - сімейний лікар",IF(AG370&lt;Законод!$C$22,0,(IF(AND(AG370&gt;=Законод!$G$22,AG370&lt;=Законод!$G$23),AG370-Законод!$F$23,IF('01_Доходи'!AG370&gt;=Законод!$H$22,Законод!$G$24,0)))),IF($B$366="Лікар-педіатр",IF(AG370&lt;Законод!$C$18,0,(IF(AND(AG370&gt;=Законод!$G$18,AG370&lt;=Законод!$G$19),AG370-Законод!$F$19,IF('01_Доходи'!AG370&gt;=Законод!$H$18,Законод!$G$20,0)))),IF($B$366="Лікар-терапевт",IF(AG370&lt;Законод!$C$26,0,(IF(AND(AG370&gt;=Законод!$G$26,AG370&lt;=Законод!$G$27),AG370-Законод!$F$27,IF('01_Доходи'!AG370&gt;=Законод!$H$26,Законод!$G$28,0)))),0)))</f>
        <v>0</v>
      </c>
      <c r="AH374" s="942"/>
      <c r="AI374" s="201"/>
      <c r="AJ374" s="945"/>
      <c r="AK374" s="960"/>
      <c r="AL374" s="960"/>
      <c r="AM374" s="927"/>
      <c r="AN374" s="210">
        <f ca="1">IF(B366="Лікар загальної практики - сімейний лікар",L374*Законод!$C$9/4*Законод!$G$16,IF(B366="Лікар-педіатр",L374*Законод!$C$9/4*Законод!$G$16,IF(B366="Лікар-терапевт",L374*Законод!$C$9/4*Законод!$G$16,0)))</f>
        <v>0</v>
      </c>
      <c r="AO374" s="210">
        <f ca="1">IF(B366="Лікар загальної практики - сімейний лікар",S374*Законод!$C$9/4*Законод!$G$16,IF(B366="Лікар-педіатр",S374*Законод!$C$9/4*Законод!$G$16,IF(B366="Лікар-терапевт",S374*Законод!$C$9/4*Законод!$G$16,0)))</f>
        <v>0</v>
      </c>
      <c r="AP374" s="210">
        <f ca="1">IF(B366="Лікар загальної практики - сімейний лікар",Z374*Законод!$C$9/4*Законод!$G$16,IF(B366="Лікар-педіатр",Z374*Законод!$C$9/4*Законод!$G$16,IF(B366="Лікар-терапевт",Z374*Законод!$C$9/4*Законод!$G$16,0)))</f>
        <v>0</v>
      </c>
      <c r="AQ374" s="210">
        <f ca="1">IF(B366="Лікар загальної практики - сімейний лікар",AG374*Законод!$C$9/4*Законод!$G$16,IF(B366="Лікар-педіатр",AG374*Законод!$C$9/4*Законод!$G$16,IF(B366="Лікар-терапевт",AG374*Законод!$C$9/4*Законод!$G$16,0)))</f>
        <v>0</v>
      </c>
      <c r="AR374" s="211">
        <f t="shared" si="68"/>
        <v>0</v>
      </c>
    </row>
    <row r="375" spans="1:44" s="50" customFormat="1" ht="31.9" hidden="1" customHeight="1">
      <c r="A375" s="197"/>
      <c r="B375" s="951"/>
      <c r="C375" s="954"/>
      <c r="D375" s="957"/>
      <c r="E375" s="939"/>
      <c r="F375" s="238" t="str">
        <f ca="1">IF(B366="Лікар-педіатр",Законод!$H$17,IF(B366="Лікар загальної практики - сімейний лікар",Законод!$H$21,IF(B366="Лікар-терапевт",Законод!$H$25,"х")))</f>
        <v>х</v>
      </c>
      <c r="G375" s="935" t="s">
        <v>423</v>
      </c>
      <c r="H375" s="936"/>
      <c r="I375" s="936"/>
      <c r="J375" s="936"/>
      <c r="K375" s="937"/>
      <c r="L375" s="196">
        <f ca="1">IF($B$366="Лікар загальної практики - сімейний лікар",IF(L370&lt;Законод!$C$22,0,(IF(AND(L370&gt;=Законод!$H$22,L370&lt;=Законод!$H$23),L370-Законод!$G$23,IF('01_Доходи'!L370&gt;=Законод!$I$22,Законод!$H$24,0)))),IF($B$366="Лікар-педіатр",IF(L370&lt;Законод!$C$18,0,(IF(AND(L370&gt;=Законод!$H$18,L370&lt;=Законод!$H$19),L370-Законод!$G$19,IF('01_Доходи'!L370&gt;=Законод!$I$18,Законод!$H$20,0)))),IF($B$366="Лікар-терапевт",IF(L370&lt;Законод!$C$26,0,(IF(AND(L370&gt;=Законод!$H$26,L370&lt;=Законод!$H$27),L370-Законод!$G$27,IF(L370&gt;=Законод!$I$26,Законод!$H$28,0)))),0)))</f>
        <v>0</v>
      </c>
      <c r="M375" s="942"/>
      <c r="N375" s="935" t="s">
        <v>423</v>
      </c>
      <c r="O375" s="936"/>
      <c r="P375" s="936"/>
      <c r="Q375" s="936"/>
      <c r="R375" s="937"/>
      <c r="S375" s="196">
        <f ca="1">IF($B$366="Лікар загальної практики - сімейний лікар",IF(S370&lt;Законод!$C$22,0,(IF(AND(S370&gt;=Законод!$H$22,S370&lt;=Законод!$H$23),S370-Законод!$G$23,IF('01_Доходи'!S370&gt;=Законод!$I$22,Законод!$H$24,0)))),IF($B$366="Лікар-педіатр",IF(S370&lt;Законод!$C$18,0,(IF(AND(S370&gt;=Законод!$H$18,S370&lt;=Законод!$H$19),S370-Законод!$G$19,IF('01_Доходи'!S370&gt;=Законод!$I$18,Законод!$H$20,0)))),IF($B$366="Лікар-терапевт",IF(S370&lt;Законод!$C$26,0,(IF(AND(S370&gt;=Законод!$H$26,S370&lt;=Законод!$H$27),S370-Законод!$G$27,IF(S370&gt;=Законод!$I$26,Законод!$H$28,0)))),0)))</f>
        <v>0</v>
      </c>
      <c r="T375" s="942"/>
      <c r="U375" s="935" t="s">
        <v>423</v>
      </c>
      <c r="V375" s="936"/>
      <c r="W375" s="936"/>
      <c r="X375" s="936"/>
      <c r="Y375" s="937"/>
      <c r="Z375" s="196">
        <f ca="1">IF($B$366="Лікар загальної практики - сімейний лікар",IF(Z370&lt;Законод!$C$22,0,(IF(AND(Z370&gt;=Законод!$H$22,Z370&lt;=Законод!$H$23),Z370-Законод!$G$23,IF('01_Доходи'!Z370&gt;=Законод!$I$22,Законод!$H$24,0)))),IF($B$366="Лікар-педіатр",IF(Z370&lt;Законод!$C$18,0,(IF(AND(Z370&gt;=Законод!$H$18,Z370&lt;=Законод!$H$19),Z370-Законод!$G$19,IF('01_Доходи'!Z370&gt;=Законод!$I$18,Законод!$H$20,0)))),IF($B$366="Лікар-терапевт",IF(Z370&lt;Законод!$C$26,0,(IF(AND(Z370&gt;=Законод!$H$26,Z370&lt;=Законод!$H$27),Z370-Законод!$G$27,IF(Z370&gt;=Законод!$I$26,Законод!$H$28,0)))),0)))</f>
        <v>0</v>
      </c>
      <c r="AA375" s="942"/>
      <c r="AB375" s="935" t="s">
        <v>423</v>
      </c>
      <c r="AC375" s="936"/>
      <c r="AD375" s="936"/>
      <c r="AE375" s="936"/>
      <c r="AF375" s="937"/>
      <c r="AG375" s="196">
        <f ca="1">IF($B$366="Лікар загальної практики - сімейний лікар",IF(AG370&lt;Законод!$C$22,0,(IF(AND(AG370&gt;=Законод!$H$22,AG370&lt;=Законод!$H$23),AG370-Законод!$G$23,IF('01_Доходи'!AG370&gt;=Законод!$I$22,Законод!$H$24,0)))),IF($B$366="Лікар-педіатр",IF(AG370&lt;Законод!$C$18,0,(IF(AND(AG370&gt;=Законод!$H$18,AG370&lt;=Законод!$H$19),AG370-Законод!$G$19,IF('01_Доходи'!AG370&gt;=Законод!$I$18,Законод!$H$20,0)))),IF($B$366="Лікар-терапевт",IF(AG370&lt;Законод!$C$26,0,(IF(AND(AG370&gt;=Законод!$H$26,AG370&lt;=Законод!$H$27),AG370-Законод!$G$27,IF(AG370&gt;=Законод!$I$26,Законод!$H$28,0)))),0)))</f>
        <v>0</v>
      </c>
      <c r="AH375" s="942"/>
      <c r="AI375" s="201"/>
      <c r="AJ375" s="945"/>
      <c r="AK375" s="960"/>
      <c r="AL375" s="960"/>
      <c r="AM375" s="927"/>
      <c r="AN375" s="210">
        <f ca="1">IF(B366="Лікар загальної практики - сімейний лікар",L375*Законод!$C$9/4*Законод!$H$16,IF(B366="Лікар-педіатр",L375*Законод!$C$9/4*Законод!$H$16,IF(B366="Лікар-терапевт",L375*Законод!$C$9/4*Законод!$H$16,0)))</f>
        <v>0</v>
      </c>
      <c r="AO375" s="210">
        <f ca="1">IF(B366="Лікар загальної практики - сімейний лікар",S375*Законод!$C$9/4*Законод!$H$16,IF(B366="Лікар-педіатр",S375*Законод!$C$9/4*Законод!$H$16,IF(B366="Лікар-терапевт",S375*Законод!$C$9/4*Законод!$H$16,0)))</f>
        <v>0</v>
      </c>
      <c r="AP375" s="210">
        <f ca="1">IF(B366="Лікар загальної практики - сімейний лікар",Z375*Законод!$C$9/4*Законод!$H$16,IF(B366="Лікар-педіатр",Z375*Законод!$C$9/4*Законод!$H$16,IF(B366="Лікар-терапевт",Z375*Законод!$C$9/4*Законод!$H$16,0)))</f>
        <v>0</v>
      </c>
      <c r="AQ375" s="210">
        <f ca="1">IF(B366="Лікар загальної практики - сімейний лікар",AG375*Законод!$C$9/4*Законод!$H$16,IF(B366="Лікар-педіатр",AG375*Законод!$C$9/4*Законод!$H$16,IF(B366="Лікар-терапевт",AG375*Законод!$C$9/4*Законод!$H$16,0)))</f>
        <v>0</v>
      </c>
      <c r="AR375" s="211">
        <f t="shared" si="68"/>
        <v>0</v>
      </c>
    </row>
    <row r="376" spans="1:44" s="50" customFormat="1" ht="31.9" hidden="1" customHeight="1">
      <c r="A376" s="197"/>
      <c r="B376" s="951"/>
      <c r="C376" s="954"/>
      <c r="D376" s="957"/>
      <c r="E376" s="939"/>
      <c r="F376" s="238" t="str">
        <f ca="1">IF(B366="Лікар-педіатр",Законод!$I$17,IF(B366="Лікар загальної практики - сімейний лікар",Законод!$I$21,IF(B366="Лікар-терапевт",Законод!$I$25,"х")))</f>
        <v>х</v>
      </c>
      <c r="G376" s="935" t="s">
        <v>423</v>
      </c>
      <c r="H376" s="936"/>
      <c r="I376" s="936"/>
      <c r="J376" s="936"/>
      <c r="K376" s="937"/>
      <c r="L376" s="196">
        <f ca="1">IF($B$366="Лікар загальної практики - сімейний лікар",IF(L370&lt;Законод!$C$22,0,(IF(AND(L370&gt;=Законод!$I$22,L370&lt;=Законод!$I$23),L370-Законод!$H$23,IF('01_Доходи'!L370&gt;=Законод!$I$22,Законод!$I$24,0)))),IF($B$366="Лікар-педіатр",IF(L370&lt;Законод!$C$18,0,(IF(AND(L370&gt;=Законод!$I$18,L370&lt;=Законод!$I$19),L370-Законод!$H$19,IF('01_Доходи'!L370&gt;=Законод!$I$18,Законод!$H$20,0)))),IF($B$366="Лікар-терапевт",IF(L370&lt;Законод!$C$26,0,(IF(AND(L370&gt;=Законод!$I$26,L370&lt;=Законод!$I$27),L370-Законод!$H$27,IF('01_Доходи'!L370&gt;=Законод!$I$26,Законод!$H$28,0)))),0)))</f>
        <v>0</v>
      </c>
      <c r="M376" s="942"/>
      <c r="N376" s="935" t="s">
        <v>423</v>
      </c>
      <c r="O376" s="936"/>
      <c r="P376" s="936"/>
      <c r="Q376" s="936"/>
      <c r="R376" s="937"/>
      <c r="S376" s="196">
        <f ca="1">IF($B$366="Лікар загальної практики - сімейний лікар",IF(S370&lt;Законод!$C$22,0,(IF(AND(S370&gt;=Законод!$I$22,S370&lt;=Законод!$I$23),S370-Законод!$H$23,IF('01_Доходи'!S370&gt;=Законод!$I$22,Законод!$I$24,0)))),IF($B$366="Лікар-педіатр",IF(S370&lt;Законод!$C$18,0,(IF(AND(S370&gt;=Законод!$I$18,S370&lt;=Законод!$I$19),S370-Законод!$H$19,IF('01_Доходи'!S370&gt;=Законод!$I$18,Законод!$H$20,0)))),IF($B$366="Лікар-терапевт",IF(S370&lt;Законод!$C$26,0,(IF(AND(S370&gt;=Законод!$I$26,S370&lt;=Законод!$I$27),S370-Законод!$H$27,IF('01_Доходи'!S370&gt;=Законод!$I$26,Законод!$H$28,0)))),0)))</f>
        <v>0</v>
      </c>
      <c r="T376" s="942"/>
      <c r="U376" s="935" t="s">
        <v>423</v>
      </c>
      <c r="V376" s="936"/>
      <c r="W376" s="936"/>
      <c r="X376" s="936"/>
      <c r="Y376" s="937"/>
      <c r="Z376" s="196">
        <f ca="1">IF($B$366="Лікар загальної практики - сімейний лікар",IF(Z370&lt;Законод!$C$22,0,(IF(AND(Z370&gt;=Законод!$I$22,Z370&lt;=Законод!$I$23),Z370-Законод!$H$23,IF('01_Доходи'!Z370&gt;=Законод!$I$22,Законод!$I$24,0)))),IF($B$366="Лікар-педіатр",IF(Z370&lt;Законод!$C$18,0,(IF(AND(Z370&gt;=Законод!$I$18,Z370&lt;=Законод!$I$19),Z370-Законод!$H$19,IF('01_Доходи'!Z370&gt;=Законод!$I$18,Законод!$H$20,0)))),IF($B$366="Лікар-терапевт",IF(Z370&lt;Законод!$C$26,0,(IF(AND(Z370&gt;=Законод!$I$26,Z370&lt;=Законод!$I$27),Z370-Законод!$H$27,IF('01_Доходи'!Z370&gt;=Законод!$I$26,Законод!$H$28,0)))),0)))</f>
        <v>0</v>
      </c>
      <c r="AA376" s="942"/>
      <c r="AB376" s="935" t="s">
        <v>423</v>
      </c>
      <c r="AC376" s="936"/>
      <c r="AD376" s="936"/>
      <c r="AE376" s="936"/>
      <c r="AF376" s="937"/>
      <c r="AG376" s="196">
        <f ca="1">IF($B$366="Лікар загальної практики - сімейний лікар",IF(AG370&lt;Законод!$C$22,0,(IF(AND(AG370&gt;=Законод!$I$22,AG370&lt;=Законод!$I$23),AG370-Законод!$H$23,IF('01_Доходи'!AG370&gt;=Законод!$I$22,Законод!$I$24,0)))),IF($B$366="Лікар-педіатр",IF(AG370&lt;Законод!$C$18,0,(IF(AND(AG370&gt;=Законод!$I$18,AG370&lt;=Законод!$I$19),AG370-Законод!$H$19,IF('01_Доходи'!AG370&gt;=Законод!$I$18,Законод!$H$20,0)))),IF($B$366="Лікар-терапевт",IF(AG370&lt;Законод!$C$26,0,(IF(AND(AG370&gt;=Законод!$I$26,AG370&lt;=Законод!$I$27),AG370-Законод!$H$27,IF('01_Доходи'!AG370&gt;=Законод!$I$26,Законод!$H$28,0)))),0)))</f>
        <v>0</v>
      </c>
      <c r="AH376" s="942"/>
      <c r="AI376" s="201"/>
      <c r="AJ376" s="945"/>
      <c r="AK376" s="960"/>
      <c r="AL376" s="960"/>
      <c r="AM376" s="927"/>
      <c r="AN376" s="210">
        <f ca="1">IF(B366="Лікар загальної практики - сімейний лікар",L376*Законод!$C$9/4*Законод!$I$16,IF(B366="Лікар-педіатр",L376*Законод!$C$9/4*Законод!$I$16,IF(B366="Лікар-терапевт",L376*Законод!$C$9/4*Законод!$I$16,0)))</f>
        <v>0</v>
      </c>
      <c r="AO376" s="210">
        <f ca="1">IF(B366="Лікар загальної практики - сімейний лікар",S376*Законод!$C$9/4*Законод!$I$16,IF(B366="Лікар-педіатр",S376*Законод!$C$9/4*Законод!$I$16,IF(B366="Лікар-терапевт",S376*Законод!$C$9/4*Законод!$I$16,0)))</f>
        <v>0</v>
      </c>
      <c r="AP376" s="210">
        <f ca="1">IF(B366="Лікар загальної практики - сімейний лікар",Z376*Законод!$C$9/4*Законод!$I$16,IF(B366="Лікар-педіатр",Z376*Законод!$C$9/4*Законод!$I$16,IF(B366="Лікар-терапевт",Z376*Законод!$C$9/4*Законод!$I$16,0)))</f>
        <v>0</v>
      </c>
      <c r="AQ376" s="210">
        <f ca="1">IF(B366="Лікар загальної практики - сімейний лікар",AG376*Законод!$C$9/4*Законод!$I$16,IF(B366="Лікар-педіатр",AG376*Законод!$C$9/4*Законод!$I$16,IF(B366="Лікар-терапевт",AG376*Законод!$C$9/4*Законод!$I$16,0)))</f>
        <v>0</v>
      </c>
      <c r="AR376" s="211">
        <f t="shared" si="68"/>
        <v>0</v>
      </c>
    </row>
    <row r="377" spans="1:44" s="218" customFormat="1" ht="31.9" hidden="1" customHeight="1" thickBot="1">
      <c r="A377" s="213"/>
      <c r="B377" s="952"/>
      <c r="C377" s="955"/>
      <c r="D377" s="958"/>
      <c r="E377" s="940"/>
      <c r="F377" s="239" t="str">
        <f ca="1">IF(B366="Лікар-педіатр",Законод!$J$17,IF(B366="Лікар загальної практики - сімейний лікар",Законод!$J$21,IF(B366="Лікар-терапевт",Законод!$J$25,"х")))</f>
        <v>х</v>
      </c>
      <c r="G377" s="932" t="s">
        <v>423</v>
      </c>
      <c r="H377" s="933"/>
      <c r="I377" s="933"/>
      <c r="J377" s="933"/>
      <c r="K377" s="934"/>
      <c r="L377" s="196">
        <f ca="1">IF($B$366="Лікар загальної практики - сімейний лікар",IF(L370&gt;=Законод!$J$22,'01_Доходи'!L370-('01_Доходи'!L371+'01_Доходи'!L372+'01_Доходи'!L373+'01_Доходи'!L374+'01_Доходи'!L375+'01_Доходи'!L376),0),IF($B$366="Лікар-педіатр",IF(L370&gt;=Законод!$J$18,'01_Доходи'!L370-('01_Доходи'!L371+'01_Доходи'!L372+'01_Доходи'!L373+'01_Доходи'!L374+'01_Доходи'!L375+'01_Доходи'!L376),0),IF($B$366="Лікар-терапевт",IF('01_Доходи'!L370&gt;=Законод!$J$26,L370-Законод!$I$27,0),0)))</f>
        <v>0</v>
      </c>
      <c r="M377" s="943"/>
      <c r="N377" s="932" t="s">
        <v>423</v>
      </c>
      <c r="O377" s="933"/>
      <c r="P377" s="933"/>
      <c r="Q377" s="933"/>
      <c r="R377" s="934"/>
      <c r="S377" s="196">
        <f ca="1">IF($B$366="Лікар загальної практики - сімейний лікар",IF(S370&gt;=Законод!$J$22,'01_Доходи'!S370-('01_Доходи'!S371+'01_Доходи'!S372+'01_Доходи'!S373+'01_Доходи'!S374+'01_Доходи'!S375+'01_Доходи'!S376),0),IF($B$366="Лікар-педіатр",IF(S370&gt;=Законод!$J$18,'01_Доходи'!S370-('01_Доходи'!S371+'01_Доходи'!S372+'01_Доходи'!S373+'01_Доходи'!S374+'01_Доходи'!S375+'01_Доходи'!S376),0),IF($B$366="Лікар-терапевт",IF('01_Доходи'!S370&gt;=Законод!$J$26,S370-Законод!$I$27,0),0)))</f>
        <v>0</v>
      </c>
      <c r="T377" s="943"/>
      <c r="U377" s="932" t="s">
        <v>423</v>
      </c>
      <c r="V377" s="933"/>
      <c r="W377" s="933"/>
      <c r="X377" s="933"/>
      <c r="Y377" s="934"/>
      <c r="Z377" s="196">
        <f ca="1">IF($B$366="Лікар загальної практики - сімейний лікар",IF(Z370&gt;=Законод!$J$22,'01_Доходи'!Z370-('01_Доходи'!Z371+'01_Доходи'!Z372+'01_Доходи'!Z373+'01_Доходи'!Z374+'01_Доходи'!Z375+'01_Доходи'!Z376),0),IF($B$366="Лікар-педіатр",IF(Z370&gt;=Законод!$J$18,'01_Доходи'!Z370-('01_Доходи'!Z371+'01_Доходи'!Z372+'01_Доходи'!Z373+'01_Доходи'!Z374+'01_Доходи'!Z375+'01_Доходи'!Z376),0),IF($B$366="Лікар-терапевт",IF('01_Доходи'!Z370&gt;=Законод!$J$26,Z370-Законод!$I$27,0),0)))</f>
        <v>0</v>
      </c>
      <c r="AA377" s="943"/>
      <c r="AB377" s="932" t="s">
        <v>423</v>
      </c>
      <c r="AC377" s="933"/>
      <c r="AD377" s="933"/>
      <c r="AE377" s="933"/>
      <c r="AF377" s="934"/>
      <c r="AG377" s="196">
        <f ca="1">IF($B$366="Лікар загальної практики - сімейний лікар",IF(AG370&gt;=Законод!$J$22,'01_Доходи'!AG370-('01_Доходи'!AG371+'01_Доходи'!AG372+'01_Доходи'!AG373+'01_Доходи'!AG374+'01_Доходи'!AG375+'01_Доходи'!AG376),0),IF($B$366="Лікар-педіатр",IF(AG370&gt;=Законод!$J$18,'01_Доходи'!AG370-('01_Доходи'!AG371+'01_Доходи'!AG372+'01_Доходи'!AG373+'01_Доходи'!AG374+'01_Доходи'!AG375+'01_Доходи'!AG376),0),IF($B$366="Лікар-терапевт",IF('01_Доходи'!AG370&gt;=Законод!$J$26,AG370-Законод!$I$27,0),0)))</f>
        <v>0</v>
      </c>
      <c r="AH377" s="943"/>
      <c r="AI377" s="215"/>
      <c r="AJ377" s="946"/>
      <c r="AK377" s="961"/>
      <c r="AL377" s="961"/>
      <c r="AM377" s="928"/>
      <c r="AN377" s="216">
        <f ca="1">IF(B366="Лікар загальної практики - сімейний лікар",L377*Законод!$C$9/4*Законод!$J$16,IF(B366="Лікар-педіатр",L377*Законод!$C$9/4*Законод!$J$16,IF(B366="Лікар-терапевт",L377*Законод!$C$9/4*Законод!$J$16,0)))</f>
        <v>0</v>
      </c>
      <c r="AO377" s="216">
        <f ca="1">IF(B366="Лікар загальної практики - сімейний лікар",S377*Законод!$C$9/4*Законод!$J$16,IF(B366="Лікар-педіатр",S377*Законод!$C$9/4*Законод!$J$16,IF(B366="Лікар-терапевт",S377*Законод!$C$9/4*Законод!$J$16,0)))</f>
        <v>0</v>
      </c>
      <c r="AP377" s="216">
        <f ca="1">IF(B366="Лікар загальної практики - сімейний лікар",S377*Законод!$C$9/4*Законод!$J$16,IF(B366="Лікар-педіатр",S377*Законод!$C$9/4*Законод!$J$16,IF(B366="Лікар-терапевт",S377*Законод!$C$9/4*Законод!$J$16,0)))</f>
        <v>0</v>
      </c>
      <c r="AQ377" s="216">
        <f ca="1">IF(B366="Лікар загальної практики - сімейний лікар",AG377*Законод!$C$9/4*Законод!$J$16,IF(B366="Лікар-педіатр",AG377*Законод!$C$9/4*Законод!$J$16,IF(B366="Лікар-терапевт",AG377*Законод!$C$9/4*Законод!$J$16,0)))</f>
        <v>0</v>
      </c>
      <c r="AR377" s="217">
        <f t="shared" si="68"/>
        <v>0</v>
      </c>
    </row>
    <row r="378" spans="1:44" s="247" customFormat="1" ht="23.45" hidden="1" customHeight="1" thickBot="1">
      <c r="A378" s="243"/>
      <c r="B378" s="244"/>
      <c r="C378" s="244"/>
      <c r="D378" s="244"/>
      <c r="E378" s="244"/>
      <c r="F378" s="245"/>
      <c r="G378" s="246"/>
      <c r="H378" s="246"/>
      <c r="L378" s="248"/>
      <c r="S378" s="248"/>
      <c r="Z378" s="248"/>
      <c r="AG378" s="248"/>
      <c r="AM378" s="249"/>
      <c r="AR378" s="250"/>
    </row>
    <row r="379" spans="1:44" s="191" customFormat="1" ht="27.6" hidden="1" customHeight="1">
      <c r="A379" s="194">
        <f>A366+1</f>
        <v>27</v>
      </c>
      <c r="B379" s="950"/>
      <c r="C379" s="953"/>
      <c r="D379" s="956"/>
      <c r="E379" s="938"/>
      <c r="F379" s="234" t="s">
        <v>659</v>
      </c>
      <c r="G379" s="196">
        <f>IF($B$379="Лікар-педіатр",G382*L379,IF($B$379="Лікар-терапевт","х",IF($B$379="Лікар загальної практики - сімейний лікар",G382*L379,0)))</f>
        <v>0</v>
      </c>
      <c r="H379" s="196">
        <f>IF($B$379="Лікар-педіатр",H382*L379,IF($B$379="Лікар-терапевт","х",IF($B$379="Лікар загальної практики - сімейний лікар",H382*L379,0)))</f>
        <v>0</v>
      </c>
      <c r="I379" s="196">
        <f>IF($B$379="Лікар-педіатр","x",IF($B$379="Лікар-терапевт",I382*L379,IF($B$379="Лікар загальної практики - сімейний лікар",I382*L379,0)))</f>
        <v>0</v>
      </c>
      <c r="J379" s="196">
        <f>IF($B$379="Лікар-педіатр","x",IF($B$379="Лікар-терапевт",J382*L379,IF($B$379="Лікар загальної практики - сімейний лікар",J382*L379,0)))</f>
        <v>0</v>
      </c>
      <c r="K379" s="196">
        <f>IF($B$379="Лікар-педіатр","x",IF($B$379="Лікар-терапевт",K382*L379,IF($B$379="Лікар загальної практики - сімейний лікар",K382*L379,0)))</f>
        <v>0</v>
      </c>
      <c r="L379" s="557"/>
      <c r="M379" s="941"/>
      <c r="N379" s="196">
        <f>IF($B$379="Лікар-педіатр",N382*S379,IF($B$379="Лікар-терапевт","х",IF($B$379="Лікар загальної практики - сімейний лікар",N382*S379,0)))</f>
        <v>0</v>
      </c>
      <c r="O379" s="196">
        <f>IF($B$379="Лікар-педіатр",O382*S379,IF($B$379="Лікар-терапевт","х",IF($B$379="Лікар загальної практики - сімейний лікар",O382*S379,0)))</f>
        <v>0</v>
      </c>
      <c r="P379" s="196">
        <f>IF($B$379="Лікар-педіатр","x",IF($B$379="Лікар-терапевт",P382*S379,IF($B$379="Лікар загальної практики - сімейний лікар",P382*S379,0)))</f>
        <v>0</v>
      </c>
      <c r="Q379" s="196">
        <f>IF($B$379="Лікар-педіатр","x",IF($B$379="Лікар-терапевт",Q382*S379,IF($B$379="Лікар загальної практики - сімейний лікар",Q382*S379,0)))</f>
        <v>0</v>
      </c>
      <c r="R379" s="196">
        <f>IF($B$379="Лікар-педіатр","x",IF($B$379="Лікар-терапевт",R382*S379,IF($B$379="Лікар загальної практики - сімейний лікар",R382*S379,0)))</f>
        <v>0</v>
      </c>
      <c r="S379" s="557"/>
      <c r="T379" s="941"/>
      <c r="U379" s="196">
        <f>IF($B$379="Лікар-педіатр",U382*Z379,IF($B$379="Лікар-терапевт","х",IF($B$379="Лікар загальної практики - сімейний лікар",U382*Z379,0)))</f>
        <v>0</v>
      </c>
      <c r="V379" s="196">
        <f>IF($B$379="Лікар-педіатр",V382*Z379,IF($B$379="Лікар-терапевт","х",IF($B$379="Лікар загальної практики - сімейний лікар",V382*Z379,0)))</f>
        <v>0</v>
      </c>
      <c r="W379" s="196">
        <f>IF($B$379="Лікар-педіатр","x",IF($B$379="Лікар-терапевт",W382*Z379,IF($B$379="Лікар загальної практики - сімейний лікар",W382*Z379,0)))</f>
        <v>0</v>
      </c>
      <c r="X379" s="196">
        <f>IF($B$379="Лікар-педіатр","x",IF($B$379="Лікар-терапевт",X382*Z379,IF($B$379="Лікар загальної практики - сімейний лікар",X382*Z379,0)))</f>
        <v>0</v>
      </c>
      <c r="Y379" s="196">
        <f>IF($B$379="Лікар-педіатр","x",IF($B$379="Лікар-терапевт",Y382*Z379,IF($B$379="Лікар загальної практики - сімейний лікар",Y382*Z379,0)))</f>
        <v>0</v>
      </c>
      <c r="Z379" s="557"/>
      <c r="AA379" s="941"/>
      <c r="AB379" s="196">
        <f>IF($B$379="Лікар-педіатр",AB382*AG379,IF($B$379="Лікар-терапевт","х",IF($B$379="Лікар загальної практики - сімейний лікар",AB382*AG379,0)))</f>
        <v>0</v>
      </c>
      <c r="AC379" s="196">
        <f>IF($B$379="Лікар-педіатр",AC382*AG379,IF($B$379="Лікар-терапевт","х",IF($B$379="Лікар загальної практики - сімейний лікар",AC382*AG379,0)))</f>
        <v>0</v>
      </c>
      <c r="AD379" s="196">
        <f>IF($B$379="Лікар-педіатр","x",IF($B$379="Лікар-терапевт",AD382*AG379,IF($B$379="Лікар загальної практики - сімейний лікар",AD382*AG379,0)))</f>
        <v>0</v>
      </c>
      <c r="AE379" s="196">
        <f>IF($B$379="Лікар-педіатр","x",IF($B$379="Лікар-терапевт",AE382*AG379,IF($B$379="Лікар загальної практики - сімейний лікар",AE382*AG379,0)))</f>
        <v>0</v>
      </c>
      <c r="AF379" s="196">
        <f>IF($B$379="Лікар-педіатр","x",IF($B$379="Лікар-терапевт",AF382*AG379,IF($B$379="Лікар загальної практики - сімейний лікар",AF382*AG379,0)))</f>
        <v>0</v>
      </c>
      <c r="AG379" s="557"/>
      <c r="AH379" s="941"/>
      <c r="AI379" s="540">
        <f>A379</f>
        <v>27</v>
      </c>
      <c r="AJ379" s="944">
        <f>B379</f>
        <v>0</v>
      </c>
      <c r="AK379" s="959">
        <f>C379</f>
        <v>0</v>
      </c>
      <c r="AL379" s="959">
        <f>D379</f>
        <v>0</v>
      </c>
      <c r="AM379" s="929" t="s">
        <v>79</v>
      </c>
      <c r="AN379" s="947">
        <f>SUM(AN384:AN390)</f>
        <v>0</v>
      </c>
      <c r="AO379" s="947">
        <f>SUM(AO384:AO390)</f>
        <v>0</v>
      </c>
      <c r="AP379" s="947">
        <f>SUM(AP384:AP390)</f>
        <v>0</v>
      </c>
      <c r="AQ379" s="947">
        <f>SUM(AQ384:AQ390)</f>
        <v>0</v>
      </c>
      <c r="AR379" s="962">
        <f>SUM(AN379:AQ383)</f>
        <v>0</v>
      </c>
    </row>
    <row r="380" spans="1:44" s="50" customFormat="1" ht="28.15" hidden="1" customHeight="1">
      <c r="A380" s="197"/>
      <c r="B380" s="951"/>
      <c r="C380" s="954"/>
      <c r="D380" s="957"/>
      <c r="E380" s="939"/>
      <c r="F380" s="234" t="s">
        <v>660</v>
      </c>
      <c r="G380" s="196">
        <f>IF($B$379="Лікар-педіатр",G382*L380,IF($B$379="Лікар-терапевт","х",IF($B$379="Лікар загальної практики - сімейний лікар",G382*L380,0)))</f>
        <v>0</v>
      </c>
      <c r="H380" s="196">
        <f>IF($B$379="Лікар-педіатр",H382*L380,IF($B$379="Лікар-терапевт","х",IF($B$379="Лікар загальної практики - сімейний лікар",H382*L380,0)))</f>
        <v>0</v>
      </c>
      <c r="I380" s="196">
        <f>IF($B$379="Лікар-педіатр","x",IF($B$379="Лікар-терапевт",I382*L380,IF($B$379="Лікар загальної практики - сімейний лікар",I382*L380,0)))</f>
        <v>0</v>
      </c>
      <c r="J380" s="196">
        <f>IF($B$379="Лікар-педіатр","x",IF($B$379="Лікар-терапевт",J382*L380,IF($B$379="Лікар загальної практики - сімейний лікар",J382*L380,0)))</f>
        <v>0</v>
      </c>
      <c r="K380" s="196">
        <f>IF($B$379="Лікар-педіатр","x",IF($B$379="Лікар-терапевт",K382*L380,IF($B$379="Лікар загальної практики - сімейний лікар",K382*L380,0)))</f>
        <v>0</v>
      </c>
      <c r="L380" s="557"/>
      <c r="M380" s="942"/>
      <c r="N380" s="196">
        <f>IF($B$379="Лікар-педіатр",N382*S380,IF($B$379="Лікар-терапевт","х",IF($B$379="Лікар загальної практики - сімейний лікар",N382*S380,0)))</f>
        <v>0</v>
      </c>
      <c r="O380" s="196">
        <f>IF($B$379="Лікар-педіатр",O382*S380,IF($B$379="Лікар-терапевт","х",IF($B$379="Лікар загальної практики - сімейний лікар",O382*S380,0)))</f>
        <v>0</v>
      </c>
      <c r="P380" s="196">
        <f>IF($B$379="Лікар-педіатр","x",IF($B$379="Лікар-терапевт",P382*S380,IF($B$379="Лікар загальної практики - сімейний лікар",P382*S380,0)))</f>
        <v>0</v>
      </c>
      <c r="Q380" s="196">
        <f>IF($B$379="Лікар-педіатр","x",IF($B$379="Лікар-терапевт",Q382*S380,IF($B$379="Лікар загальної практики - сімейний лікар",Q382*S380,0)))</f>
        <v>0</v>
      </c>
      <c r="R380" s="196">
        <f>IF($B$379="Лікар-педіатр","x",IF($B$379="Лікар-терапевт",R382*S380,IF($B$379="Лікар загальної практики - сімейний лікар",R382*S380,0)))</f>
        <v>0</v>
      </c>
      <c r="S380" s="557"/>
      <c r="T380" s="942"/>
      <c r="U380" s="196">
        <f>IF($B$379="Лікар-педіатр",U382*Z380,IF($B$379="Лікар-терапевт","х",IF($B$379="Лікар загальної практики - сімейний лікар",U382*Z380,0)))</f>
        <v>0</v>
      </c>
      <c r="V380" s="196">
        <f>IF($B$379="Лікар-педіатр",V382*Z380,IF($B$379="Лікар-терапевт","х",IF($B$379="Лікар загальної практики - сімейний лікар",V382*Z380,0)))</f>
        <v>0</v>
      </c>
      <c r="W380" s="196">
        <f>IF($B$379="Лікар-педіатр","x",IF($B$379="Лікар-терапевт",W382*Z380,IF($B$379="Лікар загальної практики - сімейний лікар",W382*Z380,0)))</f>
        <v>0</v>
      </c>
      <c r="X380" s="196">
        <f>IF($B$379="Лікар-педіатр","x",IF($B$379="Лікар-терапевт",X382*Z380,IF($B$379="Лікар загальної практики - сімейний лікар",X382*Z380,0)))</f>
        <v>0</v>
      </c>
      <c r="Y380" s="196">
        <f>IF($B$379="Лікар-педіатр","x",IF($B$379="Лікар-терапевт",Y382*Z380,IF($B$379="Лікар загальної практики - сімейний лікар",Y382*Z380,0)))</f>
        <v>0</v>
      </c>
      <c r="Z380" s="557"/>
      <c r="AA380" s="942"/>
      <c r="AB380" s="196">
        <f>IF($B$379="Лікар-педіатр",AB382*AG380,IF($B$379="Лікар-терапевт","х",IF($B$379="Лікар загальної практики - сімейний лікар",AB382*AG380,0)))</f>
        <v>0</v>
      </c>
      <c r="AC380" s="196">
        <f>IF($B$379="Лікар-педіатр",AC382*AG380,IF($B$379="Лікар-терапевт","х",IF($B$379="Лікар загальної практики - сімейний лікар",AC382*AG380,0)))</f>
        <v>0</v>
      </c>
      <c r="AD380" s="196">
        <f>IF($B$379="Лікар-педіатр","x",IF($B$379="Лікар-терапевт",AD382*AG380,IF($B$379="Лікар загальної практики - сімейний лікар",AD382*AG380,0)))</f>
        <v>0</v>
      </c>
      <c r="AE380" s="196">
        <f>IF($B$379="Лікар-педіатр","x",IF($B$379="Лікар-терапевт",AE382*AG380,IF($B$379="Лікар загальної практики - сімейний лікар",AE382*AG380,0)))</f>
        <v>0</v>
      </c>
      <c r="AF380" s="196">
        <f>IF($B$379="Лікар-педіатр","x",IF($B$379="Лікар-терапевт",AF382*AG380,IF($B$379="Лікар загальної практики - сімейний лікар",AF382*AG380,0)))</f>
        <v>0</v>
      </c>
      <c r="AG380" s="557"/>
      <c r="AH380" s="942"/>
      <c r="AI380" s="198"/>
      <c r="AJ380" s="945"/>
      <c r="AK380" s="960"/>
      <c r="AL380" s="960"/>
      <c r="AM380" s="930"/>
      <c r="AN380" s="948"/>
      <c r="AO380" s="948"/>
      <c r="AP380" s="948"/>
      <c r="AQ380" s="948"/>
      <c r="AR380" s="963"/>
    </row>
    <row r="381" spans="1:44" s="90" customFormat="1" ht="31.15" hidden="1" customHeight="1">
      <c r="A381" s="240"/>
      <c r="B381" s="951"/>
      <c r="C381" s="954"/>
      <c r="D381" s="957"/>
      <c r="E381" s="939"/>
      <c r="F381" s="241" t="s">
        <v>661</v>
      </c>
      <c r="G381" s="199">
        <f>IF(B379="Лікар загальної практики - сімейний лікар"," ",IF(B379="Лікар-педіатр"," ",IF(B379="Лікар-терапевт","х",0)))</f>
        <v>0</v>
      </c>
      <c r="H381" s="199">
        <f>IF(B379="Лікар загальної практики - сімейний лікар"," ",IF(B379="Лікар-педіатр"," ",IF(B379="Лікар-терапевт","х",0)))</f>
        <v>0</v>
      </c>
      <c r="I381" s="199">
        <f>IF(B379="Лікар загальної практики - сімейний лікар"," ",IF(B379="Лікар-педіатр","х",IF(B379="Лікар-терапевт"," ",0)))</f>
        <v>0</v>
      </c>
      <c r="J381" s="199">
        <f>IF(B379="Лікар загальної практики - сімейний лікар"," ",IF(B379="Лікар-педіатр","х",IF(B379="Лікар-терапевт"," ",0)))</f>
        <v>0</v>
      </c>
      <c r="K381" s="199">
        <f>IF(B379="Лікар загальної практики - сімейний лікар"," ",IF(B379="Лікар-педіатр","х",IF(B379="Лікар-терапевт"," ",0)))</f>
        <v>0</v>
      </c>
      <c r="L381" s="200">
        <f>SUM(G381:K381)</f>
        <v>0</v>
      </c>
      <c r="M381" s="942"/>
      <c r="N381" s="199">
        <f>IF(B379="Лікар загальної практики - сімейний лікар"," ",IF(B379="Лікар-педіатр"," ",IF(B379="Лікар-терапевт","х",0)))</f>
        <v>0</v>
      </c>
      <c r="O381" s="199">
        <f>IF(B379="Лікар загальної практики - сімейний лікар"," ",IF(B379="Лікар-педіатр"," ",IF(B379="Лікар-терапевт","х",0)))</f>
        <v>0</v>
      </c>
      <c r="P381" s="199">
        <f>IF(B379="Лікар загальної практики - сімейний лікар"," ",IF(B379="Лікар-педіатр","х",IF(B379="Лікар-терапевт"," ",0)))</f>
        <v>0</v>
      </c>
      <c r="Q381" s="199">
        <f>IF(B379="Лікар загальної практики - сімейний лікар"," ",IF(B379="Лікар-педіатр","х",IF(B379="Лікар-терапевт"," ",0)))</f>
        <v>0</v>
      </c>
      <c r="R381" s="199">
        <f>IF(B379="Лікар загальної практики - сімейний лікар"," ",IF(B379="Лікар-педіатр","х",IF(B379="Лікар-терапевт"," ",0)))</f>
        <v>0</v>
      </c>
      <c r="S381" s="200">
        <f>SUM(N381:R381)</f>
        <v>0</v>
      </c>
      <c r="T381" s="942"/>
      <c r="U381" s="199">
        <f>IF(B379="Лікар загальної практики - сімейний лікар"," ",IF(B379="Лікар-педіатр"," ",IF(B379="Лікар-терапевт","х",0)))</f>
        <v>0</v>
      </c>
      <c r="V381" s="199">
        <f>IF(B379="Лікар загальної практики - сімейний лікар"," ",IF(B379="Лікар-педіатр"," ",IF(B379="Лікар-терапевт","х",0)))</f>
        <v>0</v>
      </c>
      <c r="W381" s="199">
        <f>IF(B379="Лікар загальної практики - сімейний лікар"," ",IF(B379="Лікар-педіатр","х",IF(B379="Лікар-терапевт"," ",0)))</f>
        <v>0</v>
      </c>
      <c r="X381" s="199">
        <f>IF(B379="Лікар загальної практики - сімейний лікар"," ",IF(B379="Лікар-педіатр","х",IF(B379="Лікар-терапевт"," ",0)))</f>
        <v>0</v>
      </c>
      <c r="Y381" s="199">
        <f>IF(B379="Лікар загальної практики - сімейний лікар"," ",IF(B379="Лікар-педіатр","х",IF(B379="Лікар-терапевт"," ",0)))</f>
        <v>0</v>
      </c>
      <c r="Z381" s="200">
        <f>SUM(U381:Y381)</f>
        <v>0</v>
      </c>
      <c r="AA381" s="942"/>
      <c r="AB381" s="199">
        <f>IF(B379="Лікар загальної практики - сімейний лікар"," ",IF(B379="Лікар-педіатр"," ",IF(B379="Лікар-терапевт","х",0)))</f>
        <v>0</v>
      </c>
      <c r="AC381" s="199">
        <f>IF(B379="Лікар загальної практики - сімейний лікар"," ",IF(B379="Лікар-педіатр"," ",IF(B379="Лікар-терапевт","х",0)))</f>
        <v>0</v>
      </c>
      <c r="AD381" s="199">
        <f>IF(B379="Лікар загальної практики - сімейний лікар"," ",IF(B379="Лікар-педіатр","х",IF(B379="Лікар-терапевт"," ",0)))</f>
        <v>0</v>
      </c>
      <c r="AE381" s="199">
        <f>IF(B379="Лікар загальної практики - сімейний лікар"," ",IF(B379="Лікар-педіатр","х",IF(B379="Лікар-терапевт"," ",0)))</f>
        <v>0</v>
      </c>
      <c r="AF381" s="199">
        <f>IF(B379="Лікар загальної практики - сімейний лікар"," ",IF(B379="Лікар-педіатр","х",IF(B379="Лікар-терапевт"," ",0)))</f>
        <v>0</v>
      </c>
      <c r="AG381" s="200">
        <f>SUM(AB381:AF381)</f>
        <v>0</v>
      </c>
      <c r="AH381" s="942"/>
      <c r="AI381" s="242"/>
      <c r="AJ381" s="945"/>
      <c r="AK381" s="960"/>
      <c r="AL381" s="960"/>
      <c r="AM381" s="930"/>
      <c r="AN381" s="948"/>
      <c r="AO381" s="948"/>
      <c r="AP381" s="948"/>
      <c r="AQ381" s="948"/>
      <c r="AR381" s="963"/>
    </row>
    <row r="382" spans="1:44" s="50" customFormat="1" ht="31.9" hidden="1" customHeight="1" thickBot="1">
      <c r="A382" s="197"/>
      <c r="B382" s="951"/>
      <c r="C382" s="954"/>
      <c r="D382" s="957"/>
      <c r="E382" s="939"/>
      <c r="F382" s="236" t="s">
        <v>426</v>
      </c>
      <c r="G382" s="203">
        <f>IF($B$379="Лікар-педіатр",G381/L381,IF($B$379="Лікар-терапевт","х",IF($B$379="Лікар загальної практики - сімейний лікар",G381/L381,0)))</f>
        <v>0</v>
      </c>
      <c r="H382" s="203">
        <f>IF($B$379="Лікар-педіатр",H381/L381,IF($B$379="Лікар-терапевт","х",IF($B$379="Лікар загальної практики - сімейний лікар",H381/L381,0)))</f>
        <v>0</v>
      </c>
      <c r="I382" s="203">
        <f>IF($B$379="Лікар-педіатр","x",IF($B$379="Лікар-терапевт",I381/L381,IF($B$379="Лікар загальної практики - сімейний лікар",I381/L381,0)))</f>
        <v>0</v>
      </c>
      <c r="J382" s="203">
        <f>IF($B$379="Лікар-педіатр","x",IF($B$379="Лікар-терапевт",J381/L381,IF($B$379="Лікар загальної практики - сімейний лікар",J381/L381,0)))</f>
        <v>0</v>
      </c>
      <c r="K382" s="203">
        <f>IF($B$379="Лікар-педіатр","x",IF($B$379="Лікар-терапевт",K381/L381,IF($B$379="Лікар загальної практики - сімейний лікар",K381/L381,0)))</f>
        <v>0</v>
      </c>
      <c r="L382" s="203">
        <f>SUM(G382:K382)</f>
        <v>0</v>
      </c>
      <c r="M382" s="942"/>
      <c r="N382" s="203">
        <f>IF($B$379="Лікар-педіатр",N381/S381,IF($B$379="Лікар-терапевт","х",IF($B$379="Лікар загальної практики - сімейний лікар",N381/S381,0)))</f>
        <v>0</v>
      </c>
      <c r="O382" s="203">
        <f>IF($B$379="Лікар-педіатр",O381/S381,IF($B$379="Лікар-терапевт","х",IF($B$379="Лікар загальної практики - сімейний лікар",O381/S381,0)))</f>
        <v>0</v>
      </c>
      <c r="P382" s="203">
        <f>IF($B$379="Лікар-педіатр","x",IF($B$379="Лікар-терапевт",P381/S381,IF($B$379="Лікар загальної практики - сімейний лікар",P381/S381,0)))</f>
        <v>0</v>
      </c>
      <c r="Q382" s="203">
        <f>IF($B$379="Лікар-педіатр","x",IF($B$379="Лікар-терапевт",Q381/S381,IF($B$379="Лікар загальної практики - сімейний лікар",Q381/S381,0)))</f>
        <v>0</v>
      </c>
      <c r="R382" s="203">
        <f>IF($B$379="Лікар-педіатр","x",IF($B$379="Лікар-терапевт",R381/S381,IF($B$379="Лікар загальної практики - сімейний лікар",R381/S381,0)))</f>
        <v>0</v>
      </c>
      <c r="S382" s="203">
        <f>SUM(N382:R382)</f>
        <v>0</v>
      </c>
      <c r="T382" s="942"/>
      <c r="U382" s="203">
        <f>IF($B$379="Лікар-педіатр",U381/Z381,IF($B$379="Лікар-терапевт","х",IF($B$379="Лікар загальної практики - сімейний лікар",U381/Z381,0)))</f>
        <v>0</v>
      </c>
      <c r="V382" s="203">
        <f>IF($B$379="Лікар-педіатр",V381/Z381,IF($B$379="Лікар-терапевт","х",IF($B$379="Лікар загальної практики - сімейний лікар",V381/Z381,0)))</f>
        <v>0</v>
      </c>
      <c r="W382" s="203">
        <f>IF($B$379="Лікар-педіатр","x",IF($B$379="Лікар-терапевт",W381/Z381,IF($B$379="Лікар загальної практики - сімейний лікар",W381/Z381,0)))</f>
        <v>0</v>
      </c>
      <c r="X382" s="203">
        <f>IF($B$379="Лікар-педіатр","x",IF($B$379="Лікар-терапевт",X381/Z381,IF($B$379="Лікар загальної практики - сімейний лікар",X381/Z381,0)))</f>
        <v>0</v>
      </c>
      <c r="Y382" s="203">
        <f>IF($B$379="Лікар-педіатр","x",IF($B$379="Лікар-терапевт",Y381/Z381,IF($B$379="Лікар загальної практики - сімейний лікар",Y381/Z381,0)))</f>
        <v>0</v>
      </c>
      <c r="Z382" s="203">
        <f>SUM(U382:Y382)</f>
        <v>0</v>
      </c>
      <c r="AA382" s="942"/>
      <c r="AB382" s="203">
        <f>IF($B$379="Лікар-педіатр",AB381/AG381,IF($B$379="Лікар-терапевт","х",IF($B$379="Лікар загальної практики - сімейний лікар",AB381/AG381,0)))</f>
        <v>0</v>
      </c>
      <c r="AC382" s="203">
        <f>IF($B$379="Лікар-педіатр",AC381/AG381,IF($B$379="Лікар-терапевт","х",IF($B$379="Лікар загальної практики - сімейний лікар",AC381/AG381,0)))</f>
        <v>0</v>
      </c>
      <c r="AD382" s="203">
        <f>IF($B$379="Лікар-педіатр","x",IF($B$379="Лікар-терапевт",AD381/AG381,IF($B$379="Лікар загальної практики - сімейний лікар",AD381/AG381,0)))</f>
        <v>0</v>
      </c>
      <c r="AE382" s="203">
        <f>IF($B$379="Лікар-педіатр","x",IF($B$379="Лікар-терапевт",AE381/AG381,IF($B$379="Лікар загальної практики - сімейний лікар",AE381/AG381,0)))</f>
        <v>0</v>
      </c>
      <c r="AF382" s="203">
        <f>IF($B$379="Лікар-педіатр","x",IF($B$379="Лікар-терапевт",AF381/AG381,IF($B$379="Лікар загальної практики - сімейний лікар",AF381/AG381,0)))</f>
        <v>0</v>
      </c>
      <c r="AG382" s="203">
        <f>SUM(AB382:AF382)</f>
        <v>0</v>
      </c>
      <c r="AH382" s="942"/>
      <c r="AI382" s="201"/>
      <c r="AJ382" s="945"/>
      <c r="AK382" s="960"/>
      <c r="AL382" s="960"/>
      <c r="AM382" s="930"/>
      <c r="AN382" s="948"/>
      <c r="AO382" s="948"/>
      <c r="AP382" s="948"/>
      <c r="AQ382" s="948"/>
      <c r="AR382" s="963"/>
    </row>
    <row r="383" spans="1:44" s="50" customFormat="1" ht="45" hidden="1" customHeight="1" thickBot="1">
      <c r="A383" s="197"/>
      <c r="B383" s="951"/>
      <c r="C383" s="954"/>
      <c r="D383" s="957"/>
      <c r="E383" s="939"/>
      <c r="F383" s="204" t="s">
        <v>662</v>
      </c>
      <c r="G383" s="205">
        <f>IF($B$379="Лікар загальної практики - сімейний лікар",AVERAGE(G379:G381),IF($B$379="Лікар-педіатр",AVERAGE(G379:G381),IF($B$379="Лікар-терапевт","х",0)))</f>
        <v>0</v>
      </c>
      <c r="H383" s="205">
        <f>IF($B$379="Лікар загальної практики - сімейний лікар",AVERAGE(H379:H381),IF($B$379="Лікар-педіатр",AVERAGE(H379:H381),IF($B$379="Лікар-терапевт","х",0)))</f>
        <v>0</v>
      </c>
      <c r="I383" s="205">
        <f>IF($B$379="Лікар загальної практики - сімейний лікар",AVERAGE(I379:I381),IF($B$379="Лікар-педіатр","x",IF($B$379="Лікар-терапевт",AVERAGE(I379:I381),0)))</f>
        <v>0</v>
      </c>
      <c r="J383" s="205">
        <f>IF($B$379="Лікар загальної практики - сімейний лікар",AVERAGE(J379:J381),IF($B$379="Лікар-педіатр","x",IF($B$379="Лікар-терапевт",AVERAGE(J379:J381),0)))</f>
        <v>0</v>
      </c>
      <c r="K383" s="205">
        <f>IF($B$379="Лікар загальної практики - сімейний лікар",AVERAGE(K379:K381),IF($B$379="Лікар-педіатр","x",IF($B$379="Лікар-терапевт",AVERAGE(K379:K381),0)))</f>
        <v>0</v>
      </c>
      <c r="L383" s="206">
        <f>SUM(G383:K383)</f>
        <v>0</v>
      </c>
      <c r="M383" s="942"/>
      <c r="N383" s="205">
        <f>IF($B$379="Лікар загальної практики - сімейний лікар",AVERAGE(N379:N381),IF($B$379="Лікар-педіатр",AVERAGE(N379:N381),IF($B$379="Лікар-терапевт","х",0)))</f>
        <v>0</v>
      </c>
      <c r="O383" s="205">
        <f>IF($B$379="Лікар загальної практики - сімейний лікар",AVERAGE(O379:O381),IF($B$379="Лікар-педіатр",AVERAGE(O379:O381),IF($B$379="Лікар-терапевт","х",0)))</f>
        <v>0</v>
      </c>
      <c r="P383" s="205">
        <f>IF($B$379="Лікар загальної практики - сімейний лікар",AVERAGE(P379:P381),IF($B$379="Лікар-педіатр","x",IF($B$379="Лікар-терапевт",AVERAGE(P379:P381),0)))</f>
        <v>0</v>
      </c>
      <c r="Q383" s="205">
        <f>IF($B$379="Лікар загальної практики - сімейний лікар",AVERAGE(Q379:Q381),IF($B$379="Лікар-педіатр","x",IF($B$379="Лікар-терапевт",AVERAGE(Q379:Q381),0)))</f>
        <v>0</v>
      </c>
      <c r="R383" s="205">
        <f>IF($B$379="Лікар загальної практики - сімейний лікар",AVERAGE(R379:R381),IF($B$379="Лікар-педіатр","x",IF($B$379="Лікар-терапевт",AVERAGE(R379:R381),0)))</f>
        <v>0</v>
      </c>
      <c r="S383" s="206">
        <f>SUM(N383:R383)</f>
        <v>0</v>
      </c>
      <c r="T383" s="942"/>
      <c r="U383" s="205">
        <f>IF($B$379="Лікар загальної практики - сімейний лікар",AVERAGE(U379:U381),IF($B$379="Лікар-педіатр",AVERAGE(U379:U381),IF($B$379="Лікар-терапевт","х",0)))</f>
        <v>0</v>
      </c>
      <c r="V383" s="205">
        <f>IF($B$379="Лікар загальної практики - сімейний лікар",AVERAGE(V379:V381),IF($B$379="Лікар-педіатр",AVERAGE(V379:V381),IF($B$379="Лікар-терапевт","х",0)))</f>
        <v>0</v>
      </c>
      <c r="W383" s="205">
        <f>IF($B$379="Лікар загальної практики - сімейний лікар",AVERAGE(W379:W381),IF($B$379="Лікар-педіатр","x",IF($B$379="Лікар-терапевт",AVERAGE(W379:W381),0)))</f>
        <v>0</v>
      </c>
      <c r="X383" s="205">
        <f>IF($B$379="Лікар загальної практики - сімейний лікар",AVERAGE(X379:X381),IF($B$379="Лікар-педіатр","x",IF($B$379="Лікар-терапевт",AVERAGE(X379:X381),0)))</f>
        <v>0</v>
      </c>
      <c r="Y383" s="205">
        <f>IF($B$379="Лікар загальної практики - сімейний лікар",AVERAGE(Y379:Y381),IF($B$379="Лікар-педіатр","x",IF($B$379="Лікар-терапевт",AVERAGE(Y379:Y381),0)))</f>
        <v>0</v>
      </c>
      <c r="Z383" s="206">
        <f>SUM(U383:Y383)</f>
        <v>0</v>
      </c>
      <c r="AA383" s="942"/>
      <c r="AB383" s="205">
        <f>IF($B$379="Лікар загальної практики - сімейний лікар",AVERAGE(AB379:AB381),IF($B$379="Лікар-педіатр",AVERAGE(AB379:AB381),IF($B$379="Лікар-терапевт","х",0)))</f>
        <v>0</v>
      </c>
      <c r="AC383" s="205">
        <f>IF($B$379="Лікар загальної практики - сімейний лікар",AVERAGE(AC379:AC381),IF($B$379="Лікар-педіатр",AVERAGE(AC379:AC381),IF($B$379="Лікар-терапевт","х",0)))</f>
        <v>0</v>
      </c>
      <c r="AD383" s="205">
        <f>IF($B$379="Лікар загальної практики - сімейний лікар",AVERAGE(AD379:AD381),IF($B$379="Лікар-педіатр","x",IF($B$379="Лікар-терапевт",AVERAGE(AD379:AD381),0)))</f>
        <v>0</v>
      </c>
      <c r="AE383" s="205">
        <f>IF($B$379="Лікар загальної практики - сімейний лікар",AVERAGE(AE379:AE381),IF($B$379="Лікар-педіатр","x",IF($B$379="Лікар-терапевт",AVERAGE(AE379:AE381),0)))</f>
        <v>0</v>
      </c>
      <c r="AF383" s="205">
        <f>IF($B$379="Лікар загальної практики - сімейний лікар",AVERAGE(AF379:AF381),IF($B$379="Лікар-педіатр","x",IF($B$379="Лікар-терапевт",AVERAGE(AF379:AF381),0)))</f>
        <v>0</v>
      </c>
      <c r="AG383" s="206">
        <f>SUM(AB383:AF383)</f>
        <v>0</v>
      </c>
      <c r="AH383" s="942"/>
      <c r="AI383" s="201"/>
      <c r="AJ383" s="945"/>
      <c r="AK383" s="960"/>
      <c r="AL383" s="960"/>
      <c r="AM383" s="931"/>
      <c r="AN383" s="949"/>
      <c r="AO383" s="949"/>
      <c r="AP383" s="949"/>
      <c r="AQ383" s="949"/>
      <c r="AR383" s="964"/>
    </row>
    <row r="384" spans="1:44" s="50" customFormat="1" ht="40.5" hidden="1">
      <c r="A384" s="197"/>
      <c r="B384" s="951"/>
      <c r="C384" s="954"/>
      <c r="D384" s="957"/>
      <c r="E384" s="939"/>
      <c r="F384" s="237" t="str">
        <f ca="1">IF(B379="Лікар-педіатр",Законод!$C$17,IF(B379="Лікар загальної практики - сімейний лікар",Законод!$C$21,IF(B379="Лікар-терапевт",Законод!$C$25,"х")))</f>
        <v>х</v>
      </c>
      <c r="G384" s="208">
        <f ca="1">IF($B$379="Лікар загальної практики - сімейний лікар",IF(L383&lt;=Законод!$C$22,G383,Законод!$C$22*'01_Доходи'!G382),IF($B$379="Лікар-педіатр",IF(L383&lt;=Законод!$C$18,G383,Законод!$C$18*'01_Доходи'!G382),IF($B$379="Лікар-терапевт","x",0)))</f>
        <v>0</v>
      </c>
      <c r="H384" s="208">
        <f ca="1">IF($B$379="Лікар загальної практики - сімейний лікар",IF(L383&lt;=Законод!$C$22,H383,Законод!$C$22*'01_Доходи'!H382),IF($B$379="Лікар-педіатр",IF(L383&lt;=Законод!$C$18,H383,Законод!$C$18*'01_Доходи'!H382),IF($B$379="Лікар-терапевт","x",0)))</f>
        <v>0</v>
      </c>
      <c r="I384" s="208">
        <f ca="1">IF($B$379="Лікар загальної практики - сімейний лікар",IF(L383&lt;=Законод!$C$22,I383,Законод!$C$22*'01_Доходи'!I382),IF($B$379="Лікар-педіатр","x",IF($B$379="Лікар-терапевт",IF(L383&lt;=Законод!$C$26,I383,Законод!$C$26*'01_Доходи'!I382),0)))</f>
        <v>0</v>
      </c>
      <c r="J384" s="208">
        <f ca="1">IF($B$379="Лікар загальної практики - сімейний лікар",IF(L383&lt;=Законод!$C$22,J383,Законод!$C$22*'01_Доходи'!J382),IF($B$379="Лікар-педіатр","x",IF($B$379="Лікар-терапевт",IF(L383&lt;=Законод!$C$26,J383,Законод!$C$26*'01_Доходи'!J382),0)))</f>
        <v>0</v>
      </c>
      <c r="K384" s="208">
        <f ca="1">IF($B$379="Лікар загальної практики - сімейний лікар",IF(L383&lt;=Законод!$C$22,K383,Законод!$C$22*'01_Доходи'!K382),IF($B$379="Лікар-педіатр","x",IF($B$379="Лікар-терапевт",IF(L383&lt;=Законод!$C$26,K383,Законод!$C$26*'01_Доходи'!K382),0)))</f>
        <v>0</v>
      </c>
      <c r="L384" s="209">
        <f ca="1">SUM(G384:K384)</f>
        <v>0</v>
      </c>
      <c r="M384" s="942"/>
      <c r="N384" s="208">
        <f ca="1">IF($B$379="Лікар загальної практики - сімейний лікар",IF(S383&lt;=Законод!$C$22,N383,Законод!$C$22*'01_Доходи'!N382),IF($B$379="Лікар-педіатр",IF(S383&lt;=Законод!$C$18,N383,Законод!$C$18*'01_Доходи'!N382),IF($B$379="Лікар-терапевт","x",0)))</f>
        <v>0</v>
      </c>
      <c r="O384" s="208">
        <f ca="1">IF($B$379="Лікар загальної практики - сімейний лікар",IF(S383&lt;=Законод!$C$22,O383,Законод!$C$22*'01_Доходи'!O382),IF($B$379="Лікар-педіатр",IF(S383&lt;=Законод!$C$18,O383,Законод!$C$18*'01_Доходи'!O382),IF($B$379="Лікар-терапевт","x",0)))</f>
        <v>0</v>
      </c>
      <c r="P384" s="208">
        <f ca="1">IF($B$379="Лікар загальної практики - сімейний лікар",IF(S383&lt;=Законод!$C$22,P383,Законод!$C$22*'01_Доходи'!P382),IF($B$379="Лікар-педіатр","x",IF($B$379="Лікар-терапевт",IF(S383&lt;=Законод!$C$26,P383,Законод!$C$26*'01_Доходи'!P382),0)))</f>
        <v>0</v>
      </c>
      <c r="Q384" s="208">
        <f ca="1">IF($B$379="Лікар загальної практики - сімейний лікар",IF(S383&lt;=Законод!$C$22,Q383,Законод!$C$22*'01_Доходи'!Q382),IF($B$379="Лікар-педіатр","x",IF($B$379="Лікар-терапевт",IF(S383&lt;=Законод!$C$26,Q383,Законод!$C$26*'01_Доходи'!Q382),0)))</f>
        <v>0</v>
      </c>
      <c r="R384" s="208">
        <f ca="1">IF($B$379="Лікар загальної практики - сімейний лікар",IF(S383&lt;=Законод!$C$22,R383,Законод!$C$22*'01_Доходи'!R382),IF($B$379="Лікар-педіатр","x",IF($B$379="Лікар-терапевт",IF(S383&lt;=Законод!$C$26,R383,Законод!$C$26*'01_Доходи'!R382),0)))</f>
        <v>0</v>
      </c>
      <c r="S384" s="209">
        <f ca="1">SUM(N384:R384)</f>
        <v>0</v>
      </c>
      <c r="T384" s="942"/>
      <c r="U384" s="208">
        <f ca="1">IF($B$379="Лікар загальної практики - сімейний лікар",IF(Z383&lt;=Законод!$C$22,U383,Законод!$C$22*'01_Доходи'!U382),IF($B$379="Лікар-педіатр",IF(Z383&lt;=Законод!$C$18,U383,Законод!$C$18*'01_Доходи'!U382),IF($B$379="Лікар-терапевт","x",0)))</f>
        <v>0</v>
      </c>
      <c r="V384" s="208">
        <f ca="1">IF($B$379="Лікар загальної практики - сімейний лікар",IF(Z383&lt;=Законод!$C$22,V383,Законод!$C$22*'01_Доходи'!V382),IF($B$379="Лікар-педіатр",IF(Z383&lt;=Законод!$C$18,V383,Законод!$C$18*'01_Доходи'!V382),IF($B$379="Лікар-терапевт","x",0)))</f>
        <v>0</v>
      </c>
      <c r="W384" s="208">
        <f ca="1">IF($B$379="Лікар загальної практики - сімейний лікар",IF(Z383&lt;=Законод!$C$22,W383,Законод!$C$22*'01_Доходи'!W382),IF($B$379="Лікар-педіатр","x",IF($B$379="Лікар-терапевт",IF(Z383&lt;=Законод!$C$26,W383,Законод!$C$26*'01_Доходи'!W382),0)))</f>
        <v>0</v>
      </c>
      <c r="X384" s="208">
        <f ca="1">IF($B$379="Лікар загальної практики - сімейний лікар",IF(Z383&lt;=Законод!$C$22,X383,Законод!$C$22*'01_Доходи'!X382),IF($B$379="Лікар-педіатр","x",IF($B$379="Лікар-терапевт",IF(Z383&lt;=Законод!$C$26,X383,Законод!$C$26*'01_Доходи'!X382),0)))</f>
        <v>0</v>
      </c>
      <c r="Y384" s="208">
        <f ca="1">IF($B$379="Лікар загальної практики - сімейний лікар",IF(Z383&lt;=Законод!$C$22,Y383,Законод!$C$22*'01_Доходи'!Y382),IF($B$379="Лікар-педіатр","x",IF($B$379="Лікар-терапевт",IF(Z383&lt;=Законод!$C$26,Y383,Законод!$C$26*'01_Доходи'!Y382),0)))</f>
        <v>0</v>
      </c>
      <c r="Z384" s="209">
        <f ca="1">SUM(U384:Y384)</f>
        <v>0</v>
      </c>
      <c r="AA384" s="942"/>
      <c r="AB384" s="208">
        <f ca="1">IF($B$379="Лікар загальної практики - сімейний лікар",IF(AG383&lt;=Законод!$C$22,AB383,Законод!$C$22*'01_Доходи'!AB382),IF($B$379="Лікар-педіатр",IF(AG383&lt;=Законод!$C$18,AB383,Законод!$C$18*'01_Доходи'!AB382),IF($B$379="Лікар-терапевт","x",0)))</f>
        <v>0</v>
      </c>
      <c r="AC384" s="208">
        <f ca="1">IF($B$379="Лікар загальної практики - сімейний лікар",IF(AG383&lt;=Законод!$C$22,AC383,Законод!$C$22*'01_Доходи'!AC382),IF($B$379="Лікар-педіатр",IF(AG383&lt;=Законод!$C$18,AC383,Законод!$C$18*'01_Доходи'!AC382),IF($B$379="Лікар-терапевт","x",0)))</f>
        <v>0</v>
      </c>
      <c r="AD384" s="208">
        <f ca="1">IF($B$379="Лікар загальної практики - сімейний лікар",IF(AG383&lt;=Законод!$C$22,AD383,Законод!$C$22*'01_Доходи'!AD382),IF($B$379="Лікар-педіатр","x",IF($B$379="Лікар-терапевт",IF(AG383&lt;=Законод!$C$26,AD383,Законод!$C$26*'01_Доходи'!AD382),0)))</f>
        <v>0</v>
      </c>
      <c r="AE384" s="208">
        <f ca="1">IF($B$379="Лікар загальної практики - сімейний лікар",IF(AG383&lt;=Законод!$C$22,AE383,Законод!$C$22*'01_Доходи'!AE382),IF($B$379="Лікар-педіатр","x",IF($B$379="Лікар-терапевт",IF(AG383&lt;=Законод!$C$26,AE383,Законод!$C$26*'01_Доходи'!AE382),0)))</f>
        <v>0</v>
      </c>
      <c r="AF384" s="208">
        <f ca="1">IF($B$379="Лікар загальної практики - сімейний лікар",IF(AG383&lt;=Законод!$C$22,AF383,Законод!$C$22*'01_Доходи'!AF382),IF($B$379="Лікар-педіатр","x",IF($B$379="Лікар-терапевт",IF(AG383&lt;=Законод!$C$26,AF383,Законод!$C$26*'01_Доходи'!AF382),0)))</f>
        <v>0</v>
      </c>
      <c r="AG384" s="209">
        <f ca="1">SUM(AB384:AF384)</f>
        <v>0</v>
      </c>
      <c r="AH384" s="942"/>
      <c r="AI384" s="201"/>
      <c r="AJ384" s="945"/>
      <c r="AK384" s="960"/>
      <c r="AL384" s="960"/>
      <c r="AM384" s="348" t="s">
        <v>451</v>
      </c>
      <c r="AN384" s="210">
        <f ca="1">IF(B379="Лікар загальної практики - сімейний лікар",G384*Законод!$C$11+'01_Доходи'!H384*Законод!$D$11+'01_Доходи'!I384*Законод!$E$11+'01_Доходи'!J384*Законод!$F$11+'01_Доходи'!K384*Законод!$G$11,IF(B379="Лікар-педіатр",G384*Законод!$C$11+'01_Доходи'!H384*Законод!$D$11,IF(B379="Лікар-терапевт",'01_Доходи'!I384*Законод!$E$11+'01_Доходи'!J384*Законод!$F$11+'01_Доходи'!K384*Законод!$G$11,0)))</f>
        <v>0</v>
      </c>
      <c r="AO384" s="210">
        <f ca="1">IF(B379="Лікар загальної практики - сімейний лікар",N384*Законод!$C$11+'01_Доходи'!O384*Законод!$D$11+'01_Доходи'!P384*Законод!$E$11+'01_Доходи'!Q384*Законод!$F$11+'01_Доходи'!R384*Законод!$G$11,IF(B379="Лікар-педіатр",N384*Законод!$C$11+'01_Доходи'!O384*Законод!$D$11,IF(B379="Лікар-терапевт",'01_Доходи'!P384*Законод!$E$11+'01_Доходи'!Q384*Законод!$F$11+'01_Доходи'!R384*Законод!$G$11,0)))</f>
        <v>0</v>
      </c>
      <c r="AP384" s="210">
        <f ca="1">IF(B379="Лікар загальної практики - сімейний лікар",U384*Законод!$C$11+'01_Доходи'!V384*Законод!$D$11+'01_Доходи'!W384*Законод!$E$11+'01_Доходи'!X384*Законод!$F$11+'01_Доходи'!Y384*Законод!$G$11,IF(B379="Лікар-педіатр",U384*Законод!$C$11+'01_Доходи'!V384*Законод!$D$11,IF(B379="Лікар-терапевт",'01_Доходи'!W384*Законод!$E$11+'01_Доходи'!X384*Законод!$F$11+'01_Доходи'!Y384*Законод!$G$11,0)))</f>
        <v>0</v>
      </c>
      <c r="AQ384" s="210">
        <f ca="1">IF(B379="Лікар загальної практики - сімейний лікар",AB384*Законод!$C$11+'01_Доходи'!AC384*Законод!$D$11+'01_Доходи'!AD384*Законод!$E$11+'01_Доходи'!AE384*Законод!$F$11+'01_Доходи'!AF384*Законод!$G$11,IF(B379="Лікар-педіатр",AB384*Законод!$C$11+'01_Доходи'!AC384*Законод!$D$11,IF(B379="Лікар-терапевт",'01_Доходи'!AD384*Законод!$E$11+'01_Доходи'!AE384*Законод!$F$11+'01_Доходи'!AF384*Законод!$G$11,0)))</f>
        <v>0</v>
      </c>
      <c r="AR384" s="211">
        <f t="shared" ref="AR384:AR390" si="69">SUM(AN384:AQ384)</f>
        <v>0</v>
      </c>
    </row>
    <row r="385" spans="1:44" s="50" customFormat="1" ht="31.9" hidden="1" customHeight="1">
      <c r="A385" s="197"/>
      <c r="B385" s="951"/>
      <c r="C385" s="954"/>
      <c r="D385" s="957"/>
      <c r="E385" s="939"/>
      <c r="F385" s="238" t="str">
        <f ca="1">IF(B379="Лікар-педіатр",Законод!$E$17,IF(B379="Лікар загальної практики - сімейний лікар",Законод!$E$21,IF(B379="Лікар-терапевт",Законод!$E$25,"х")))</f>
        <v>х</v>
      </c>
      <c r="G385" s="935" t="s">
        <v>423</v>
      </c>
      <c r="H385" s="936"/>
      <c r="I385" s="936"/>
      <c r="J385" s="936"/>
      <c r="K385" s="937"/>
      <c r="L385" s="196">
        <f ca="1">IF($B$379="Лікар загальної практики - сімейний лікар",IF(L383&lt;Законод!$C$22,0,(IF(AND(L383&gt;=Законод!$E$22,L383&lt;=Законод!$E$23),L383-Законод!$C$22,IF('01_Доходи'!L383&gt;=Законод!$F$22,Законод!$E$24,0)))),IF($B$379="Лікар-педіатр",IF(L383&lt;Законод!$C$18,0,(IF(AND(L383&gt;=Законод!$E$18,L383&lt;=Законод!$E$19),L383-Законод!$C$18,IF('01_Доходи'!L383&gt;=Законод!$F$18,Законод!$E$20,0)))),IF($B$379="Лікар-терапевт",IF(L383&lt;Законод!$C$26,0,(IF(AND(L383&gt;=Законод!$E$26,L383&lt;=Законод!$E$27),L383-Законод!$C$26,IF('01_Доходи'!L383&gt;=Законод!$F$26,Законод!$E$28,0)))),0)))</f>
        <v>0</v>
      </c>
      <c r="M385" s="942"/>
      <c r="N385" s="935" t="s">
        <v>423</v>
      </c>
      <c r="O385" s="936"/>
      <c r="P385" s="936"/>
      <c r="Q385" s="936"/>
      <c r="R385" s="937"/>
      <c r="S385" s="196">
        <f ca="1">IF($B$379="Лікар загальної практики - сімейний лікар",IF(S383&lt;Законод!$C$22,0,(IF(AND(S383&gt;=Законод!$E$22,S383&lt;=Законод!$E$23),S383-Законод!$C$22,IF('01_Доходи'!S383&gt;=Законод!$F$22,Законод!$E$24,0)))),IF($B$379="Лікар-педіатр",IF(S383&lt;Законод!$C$18,0,(IF(AND(S383&gt;=Законод!$E$18,S383&lt;=Законод!$E$19),S383-Законод!$C$18,IF('01_Доходи'!S383&gt;=Законод!$F$18,Законод!$E$20,0)))),IF($B$379="Лікар-терапевт",IF(S383&lt;Законод!$C$26,0,(IF(AND(S383&gt;=Законод!$E$26,S383&lt;=Законод!$E$27),S383-Законод!$C$26,IF('01_Доходи'!S383&gt;=Законод!$F$26,Законод!$E$28,0)))),0)))</f>
        <v>0</v>
      </c>
      <c r="T385" s="942"/>
      <c r="U385" s="935" t="s">
        <v>423</v>
      </c>
      <c r="V385" s="936"/>
      <c r="W385" s="936"/>
      <c r="X385" s="936"/>
      <c r="Y385" s="937"/>
      <c r="Z385" s="196">
        <f ca="1">IF($B$379="Лікар загальної практики - сімейний лікар",IF(Z383&lt;Законод!$C$22,0,(IF(AND(Z383&gt;=Законод!$E$22,Z383&lt;=Законод!$E$23),Z383-Законод!$C$22,IF('01_Доходи'!Z383&gt;=Законод!$F$22,Законод!$E$24,0)))),IF($B$379="Лікар-педіатр",IF(Z383&lt;Законод!$C$18,0,(IF(AND(Z383&gt;=Законод!$E$18,Z383&lt;=Законод!$E$19),Z383-Законод!$C$18,IF('01_Доходи'!Z383&gt;=Законод!$F$18,Законод!$E$20,0)))),IF($B$379="Лікар-терапевт",IF(Z383&lt;Законод!$C$26,0,(IF(AND(Z383&gt;=Законод!$E$26,Z383&lt;=Законод!$E$27),Z383-Законод!$C$26,IF('01_Доходи'!Z383&gt;=Законод!$F$26,Законод!$E$28,0)))),0)))</f>
        <v>0</v>
      </c>
      <c r="AA385" s="942"/>
      <c r="AB385" s="935" t="s">
        <v>423</v>
      </c>
      <c r="AC385" s="936"/>
      <c r="AD385" s="936"/>
      <c r="AE385" s="936"/>
      <c r="AF385" s="937"/>
      <c r="AG385" s="196">
        <f ca="1">IF($B$379="Лікар загальної практики - сімейний лікар",IF(AG383&lt;Законод!$C$22,0,(IF(AND(AG383&gt;=Законод!$E$22,AG383&lt;=Законод!$E$23),AG383-Законод!$C$22,IF('01_Доходи'!AG383&gt;=Законод!$F$22,Законод!$E$24,0)))),IF($B$379="Лікар-педіатр",IF(AG383&lt;Законод!$C$18,0,(IF(AND(AG383&gt;=Законод!$E$18,AG383&lt;=Законод!$E$19),AG383-Законод!$C$18,IF('01_Доходи'!AG383&gt;=Законод!$F$18,Законод!$E$20,0)))),IF($B$379="Лікар-терапевт",IF(AG383&lt;Законод!$C$26,0,(IF(AND(AG383&gt;=Законод!$E$26,AG383&lt;=Законод!$E$27),AG383-Законод!$C$26,IF('01_Доходи'!AG383&gt;=Законод!$F$26,Законод!$E$28,0)))),0)))</f>
        <v>0</v>
      </c>
      <c r="AH385" s="942"/>
      <c r="AI385" s="201"/>
      <c r="AJ385" s="945"/>
      <c r="AK385" s="960"/>
      <c r="AL385" s="960"/>
      <c r="AM385" s="926" t="s">
        <v>452</v>
      </c>
      <c r="AN385" s="210">
        <f ca="1">IF(B379="Лікар загальної практики - сімейний лікар",L385*Законод!$C$9/4*Законод!$E$16,IF(B379="Лікар-педіатр",L385*Законод!$C$9/4*Законод!$E$16,IF(B379="Лікар-терапевт",L385*Законод!$C$9/4*Законод!$E$16,0)))</f>
        <v>0</v>
      </c>
      <c r="AO385" s="210">
        <f ca="1">IF(B379="Лікар загальної практики - сімейний лікар",S385*Законод!$C$9/4*Законод!$E$16,IF(B379="Лікар-педіатр",S385*Законод!$C$9/4*Законод!$E$16,IF(B379="Лікар-терапевт",S385*Законод!$C$9/4*Законод!$E$16,0)))</f>
        <v>0</v>
      </c>
      <c r="AP385" s="210">
        <f ca="1">IF(B379="Лікар загальної практики - сімейний лікар",Z385*Законод!$C$9/4*Законод!$E$16,IF(B379="Лікар-педіатр",Z385*Законод!$C$9/4*Законод!$E$16,IF(B379="Лікар-терапевт",Z385*Законод!$C$9/4*Законод!$E$16,0)))</f>
        <v>0</v>
      </c>
      <c r="AQ385" s="210">
        <f ca="1">IF(B379="Лікар загальної практики - сімейний лікар",AG385*Законод!$C$9/4*Законод!$E$16,IF(B379="Лікар-педіатр",AG385*Законод!$C$9/4*Законод!$E$16,IF(B379="Лікар-терапевт",AG385*Законод!$C$9/4*Законод!$E$16,0)))</f>
        <v>0</v>
      </c>
      <c r="AR385" s="211">
        <f t="shared" si="69"/>
        <v>0</v>
      </c>
    </row>
    <row r="386" spans="1:44" s="50" customFormat="1" ht="31.9" hidden="1" customHeight="1">
      <c r="A386" s="197"/>
      <c r="B386" s="951"/>
      <c r="C386" s="954"/>
      <c r="D386" s="957"/>
      <c r="E386" s="939"/>
      <c r="F386" s="238" t="str">
        <f ca="1">IF(B379="Лікар-педіатр",Законод!$F$17,IF(B379="Лікар загальної практики - сімейний лікар",Законод!$F$21,IF(B379="Лікар-терапевт",Законод!$F$25,"х")))</f>
        <v>х</v>
      </c>
      <c r="G386" s="935" t="s">
        <v>423</v>
      </c>
      <c r="H386" s="936"/>
      <c r="I386" s="936"/>
      <c r="J386" s="936"/>
      <c r="K386" s="937"/>
      <c r="L386" s="196">
        <f ca="1">IF($B$379="Лікар загальної практики - сімейний лікар",IF(L383&lt;Законод!$C$22,0,(IF(AND(L383&gt;=Законод!$F$22,L383&lt;=Законод!$F$23),L383-Законод!$E$23,IF('01_Доходи'!L383&gt;=Законод!$G$22,Законод!$F$24,0)))),IF($B$379="Лікар-педіатр",IF(L383&lt;Законод!$C$18,0,(IF(AND(L383&gt;=Законод!$F$18,L383&lt;=Законод!$F$19),L383-Законод!$E$19,IF('01_Доходи'!L383&gt;=Законод!$G$18,Законод!$F$20,0)))),IF($B$379="Лікар-терапевт",IF(L383&lt;Законод!$C$26,0,(IF(AND(L383&gt;=Законод!$F$26,L383&lt;=Законод!$F$27),L383-Законод!$E$27,IF('01_Доходи'!L383&gt;=Законод!$G$26,Законод!$F$28,0)))),0)))</f>
        <v>0</v>
      </c>
      <c r="M386" s="942"/>
      <c r="N386" s="935" t="s">
        <v>423</v>
      </c>
      <c r="O386" s="936"/>
      <c r="P386" s="936"/>
      <c r="Q386" s="936"/>
      <c r="R386" s="937"/>
      <c r="S386" s="196">
        <f ca="1">IF($B$379="Лікар загальної практики - сімейний лікар",IF(S383&lt;Законод!$C$22,0,(IF(AND(S383&gt;=Законод!$F$22,S383&lt;=Законод!$F$23),S383-Законод!$E$23,IF('01_Доходи'!S383&gt;=Законод!$G$22,Законод!$F$24,0)))),IF($B$379="Лікар-педіатр",IF(S383&lt;Законод!$C$18,0,(IF(AND(S383&gt;=Законод!$F$18,S383&lt;=Законод!$F$19),S383-Законод!$E$19,IF('01_Доходи'!S383&gt;=Законод!$G$18,Законод!$F$20,0)))),IF($B$379="Лікар-терапевт",IF(S383&lt;Законод!$C$26,0,(IF(AND(S383&gt;=Законод!$F$26,S383&lt;=Законод!$F$27),S383-Законод!$E$27,IF('01_Доходи'!S383&gt;=Законод!$G$26,Законод!$F$28,0)))),0)))</f>
        <v>0</v>
      </c>
      <c r="T386" s="942"/>
      <c r="U386" s="935" t="s">
        <v>423</v>
      </c>
      <c r="V386" s="936"/>
      <c r="W386" s="936"/>
      <c r="X386" s="936"/>
      <c r="Y386" s="937"/>
      <c r="Z386" s="196">
        <f ca="1">IF($B$379="Лікар загальної практики - сімейний лікар",IF(Z383&lt;Законод!$C$22,0,(IF(AND(Z383&gt;=Законод!$F$22,Z383&lt;=Законод!$F$23),Z383-Законод!$E$23,IF('01_Доходи'!Z383&gt;=Законод!$G$22,Законод!$F$24,0)))),IF($B$379="Лікар-педіатр",IF(Z383&lt;Законод!$C$18,0,(IF(AND(Z383&gt;=Законод!$F$18,Z383&lt;=Законод!$F$19),Z383-Законод!$E$19,IF('01_Доходи'!Z383&gt;=Законод!$G$18,Законод!$F$20,0)))),IF($B$379="Лікар-терапевт",IF(Z383&lt;Законод!$C$26,0,(IF(AND(Z383&gt;=Законод!$F$26,Z383&lt;=Законод!$F$27),Z383-Законод!$E$27,IF('01_Доходи'!Z383&gt;=Законод!$G$26,Законод!$F$28,0)))),0)))</f>
        <v>0</v>
      </c>
      <c r="AA386" s="942"/>
      <c r="AB386" s="935" t="s">
        <v>423</v>
      </c>
      <c r="AC386" s="936"/>
      <c r="AD386" s="936"/>
      <c r="AE386" s="936"/>
      <c r="AF386" s="937"/>
      <c r="AG386" s="196">
        <f ca="1">IF($B$379="Лікар загальної практики - сімейний лікар",IF(AG383&lt;Законод!$C$22,0,(IF(AND(AG383&gt;=Законод!$F$22,AG383&lt;=Законод!$F$23),AG383-Законод!$E$23,IF('01_Доходи'!AG383&gt;=Законод!$G$22,Законод!$F$24,0)))),IF($B$379="Лікар-педіатр",IF(AG383&lt;Законод!$C$18,0,(IF(AND(AG383&gt;=Законод!$F$18,AG383&lt;=Законод!$F$19),AG383-Законод!$E$19,IF('01_Доходи'!AG383&gt;=Законод!$G$18,Законод!$F$20,0)))),IF($B$379="Лікар-терапевт",IF(AG383&lt;Законод!$C$26,0,(IF(AND(AG383&gt;=Законод!$F$26,AG383&lt;=Законод!$F$27),AG383-Законод!$E$27,IF('01_Доходи'!AG383&gt;=Законод!$G$26,Законод!$F$28,0)))),0)))</f>
        <v>0</v>
      </c>
      <c r="AH386" s="942"/>
      <c r="AI386" s="201"/>
      <c r="AJ386" s="945"/>
      <c r="AK386" s="960"/>
      <c r="AL386" s="960"/>
      <c r="AM386" s="927"/>
      <c r="AN386" s="210">
        <f ca="1">IF(B379="Лікар загальної практики - сімейний лікар",L386*Законод!$C$9/4*Законод!$F$16,IF(B379="Лікар-педіатр",L386*Законод!$C$9/4*Законод!$F$16,IF(B379="Лікар-терапевт",L386*Законод!$C$9/4*Законод!$F$16,0)))</f>
        <v>0</v>
      </c>
      <c r="AO386" s="210">
        <f ca="1">IF(B379="Лікар загальної практики - сімейний лікар",S386*Законод!$C$9/4*Законод!$F$16,IF(B379="Лікар-педіатр",S386*Законод!$C$9/4*Законод!$F$16,IF(B379="Лікар-терапевт",S386*Законод!$C$9/4*Законод!$F$16,0)))</f>
        <v>0</v>
      </c>
      <c r="AP386" s="210">
        <f ca="1">IF(B379="Лікар загальної практики - сімейний лікар",Z386*Законод!$C$9/4*Законод!$F$16,IF(B379="Лікар-педіатр",Z386*Законод!$C$9/4*Законод!$F$16,IF(B379="Лікар-терапевт",Z386*Законод!$C$9/4*Законод!$F$16,0)))</f>
        <v>0</v>
      </c>
      <c r="AQ386" s="210">
        <f ca="1">IF(B379="Лікар загальної практики - сімейний лікар",AG386*Законод!$C$9/4*Законод!$F$16,IF(B379="Лікар-педіатр",AG386*Законод!$C$9/4*Законод!$F$16,IF(B379="Лікар-терапевт",AG386*Законод!$C$9/4*Законод!$F$16,0)))</f>
        <v>0</v>
      </c>
      <c r="AR386" s="211">
        <f t="shared" si="69"/>
        <v>0</v>
      </c>
    </row>
    <row r="387" spans="1:44" s="50" customFormat="1" ht="31.9" hidden="1" customHeight="1">
      <c r="A387" s="197"/>
      <c r="B387" s="951"/>
      <c r="C387" s="954"/>
      <c r="D387" s="957"/>
      <c r="E387" s="939"/>
      <c r="F387" s="238" t="str">
        <f ca="1">IF(B379="Лікар-педіатр",Законод!$G$17,IF(B379="Лікар загальної практики - сімейний лікар",Законод!$G$21,IF(B379="Лікар-терапевт",Законод!$G$25,"х")))</f>
        <v>х</v>
      </c>
      <c r="G387" s="935" t="s">
        <v>423</v>
      </c>
      <c r="H387" s="936"/>
      <c r="I387" s="936"/>
      <c r="J387" s="936"/>
      <c r="K387" s="937"/>
      <c r="L387" s="196">
        <f ca="1">IF($B$379="Лікар загальної практики - сімейний лікар",IF(L383&lt;Законод!$C$22,0,(IF(AND(L383&gt;=Законод!$G$22,L383&lt;=Законод!$G$23),L383-Законод!$F$23,IF('01_Доходи'!L383&gt;=Законод!$H$22,Законод!$G$24,0)))),IF($B$379="Лікар-педіатр",IF(L383&lt;Законод!$C$18,0,(IF(AND(L383&gt;=Законод!$G$18,L383&lt;=Законод!$G$19),L383-Законод!$F$19,IF('01_Доходи'!L383&gt;=Законод!$H$18,Законод!$G$20,0)))),IF($B$379="Лікар-терапевт",IF(L383&lt;Законод!$C$26,0,(IF(AND(L383&gt;=Законод!$G$26,L383&lt;=Законод!$G$27),L383-Законод!$F$27,IF('01_Доходи'!L383&gt;=Законод!$H$26,Законод!$G$28,0)))),0)))</f>
        <v>0</v>
      </c>
      <c r="M387" s="942"/>
      <c r="N387" s="935" t="s">
        <v>423</v>
      </c>
      <c r="O387" s="936"/>
      <c r="P387" s="936"/>
      <c r="Q387" s="936"/>
      <c r="R387" s="937"/>
      <c r="S387" s="196">
        <f ca="1">IF($B$379="Лікар загальної практики - сімейний лікар",IF(S383&lt;Законод!$C$22,0,(IF(AND(S383&gt;=Законод!$G$22,S383&lt;=Законод!$G$23),S383-Законод!$F$23,IF('01_Доходи'!S383&gt;=Законод!$H$22,Законод!$G$24,0)))),IF($B$379="Лікар-педіатр",IF(S383&lt;Законод!$C$18,0,(IF(AND(S383&gt;=Законод!$G$18,S383&lt;=Законод!$G$19),S383-Законод!$F$19,IF('01_Доходи'!S383&gt;=Законод!$H$18,Законод!$G$20,0)))),IF($B$379="Лікар-терапевт",IF(S383&lt;Законод!$C$26,0,(IF(AND(S383&gt;=Законод!$G$26,S383&lt;=Законод!$G$27),S383-Законод!$F$27,IF('01_Доходи'!S383&gt;=Законод!$H$26,Законод!$G$28,0)))),0)))</f>
        <v>0</v>
      </c>
      <c r="T387" s="942"/>
      <c r="U387" s="935" t="s">
        <v>423</v>
      </c>
      <c r="V387" s="936"/>
      <c r="W387" s="936"/>
      <c r="X387" s="936"/>
      <c r="Y387" s="937"/>
      <c r="Z387" s="196">
        <f ca="1">IF($B$379="Лікар загальної практики - сімейний лікар",IF(Z383&lt;Законод!$C$22,0,(IF(AND(Z383&gt;=Законод!$G$22,Z383&lt;=Законод!$G$23),Z383-Законод!$F$23,IF('01_Доходи'!Z383&gt;=Законод!$H$22,Законод!$G$24,0)))),IF($B$379="Лікар-педіатр",IF(Z383&lt;Законод!$C$18,0,(IF(AND(Z383&gt;=Законод!$G$18,Z383&lt;=Законод!$G$19),Z383-Законод!$F$19,IF('01_Доходи'!Z383&gt;=Законод!$H$18,Законод!$G$20,0)))),IF($B$379="Лікар-терапевт",IF(Z383&lt;Законод!$C$26,0,(IF(AND(Z383&gt;=Законод!$G$26,Z383&lt;=Законод!$G$27),Z383-Законод!$F$27,IF('01_Доходи'!Z383&gt;=Законод!$H$26,Законод!$G$28,0)))),0)))</f>
        <v>0</v>
      </c>
      <c r="AA387" s="942"/>
      <c r="AB387" s="935" t="s">
        <v>423</v>
      </c>
      <c r="AC387" s="936"/>
      <c r="AD387" s="936"/>
      <c r="AE387" s="936"/>
      <c r="AF387" s="937"/>
      <c r="AG387" s="196">
        <f ca="1">IF($B$379="Лікар загальної практики - сімейний лікар",IF(AG383&lt;Законод!$C$22,0,(IF(AND(AG383&gt;=Законод!$G$22,AG383&lt;=Законод!$G$23),AG383-Законод!$F$23,IF('01_Доходи'!AG383&gt;=Законод!$H$22,Законод!$G$24,0)))),IF($B$379="Лікар-педіатр",IF(AG383&lt;Законод!$C$18,0,(IF(AND(AG383&gt;=Законод!$G$18,AG383&lt;=Законод!$G$19),AG383-Законод!$F$19,IF('01_Доходи'!AG383&gt;=Законод!$H$18,Законод!$G$20,0)))),IF($B$379="Лікар-терапевт",IF(AG383&lt;Законод!$C$26,0,(IF(AND(AG383&gt;=Законод!$G$26,AG383&lt;=Законод!$G$27),AG383-Законод!$F$27,IF('01_Доходи'!AG383&gt;=Законод!$H$26,Законод!$G$28,0)))),0)))</f>
        <v>0</v>
      </c>
      <c r="AH387" s="942"/>
      <c r="AI387" s="201"/>
      <c r="AJ387" s="945"/>
      <c r="AK387" s="960"/>
      <c r="AL387" s="960"/>
      <c r="AM387" s="927"/>
      <c r="AN387" s="210">
        <f ca="1">IF(B379="Лікар загальної практики - сімейний лікар",L387*Законод!$C$9/4*Законод!$G$16,IF(B379="Лікар-педіатр",L387*Законод!$C$9/4*Законод!$G$16,IF(B379="Лікар-терапевт",L387*Законод!$C$9/4*Законод!$G$16,0)))</f>
        <v>0</v>
      </c>
      <c r="AO387" s="210">
        <f ca="1">IF(B379="Лікар загальної практики - сімейний лікар",S387*Законод!$C$9/4*Законод!$G$16,IF(B379="Лікар-педіатр",S387*Законод!$C$9/4*Законод!$G$16,IF(B379="Лікар-терапевт",S387*Законод!$C$9/4*Законод!$G$16,0)))</f>
        <v>0</v>
      </c>
      <c r="AP387" s="210">
        <f ca="1">IF(B379="Лікар загальної практики - сімейний лікар",Z387*Законод!$C$9/4*Законод!$G$16,IF(B379="Лікар-педіатр",Z387*Законод!$C$9/4*Законод!$G$16,IF(B379="Лікар-терапевт",Z387*Законод!$C$9/4*Законод!$G$16,0)))</f>
        <v>0</v>
      </c>
      <c r="AQ387" s="210">
        <f ca="1">IF(B379="Лікар загальної практики - сімейний лікар",AG387*Законод!$C$9/4*Законод!$G$16,IF(B379="Лікар-педіатр",AG387*Законод!$C$9/4*Законод!$G$16,IF(B379="Лікар-терапевт",AG387*Законод!$C$9/4*Законод!$G$16,0)))</f>
        <v>0</v>
      </c>
      <c r="AR387" s="211">
        <f t="shared" si="69"/>
        <v>0</v>
      </c>
    </row>
    <row r="388" spans="1:44" s="50" customFormat="1" ht="31.9" hidden="1" customHeight="1">
      <c r="A388" s="197"/>
      <c r="B388" s="951"/>
      <c r="C388" s="954"/>
      <c r="D388" s="957"/>
      <c r="E388" s="939"/>
      <c r="F388" s="238" t="str">
        <f ca="1">IF(B379="Лікар-педіатр",Законод!$H$17,IF(B379="Лікар загальної практики - сімейний лікар",Законод!$H$21,IF(B379="Лікар-терапевт",Законод!$H$25,"х")))</f>
        <v>х</v>
      </c>
      <c r="G388" s="935" t="s">
        <v>423</v>
      </c>
      <c r="H388" s="936"/>
      <c r="I388" s="936"/>
      <c r="J388" s="936"/>
      <c r="K388" s="937"/>
      <c r="L388" s="196">
        <f ca="1">IF($B$379="Лікар загальної практики - сімейний лікар",IF(L383&lt;Законод!$C$22,0,(IF(AND(L383&gt;=Законод!$H$22,L383&lt;=Законод!$H$23),L383-Законод!$G$23,IF('01_Доходи'!L383&gt;=Законод!$I$22,Законод!$H$24,0)))),IF($B$379="Лікар-педіатр",IF(L383&lt;Законод!$C$18,0,(IF(AND(L383&gt;=Законод!$H$18,L383&lt;=Законод!$H$19),L383-Законод!$G$19,IF('01_Доходи'!L383&gt;=Законод!$I$18,Законод!$H$20,0)))),IF($B$379="Лікар-терапевт",IF(L383&lt;Законод!$C$26,0,(IF(AND(L383&gt;=Законод!$H$26,L383&lt;=Законод!$H$27),L383-Законод!$G$27,IF(L383&gt;=Законод!$I$26,Законод!$H$28,0)))),0)))</f>
        <v>0</v>
      </c>
      <c r="M388" s="942"/>
      <c r="N388" s="935" t="s">
        <v>423</v>
      </c>
      <c r="O388" s="936"/>
      <c r="P388" s="936"/>
      <c r="Q388" s="936"/>
      <c r="R388" s="937"/>
      <c r="S388" s="196">
        <f ca="1">IF($B$379="Лікар загальної практики - сімейний лікар",IF(S383&lt;Законод!$C$22,0,(IF(AND(S383&gt;=Законод!$H$22,S383&lt;=Законод!$H$23),S383-Законод!$G$23,IF('01_Доходи'!S383&gt;=Законод!$I$22,Законод!$H$24,0)))),IF($B$379="Лікар-педіатр",IF(S383&lt;Законод!$C$18,0,(IF(AND(S383&gt;=Законод!$H$18,S383&lt;=Законод!$H$19),S383-Законод!$G$19,IF('01_Доходи'!S383&gt;=Законод!$I$18,Законод!$H$20,0)))),IF($B$379="Лікар-терапевт",IF(S383&lt;Законод!$C$26,0,(IF(AND(S383&gt;=Законод!$H$26,S383&lt;=Законод!$H$27),S383-Законод!$G$27,IF(S383&gt;=Законод!$I$26,Законод!$H$28,0)))),0)))</f>
        <v>0</v>
      </c>
      <c r="T388" s="942"/>
      <c r="U388" s="935" t="s">
        <v>423</v>
      </c>
      <c r="V388" s="936"/>
      <c r="W388" s="936"/>
      <c r="X388" s="936"/>
      <c r="Y388" s="937"/>
      <c r="Z388" s="196">
        <f ca="1">IF($B$379="Лікар загальної практики - сімейний лікар",IF(Z383&lt;Законод!$C$22,0,(IF(AND(Z383&gt;=Законод!$H$22,Z383&lt;=Законод!$H$23),Z383-Законод!$G$23,IF('01_Доходи'!Z383&gt;=Законод!$I$22,Законод!$H$24,0)))),IF($B$379="Лікар-педіатр",IF(Z383&lt;Законод!$C$18,0,(IF(AND(Z383&gt;=Законод!$H$18,Z383&lt;=Законод!$H$19),Z383-Законод!$G$19,IF('01_Доходи'!Z383&gt;=Законод!$I$18,Законод!$H$20,0)))),IF($B$379="Лікар-терапевт",IF(Z383&lt;Законод!$C$26,0,(IF(AND(Z383&gt;=Законод!$H$26,Z383&lt;=Законод!$H$27),Z383-Законод!$G$27,IF(Z383&gt;=Законод!$I$26,Законод!$H$28,0)))),0)))</f>
        <v>0</v>
      </c>
      <c r="AA388" s="942"/>
      <c r="AB388" s="935" t="s">
        <v>423</v>
      </c>
      <c r="AC388" s="936"/>
      <c r="AD388" s="936"/>
      <c r="AE388" s="936"/>
      <c r="AF388" s="937"/>
      <c r="AG388" s="196">
        <f ca="1">IF($B$379="Лікар загальної практики - сімейний лікар",IF(AG383&lt;Законод!$C$22,0,(IF(AND(AG383&gt;=Законод!$H$22,AG383&lt;=Законод!$H$23),AG383-Законод!$G$23,IF('01_Доходи'!AG383&gt;=Законод!$I$22,Законод!$H$24,0)))),IF($B$379="Лікар-педіатр",IF(AG383&lt;Законод!$C$18,0,(IF(AND(AG383&gt;=Законод!$H$18,AG383&lt;=Законод!$H$19),AG383-Законод!$G$19,IF('01_Доходи'!AG383&gt;=Законод!$I$18,Законод!$H$20,0)))),IF($B$379="Лікар-терапевт",IF(AG383&lt;Законод!$C$26,0,(IF(AND(AG383&gt;=Законод!$H$26,AG383&lt;=Законод!$H$27),AG383-Законод!$G$27,IF(AG383&gt;=Законод!$I$26,Законод!$H$28,0)))),0)))</f>
        <v>0</v>
      </c>
      <c r="AH388" s="942"/>
      <c r="AI388" s="201"/>
      <c r="AJ388" s="945"/>
      <c r="AK388" s="960"/>
      <c r="AL388" s="960"/>
      <c r="AM388" s="927"/>
      <c r="AN388" s="210">
        <f ca="1">IF(B379="Лікар загальної практики - сімейний лікар",L388*Законод!$C$9/4*Законод!$H$16,IF(B379="Лікар-педіатр",L388*Законод!$C$9/4*Законод!$H$16,IF(B379="Лікар-терапевт",L388*Законод!$C$9/4*Законод!$H$16,0)))</f>
        <v>0</v>
      </c>
      <c r="AO388" s="210">
        <f ca="1">IF(B379="Лікар загальної практики - сімейний лікар",S388*Законод!$C$9/4*Законод!$H$16,IF(B379="Лікар-педіатр",S388*Законод!$C$9/4*Законод!$H$16,IF(B379="Лікар-терапевт",S388*Законод!$C$9/4*Законод!$H$16,0)))</f>
        <v>0</v>
      </c>
      <c r="AP388" s="210">
        <f ca="1">IF(B379="Лікар загальної практики - сімейний лікар",Z388*Законод!$C$9/4*Законод!$H$16,IF(B379="Лікар-педіатр",Z388*Законод!$C$9/4*Законод!$H$16,IF(B379="Лікар-терапевт",Z388*Законод!$C$9/4*Законод!$H$16,0)))</f>
        <v>0</v>
      </c>
      <c r="AQ388" s="210">
        <f ca="1">IF(B379="Лікар загальної практики - сімейний лікар",AG388*Законод!$C$9/4*Законод!$H$16,IF(B379="Лікар-педіатр",AG388*Законод!$C$9/4*Законод!$H$16,IF(B379="Лікар-терапевт",AG388*Законод!$C$9/4*Законод!$H$16,0)))</f>
        <v>0</v>
      </c>
      <c r="AR388" s="211">
        <f t="shared" si="69"/>
        <v>0</v>
      </c>
    </row>
    <row r="389" spans="1:44" s="50" customFormat="1" ht="31.9" hidden="1" customHeight="1">
      <c r="A389" s="197"/>
      <c r="B389" s="951"/>
      <c r="C389" s="954"/>
      <c r="D389" s="957"/>
      <c r="E389" s="939"/>
      <c r="F389" s="238" t="str">
        <f ca="1">IF(B379="Лікар-педіатр",Законод!$I$17,IF(B379="Лікар загальної практики - сімейний лікар",Законод!$I$21,IF(B379="Лікар-терапевт",Законод!$I$25,"х")))</f>
        <v>х</v>
      </c>
      <c r="G389" s="935" t="s">
        <v>423</v>
      </c>
      <c r="H389" s="936"/>
      <c r="I389" s="936"/>
      <c r="J389" s="936"/>
      <c r="K389" s="937"/>
      <c r="L389" s="196">
        <f ca="1">IF($B$379="Лікар загальної практики - сімейний лікар",IF(L383&lt;Законод!$C$22,0,(IF(AND(L383&gt;=Законод!$I$22,L383&lt;=Законод!$I$23),L383-Законод!$H$23,IF('01_Доходи'!L383&gt;=Законод!$I$22,Законод!$I$24,0)))),IF($B$379="Лікар-педіатр",IF(L383&lt;Законод!$C$18,0,(IF(AND(L383&gt;=Законод!$I$18,L383&lt;=Законод!$I$19),L383-Законод!$H$19,IF('01_Доходи'!L383&gt;=Законод!$I$18,Законод!$H$20,0)))),IF($B$379="Лікар-терапевт",IF(L383&lt;Законод!$C$26,0,(IF(AND(L383&gt;=Законод!$I$26,L383&lt;=Законод!$I$27),L383-Законод!$H$27,IF('01_Доходи'!L383&gt;=Законод!$I$26,Законод!$H$28,0)))),0)))</f>
        <v>0</v>
      </c>
      <c r="M389" s="942"/>
      <c r="N389" s="935" t="s">
        <v>423</v>
      </c>
      <c r="O389" s="936"/>
      <c r="P389" s="936"/>
      <c r="Q389" s="936"/>
      <c r="R389" s="937"/>
      <c r="S389" s="196">
        <f ca="1">IF($B$379="Лікар загальної практики - сімейний лікар",IF(S383&lt;Законод!$C$22,0,(IF(AND(S383&gt;=Законод!$I$22,S383&lt;=Законод!$I$23),S383-Законод!$H$23,IF('01_Доходи'!S383&gt;=Законод!$I$22,Законод!$I$24,0)))),IF($B$379="Лікар-педіатр",IF(S383&lt;Законод!$C$18,0,(IF(AND(S383&gt;=Законод!$I$18,S383&lt;=Законод!$I$19),S383-Законод!$H$19,IF('01_Доходи'!S383&gt;=Законод!$I$18,Законод!$H$20,0)))),IF($B$379="Лікар-терапевт",IF(S383&lt;Законод!$C$26,0,(IF(AND(S383&gt;=Законод!$I$26,S383&lt;=Законод!$I$27),S383-Законод!$H$27,IF('01_Доходи'!S383&gt;=Законод!$I$26,Законод!$H$28,0)))),0)))</f>
        <v>0</v>
      </c>
      <c r="T389" s="942"/>
      <c r="U389" s="935" t="s">
        <v>423</v>
      </c>
      <c r="V389" s="936"/>
      <c r="W389" s="936"/>
      <c r="X389" s="936"/>
      <c r="Y389" s="937"/>
      <c r="Z389" s="196">
        <f ca="1">IF($B$379="Лікар загальної практики - сімейний лікар",IF(Z383&lt;Законод!$C$22,0,(IF(AND(Z383&gt;=Законод!$I$22,Z383&lt;=Законод!$I$23),Z383-Законод!$H$23,IF('01_Доходи'!Z383&gt;=Законод!$I$22,Законод!$I$24,0)))),IF($B$379="Лікар-педіатр",IF(Z383&lt;Законод!$C$18,0,(IF(AND(Z383&gt;=Законод!$I$18,Z383&lt;=Законод!$I$19),Z383-Законод!$H$19,IF('01_Доходи'!Z383&gt;=Законод!$I$18,Законод!$H$20,0)))),IF($B$379="Лікар-терапевт",IF(Z383&lt;Законод!$C$26,0,(IF(AND(Z383&gt;=Законод!$I$26,Z383&lt;=Законод!$I$27),Z383-Законод!$H$27,IF('01_Доходи'!Z383&gt;=Законод!$I$26,Законод!$H$28,0)))),0)))</f>
        <v>0</v>
      </c>
      <c r="AA389" s="942"/>
      <c r="AB389" s="935" t="s">
        <v>423</v>
      </c>
      <c r="AC389" s="936"/>
      <c r="AD389" s="936"/>
      <c r="AE389" s="936"/>
      <c r="AF389" s="937"/>
      <c r="AG389" s="196">
        <f ca="1">IF($B$379="Лікар загальної практики - сімейний лікар",IF(AG383&lt;Законод!$C$22,0,(IF(AND(AG383&gt;=Законод!$I$22,AG383&lt;=Законод!$I$23),AG383-Законод!$H$23,IF('01_Доходи'!AG383&gt;=Законод!$I$22,Законод!$I$24,0)))),IF($B$379="Лікар-педіатр",IF(AG383&lt;Законод!$C$18,0,(IF(AND(AG383&gt;=Законод!$I$18,AG383&lt;=Законод!$I$19),AG383-Законод!$H$19,IF('01_Доходи'!AG383&gt;=Законод!$I$18,Законод!$H$20,0)))),IF($B$379="Лікар-терапевт",IF(AG383&lt;Законод!$C$26,0,(IF(AND(AG383&gt;=Законод!$I$26,AG383&lt;=Законод!$I$27),AG383-Законод!$H$27,IF('01_Доходи'!AG383&gt;=Законод!$I$26,Законод!$H$28,0)))),0)))</f>
        <v>0</v>
      </c>
      <c r="AH389" s="942"/>
      <c r="AI389" s="201"/>
      <c r="AJ389" s="945"/>
      <c r="AK389" s="960"/>
      <c r="AL389" s="960"/>
      <c r="AM389" s="927"/>
      <c r="AN389" s="210">
        <f ca="1">IF(B379="Лікар загальної практики - сімейний лікар",L389*Законод!$C$9/4*Законод!$I$16,IF(B379="Лікар-педіатр",L389*Законод!$C$9/4*Законод!$I$16,IF(B379="Лікар-терапевт",L389*Законод!$C$9/4*Законод!$I$16,0)))</f>
        <v>0</v>
      </c>
      <c r="AO389" s="210">
        <f ca="1">IF(B379="Лікар загальної практики - сімейний лікар",S389*Законод!$C$9/4*Законод!$I$16,IF(B379="Лікар-педіатр",S389*Законод!$C$9/4*Законод!$I$16,IF(B379="Лікар-терапевт",S389*Законод!$C$9/4*Законод!$I$16,0)))</f>
        <v>0</v>
      </c>
      <c r="AP389" s="210">
        <f ca="1">IF(B379="Лікар загальної практики - сімейний лікар",Z389*Законод!$C$9/4*Законод!$I$16,IF(B379="Лікар-педіатр",Z389*Законод!$C$9/4*Законод!$I$16,IF(B379="Лікар-терапевт",Z389*Законод!$C$9/4*Законод!$I$16,0)))</f>
        <v>0</v>
      </c>
      <c r="AQ389" s="210">
        <f ca="1">IF(B379="Лікар загальної практики - сімейний лікар",AG389*Законод!$C$9/4*Законод!$I$16,IF(B379="Лікар-педіатр",AG389*Законод!$C$9/4*Законод!$I$16,IF(B379="Лікар-терапевт",AG389*Законод!$C$9/4*Законод!$I$16,0)))</f>
        <v>0</v>
      </c>
      <c r="AR389" s="211">
        <f t="shared" si="69"/>
        <v>0</v>
      </c>
    </row>
    <row r="390" spans="1:44" s="218" customFormat="1" ht="31.9" hidden="1" customHeight="1" thickBot="1">
      <c r="A390" s="213"/>
      <c r="B390" s="952"/>
      <c r="C390" s="955"/>
      <c r="D390" s="958"/>
      <c r="E390" s="940"/>
      <c r="F390" s="239" t="str">
        <f ca="1">IF(B379="Лікар-педіатр",Законод!$J$17,IF(B379="Лікар загальної практики - сімейний лікар",Законод!$J$21,IF(B379="Лікар-терапевт",Законод!$J$25,"х")))</f>
        <v>х</v>
      </c>
      <c r="G390" s="932" t="s">
        <v>423</v>
      </c>
      <c r="H390" s="933"/>
      <c r="I390" s="933"/>
      <c r="J390" s="933"/>
      <c r="K390" s="934"/>
      <c r="L390" s="196">
        <f ca="1">IF($B$379="Лікар загальної практики - сімейний лікар",IF(L383&gt;=Законод!$J$22,'01_Доходи'!L383-('01_Доходи'!L384+'01_Доходи'!L385+'01_Доходи'!L386+'01_Доходи'!L387+'01_Доходи'!L388+'01_Доходи'!L389),0),IF($B$379="Лікар-педіатр",IF(L383&gt;=Законод!$J$18,'01_Доходи'!L383-('01_Доходи'!L384+'01_Доходи'!L385+'01_Доходи'!L386+'01_Доходи'!L387+'01_Доходи'!L388+'01_Доходи'!L389),0),IF($B$379="Лікар-терапевт",IF('01_Доходи'!L383&gt;=Законод!$J$26,L383-Законод!$I$27,0),0)))</f>
        <v>0</v>
      </c>
      <c r="M390" s="943"/>
      <c r="N390" s="932" t="s">
        <v>423</v>
      </c>
      <c r="O390" s="933"/>
      <c r="P390" s="933"/>
      <c r="Q390" s="933"/>
      <c r="R390" s="934"/>
      <c r="S390" s="196">
        <f ca="1">IF($B$379="Лікар загальної практики - сімейний лікар",IF(S383&gt;=Законод!$J$22,'01_Доходи'!S383-('01_Доходи'!S384+'01_Доходи'!S385+'01_Доходи'!S386+'01_Доходи'!S387+'01_Доходи'!S388+'01_Доходи'!S389),0),IF($B$379="Лікар-педіатр",IF(S383&gt;=Законод!$J$18,'01_Доходи'!S383-('01_Доходи'!S384+'01_Доходи'!S385+'01_Доходи'!S386+'01_Доходи'!S387+'01_Доходи'!S388+'01_Доходи'!S389),0),IF($B$379="Лікар-терапевт",IF('01_Доходи'!S383&gt;=Законод!$J$26,S383-Законод!$I$27,0),0)))</f>
        <v>0</v>
      </c>
      <c r="T390" s="943"/>
      <c r="U390" s="932" t="s">
        <v>423</v>
      </c>
      <c r="V390" s="933"/>
      <c r="W390" s="933"/>
      <c r="X390" s="933"/>
      <c r="Y390" s="934"/>
      <c r="Z390" s="196">
        <f ca="1">IF($B$379="Лікар загальної практики - сімейний лікар",IF(Z383&gt;=Законод!$J$22,'01_Доходи'!Z383-('01_Доходи'!Z384+'01_Доходи'!Z385+'01_Доходи'!Z386+'01_Доходи'!Z387+'01_Доходи'!Z388+'01_Доходи'!Z389),0),IF($B$379="Лікар-педіатр",IF(Z383&gt;=Законод!$J$18,'01_Доходи'!Z383-('01_Доходи'!Z384+'01_Доходи'!Z385+'01_Доходи'!Z386+'01_Доходи'!Z387+'01_Доходи'!Z388+'01_Доходи'!Z389),0),IF($B$379="Лікар-терапевт",IF('01_Доходи'!Z383&gt;=Законод!$J$26,Z383-Законод!$I$27,0),0)))</f>
        <v>0</v>
      </c>
      <c r="AA390" s="943"/>
      <c r="AB390" s="932" t="s">
        <v>423</v>
      </c>
      <c r="AC390" s="933"/>
      <c r="AD390" s="933"/>
      <c r="AE390" s="933"/>
      <c r="AF390" s="934"/>
      <c r="AG390" s="196">
        <f ca="1">IF($B$379="Лікар загальної практики - сімейний лікар",IF(AG383&gt;=Законод!$J$22,'01_Доходи'!AG383-('01_Доходи'!AG384+'01_Доходи'!AG385+'01_Доходи'!AG386+'01_Доходи'!AG387+'01_Доходи'!AG388+'01_Доходи'!AG389),0),IF($B$379="Лікар-педіатр",IF(AG383&gt;=Законод!$J$18,'01_Доходи'!AG383-('01_Доходи'!AG384+'01_Доходи'!AG385+'01_Доходи'!AG386+'01_Доходи'!AG387+'01_Доходи'!AG388+'01_Доходи'!AG389),0),IF($B$379="Лікар-терапевт",IF('01_Доходи'!AG383&gt;=Законод!$J$26,AG383-Законод!$I$27,0),0)))</f>
        <v>0</v>
      </c>
      <c r="AH390" s="943"/>
      <c r="AI390" s="215"/>
      <c r="AJ390" s="946"/>
      <c r="AK390" s="961"/>
      <c r="AL390" s="961"/>
      <c r="AM390" s="928"/>
      <c r="AN390" s="216">
        <f ca="1">IF(B379="Лікар загальної практики - сімейний лікар",L390*Законод!$C$9/4*Законод!$J$16,IF(B379="Лікар-педіатр",L390*Законод!$C$9/4*Законод!$J$16,IF(B379="Лікар-терапевт",L390*Законод!$C$9/4*Законод!$J$16,0)))</f>
        <v>0</v>
      </c>
      <c r="AO390" s="216">
        <f ca="1">IF(B379="Лікар загальної практики - сімейний лікар",S390*Законод!$C$9/4*Законод!$J$16,IF(B379="Лікар-педіатр",S390*Законод!$C$9/4*Законод!$J$16,IF(B379="Лікар-терапевт",S390*Законод!$C$9/4*Законод!$J$16,0)))</f>
        <v>0</v>
      </c>
      <c r="AP390" s="216">
        <f ca="1">IF(B379="Лікар загальної практики - сімейний лікар",S390*Законод!$C$9/4*Законод!$J$16,IF(B379="Лікар-педіатр",S390*Законод!$C$9/4*Законод!$J$16,IF(B379="Лікар-терапевт",S390*Законод!$C$9/4*Законод!$J$16,0)))</f>
        <v>0</v>
      </c>
      <c r="AQ390" s="216">
        <f ca="1">IF(B379="Лікар загальної практики - сімейний лікар",AG390*Законод!$C$9/4*Законод!$J$16,IF(B379="Лікар-педіатр",AG390*Законод!$C$9/4*Законод!$J$16,IF(B379="Лікар-терапевт",AG390*Законод!$C$9/4*Законод!$J$16,0)))</f>
        <v>0</v>
      </c>
      <c r="AR390" s="217">
        <f t="shared" si="69"/>
        <v>0</v>
      </c>
    </row>
    <row r="391" spans="1:44" s="247" customFormat="1" ht="23.45" hidden="1" customHeight="1" thickBot="1">
      <c r="A391" s="243"/>
      <c r="B391" s="244"/>
      <c r="C391" s="244"/>
      <c r="D391" s="244"/>
      <c r="E391" s="244"/>
      <c r="F391" s="245"/>
      <c r="G391" s="246"/>
      <c r="H391" s="246"/>
      <c r="L391" s="248"/>
      <c r="S391" s="248"/>
      <c r="Z391" s="248"/>
      <c r="AG391" s="248"/>
      <c r="AM391" s="249"/>
      <c r="AR391" s="250"/>
    </row>
    <row r="392" spans="1:44" s="191" customFormat="1" ht="27.6" hidden="1" customHeight="1">
      <c r="A392" s="194">
        <f>A379+1</f>
        <v>28</v>
      </c>
      <c r="B392" s="950"/>
      <c r="C392" s="953"/>
      <c r="D392" s="956"/>
      <c r="E392" s="938"/>
      <c r="F392" s="234" t="s">
        <v>659</v>
      </c>
      <c r="G392" s="196">
        <f>IF($B$392="Лікар-педіатр",G395*L392,IF($B$392="Лікар-терапевт","х",IF($B$392="Лікар загальної практики - сімейний лікар",G395*L392,0)))</f>
        <v>0</v>
      </c>
      <c r="H392" s="196">
        <f>IF($B$392="Лікар-педіатр",H395*L392,IF($B$392="Лікар-терапевт","х",IF($B$392="Лікар загальної практики - сімейний лікар",H395*L392,0)))</f>
        <v>0</v>
      </c>
      <c r="I392" s="196">
        <f>IF($B$392="Лікар-педіатр","x",IF($B$392="Лікар-терапевт",I395*L392,IF($B$392="Лікар загальної практики - сімейний лікар",I395*L392,0)))</f>
        <v>0</v>
      </c>
      <c r="J392" s="196">
        <f>IF($B$392="Лікар-педіатр","x",IF($B$392="Лікар-терапевт",J395*L392,IF($B$392="Лікар загальної практики - сімейний лікар",J395*L392,0)))</f>
        <v>0</v>
      </c>
      <c r="K392" s="196">
        <f>IF($B$392="Лікар-педіатр","x",IF($B$392="Лікар-терапевт",K395*L392,IF($B$392="Лікар загальної практики - сімейний лікар",K395*L392,0)))</f>
        <v>0</v>
      </c>
      <c r="L392" s="557"/>
      <c r="M392" s="941"/>
      <c r="N392" s="196">
        <f>IF($B$392="Лікар-педіатр",N395*S392,IF($B$392="Лікар-терапевт","х",IF($B$392="Лікар загальної практики - сімейний лікар",N395*S392,0)))</f>
        <v>0</v>
      </c>
      <c r="O392" s="196">
        <f>IF($B$392="Лікар-педіатр",O395*S392,IF($B$392="Лікар-терапевт","х",IF($B$392="Лікар загальної практики - сімейний лікар",O395*S392,0)))</f>
        <v>0</v>
      </c>
      <c r="P392" s="196">
        <f>IF($B$392="Лікар-педіатр","x",IF($B$392="Лікар-терапевт",P395*S392,IF($B$392="Лікар загальної практики - сімейний лікар",P395*S392,0)))</f>
        <v>0</v>
      </c>
      <c r="Q392" s="196">
        <f>IF($B$392="Лікар-педіатр","x",IF($B$392="Лікар-терапевт",Q395*S392,IF($B$392="Лікар загальної практики - сімейний лікар",Q395*S392,0)))</f>
        <v>0</v>
      </c>
      <c r="R392" s="196">
        <f>IF($B$392="Лікар-педіатр","x",IF($B$392="Лікар-терапевт",R395*S392,IF($B$392="Лікар загальної практики - сімейний лікар",R395*S392,0)))</f>
        <v>0</v>
      </c>
      <c r="S392" s="557"/>
      <c r="T392" s="941"/>
      <c r="U392" s="196">
        <f>IF($B$392="Лікар-педіатр",U395*Z392,IF($B$392="Лікар-терапевт","х",IF($B$392="Лікар загальної практики - сімейний лікар",U395*Z392,0)))</f>
        <v>0</v>
      </c>
      <c r="V392" s="196">
        <f>IF($B$392="Лікар-педіатр",V395*Z392,IF($B$392="Лікар-терапевт","х",IF($B$392="Лікар загальної практики - сімейний лікар",V395*Z392,0)))</f>
        <v>0</v>
      </c>
      <c r="W392" s="196">
        <f>IF($B$392="Лікар-педіатр","x",IF($B$392="Лікар-терапевт",W395*Z392,IF($B$392="Лікар загальної практики - сімейний лікар",W395*Z392,0)))</f>
        <v>0</v>
      </c>
      <c r="X392" s="196">
        <f>IF($B$392="Лікар-педіатр","x",IF($B$392="Лікар-терапевт",X395*Z392,IF($B$392="Лікар загальної практики - сімейний лікар",X395*Z392,0)))</f>
        <v>0</v>
      </c>
      <c r="Y392" s="196">
        <f>IF($B$392="Лікар-педіатр","x",IF($B$392="Лікар-терапевт",Y395*Z392,IF($B$392="Лікар загальної практики - сімейний лікар",Y395*Z392,0)))</f>
        <v>0</v>
      </c>
      <c r="Z392" s="557"/>
      <c r="AA392" s="941"/>
      <c r="AB392" s="196">
        <f>IF($B$392="Лікар-педіатр",AB395*AG392,IF($B$392="Лікар-терапевт","х",IF($B$392="Лікар загальної практики - сімейний лікар",AB395*AG392,0)))</f>
        <v>0</v>
      </c>
      <c r="AC392" s="196">
        <f>IF($B$392="Лікар-педіатр",AC395*AG392,IF($B$392="Лікар-терапевт","х",IF($B$392="Лікар загальної практики - сімейний лікар",AC395*AG392,0)))</f>
        <v>0</v>
      </c>
      <c r="AD392" s="196">
        <f>IF($B$392="Лікар-педіатр","x",IF($B$392="Лікар-терапевт",AD395*AG392,IF($B$392="Лікар загальної практики - сімейний лікар",AD395*AG392,0)))</f>
        <v>0</v>
      </c>
      <c r="AE392" s="196">
        <f>IF($B$392="Лікар-педіатр","x",IF($B$392="Лікар-терапевт",AE395*AG392,IF($B$392="Лікар загальної практики - сімейний лікар",AE395*AG392,0)))</f>
        <v>0</v>
      </c>
      <c r="AF392" s="196">
        <f>IF($B$392="Лікар-педіатр","x",IF($B$392="Лікар-терапевт",AF395*AG392,IF($B$392="Лікар загальної практики - сімейний лікар",AF395*AG392,0)))</f>
        <v>0</v>
      </c>
      <c r="AG392" s="557"/>
      <c r="AH392" s="941"/>
      <c r="AI392" s="540">
        <f>A392</f>
        <v>28</v>
      </c>
      <c r="AJ392" s="944">
        <f>B392</f>
        <v>0</v>
      </c>
      <c r="AK392" s="959">
        <f>C392</f>
        <v>0</v>
      </c>
      <c r="AL392" s="959">
        <f>D392</f>
        <v>0</v>
      </c>
      <c r="AM392" s="929" t="s">
        <v>79</v>
      </c>
      <c r="AN392" s="947">
        <f>SUM(AN397:AN403)</f>
        <v>0</v>
      </c>
      <c r="AO392" s="947">
        <f>SUM(AO397:AO403)</f>
        <v>0</v>
      </c>
      <c r="AP392" s="947">
        <f>SUM(AP397:AP403)</f>
        <v>0</v>
      </c>
      <c r="AQ392" s="947">
        <f>SUM(AQ397:AQ403)</f>
        <v>0</v>
      </c>
      <c r="AR392" s="962">
        <f>SUM(AN392:AQ396)</f>
        <v>0</v>
      </c>
    </row>
    <row r="393" spans="1:44" s="50" customFormat="1" ht="28.15" hidden="1" customHeight="1">
      <c r="A393" s="197"/>
      <c r="B393" s="951"/>
      <c r="C393" s="954"/>
      <c r="D393" s="957"/>
      <c r="E393" s="939"/>
      <c r="F393" s="234" t="s">
        <v>660</v>
      </c>
      <c r="G393" s="196">
        <f>IF($B$392="Лікар-педіатр",G395*L393,IF($B$392="Лікар-терапевт","х",IF($B$392="Лікар загальної практики - сімейний лікар",G395*L393,0)))</f>
        <v>0</v>
      </c>
      <c r="H393" s="196">
        <f>IF($B$392="Лікар-педіатр",H395*L393,IF($B$392="Лікар-терапевт","х",IF($B$392="Лікар загальної практики - сімейний лікар",H395*L393,0)))</f>
        <v>0</v>
      </c>
      <c r="I393" s="196">
        <f>IF($B$392="Лікар-педіатр","x",IF($B$392="Лікар-терапевт",I395*L393,IF($B$392="Лікар загальної практики - сімейний лікар",I395*L393,0)))</f>
        <v>0</v>
      </c>
      <c r="J393" s="196">
        <f>IF($B$392="Лікар-педіатр","x",IF($B$392="Лікар-терапевт",J395*L393,IF($B$392="Лікар загальної практики - сімейний лікар",J395*L393,0)))</f>
        <v>0</v>
      </c>
      <c r="K393" s="196">
        <f>IF($B$392="Лікар-педіатр","x",IF($B$392="Лікар-терапевт",K395*L393,IF($B$392="Лікар загальної практики - сімейний лікар",K395*L393,0)))</f>
        <v>0</v>
      </c>
      <c r="L393" s="557"/>
      <c r="M393" s="942"/>
      <c r="N393" s="196">
        <f>IF($B$392="Лікар-педіатр",N395*S393,IF($B$392="Лікар-терапевт","х",IF($B$392="Лікар загальної практики - сімейний лікар",N395*S393,0)))</f>
        <v>0</v>
      </c>
      <c r="O393" s="196">
        <f>IF($B$392="Лікар-педіатр",O395*S393,IF($B$392="Лікар-терапевт","х",IF($B$392="Лікар загальної практики - сімейний лікар",O395*S393,0)))</f>
        <v>0</v>
      </c>
      <c r="P393" s="196">
        <f>IF($B$392="Лікар-педіатр","x",IF($B$392="Лікар-терапевт",P395*S393,IF($B$392="Лікар загальної практики - сімейний лікар",P395*S393,0)))</f>
        <v>0</v>
      </c>
      <c r="Q393" s="196">
        <f>IF($B$392="Лікар-педіатр","x",IF($B$392="Лікар-терапевт",Q395*S393,IF($B$392="Лікар загальної практики - сімейний лікар",Q395*S393,0)))</f>
        <v>0</v>
      </c>
      <c r="R393" s="196">
        <f>IF($B$392="Лікар-педіатр","x",IF($B$392="Лікар-терапевт",R395*S393,IF($B$392="Лікар загальної практики - сімейний лікар",R395*S393,0)))</f>
        <v>0</v>
      </c>
      <c r="S393" s="557"/>
      <c r="T393" s="942"/>
      <c r="U393" s="196">
        <f>IF($B$392="Лікар-педіатр",U395*Z393,IF($B$392="Лікар-терапевт","х",IF($B$392="Лікар загальної практики - сімейний лікар",U395*Z393,0)))</f>
        <v>0</v>
      </c>
      <c r="V393" s="196">
        <f>IF($B$392="Лікар-педіатр",V395*Z393,IF($B$392="Лікар-терапевт","х",IF($B$392="Лікар загальної практики - сімейний лікар",V395*Z393,0)))</f>
        <v>0</v>
      </c>
      <c r="W393" s="196">
        <f>IF($B$392="Лікар-педіатр","x",IF($B$392="Лікар-терапевт",W395*Z393,IF($B$392="Лікар загальної практики - сімейний лікар",W395*Z393,0)))</f>
        <v>0</v>
      </c>
      <c r="X393" s="196">
        <f>IF($B$392="Лікар-педіатр","x",IF($B$392="Лікар-терапевт",X395*Z393,IF($B$392="Лікар загальної практики - сімейний лікар",X395*Z393,0)))</f>
        <v>0</v>
      </c>
      <c r="Y393" s="196">
        <f>IF($B$392="Лікар-педіатр","x",IF($B$392="Лікар-терапевт",Y395*Z393,IF($B$392="Лікар загальної практики - сімейний лікар",Y395*Z393,0)))</f>
        <v>0</v>
      </c>
      <c r="Z393" s="557"/>
      <c r="AA393" s="942"/>
      <c r="AB393" s="196">
        <f>IF($B$392="Лікар-педіатр",AB395*AG393,IF($B$392="Лікар-терапевт","х",IF($B$392="Лікар загальної практики - сімейний лікар",AB395*AG393,0)))</f>
        <v>0</v>
      </c>
      <c r="AC393" s="196">
        <f>IF($B$392="Лікар-педіатр",AC395*AG393,IF($B$392="Лікар-терапевт","х",IF($B$392="Лікар загальної практики - сімейний лікар",AC395*AG393,0)))</f>
        <v>0</v>
      </c>
      <c r="AD393" s="196">
        <f>IF($B$392="Лікар-педіатр","x",IF($B$392="Лікар-терапевт",AD395*AG393,IF($B$392="Лікар загальної практики - сімейний лікар",AD395*AG393,0)))</f>
        <v>0</v>
      </c>
      <c r="AE393" s="196">
        <f>IF($B$392="Лікар-педіатр","x",IF($B$392="Лікар-терапевт",AE395*AG393,IF($B$392="Лікар загальної практики - сімейний лікар",AE395*AG393,0)))</f>
        <v>0</v>
      </c>
      <c r="AF393" s="196">
        <f>IF($B$392="Лікар-педіатр","x",IF($B$392="Лікар-терапевт",AF395*AG393,IF($B$392="Лікар загальної практики - сімейний лікар",AF395*AG393,0)))</f>
        <v>0</v>
      </c>
      <c r="AG393" s="557"/>
      <c r="AH393" s="942"/>
      <c r="AI393" s="198"/>
      <c r="AJ393" s="945"/>
      <c r="AK393" s="960"/>
      <c r="AL393" s="960"/>
      <c r="AM393" s="930"/>
      <c r="AN393" s="948"/>
      <c r="AO393" s="948"/>
      <c r="AP393" s="948"/>
      <c r="AQ393" s="948"/>
      <c r="AR393" s="963"/>
    </row>
    <row r="394" spans="1:44" s="90" customFormat="1" ht="31.15" hidden="1" customHeight="1">
      <c r="A394" s="240"/>
      <c r="B394" s="951"/>
      <c r="C394" s="954"/>
      <c r="D394" s="957"/>
      <c r="E394" s="939"/>
      <c r="F394" s="241" t="s">
        <v>661</v>
      </c>
      <c r="G394" s="199">
        <f>IF(B392="Лікар загальної практики - сімейний лікар"," ",IF(B392="Лікар-педіатр"," ",IF(B392="Лікар-терапевт","х",0)))</f>
        <v>0</v>
      </c>
      <c r="H394" s="199">
        <f>IF(B392="Лікар загальної практики - сімейний лікар"," ",IF(B392="Лікар-педіатр"," ",IF(B392="Лікар-терапевт","х",0)))</f>
        <v>0</v>
      </c>
      <c r="I394" s="199">
        <f>IF(B392="Лікар загальної практики - сімейний лікар"," ",IF(B392="Лікар-педіатр","х",IF(B392="Лікар-терапевт"," ",0)))</f>
        <v>0</v>
      </c>
      <c r="J394" s="199">
        <f>IF(B392="Лікар загальної практики - сімейний лікар"," ",IF(B392="Лікар-педіатр","х",IF(B392="Лікар-терапевт"," ",0)))</f>
        <v>0</v>
      </c>
      <c r="K394" s="199">
        <f>IF(B392="Лікар загальної практики - сімейний лікар"," ",IF(B392="Лікар-педіатр","х",IF(B392="Лікар-терапевт"," ",0)))</f>
        <v>0</v>
      </c>
      <c r="L394" s="200">
        <f>SUM(G394:K394)</f>
        <v>0</v>
      </c>
      <c r="M394" s="942"/>
      <c r="N394" s="199">
        <f>IF(B392="Лікар загальної практики - сімейний лікар"," ",IF(B392="Лікар-педіатр"," ",IF(B392="Лікар-терапевт","х",0)))</f>
        <v>0</v>
      </c>
      <c r="O394" s="199">
        <f>IF(B392="Лікар загальної практики - сімейний лікар"," ",IF(B392="Лікар-педіатр"," ",IF(B392="Лікар-терапевт","х",0)))</f>
        <v>0</v>
      </c>
      <c r="P394" s="199">
        <f>IF(B392="Лікар загальної практики - сімейний лікар"," ",IF(B392="Лікар-педіатр","х",IF(B392="Лікар-терапевт"," ",0)))</f>
        <v>0</v>
      </c>
      <c r="Q394" s="199">
        <f>IF(B392="Лікар загальної практики - сімейний лікар"," ",IF(B392="Лікар-педіатр","х",IF(B392="Лікар-терапевт"," ",0)))</f>
        <v>0</v>
      </c>
      <c r="R394" s="199">
        <f>IF(B392="Лікар загальної практики - сімейний лікар"," ",IF(B392="Лікар-педіатр","х",IF(B392="Лікар-терапевт"," ",0)))</f>
        <v>0</v>
      </c>
      <c r="S394" s="200">
        <f>SUM(N394:R394)</f>
        <v>0</v>
      </c>
      <c r="T394" s="942"/>
      <c r="U394" s="199">
        <f>IF(B392="Лікар загальної практики - сімейний лікар"," ",IF(B392="Лікар-педіатр"," ",IF(B392="Лікар-терапевт","х",0)))</f>
        <v>0</v>
      </c>
      <c r="V394" s="199">
        <f>IF(B392="Лікар загальної практики - сімейний лікар"," ",IF(B392="Лікар-педіатр"," ",IF(B392="Лікар-терапевт","х",0)))</f>
        <v>0</v>
      </c>
      <c r="W394" s="199">
        <f>IF(B392="Лікар загальної практики - сімейний лікар"," ",IF(B392="Лікар-педіатр","х",IF(B392="Лікар-терапевт"," ",0)))</f>
        <v>0</v>
      </c>
      <c r="X394" s="199">
        <f>IF(B392="Лікар загальної практики - сімейний лікар"," ",IF(B392="Лікар-педіатр","х",IF(B392="Лікар-терапевт"," ",0)))</f>
        <v>0</v>
      </c>
      <c r="Y394" s="199">
        <f>IF(B392="Лікар загальної практики - сімейний лікар"," ",IF(B392="Лікар-педіатр","х",IF(B392="Лікар-терапевт"," ",0)))</f>
        <v>0</v>
      </c>
      <c r="Z394" s="200">
        <f>SUM(U394:Y394)</f>
        <v>0</v>
      </c>
      <c r="AA394" s="942"/>
      <c r="AB394" s="199">
        <f>IF(B392="Лікар загальної практики - сімейний лікар"," ",IF(B392="Лікар-педіатр"," ",IF(B392="Лікар-терапевт","х",0)))</f>
        <v>0</v>
      </c>
      <c r="AC394" s="199">
        <f>IF(B392="Лікар загальної практики - сімейний лікар"," ",IF(B392="Лікар-педіатр"," ",IF(B392="Лікар-терапевт","х",0)))</f>
        <v>0</v>
      </c>
      <c r="AD394" s="199">
        <f>IF(B392="Лікар загальної практики - сімейний лікар"," ",IF(B392="Лікар-педіатр","х",IF(B392="Лікар-терапевт"," ",0)))</f>
        <v>0</v>
      </c>
      <c r="AE394" s="199">
        <f>IF(B392="Лікар загальної практики - сімейний лікар"," ",IF(B392="Лікар-педіатр","х",IF(B392="Лікар-терапевт"," ",0)))</f>
        <v>0</v>
      </c>
      <c r="AF394" s="199">
        <f>IF(B392="Лікар загальної практики - сімейний лікар"," ",IF(B392="Лікар-педіатр","х",IF(B392="Лікар-терапевт"," ",0)))</f>
        <v>0</v>
      </c>
      <c r="AG394" s="200">
        <f>SUM(AB394:AF394)</f>
        <v>0</v>
      </c>
      <c r="AH394" s="942"/>
      <c r="AI394" s="242"/>
      <c r="AJ394" s="945"/>
      <c r="AK394" s="960"/>
      <c r="AL394" s="960"/>
      <c r="AM394" s="930"/>
      <c r="AN394" s="948"/>
      <c r="AO394" s="948"/>
      <c r="AP394" s="948"/>
      <c r="AQ394" s="948"/>
      <c r="AR394" s="963"/>
    </row>
    <row r="395" spans="1:44" s="50" customFormat="1" ht="31.9" hidden="1" customHeight="1" thickBot="1">
      <c r="A395" s="197"/>
      <c r="B395" s="951"/>
      <c r="C395" s="954"/>
      <c r="D395" s="957"/>
      <c r="E395" s="939"/>
      <c r="F395" s="236" t="s">
        <v>426</v>
      </c>
      <c r="G395" s="203">
        <f>IF($B$392="Лікар-педіатр",G394/L394,IF($B$392="Лікар-терапевт","х",IF($B$392="Лікар загальної практики - сімейний лікар",G394/L394,0)))</f>
        <v>0</v>
      </c>
      <c r="H395" s="203">
        <f>IF($B$392="Лікар-педіатр",H394/L394,IF($B$392="Лікар-терапевт","х",IF($B$392="Лікар загальної практики - сімейний лікар",H394/L394,0)))</f>
        <v>0</v>
      </c>
      <c r="I395" s="203">
        <f>IF($B$392="Лікар-педіатр","x",IF($B$392="Лікар-терапевт",I394/L394,IF($B$392="Лікар загальної практики - сімейний лікар",I394/L394,0)))</f>
        <v>0</v>
      </c>
      <c r="J395" s="203">
        <f>IF($B$392="Лікар-педіатр","x",IF($B$392="Лікар-терапевт",J394/L394,IF($B$392="Лікар загальної практики - сімейний лікар",J394/L394,0)))</f>
        <v>0</v>
      </c>
      <c r="K395" s="203">
        <f>IF($B$392="Лікар-педіатр","x",IF($B$392="Лікар-терапевт",K394/L394,IF($B$392="Лікар загальної практики - сімейний лікар",K394/L394,0)))</f>
        <v>0</v>
      </c>
      <c r="L395" s="203">
        <f>SUM(G395:K395)</f>
        <v>0</v>
      </c>
      <c r="M395" s="942"/>
      <c r="N395" s="203">
        <f>IF($B$392="Лікар-педіатр",N394/S394,IF($B$392="Лікар-терапевт","х",IF($B$392="Лікар загальної практики - сімейний лікар",N394/S394,0)))</f>
        <v>0</v>
      </c>
      <c r="O395" s="203">
        <f>IF($B$392="Лікар-педіатр",O394/S394,IF($B$392="Лікар-терапевт","х",IF($B$392="Лікар загальної практики - сімейний лікар",O394/S394,0)))</f>
        <v>0</v>
      </c>
      <c r="P395" s="203">
        <f>IF($B$392="Лікар-педіатр","x",IF($B$392="Лікар-терапевт",P394/S394,IF($B$392="Лікар загальної практики - сімейний лікар",P394/S394,0)))</f>
        <v>0</v>
      </c>
      <c r="Q395" s="203">
        <f>IF($B$392="Лікар-педіатр","x",IF($B$392="Лікар-терапевт",Q394/S394,IF($B$392="Лікар загальної практики - сімейний лікар",Q394/S394,0)))</f>
        <v>0</v>
      </c>
      <c r="R395" s="203">
        <f>IF($B$392="Лікар-педіатр","x",IF($B$392="Лікар-терапевт",R394/S394,IF($B$392="Лікар загальної практики - сімейний лікар",R394/S394,0)))</f>
        <v>0</v>
      </c>
      <c r="S395" s="203">
        <f>SUM(N395:R395)</f>
        <v>0</v>
      </c>
      <c r="T395" s="942"/>
      <c r="U395" s="203">
        <f>IF($B$392="Лікар-педіатр",U394/Z394,IF($B$392="Лікар-терапевт","х",IF($B$392="Лікар загальної практики - сімейний лікар",U394/Z394,0)))</f>
        <v>0</v>
      </c>
      <c r="V395" s="203">
        <f>IF($B$392="Лікар-педіатр",V394/Z394,IF($B$392="Лікар-терапевт","х",IF($B$392="Лікар загальної практики - сімейний лікар",V394/Z394,0)))</f>
        <v>0</v>
      </c>
      <c r="W395" s="203">
        <f>IF($B$392="Лікар-педіатр","x",IF($B$392="Лікар-терапевт",W394/Z394,IF($B$392="Лікар загальної практики - сімейний лікар",W394/Z394,0)))</f>
        <v>0</v>
      </c>
      <c r="X395" s="203">
        <f>IF($B$392="Лікар-педіатр","x",IF($B$392="Лікар-терапевт",X394/Z394,IF($B$392="Лікар загальної практики - сімейний лікар",X394/Z394,0)))</f>
        <v>0</v>
      </c>
      <c r="Y395" s="203">
        <f>IF($B$392="Лікар-педіатр","x",IF($B$392="Лікар-терапевт",Y394/Z394,IF($B$392="Лікар загальної практики - сімейний лікар",Y394/Z394,0)))</f>
        <v>0</v>
      </c>
      <c r="Z395" s="203">
        <f>SUM(U395:Y395)</f>
        <v>0</v>
      </c>
      <c r="AA395" s="942"/>
      <c r="AB395" s="203">
        <f>IF($B$392="Лікар-педіатр",AB394/AG394,IF($B$392="Лікар-терапевт","х",IF($B$392="Лікар загальної практики - сімейний лікар",AB394/AG394,0)))</f>
        <v>0</v>
      </c>
      <c r="AC395" s="203">
        <f>IF($B$392="Лікар-педіатр",AC394/AG394,IF($B$392="Лікар-терапевт","х",IF($B$392="Лікар загальної практики - сімейний лікар",AC394/AG394,0)))</f>
        <v>0</v>
      </c>
      <c r="AD395" s="203">
        <f>IF($B$392="Лікар-педіатр","x",IF($B$392="Лікар-терапевт",AD394/AG394,IF($B$392="Лікар загальної практики - сімейний лікар",AD394/AG394,0)))</f>
        <v>0</v>
      </c>
      <c r="AE395" s="203">
        <f>IF($B$392="Лікар-педіатр","x",IF($B$392="Лікар-терапевт",AE394/AG394,IF($B$392="Лікар загальної практики - сімейний лікар",AE394/AG394,0)))</f>
        <v>0</v>
      </c>
      <c r="AF395" s="203">
        <f>IF($B$392="Лікар-педіатр","x",IF($B$392="Лікар-терапевт",AF394/AG394,IF($B$392="Лікар загальної практики - сімейний лікар",AF394/AG394,0)))</f>
        <v>0</v>
      </c>
      <c r="AG395" s="203">
        <f>SUM(AB395:AF395)</f>
        <v>0</v>
      </c>
      <c r="AH395" s="942"/>
      <c r="AI395" s="201"/>
      <c r="AJ395" s="945"/>
      <c r="AK395" s="960"/>
      <c r="AL395" s="960"/>
      <c r="AM395" s="930"/>
      <c r="AN395" s="948"/>
      <c r="AO395" s="948"/>
      <c r="AP395" s="948"/>
      <c r="AQ395" s="948"/>
      <c r="AR395" s="963"/>
    </row>
    <row r="396" spans="1:44" s="50" customFormat="1" ht="45" hidden="1" customHeight="1" thickBot="1">
      <c r="A396" s="197"/>
      <c r="B396" s="951"/>
      <c r="C396" s="954"/>
      <c r="D396" s="957"/>
      <c r="E396" s="939"/>
      <c r="F396" s="204" t="s">
        <v>662</v>
      </c>
      <c r="G396" s="205">
        <f>IF($B$392="Лікар загальної практики - сімейний лікар",AVERAGE(G392:G394),IF($B$392="Лікар-педіатр",AVERAGE(G392:G394),IF($B$392="Лікар-терапевт","х",0)))</f>
        <v>0</v>
      </c>
      <c r="H396" s="205">
        <f>IF($B$392="Лікар загальної практики - сімейний лікар",AVERAGE(H392:H394),IF($B$392="Лікар-педіатр",AVERAGE(H392:H394),IF($B$392="Лікар-терапевт","х",0)))</f>
        <v>0</v>
      </c>
      <c r="I396" s="205">
        <f>IF($B$392="Лікар загальної практики - сімейний лікар",AVERAGE(I392:I394),IF($B$392="Лікар-педіатр","x",IF($B$392="Лікар-терапевт",AVERAGE(I392:I394),0)))</f>
        <v>0</v>
      </c>
      <c r="J396" s="205">
        <f>IF($B$392="Лікар загальної практики - сімейний лікар",AVERAGE(J392:J394),IF($B$392="Лікар-педіатр","x",IF($B$392="Лікар-терапевт",AVERAGE(J392:J394),0)))</f>
        <v>0</v>
      </c>
      <c r="K396" s="205">
        <f>IF($B$392="Лікар загальної практики - сімейний лікар",AVERAGE(K392:K394),IF($B$392="Лікар-педіатр","x",IF($B$392="Лікар-терапевт",AVERAGE(K392:K394),0)))</f>
        <v>0</v>
      </c>
      <c r="L396" s="206">
        <f>SUM(G396:K396)</f>
        <v>0</v>
      </c>
      <c r="M396" s="942"/>
      <c r="N396" s="205">
        <f>IF($B$392="Лікар загальної практики - сімейний лікар",AVERAGE(N392:N394),IF($B$392="Лікар-педіатр",AVERAGE(N392:N394),IF($B$392="Лікар-терапевт","х",0)))</f>
        <v>0</v>
      </c>
      <c r="O396" s="205">
        <f>IF($B$392="Лікар загальної практики - сімейний лікар",AVERAGE(O392:O394),IF($B$392="Лікар-педіатр",AVERAGE(O392:O394),IF($B$392="Лікар-терапевт","х",0)))</f>
        <v>0</v>
      </c>
      <c r="P396" s="205">
        <f>IF($B$392="Лікар загальної практики - сімейний лікар",AVERAGE(P392:P394),IF($B$392="Лікар-педіатр","x",IF($B$392="Лікар-терапевт",AVERAGE(P392:P394),0)))</f>
        <v>0</v>
      </c>
      <c r="Q396" s="205">
        <f>IF($B$392="Лікар загальної практики - сімейний лікар",AVERAGE(Q392:Q394),IF($B$392="Лікар-педіатр","x",IF($B$392="Лікар-терапевт",AVERAGE(Q392:Q394),0)))</f>
        <v>0</v>
      </c>
      <c r="R396" s="205">
        <f>IF($B$392="Лікар загальної практики - сімейний лікар",AVERAGE(R392:R394),IF($B$392="Лікар-педіатр","x",IF($B$392="Лікар-терапевт",AVERAGE(R392:R394),0)))</f>
        <v>0</v>
      </c>
      <c r="S396" s="206">
        <f>SUM(N396:R396)</f>
        <v>0</v>
      </c>
      <c r="T396" s="942"/>
      <c r="U396" s="205">
        <f>IF($B$392="Лікар загальної практики - сімейний лікар",AVERAGE(U392:U394),IF($B$392="Лікар-педіатр",AVERAGE(U392:U394),IF($B$392="Лікар-терапевт","х",0)))</f>
        <v>0</v>
      </c>
      <c r="V396" s="205">
        <f>IF($B$392="Лікар загальної практики - сімейний лікар",AVERAGE(V392:V394),IF($B$392="Лікар-педіатр",AVERAGE(V392:V394),IF($B$392="Лікар-терапевт","х",0)))</f>
        <v>0</v>
      </c>
      <c r="W396" s="205">
        <f>IF($B$392="Лікар загальної практики - сімейний лікар",AVERAGE(W392:W394),IF($B$392="Лікар-педіатр","x",IF($B$392="Лікар-терапевт",AVERAGE(W392:W394),0)))</f>
        <v>0</v>
      </c>
      <c r="X396" s="205">
        <f>IF($B$392="Лікар загальної практики - сімейний лікар",AVERAGE(X392:X394),IF($B$392="Лікар-педіатр","x",IF($B$392="Лікар-терапевт",AVERAGE(X392:X394),0)))</f>
        <v>0</v>
      </c>
      <c r="Y396" s="205">
        <f>IF($B$392="Лікар загальної практики - сімейний лікар",AVERAGE(Y392:Y394),IF($B$392="Лікар-педіатр","x",IF($B$392="Лікар-терапевт",AVERAGE(Y392:Y394),0)))</f>
        <v>0</v>
      </c>
      <c r="Z396" s="206">
        <f>SUM(U396:Y396)</f>
        <v>0</v>
      </c>
      <c r="AA396" s="942"/>
      <c r="AB396" s="205">
        <f>IF($B$392="Лікар загальної практики - сімейний лікар",AVERAGE(AB392:AB394),IF($B$392="Лікар-педіатр",AVERAGE(AB392:AB394),IF($B$392="Лікар-терапевт","х",0)))</f>
        <v>0</v>
      </c>
      <c r="AC396" s="205">
        <f>IF($B$392="Лікар загальної практики - сімейний лікар",AVERAGE(AC392:AC394),IF($B$392="Лікар-педіатр",AVERAGE(AC392:AC394),IF($B$392="Лікар-терапевт","х",0)))</f>
        <v>0</v>
      </c>
      <c r="AD396" s="205">
        <f>IF($B$392="Лікар загальної практики - сімейний лікар",AVERAGE(AD392:AD394),IF($B$392="Лікар-педіатр","x",IF($B$392="Лікар-терапевт",AVERAGE(AD392:AD394),0)))</f>
        <v>0</v>
      </c>
      <c r="AE396" s="205">
        <f>IF($B$392="Лікар загальної практики - сімейний лікар",AVERAGE(AE392:AE394),IF($B$392="Лікар-педіатр","x",IF($B$392="Лікар-терапевт",AVERAGE(AE392:AE394),0)))</f>
        <v>0</v>
      </c>
      <c r="AF396" s="205">
        <f>IF($B$392="Лікар загальної практики - сімейний лікар",AVERAGE(AF392:AF394),IF($B$392="Лікар-педіатр","x",IF($B$392="Лікар-терапевт",AVERAGE(AF392:AF394),0)))</f>
        <v>0</v>
      </c>
      <c r="AG396" s="206">
        <f>SUM(AB396:AF396)</f>
        <v>0</v>
      </c>
      <c r="AH396" s="942"/>
      <c r="AI396" s="201"/>
      <c r="AJ396" s="945"/>
      <c r="AK396" s="960"/>
      <c r="AL396" s="960"/>
      <c r="AM396" s="931"/>
      <c r="AN396" s="949"/>
      <c r="AO396" s="949"/>
      <c r="AP396" s="949"/>
      <c r="AQ396" s="949"/>
      <c r="AR396" s="964"/>
    </row>
    <row r="397" spans="1:44" s="50" customFormat="1" ht="40.5" hidden="1">
      <c r="A397" s="197"/>
      <c r="B397" s="951"/>
      <c r="C397" s="954"/>
      <c r="D397" s="957"/>
      <c r="E397" s="939"/>
      <c r="F397" s="237" t="str">
        <f ca="1">IF(B392="Лікар-педіатр",Законод!$C$17,IF(B392="Лікар загальної практики - сімейний лікар",Законод!$C$21,IF(B392="Лікар-терапевт",Законод!$C$25,"х")))</f>
        <v>х</v>
      </c>
      <c r="G397" s="208">
        <f ca="1">IF($B$392="Лікар загальної практики - сімейний лікар",IF(L396&lt;=Законод!$C$22,G396,Законод!$C$22*'01_Доходи'!G395),IF($B$392="Лікар-педіатр",IF(L396&lt;=Законод!$C$18,G396,Законод!$C$18*'01_Доходи'!G395),IF($B$392="Лікар-терапевт","x",0)))</f>
        <v>0</v>
      </c>
      <c r="H397" s="208">
        <f ca="1">IF($B$392="Лікар загальної практики - сімейний лікар",IF(L396&lt;=Законод!$C$22,H396,Законод!$C$22*'01_Доходи'!H395),IF($B$392="Лікар-педіатр",IF(L396&lt;=Законод!$C$18,H396,Законод!$C$18*'01_Доходи'!H395),IF($B$392="Лікар-терапевт","x",0)))</f>
        <v>0</v>
      </c>
      <c r="I397" s="208">
        <f ca="1">IF($B$392="Лікар загальної практики - сімейний лікар",IF(L396&lt;=Законод!$C$22,I396,Законод!$C$22*'01_Доходи'!I395),IF($B$392="Лікар-педіатр","x",IF($B$392="Лікар-терапевт",IF(L396&lt;=Законод!$C$26,I396,Законод!$C$26*'01_Доходи'!I395),0)))</f>
        <v>0</v>
      </c>
      <c r="J397" s="208">
        <f ca="1">IF($B$392="Лікар загальної практики - сімейний лікар",IF(L396&lt;=Законод!$C$22,J396,Законод!$C$22*'01_Доходи'!J395),IF($B$392="Лікар-педіатр","x",IF($B$392="Лікар-терапевт",IF(L396&lt;=Законод!$C$26,J396,Законод!$C$26*'01_Доходи'!J395),0)))</f>
        <v>0</v>
      </c>
      <c r="K397" s="208">
        <f ca="1">IF($B$392="Лікар загальної практики - сімейний лікар",IF(L396&lt;=Законод!$C$22,K396,Законод!$C$22*'01_Доходи'!K395),IF($B$392="Лікар-педіатр","x",IF($B$392="Лікар-терапевт",IF(L396&lt;=Законод!$C$26,K396,Законод!$C$26*'01_Доходи'!K395),0)))</f>
        <v>0</v>
      </c>
      <c r="L397" s="209">
        <f ca="1">SUM(G397:K397)</f>
        <v>0</v>
      </c>
      <c r="M397" s="942"/>
      <c r="N397" s="208">
        <f ca="1">IF($B$392="Лікар загальної практики - сімейний лікар",IF(S396&lt;=Законод!$C$22,N396,Законод!$C$22*'01_Доходи'!N395),IF($B$392="Лікар-педіатр",IF(S396&lt;=Законод!$C$18,N396,Законод!$C$18*'01_Доходи'!N395),IF($B$392="Лікар-терапевт","x",0)))</f>
        <v>0</v>
      </c>
      <c r="O397" s="208">
        <f ca="1">IF($B$392="Лікар загальної практики - сімейний лікар",IF(S396&lt;=Законод!$C$22,O396,Законод!$C$22*'01_Доходи'!O395),IF($B$392="Лікар-педіатр",IF(S396&lt;=Законод!$C$18,O396,Законод!$C$18*'01_Доходи'!O395),IF($B$392="Лікар-терапевт","x",0)))</f>
        <v>0</v>
      </c>
      <c r="P397" s="208">
        <f ca="1">IF($B$392="Лікар загальної практики - сімейний лікар",IF(S396&lt;=Законод!$C$22,P396,Законод!$C$22*'01_Доходи'!P395),IF($B$392="Лікар-педіатр","x",IF($B$392="Лікар-терапевт",IF(S396&lt;=Законод!$C$26,P396,Законод!$C$26*'01_Доходи'!P395),0)))</f>
        <v>0</v>
      </c>
      <c r="Q397" s="208">
        <f ca="1">IF($B$392="Лікар загальної практики - сімейний лікар",IF(S396&lt;=Законод!$C$22,Q396,Законод!$C$22*'01_Доходи'!Q395),IF($B$392="Лікар-педіатр","x",IF($B$392="Лікар-терапевт",IF(S396&lt;=Законод!$C$26,Q396,Законод!$C$26*'01_Доходи'!Q395),0)))</f>
        <v>0</v>
      </c>
      <c r="R397" s="208">
        <f ca="1">IF($B$392="Лікар загальної практики - сімейний лікар",IF(S396&lt;=Законод!$C$22,R396,Законод!$C$22*'01_Доходи'!R395),IF($B$392="Лікар-педіатр","x",IF($B$392="Лікар-терапевт",IF(S396&lt;=Законод!$C$26,R396,Законод!$C$26*'01_Доходи'!R395),0)))</f>
        <v>0</v>
      </c>
      <c r="S397" s="209">
        <f ca="1">SUM(N397:R397)</f>
        <v>0</v>
      </c>
      <c r="T397" s="942"/>
      <c r="U397" s="208">
        <f ca="1">IF($B$392="Лікар загальної практики - сімейний лікар",IF(Z396&lt;=Законод!$C$22,U396,Законод!$C$22*'01_Доходи'!U395),IF($B$392="Лікар-педіатр",IF(Z396&lt;=Законод!$C$18,U396,Законод!$C$18*'01_Доходи'!U395),IF($B$392="Лікар-терапевт","x",0)))</f>
        <v>0</v>
      </c>
      <c r="V397" s="208">
        <f ca="1">IF($B$392="Лікар загальної практики - сімейний лікар",IF(Z396&lt;=Законод!$C$22,V396,Законод!$C$22*'01_Доходи'!V395),IF($B$392="Лікар-педіатр",IF(Z396&lt;=Законод!$C$18,V396,Законод!$C$18*'01_Доходи'!V395),IF($B$392="Лікар-терапевт","x",0)))</f>
        <v>0</v>
      </c>
      <c r="W397" s="208">
        <f ca="1">IF($B$392="Лікар загальної практики - сімейний лікар",IF(Z396&lt;=Законод!$C$22,W396,Законод!$C$22*'01_Доходи'!W395),IF($B$392="Лікар-педіатр","x",IF($B$392="Лікар-терапевт",IF(Z396&lt;=Законод!$C$26,W396,Законод!$C$26*'01_Доходи'!W395),0)))</f>
        <v>0</v>
      </c>
      <c r="X397" s="208">
        <f ca="1">IF($B$392="Лікар загальної практики - сімейний лікар",IF(Z396&lt;=Законод!$C$22,X396,Законод!$C$22*'01_Доходи'!X395),IF($B$392="Лікар-педіатр","x",IF($B$392="Лікар-терапевт",IF(Z396&lt;=Законод!$C$26,X396,Законод!$C$26*'01_Доходи'!X395),0)))</f>
        <v>0</v>
      </c>
      <c r="Y397" s="208">
        <f ca="1">IF($B$392="Лікар загальної практики - сімейний лікар",IF(Z396&lt;=Законод!$C$22,Y396,Законод!$C$22*'01_Доходи'!Y395),IF($B$392="Лікар-педіатр","x",IF($B$392="Лікар-терапевт",IF(Z396&lt;=Законод!$C$26,Y396,Законод!$C$26*'01_Доходи'!Y395),0)))</f>
        <v>0</v>
      </c>
      <c r="Z397" s="209">
        <f ca="1">SUM(U397:Y397)</f>
        <v>0</v>
      </c>
      <c r="AA397" s="942"/>
      <c r="AB397" s="208">
        <f ca="1">IF($B$392="Лікар загальної практики - сімейний лікар",IF(AG396&lt;=Законод!$C$22,AB396,Законод!$C$22*'01_Доходи'!AB395),IF($B$392="Лікар-педіатр",IF(AG396&lt;=Законод!$C$18,AB396,Законод!$C$18*'01_Доходи'!AB395),IF($B$392="Лікар-терапевт","x",0)))</f>
        <v>0</v>
      </c>
      <c r="AC397" s="208">
        <f ca="1">IF($B$392="Лікар загальної практики - сімейний лікар",IF(AG396&lt;=Законод!$C$22,AC396,Законод!$C$22*'01_Доходи'!AC395),IF($B$392="Лікар-педіатр",IF(AG396&lt;=Законод!$C$18,AC396,Законод!$C$18*'01_Доходи'!AC395),IF($B$392="Лікар-терапевт","x",0)))</f>
        <v>0</v>
      </c>
      <c r="AD397" s="208">
        <f ca="1">IF($B$392="Лікар загальної практики - сімейний лікар",IF(AG396&lt;=Законод!$C$22,AD396,Законод!$C$22*'01_Доходи'!AD395),IF($B$392="Лікар-педіатр","x",IF($B$392="Лікар-терапевт",IF(AG396&lt;=Законод!$C$26,AD396,Законод!$C$26*'01_Доходи'!AD395),0)))</f>
        <v>0</v>
      </c>
      <c r="AE397" s="208">
        <f ca="1">IF($B$392="Лікар загальної практики - сімейний лікар",IF(AG396&lt;=Законод!$C$22,AE396,Законод!$C$22*'01_Доходи'!AE395),IF($B$392="Лікар-педіатр","x",IF($B$392="Лікар-терапевт",IF(AG396&lt;=Законод!$C$26,AE396,Законод!$C$26*'01_Доходи'!AE395),0)))</f>
        <v>0</v>
      </c>
      <c r="AF397" s="208">
        <f ca="1">IF($B$392="Лікар загальної практики - сімейний лікар",IF(AG396&lt;=Законод!$C$22,AF396,Законод!$C$22*'01_Доходи'!AF395),IF($B$392="Лікар-педіатр","x",IF($B$392="Лікар-терапевт",IF(AG396&lt;=Законод!$C$26,AF396,Законод!$C$26*'01_Доходи'!AF395),0)))</f>
        <v>0</v>
      </c>
      <c r="AG397" s="209">
        <f ca="1">SUM(AB397:AF397)</f>
        <v>0</v>
      </c>
      <c r="AH397" s="942"/>
      <c r="AI397" s="201"/>
      <c r="AJ397" s="945"/>
      <c r="AK397" s="960"/>
      <c r="AL397" s="960"/>
      <c r="AM397" s="348" t="s">
        <v>451</v>
      </c>
      <c r="AN397" s="210">
        <f ca="1">IF(B392="Лікар загальної практики - сімейний лікар",G397*Законод!$C$11+'01_Доходи'!H397*Законод!$D$11+'01_Доходи'!I397*Законод!$E$11+'01_Доходи'!J397*Законод!$F$11+'01_Доходи'!K397*Законод!$G$11,IF(B392="Лікар-педіатр",G397*Законод!$C$11+'01_Доходи'!H397*Законод!$D$11,IF(B392="Лікар-терапевт",'01_Доходи'!I397*Законод!$E$11+'01_Доходи'!J397*Законод!$F$11+'01_Доходи'!K397*Законод!$G$11,0)))</f>
        <v>0</v>
      </c>
      <c r="AO397" s="210">
        <f ca="1">IF(B392="Лікар загальної практики - сімейний лікар",N397*Законод!$C$11+'01_Доходи'!O397*Законод!$D$11+'01_Доходи'!P397*Законод!$E$11+'01_Доходи'!Q397*Законод!$F$11+'01_Доходи'!R397*Законод!$G$11,IF(B392="Лікар-педіатр",N397*Законод!$C$11+'01_Доходи'!O397*Законод!$D$11,IF(B392="Лікар-терапевт",'01_Доходи'!P397*Законод!$E$11+'01_Доходи'!Q397*Законод!$F$11+'01_Доходи'!R397*Законод!$G$11,0)))</f>
        <v>0</v>
      </c>
      <c r="AP397" s="210">
        <f ca="1">IF(B392="Лікар загальної практики - сімейний лікар",U397*Законод!$C$11+'01_Доходи'!V397*Законод!$D$11+'01_Доходи'!W397*Законод!$E$11+'01_Доходи'!X397*Законод!$F$11+'01_Доходи'!Y397*Законод!$G$11,IF(B392="Лікар-педіатр",U397*Законод!$C$11+'01_Доходи'!V397*Законод!$D$11,IF(B392="Лікар-терапевт",'01_Доходи'!W397*Законод!$E$11+'01_Доходи'!X397*Законод!$F$11+'01_Доходи'!Y397*Законод!$G$11,0)))</f>
        <v>0</v>
      </c>
      <c r="AQ397" s="210">
        <f ca="1">IF(B392="Лікар загальної практики - сімейний лікар",AB397*Законод!$C$11+'01_Доходи'!AC397*Законод!$D$11+'01_Доходи'!AD397*Законод!$E$11+'01_Доходи'!AE397*Законод!$F$11+'01_Доходи'!AF397*Законод!$G$11,IF(B392="Лікар-педіатр",AB397*Законод!$C$11+'01_Доходи'!AC397*Законод!$D$11,IF(B392="Лікар-терапевт",'01_Доходи'!AD397*Законод!$E$11+'01_Доходи'!AE397*Законод!$F$11+'01_Доходи'!AF397*Законод!$G$11,0)))</f>
        <v>0</v>
      </c>
      <c r="AR397" s="211">
        <f t="shared" ref="AR397:AR403" si="70">SUM(AN397:AQ397)</f>
        <v>0</v>
      </c>
    </row>
    <row r="398" spans="1:44" s="50" customFormat="1" ht="31.9" hidden="1" customHeight="1">
      <c r="A398" s="197"/>
      <c r="B398" s="951"/>
      <c r="C398" s="954"/>
      <c r="D398" s="957"/>
      <c r="E398" s="939"/>
      <c r="F398" s="238" t="str">
        <f ca="1">IF(B392="Лікар-педіатр",Законод!$E$17,IF(B392="Лікар загальної практики - сімейний лікар",Законод!$E$21,IF(B392="Лікар-терапевт",Законод!$E$25,"х")))</f>
        <v>х</v>
      </c>
      <c r="G398" s="935" t="s">
        <v>423</v>
      </c>
      <c r="H398" s="936"/>
      <c r="I398" s="936"/>
      <c r="J398" s="936"/>
      <c r="K398" s="937"/>
      <c r="L398" s="196">
        <f ca="1">IF($B$392="Лікар загальної практики - сімейний лікар",IF(L396&lt;Законод!$C$22,0,(IF(AND(L396&gt;=Законод!$E$22,L396&lt;=Законод!$E$23),L396-Законод!$C$22,IF('01_Доходи'!L396&gt;=Законод!$F$22,Законод!$E$24,0)))),IF($B$392="Лікар-педіатр",IF(L396&lt;Законод!$C$18,0,(IF(AND(L396&gt;=Законод!$E$18,L396&lt;=Законод!$E$19),L396-Законод!$C$18,IF('01_Доходи'!L396&gt;=Законод!$F$18,Законод!$E$20,0)))),IF($B$392="Лікар-терапевт",IF(L396&lt;Законод!$C$26,0,(IF(AND(L396&gt;=Законод!$E$26,L396&lt;=Законод!$E$27),L396-Законод!$C$26,IF('01_Доходи'!L396&gt;=Законод!$F$26,Законод!$E$28,0)))),0)))</f>
        <v>0</v>
      </c>
      <c r="M398" s="942"/>
      <c r="N398" s="935" t="s">
        <v>423</v>
      </c>
      <c r="O398" s="936"/>
      <c r="P398" s="936"/>
      <c r="Q398" s="936"/>
      <c r="R398" s="937"/>
      <c r="S398" s="196">
        <f ca="1">IF($B$392="Лікар загальної практики - сімейний лікар",IF(S396&lt;Законод!$C$22,0,(IF(AND(S396&gt;=Законод!$E$22,S396&lt;=Законод!$E$23),S396-Законод!$C$22,IF('01_Доходи'!S396&gt;=Законод!$F$22,Законод!$E$24,0)))),IF($B$392="Лікар-педіатр",IF(S396&lt;Законод!$C$18,0,(IF(AND(S396&gt;=Законод!$E$18,S396&lt;=Законод!$E$19),S396-Законод!$C$18,IF('01_Доходи'!S396&gt;=Законод!$F$18,Законод!$E$20,0)))),IF($B$392="Лікар-терапевт",IF(S396&lt;Законод!$C$26,0,(IF(AND(S396&gt;=Законод!$E$26,S396&lt;=Законод!$E$27),S396-Законод!$C$26,IF('01_Доходи'!S396&gt;=Законод!$F$26,Законод!$E$28,0)))),0)))</f>
        <v>0</v>
      </c>
      <c r="T398" s="942"/>
      <c r="U398" s="935" t="s">
        <v>423</v>
      </c>
      <c r="V398" s="936"/>
      <c r="W398" s="936"/>
      <c r="X398" s="936"/>
      <c r="Y398" s="937"/>
      <c r="Z398" s="196">
        <f ca="1">IF($B$392="Лікар загальної практики - сімейний лікар",IF(Z396&lt;Законод!$C$22,0,(IF(AND(Z396&gt;=Законод!$E$22,Z396&lt;=Законод!$E$23),Z396-Законод!$C$22,IF('01_Доходи'!Z396&gt;=Законод!$F$22,Законод!$E$24,0)))),IF($B$392="Лікар-педіатр",IF(Z396&lt;Законод!$C$18,0,(IF(AND(Z396&gt;=Законод!$E$18,Z396&lt;=Законод!$E$19),Z396-Законод!$C$18,IF('01_Доходи'!Z396&gt;=Законод!$F$18,Законод!$E$20,0)))),IF($B$392="Лікар-терапевт",IF(Z396&lt;Законод!$C$26,0,(IF(AND(Z396&gt;=Законод!$E$26,Z396&lt;=Законод!$E$27),Z396-Законод!$C$26,IF('01_Доходи'!Z396&gt;=Законод!$F$26,Законод!$E$28,0)))),0)))</f>
        <v>0</v>
      </c>
      <c r="AA398" s="942"/>
      <c r="AB398" s="935" t="s">
        <v>423</v>
      </c>
      <c r="AC398" s="936"/>
      <c r="AD398" s="936"/>
      <c r="AE398" s="936"/>
      <c r="AF398" s="937"/>
      <c r="AG398" s="196">
        <f ca="1">IF($B$392="Лікар загальної практики - сімейний лікар",IF(AG396&lt;Законод!$C$22,0,(IF(AND(AG396&gt;=Законод!$E$22,AG396&lt;=Законод!$E$23),AG396-Законод!$C$22,IF('01_Доходи'!AG396&gt;=Законод!$F$22,Законод!$E$24,0)))),IF($B$392="Лікар-педіатр",IF(AG396&lt;Законод!$C$18,0,(IF(AND(AG396&gt;=Законод!$E$18,AG396&lt;=Законод!$E$19),AG396-Законод!$C$18,IF('01_Доходи'!AG396&gt;=Законод!$F$18,Законод!$E$20,0)))),IF($B$392="Лікар-терапевт",IF(AG396&lt;Законод!$C$26,0,(IF(AND(AG396&gt;=Законод!$E$26,AG396&lt;=Законод!$E$27),AG396-Законод!$C$26,IF('01_Доходи'!AG396&gt;=Законод!$F$26,Законод!$E$28,0)))),0)))</f>
        <v>0</v>
      </c>
      <c r="AH398" s="942"/>
      <c r="AI398" s="201"/>
      <c r="AJ398" s="945"/>
      <c r="AK398" s="960"/>
      <c r="AL398" s="960"/>
      <c r="AM398" s="926" t="s">
        <v>452</v>
      </c>
      <c r="AN398" s="210">
        <f ca="1">IF(B392="Лікар загальної практики - сімейний лікар",L398*Законод!$C$9/4*Законод!$E$16,IF(B392="Лікар-педіатр",L398*Законод!$C$9/4*Законод!$E$16,IF(B392="Лікар-терапевт",L398*Законод!$C$9/4*Законод!$E$16,0)))</f>
        <v>0</v>
      </c>
      <c r="AO398" s="210">
        <f ca="1">IF(B392="Лікар загальної практики - сімейний лікар",S398*Законод!$C$9/4*Законод!$E$16,IF(B392="Лікар-педіатр",S398*Законод!$C$9/4*Законод!$E$16,IF(B392="Лікар-терапевт",S398*Законод!$C$9/4*Законод!$E$16,0)))</f>
        <v>0</v>
      </c>
      <c r="AP398" s="210">
        <f ca="1">IF(B392="Лікар загальної практики - сімейний лікар",Z398*Законод!$C$9/4*Законод!$E$16,IF(B392="Лікар-педіатр",Z398*Законод!$C$9/4*Законод!$E$16,IF(B392="Лікар-терапевт",Z398*Законод!$C$9/4*Законод!$E$16,0)))</f>
        <v>0</v>
      </c>
      <c r="AQ398" s="210">
        <f ca="1">IF(B392="Лікар загальної практики - сімейний лікар",AG398*Законод!$C$9/4*Законод!$E$16,IF(B392="Лікар-педіатр",AG398*Законод!$C$9/4*Законод!$E$16,IF(B392="Лікар-терапевт",AG398*Законод!$C$9/4*Законод!$E$16,0)))</f>
        <v>0</v>
      </c>
      <c r="AR398" s="211">
        <f t="shared" si="70"/>
        <v>0</v>
      </c>
    </row>
    <row r="399" spans="1:44" s="50" customFormat="1" ht="31.9" hidden="1" customHeight="1">
      <c r="A399" s="197"/>
      <c r="B399" s="951"/>
      <c r="C399" s="954"/>
      <c r="D399" s="957"/>
      <c r="E399" s="939"/>
      <c r="F399" s="238" t="str">
        <f ca="1">IF(B392="Лікар-педіатр",Законод!$F$17,IF(B392="Лікар загальної практики - сімейний лікар",Законод!$F$21,IF(B392="Лікар-терапевт",Законод!$F$25,"х")))</f>
        <v>х</v>
      </c>
      <c r="G399" s="935" t="s">
        <v>423</v>
      </c>
      <c r="H399" s="936"/>
      <c r="I399" s="936"/>
      <c r="J399" s="936"/>
      <c r="K399" s="937"/>
      <c r="L399" s="196">
        <f ca="1">IF($B$392="Лікар загальної практики - сімейний лікар",IF(L396&lt;Законод!$C$22,0,(IF(AND(L396&gt;=Законод!$F$22,L396&lt;=Законод!$F$23),L396-Законод!$E$23,IF('01_Доходи'!L396&gt;=Законод!$G$22,Законод!$F$24,0)))),IF($B$392="Лікар-педіатр",IF(L396&lt;Законод!$C$18,0,(IF(AND(L396&gt;=Законод!$F$18,L396&lt;=Законод!$F$19),L396-Законод!$E$19,IF('01_Доходи'!L396&gt;=Законод!$G$18,Законод!$F$20,0)))),IF($B$392="Лікар-терапевт",IF(L396&lt;Законод!$C$26,0,(IF(AND(L396&gt;=Законод!$F$26,L396&lt;=Законод!$F$27),L396-Законод!$E$27,IF('01_Доходи'!L396&gt;=Законод!$G$26,Законод!$F$28,0)))),0)))</f>
        <v>0</v>
      </c>
      <c r="M399" s="942"/>
      <c r="N399" s="935" t="s">
        <v>423</v>
      </c>
      <c r="O399" s="936"/>
      <c r="P399" s="936"/>
      <c r="Q399" s="936"/>
      <c r="R399" s="937"/>
      <c r="S399" s="196">
        <f ca="1">IF($B$392="Лікар загальної практики - сімейний лікар",IF(S396&lt;Законод!$C$22,0,(IF(AND(S396&gt;=Законод!$F$22,S396&lt;=Законод!$F$23),S396-Законод!$E$23,IF('01_Доходи'!S396&gt;=Законод!$G$22,Законод!$F$24,0)))),IF($B$392="Лікар-педіатр",IF(S396&lt;Законод!$C$18,0,(IF(AND(S396&gt;=Законод!$F$18,S396&lt;=Законод!$F$19),S396-Законод!$E$19,IF('01_Доходи'!S396&gt;=Законод!$G$18,Законод!$F$20,0)))),IF($B$392="Лікар-терапевт",IF(S396&lt;Законод!$C$26,0,(IF(AND(S396&gt;=Законод!$F$26,S396&lt;=Законод!$F$27),S396-Законод!$E$27,IF('01_Доходи'!S396&gt;=Законод!$G$26,Законод!$F$28,0)))),0)))</f>
        <v>0</v>
      </c>
      <c r="T399" s="942"/>
      <c r="U399" s="935" t="s">
        <v>423</v>
      </c>
      <c r="V399" s="936"/>
      <c r="W399" s="936"/>
      <c r="X399" s="936"/>
      <c r="Y399" s="937"/>
      <c r="Z399" s="196">
        <f ca="1">IF($B$392="Лікар загальної практики - сімейний лікар",IF(Z396&lt;Законод!$C$22,0,(IF(AND(Z396&gt;=Законод!$F$22,Z396&lt;=Законод!$F$23),Z396-Законод!$E$23,IF('01_Доходи'!Z396&gt;=Законод!$G$22,Законод!$F$24,0)))),IF($B$392="Лікар-педіатр",IF(Z396&lt;Законод!$C$18,0,(IF(AND(Z396&gt;=Законод!$F$18,Z396&lt;=Законод!$F$19),Z396-Законод!$E$19,IF('01_Доходи'!Z396&gt;=Законод!$G$18,Законод!$F$20,0)))),IF($B$392="Лікар-терапевт",IF(Z396&lt;Законод!$C$26,0,(IF(AND(Z396&gt;=Законод!$F$26,Z396&lt;=Законод!$F$27),Z396-Законод!$E$27,IF('01_Доходи'!Z396&gt;=Законод!$G$26,Законод!$F$28,0)))),0)))</f>
        <v>0</v>
      </c>
      <c r="AA399" s="942"/>
      <c r="AB399" s="935" t="s">
        <v>423</v>
      </c>
      <c r="AC399" s="936"/>
      <c r="AD399" s="936"/>
      <c r="AE399" s="936"/>
      <c r="AF399" s="937"/>
      <c r="AG399" s="196">
        <f ca="1">IF($B$392="Лікар загальної практики - сімейний лікар",IF(AG396&lt;Законод!$C$22,0,(IF(AND(AG396&gt;=Законод!$F$22,AG396&lt;=Законод!$F$23),AG396-Законод!$E$23,IF('01_Доходи'!AG396&gt;=Законод!$G$22,Законод!$F$24,0)))),IF($B$392="Лікар-педіатр",IF(AG396&lt;Законод!$C$18,0,(IF(AND(AG396&gt;=Законод!$F$18,AG396&lt;=Законод!$F$19),AG396-Законод!$E$19,IF('01_Доходи'!AG396&gt;=Законод!$G$18,Законод!$F$20,0)))),IF($B$392="Лікар-терапевт",IF(AG396&lt;Законод!$C$26,0,(IF(AND(AG396&gt;=Законод!$F$26,AG396&lt;=Законод!$F$27),AG396-Законод!$E$27,IF('01_Доходи'!AG396&gt;=Законод!$G$26,Законод!$F$28,0)))),0)))</f>
        <v>0</v>
      </c>
      <c r="AH399" s="942"/>
      <c r="AI399" s="201"/>
      <c r="AJ399" s="945"/>
      <c r="AK399" s="960"/>
      <c r="AL399" s="960"/>
      <c r="AM399" s="927"/>
      <c r="AN399" s="210">
        <f ca="1">IF(B392="Лікар загальної практики - сімейний лікар",L399*Законод!$C$9/4*Законод!$F$16,IF(B392="Лікар-педіатр",L399*Законод!$C$9/4*Законод!$F$16,IF(B392="Лікар-терапевт",L399*Законод!$C$9/4*Законод!$F$16,0)))</f>
        <v>0</v>
      </c>
      <c r="AO399" s="210">
        <f ca="1">IF(B392="Лікар загальної практики - сімейний лікар",S399*Законод!$C$9/4*Законод!$F$16,IF(B392="Лікар-педіатр",S399*Законод!$C$9/4*Законод!$F$16,IF(B392="Лікар-терапевт",S399*Законод!$C$9/4*Законод!$F$16,0)))</f>
        <v>0</v>
      </c>
      <c r="AP399" s="210">
        <f ca="1">IF(B392="Лікар загальної практики - сімейний лікар",Z399*Законод!$C$9/4*Законод!$F$16,IF(B392="Лікар-педіатр",Z399*Законод!$C$9/4*Законод!$F$16,IF(B392="Лікар-терапевт",Z399*Законод!$C$9/4*Законод!$F$16,0)))</f>
        <v>0</v>
      </c>
      <c r="AQ399" s="210">
        <f ca="1">IF(B392="Лікар загальної практики - сімейний лікар",AG399*Законод!$C$9/4*Законод!$F$16,IF(B392="Лікар-педіатр",AG399*Законод!$C$9/4*Законод!$F$16,IF(B392="Лікар-терапевт",AG399*Законод!$C$9/4*Законод!$F$16,0)))</f>
        <v>0</v>
      </c>
      <c r="AR399" s="211">
        <f t="shared" si="70"/>
        <v>0</v>
      </c>
    </row>
    <row r="400" spans="1:44" s="50" customFormat="1" ht="31.9" hidden="1" customHeight="1">
      <c r="A400" s="197"/>
      <c r="B400" s="951"/>
      <c r="C400" s="954"/>
      <c r="D400" s="957"/>
      <c r="E400" s="939"/>
      <c r="F400" s="238" t="str">
        <f ca="1">IF(B392="Лікар-педіатр",Законод!$G$17,IF(B392="Лікар загальної практики - сімейний лікар",Законод!$G$21,IF(B392="Лікар-терапевт",Законод!$G$25,"х")))</f>
        <v>х</v>
      </c>
      <c r="G400" s="935" t="s">
        <v>423</v>
      </c>
      <c r="H400" s="936"/>
      <c r="I400" s="936"/>
      <c r="J400" s="936"/>
      <c r="K400" s="937"/>
      <c r="L400" s="196">
        <f ca="1">IF($B$392="Лікар загальної практики - сімейний лікар",IF(L396&lt;Законод!$C$22,0,(IF(AND(L396&gt;=Законод!$G$22,L396&lt;=Законод!$G$23),L396-Законод!$F$23,IF('01_Доходи'!L396&gt;=Законод!$H$22,Законод!$G$24,0)))),IF($B$392="Лікар-педіатр",IF(L396&lt;Законод!$C$18,0,(IF(AND(L396&gt;=Законод!$G$18,L396&lt;=Законод!$G$19),L396-Законод!$F$19,IF('01_Доходи'!L396&gt;=Законод!$H$18,Законод!$G$20,0)))),IF($B$392="Лікар-терапевт",IF(L396&lt;Законод!$C$26,0,(IF(AND(L396&gt;=Законод!$G$26,L396&lt;=Законод!$G$27),L396-Законод!$F$27,IF('01_Доходи'!L396&gt;=Законод!$H$26,Законод!$G$28,0)))),0)))</f>
        <v>0</v>
      </c>
      <c r="M400" s="942"/>
      <c r="N400" s="935" t="s">
        <v>423</v>
      </c>
      <c r="O400" s="936"/>
      <c r="P400" s="936"/>
      <c r="Q400" s="936"/>
      <c r="R400" s="937"/>
      <c r="S400" s="196">
        <f ca="1">IF($B$392="Лікар загальної практики - сімейний лікар",IF(S396&lt;Законод!$C$22,0,(IF(AND(S396&gt;=Законод!$G$22,S396&lt;=Законод!$G$23),S396-Законод!$F$23,IF('01_Доходи'!S396&gt;=Законод!$H$22,Законод!$G$24,0)))),IF($B$392="Лікар-педіатр",IF(S396&lt;Законод!$C$18,0,(IF(AND(S396&gt;=Законод!$G$18,S396&lt;=Законод!$G$19),S396-Законод!$F$19,IF('01_Доходи'!S396&gt;=Законод!$H$18,Законод!$G$20,0)))),IF($B$392="Лікар-терапевт",IF(S396&lt;Законод!$C$26,0,(IF(AND(S396&gt;=Законод!$G$26,S396&lt;=Законод!$G$27),S396-Законод!$F$27,IF('01_Доходи'!S396&gt;=Законод!$H$26,Законод!$G$28,0)))),0)))</f>
        <v>0</v>
      </c>
      <c r="T400" s="942"/>
      <c r="U400" s="935" t="s">
        <v>423</v>
      </c>
      <c r="V400" s="936"/>
      <c r="W400" s="936"/>
      <c r="X400" s="936"/>
      <c r="Y400" s="937"/>
      <c r="Z400" s="196">
        <f ca="1">IF($B$392="Лікар загальної практики - сімейний лікар",IF(Z396&lt;Законод!$C$22,0,(IF(AND(Z396&gt;=Законод!$G$22,Z396&lt;=Законод!$G$23),Z396-Законод!$F$23,IF('01_Доходи'!Z396&gt;=Законод!$H$22,Законод!$G$24,0)))),IF($B$392="Лікар-педіатр",IF(Z396&lt;Законод!$C$18,0,(IF(AND(Z396&gt;=Законод!$G$18,Z396&lt;=Законод!$G$19),Z396-Законод!$F$19,IF('01_Доходи'!Z396&gt;=Законод!$H$18,Законод!$G$20,0)))),IF($B$392="Лікар-терапевт",IF(Z396&lt;Законод!$C$26,0,(IF(AND(Z396&gt;=Законод!$G$26,Z396&lt;=Законод!$G$27),Z396-Законод!$F$27,IF('01_Доходи'!Z396&gt;=Законод!$H$26,Законод!$G$28,0)))),0)))</f>
        <v>0</v>
      </c>
      <c r="AA400" s="942"/>
      <c r="AB400" s="935" t="s">
        <v>423</v>
      </c>
      <c r="AC400" s="936"/>
      <c r="AD400" s="936"/>
      <c r="AE400" s="936"/>
      <c r="AF400" s="937"/>
      <c r="AG400" s="196">
        <f ca="1">IF($B$392="Лікар загальної практики - сімейний лікар",IF(AG396&lt;Законод!$C$22,0,(IF(AND(AG396&gt;=Законод!$G$22,AG396&lt;=Законод!$G$23),AG396-Законод!$F$23,IF('01_Доходи'!AG396&gt;=Законод!$H$22,Законод!$G$24,0)))),IF($B$392="Лікар-педіатр",IF(AG396&lt;Законод!$C$18,0,(IF(AND(AG396&gt;=Законод!$G$18,AG396&lt;=Законод!$G$19),AG396-Законод!$F$19,IF('01_Доходи'!AG396&gt;=Законод!$H$18,Законод!$G$20,0)))),IF($B$392="Лікар-терапевт",IF(AG396&lt;Законод!$C$26,0,(IF(AND(AG396&gt;=Законод!$G$26,AG396&lt;=Законод!$G$27),AG396-Законод!$F$27,IF('01_Доходи'!AG396&gt;=Законод!$H$26,Законод!$G$28,0)))),0)))</f>
        <v>0</v>
      </c>
      <c r="AH400" s="942"/>
      <c r="AI400" s="201"/>
      <c r="AJ400" s="945"/>
      <c r="AK400" s="960"/>
      <c r="AL400" s="960"/>
      <c r="AM400" s="927"/>
      <c r="AN400" s="210">
        <f ca="1">IF(B392="Лікар загальної практики - сімейний лікар",L400*Законод!$C$9/4*Законод!$G$16,IF(B392="Лікар-педіатр",L400*Законод!$C$9/4*Законод!$G$16,IF(B392="Лікар-терапевт",L400*Законод!$C$9/4*Законод!$G$16,0)))</f>
        <v>0</v>
      </c>
      <c r="AO400" s="210">
        <f ca="1">IF(B392="Лікар загальної практики - сімейний лікар",S400*Законод!$C$9/4*Законод!$G$16,IF(B392="Лікар-педіатр",S400*Законод!$C$9/4*Законод!$G$16,IF(B392="Лікар-терапевт",S400*Законод!$C$9/4*Законод!$G$16,0)))</f>
        <v>0</v>
      </c>
      <c r="AP400" s="210">
        <f ca="1">IF(B392="Лікар загальної практики - сімейний лікар",Z400*Законод!$C$9/4*Законод!$G$16,IF(B392="Лікар-педіатр",Z400*Законод!$C$9/4*Законод!$G$16,IF(B392="Лікар-терапевт",Z400*Законод!$C$9/4*Законод!$G$16,0)))</f>
        <v>0</v>
      </c>
      <c r="AQ400" s="210">
        <f ca="1">IF(B392="Лікар загальної практики - сімейний лікар",AG400*Законод!$C$9/4*Законод!$G$16,IF(B392="Лікар-педіатр",AG400*Законод!$C$9/4*Законод!$G$16,IF(B392="Лікар-терапевт",AG400*Законод!$C$9/4*Законод!$G$16,0)))</f>
        <v>0</v>
      </c>
      <c r="AR400" s="211">
        <f t="shared" si="70"/>
        <v>0</v>
      </c>
    </row>
    <row r="401" spans="1:44" s="50" customFormat="1" ht="31.9" hidden="1" customHeight="1">
      <c r="A401" s="197"/>
      <c r="B401" s="951"/>
      <c r="C401" s="954"/>
      <c r="D401" s="957"/>
      <c r="E401" s="939"/>
      <c r="F401" s="238" t="str">
        <f ca="1">IF(B392="Лікар-педіатр",Законод!$H$17,IF(B392="Лікар загальної практики - сімейний лікар",Законод!$H$21,IF(B392="Лікар-терапевт",Законод!$H$25,"х")))</f>
        <v>х</v>
      </c>
      <c r="G401" s="935" t="s">
        <v>423</v>
      </c>
      <c r="H401" s="936"/>
      <c r="I401" s="936"/>
      <c r="J401" s="936"/>
      <c r="K401" s="937"/>
      <c r="L401" s="196">
        <f ca="1">IF($B$392="Лікар загальної практики - сімейний лікар",IF(L396&lt;Законод!$C$22,0,(IF(AND(L396&gt;=Законод!$H$22,L396&lt;=Законод!$H$23),L396-Законод!$G$23,IF('01_Доходи'!L396&gt;=Законод!$I$22,Законод!$H$24,0)))),IF($B$392="Лікар-педіатр",IF(L396&lt;Законод!$C$18,0,(IF(AND(L396&gt;=Законод!$H$18,L396&lt;=Законод!$H$19),L396-Законод!$G$19,IF('01_Доходи'!L396&gt;=Законод!$I$18,Законод!$H$20,0)))),IF($B$392="Лікар-терапевт",IF(L396&lt;Законод!$C$26,0,(IF(AND(L396&gt;=Законод!$H$26,L396&lt;=Законод!$H$27),L396-Законод!$G$27,IF(L396&gt;=Законод!$I$26,Законод!$H$28,0)))),0)))</f>
        <v>0</v>
      </c>
      <c r="M401" s="942"/>
      <c r="N401" s="935" t="s">
        <v>423</v>
      </c>
      <c r="O401" s="936"/>
      <c r="P401" s="936"/>
      <c r="Q401" s="936"/>
      <c r="R401" s="937"/>
      <c r="S401" s="196">
        <f ca="1">IF($B$392="Лікар загальної практики - сімейний лікар",IF(S396&lt;Законод!$C$22,0,(IF(AND(S396&gt;=Законод!$H$22,S396&lt;=Законод!$H$23),S396-Законод!$G$23,IF('01_Доходи'!S396&gt;=Законод!$I$22,Законод!$H$24,0)))),IF($B$392="Лікар-педіатр",IF(S396&lt;Законод!$C$18,0,(IF(AND(S396&gt;=Законод!$H$18,S396&lt;=Законод!$H$19),S396-Законод!$G$19,IF('01_Доходи'!S396&gt;=Законод!$I$18,Законод!$H$20,0)))),IF($B$392="Лікар-терапевт",IF(S396&lt;Законод!$C$26,0,(IF(AND(S396&gt;=Законод!$H$26,S396&lt;=Законод!$H$27),S396-Законод!$G$27,IF(S396&gt;=Законод!$I$26,Законод!$H$28,0)))),0)))</f>
        <v>0</v>
      </c>
      <c r="T401" s="942"/>
      <c r="U401" s="935" t="s">
        <v>423</v>
      </c>
      <c r="V401" s="936"/>
      <c r="W401" s="936"/>
      <c r="X401" s="936"/>
      <c r="Y401" s="937"/>
      <c r="Z401" s="196">
        <f ca="1">IF($B$392="Лікар загальної практики - сімейний лікар",IF(Z396&lt;Законод!$C$22,0,(IF(AND(Z396&gt;=Законод!$H$22,Z396&lt;=Законод!$H$23),Z396-Законод!$G$23,IF('01_Доходи'!Z396&gt;=Законод!$I$22,Законод!$H$24,0)))),IF($B$392="Лікар-педіатр",IF(Z396&lt;Законод!$C$18,0,(IF(AND(Z396&gt;=Законод!$H$18,Z396&lt;=Законод!$H$19),Z396-Законод!$G$19,IF('01_Доходи'!Z396&gt;=Законод!$I$18,Законод!$H$20,0)))),IF($B$392="Лікар-терапевт",IF(Z396&lt;Законод!$C$26,0,(IF(AND(Z396&gt;=Законод!$H$26,Z396&lt;=Законод!$H$27),Z396-Законод!$G$27,IF(Z396&gt;=Законод!$I$26,Законод!$H$28,0)))),0)))</f>
        <v>0</v>
      </c>
      <c r="AA401" s="942"/>
      <c r="AB401" s="935" t="s">
        <v>423</v>
      </c>
      <c r="AC401" s="936"/>
      <c r="AD401" s="936"/>
      <c r="AE401" s="936"/>
      <c r="AF401" s="937"/>
      <c r="AG401" s="196">
        <f ca="1">IF($B$392="Лікар загальної практики - сімейний лікар",IF(AG396&lt;Законод!$C$22,0,(IF(AND(AG396&gt;=Законод!$H$22,AG396&lt;=Законод!$H$23),AG396-Законод!$G$23,IF('01_Доходи'!AG396&gt;=Законод!$I$22,Законод!$H$24,0)))),IF($B$392="Лікар-педіатр",IF(AG396&lt;Законод!$C$18,0,(IF(AND(AG396&gt;=Законод!$H$18,AG396&lt;=Законод!$H$19),AG396-Законод!$G$19,IF('01_Доходи'!AG396&gt;=Законод!$I$18,Законод!$H$20,0)))),IF($B$392="Лікар-терапевт",IF(AG396&lt;Законод!$C$26,0,(IF(AND(AG396&gt;=Законод!$H$26,AG396&lt;=Законод!$H$27),AG396-Законод!$G$27,IF(AG396&gt;=Законод!$I$26,Законод!$H$28,0)))),0)))</f>
        <v>0</v>
      </c>
      <c r="AH401" s="942"/>
      <c r="AI401" s="201"/>
      <c r="AJ401" s="945"/>
      <c r="AK401" s="960"/>
      <c r="AL401" s="960"/>
      <c r="AM401" s="927"/>
      <c r="AN401" s="210">
        <f ca="1">IF(B392="Лікар загальної практики - сімейний лікар",L401*Законод!$C$9/4*Законод!$H$16,IF(B392="Лікар-педіатр",L401*Законод!$C$9/4*Законод!$H$16,IF(B392="Лікар-терапевт",L401*Законод!$C$9/4*Законод!$H$16,0)))</f>
        <v>0</v>
      </c>
      <c r="AO401" s="210">
        <f ca="1">IF(B392="Лікар загальної практики - сімейний лікар",S401*Законод!$C$9/4*Законод!$H$16,IF(B392="Лікар-педіатр",S401*Законод!$C$9/4*Законод!$H$16,IF(B392="Лікар-терапевт",S401*Законод!$C$9/4*Законод!$H$16,0)))</f>
        <v>0</v>
      </c>
      <c r="AP401" s="210">
        <f ca="1">IF(B392="Лікар загальної практики - сімейний лікар",Z401*Законод!$C$9/4*Законод!$H$16,IF(B392="Лікар-педіатр",Z401*Законод!$C$9/4*Законод!$H$16,IF(B392="Лікар-терапевт",Z401*Законод!$C$9/4*Законод!$H$16,0)))</f>
        <v>0</v>
      </c>
      <c r="AQ401" s="210">
        <f ca="1">IF(B392="Лікар загальної практики - сімейний лікар",AG401*Законод!$C$9/4*Законод!$H$16,IF(B392="Лікар-педіатр",AG401*Законод!$C$9/4*Законод!$H$16,IF(B392="Лікар-терапевт",AG401*Законод!$C$9/4*Законод!$H$16,0)))</f>
        <v>0</v>
      </c>
      <c r="AR401" s="211">
        <f t="shared" si="70"/>
        <v>0</v>
      </c>
    </row>
    <row r="402" spans="1:44" s="50" customFormat="1" ht="31.9" hidden="1" customHeight="1">
      <c r="A402" s="197"/>
      <c r="B402" s="951"/>
      <c r="C402" s="954"/>
      <c r="D402" s="957"/>
      <c r="E402" s="939"/>
      <c r="F402" s="238" t="str">
        <f ca="1">IF(B392="Лікар-педіатр",Законод!$I$17,IF(B392="Лікар загальної практики - сімейний лікар",Законод!$I$21,IF(B392="Лікар-терапевт",Законод!$I$25,"х")))</f>
        <v>х</v>
      </c>
      <c r="G402" s="935" t="s">
        <v>423</v>
      </c>
      <c r="H402" s="936"/>
      <c r="I402" s="936"/>
      <c r="J402" s="936"/>
      <c r="K402" s="937"/>
      <c r="L402" s="196">
        <f ca="1">IF($B$392="Лікар загальної практики - сімейний лікар",IF(L396&lt;Законод!$C$22,0,(IF(AND(L396&gt;=Законод!$I$22,L396&lt;=Законод!$I$23),L396-Законод!$H$23,IF('01_Доходи'!L396&gt;=Законод!$I$22,Законод!$I$24,0)))),IF($B$392="Лікар-педіатр",IF(L396&lt;Законод!$C$18,0,(IF(AND(L396&gt;=Законод!$I$18,L396&lt;=Законод!$I$19),L396-Законод!$H$19,IF('01_Доходи'!L396&gt;=Законод!$I$18,Законод!$H$20,0)))),IF($B$392="Лікар-терапевт",IF(L396&lt;Законод!$C$26,0,(IF(AND(L396&gt;=Законод!$I$26,L396&lt;=Законод!$I$27),L396-Законод!$H$27,IF('01_Доходи'!L396&gt;=Законод!$I$26,Законод!$H$28,0)))),0)))</f>
        <v>0</v>
      </c>
      <c r="M402" s="942"/>
      <c r="N402" s="935" t="s">
        <v>423</v>
      </c>
      <c r="O402" s="936"/>
      <c r="P402" s="936"/>
      <c r="Q402" s="936"/>
      <c r="R402" s="937"/>
      <c r="S402" s="196">
        <f ca="1">IF($B$392="Лікар загальної практики - сімейний лікар",IF(S396&lt;Законод!$C$22,0,(IF(AND(S396&gt;=Законод!$I$22,S396&lt;=Законод!$I$23),S396-Законод!$H$23,IF('01_Доходи'!S396&gt;=Законод!$I$22,Законод!$I$24,0)))),IF($B$392="Лікар-педіатр",IF(S396&lt;Законод!$C$18,0,(IF(AND(S396&gt;=Законод!$I$18,S396&lt;=Законод!$I$19),S396-Законод!$H$19,IF('01_Доходи'!S396&gt;=Законод!$I$18,Законод!$H$20,0)))),IF($B$392="Лікар-терапевт",IF(S396&lt;Законод!$C$26,0,(IF(AND(S396&gt;=Законод!$I$26,S396&lt;=Законод!$I$27),S396-Законод!$H$27,IF('01_Доходи'!S396&gt;=Законод!$I$26,Законод!$H$28,0)))),0)))</f>
        <v>0</v>
      </c>
      <c r="T402" s="942"/>
      <c r="U402" s="935" t="s">
        <v>423</v>
      </c>
      <c r="V402" s="936"/>
      <c r="W402" s="936"/>
      <c r="X402" s="936"/>
      <c r="Y402" s="937"/>
      <c r="Z402" s="196">
        <f ca="1">IF($B$392="Лікар загальної практики - сімейний лікар",IF(Z396&lt;Законод!$C$22,0,(IF(AND(Z396&gt;=Законод!$I$22,Z396&lt;=Законод!$I$23),Z396-Законод!$H$23,IF('01_Доходи'!Z396&gt;=Законод!$I$22,Законод!$I$24,0)))),IF($B$392="Лікар-педіатр",IF(Z396&lt;Законод!$C$18,0,(IF(AND(Z396&gt;=Законод!$I$18,Z396&lt;=Законод!$I$19),Z396-Законод!$H$19,IF('01_Доходи'!Z396&gt;=Законод!$I$18,Законод!$H$20,0)))),IF($B$392="Лікар-терапевт",IF(Z396&lt;Законод!$C$26,0,(IF(AND(Z396&gt;=Законод!$I$26,Z396&lt;=Законод!$I$27),Z396-Законод!$H$27,IF('01_Доходи'!Z396&gt;=Законод!$I$26,Законод!$H$28,0)))),0)))</f>
        <v>0</v>
      </c>
      <c r="AA402" s="942"/>
      <c r="AB402" s="935" t="s">
        <v>423</v>
      </c>
      <c r="AC402" s="936"/>
      <c r="AD402" s="936"/>
      <c r="AE402" s="936"/>
      <c r="AF402" s="937"/>
      <c r="AG402" s="196">
        <f ca="1">IF($B$392="Лікар загальної практики - сімейний лікар",IF(AG396&lt;Законод!$C$22,0,(IF(AND(AG396&gt;=Законод!$I$22,AG396&lt;=Законод!$I$23),AG396-Законод!$H$23,IF('01_Доходи'!AG396&gt;=Законод!$I$22,Законод!$I$24,0)))),IF($B$392="Лікар-педіатр",IF(AG396&lt;Законод!$C$18,0,(IF(AND(AG396&gt;=Законод!$I$18,AG396&lt;=Законод!$I$19),AG396-Законод!$H$19,IF('01_Доходи'!AG396&gt;=Законод!$I$18,Законод!$H$20,0)))),IF($B$392="Лікар-терапевт",IF(AG396&lt;Законод!$C$26,0,(IF(AND(AG396&gt;=Законод!$I$26,AG396&lt;=Законод!$I$27),AG396-Законод!$H$27,IF('01_Доходи'!AG396&gt;=Законод!$I$26,Законод!$H$28,0)))),0)))</f>
        <v>0</v>
      </c>
      <c r="AH402" s="942"/>
      <c r="AI402" s="201"/>
      <c r="AJ402" s="945"/>
      <c r="AK402" s="960"/>
      <c r="AL402" s="960"/>
      <c r="AM402" s="927"/>
      <c r="AN402" s="210">
        <f ca="1">IF(B392="Лікар загальної практики - сімейний лікар",L402*Законод!$C$9/4*Законод!$I$16,IF(B392="Лікар-педіатр",L402*Законод!$C$9/4*Законод!$I$16,IF(B392="Лікар-терапевт",L402*Законод!$C$9/4*Законод!$I$16,0)))</f>
        <v>0</v>
      </c>
      <c r="AO402" s="210">
        <f ca="1">IF(B392="Лікар загальної практики - сімейний лікар",S402*Законод!$C$9/4*Законод!$I$16,IF(B392="Лікар-педіатр",S402*Законод!$C$9/4*Законод!$I$16,IF(B392="Лікар-терапевт",S402*Законод!$C$9/4*Законод!$I$16,0)))</f>
        <v>0</v>
      </c>
      <c r="AP402" s="210">
        <f ca="1">IF(B392="Лікар загальної практики - сімейний лікар",Z402*Законод!$C$9/4*Законод!$I$16,IF(B392="Лікар-педіатр",Z402*Законод!$C$9/4*Законод!$I$16,IF(B392="Лікар-терапевт",Z402*Законод!$C$9/4*Законод!$I$16,0)))</f>
        <v>0</v>
      </c>
      <c r="AQ402" s="210">
        <f ca="1">IF(B392="Лікар загальної практики - сімейний лікар",AG402*Законод!$C$9/4*Законод!$I$16,IF(B392="Лікар-педіатр",AG402*Законод!$C$9/4*Законод!$I$16,IF(B392="Лікар-терапевт",AG402*Законод!$C$9/4*Законод!$I$16,0)))</f>
        <v>0</v>
      </c>
      <c r="AR402" s="211">
        <f t="shared" si="70"/>
        <v>0</v>
      </c>
    </row>
    <row r="403" spans="1:44" s="218" customFormat="1" ht="31.9" hidden="1" customHeight="1" thickBot="1">
      <c r="A403" s="213"/>
      <c r="B403" s="952"/>
      <c r="C403" s="955"/>
      <c r="D403" s="958"/>
      <c r="E403" s="940"/>
      <c r="F403" s="239" t="str">
        <f ca="1">IF(B392="Лікар-педіатр",Законод!$J$17,IF(B392="Лікар загальної практики - сімейний лікар",Законод!$J$21,IF(B392="Лікар-терапевт",Законод!$J$25,"х")))</f>
        <v>х</v>
      </c>
      <c r="G403" s="932" t="s">
        <v>423</v>
      </c>
      <c r="H403" s="933"/>
      <c r="I403" s="933"/>
      <c r="J403" s="933"/>
      <c r="K403" s="934"/>
      <c r="L403" s="196">
        <f ca="1">IF($B$392="Лікар загальної практики - сімейний лікар",IF(L396&gt;=Законод!$J$22,'01_Доходи'!L396-('01_Доходи'!L397+'01_Доходи'!L398+'01_Доходи'!L399+'01_Доходи'!L400+'01_Доходи'!L401+'01_Доходи'!L402),0),IF($B$392="Лікар-педіатр",IF(L396&gt;=Законод!$J$18,'01_Доходи'!L396-('01_Доходи'!L397+'01_Доходи'!L398+'01_Доходи'!L399+'01_Доходи'!L400+'01_Доходи'!L401+'01_Доходи'!L402),0),IF($B$392="Лікар-терапевт",IF('01_Доходи'!L396&gt;=Законод!$J$26,L396-Законод!$I$27,0),0)))</f>
        <v>0</v>
      </c>
      <c r="M403" s="943"/>
      <c r="N403" s="932" t="s">
        <v>423</v>
      </c>
      <c r="O403" s="933"/>
      <c r="P403" s="933"/>
      <c r="Q403" s="933"/>
      <c r="R403" s="934"/>
      <c r="S403" s="196">
        <f ca="1">IF($B$392="Лікар загальної практики - сімейний лікар",IF(S396&gt;=Законод!$J$22,'01_Доходи'!S396-('01_Доходи'!S397+'01_Доходи'!S398+'01_Доходи'!S399+'01_Доходи'!S400+'01_Доходи'!S401+'01_Доходи'!S402),0),IF($B$392="Лікар-педіатр",IF(S396&gt;=Законод!$J$18,'01_Доходи'!S396-('01_Доходи'!S397+'01_Доходи'!S398+'01_Доходи'!S399+'01_Доходи'!S400+'01_Доходи'!S401+'01_Доходи'!S402),0),IF($B$392="Лікар-терапевт",IF('01_Доходи'!S396&gt;=Законод!$J$26,S396-Законод!$I$27,0),0)))</f>
        <v>0</v>
      </c>
      <c r="T403" s="943"/>
      <c r="U403" s="932" t="s">
        <v>423</v>
      </c>
      <c r="V403" s="933"/>
      <c r="W403" s="933"/>
      <c r="X403" s="933"/>
      <c r="Y403" s="934"/>
      <c r="Z403" s="196">
        <f ca="1">IF($B$392="Лікар загальної практики - сімейний лікар",IF(Z396&gt;=Законод!$J$22,'01_Доходи'!Z396-('01_Доходи'!Z397+'01_Доходи'!Z398+'01_Доходи'!Z399+'01_Доходи'!Z400+'01_Доходи'!Z401+'01_Доходи'!Z402),0),IF($B$392="Лікар-педіатр",IF(Z396&gt;=Законод!$J$18,'01_Доходи'!Z396-('01_Доходи'!Z397+'01_Доходи'!Z398+'01_Доходи'!Z399+'01_Доходи'!Z400+'01_Доходи'!Z401+'01_Доходи'!Z402),0),IF($B$392="Лікар-терапевт",IF('01_Доходи'!Z396&gt;=Законод!$J$26,Z396-Законод!$I$27,0),0)))</f>
        <v>0</v>
      </c>
      <c r="AA403" s="943"/>
      <c r="AB403" s="932" t="s">
        <v>423</v>
      </c>
      <c r="AC403" s="933"/>
      <c r="AD403" s="933"/>
      <c r="AE403" s="933"/>
      <c r="AF403" s="934"/>
      <c r="AG403" s="196">
        <f ca="1">IF($B$392="Лікар загальної практики - сімейний лікар",IF(AG396&gt;=Законод!$J$22,'01_Доходи'!AG396-('01_Доходи'!AG397+'01_Доходи'!AG398+'01_Доходи'!AG399+'01_Доходи'!AG400+'01_Доходи'!AG401+'01_Доходи'!AG402),0),IF($B$392="Лікар-педіатр",IF(AG396&gt;=Законод!$J$18,'01_Доходи'!AG396-('01_Доходи'!AG397+'01_Доходи'!AG398+'01_Доходи'!AG399+'01_Доходи'!AG400+'01_Доходи'!AG401+'01_Доходи'!AG402),0),IF($B$392="Лікар-терапевт",IF('01_Доходи'!AG396&gt;=Законод!$J$26,AG396-Законод!$I$27,0),0)))</f>
        <v>0</v>
      </c>
      <c r="AH403" s="943"/>
      <c r="AI403" s="215"/>
      <c r="AJ403" s="946"/>
      <c r="AK403" s="961"/>
      <c r="AL403" s="961"/>
      <c r="AM403" s="928"/>
      <c r="AN403" s="216">
        <f ca="1">IF(B392="Лікар загальної практики - сімейний лікар",L403*Законод!$C$9/4*Законод!$J$16,IF(B392="Лікар-педіатр",L403*Законод!$C$9/4*Законод!$J$16,IF(B392="Лікар-терапевт",L403*Законод!$C$9/4*Законод!$J$16,0)))</f>
        <v>0</v>
      </c>
      <c r="AO403" s="216">
        <f ca="1">IF(B392="Лікар загальної практики - сімейний лікар",S403*Законод!$C$9/4*Законод!$J$16,IF(B392="Лікар-педіатр",S403*Законод!$C$9/4*Законод!$J$16,IF(B392="Лікар-терапевт",S403*Законод!$C$9/4*Законод!$J$16,0)))</f>
        <v>0</v>
      </c>
      <c r="AP403" s="216">
        <f ca="1">IF(B392="Лікар загальної практики - сімейний лікар",S403*Законод!$C$9/4*Законод!$J$16,IF(B392="Лікар-педіатр",S403*Законод!$C$9/4*Законод!$J$16,IF(B392="Лікар-терапевт",S403*Законод!$C$9/4*Законод!$J$16,0)))</f>
        <v>0</v>
      </c>
      <c r="AQ403" s="216">
        <f ca="1">IF(B392="Лікар загальної практики - сімейний лікар",AG403*Законод!$C$9/4*Законод!$J$16,IF(B392="Лікар-педіатр",AG403*Законод!$C$9/4*Законод!$J$16,IF(B392="Лікар-терапевт",AG403*Законод!$C$9/4*Законод!$J$16,0)))</f>
        <v>0</v>
      </c>
      <c r="AR403" s="217">
        <f t="shared" si="70"/>
        <v>0</v>
      </c>
    </row>
    <row r="404" spans="1:44" s="247" customFormat="1" ht="23.45" hidden="1" customHeight="1" thickBot="1">
      <c r="A404" s="243"/>
      <c r="B404" s="244"/>
      <c r="C404" s="244"/>
      <c r="D404" s="244"/>
      <c r="E404" s="244"/>
      <c r="F404" s="245"/>
      <c r="G404" s="246"/>
      <c r="H404" s="246"/>
      <c r="L404" s="248"/>
      <c r="N404" s="246"/>
      <c r="O404" s="246"/>
      <c r="S404" s="248"/>
      <c r="U404" s="246"/>
      <c r="V404" s="246"/>
      <c r="Z404" s="248"/>
      <c r="AB404" s="246"/>
      <c r="AC404" s="246"/>
      <c r="AG404" s="248"/>
      <c r="AM404" s="249"/>
      <c r="AR404" s="250"/>
    </row>
    <row r="405" spans="1:44" s="191" customFormat="1" ht="27.6" hidden="1" customHeight="1">
      <c r="A405" s="194">
        <f>A392+1</f>
        <v>29</v>
      </c>
      <c r="B405" s="950"/>
      <c r="C405" s="953"/>
      <c r="D405" s="956"/>
      <c r="E405" s="938"/>
      <c r="F405" s="234" t="s">
        <v>659</v>
      </c>
      <c r="G405" s="196">
        <f>IF($B$405="Лікар-педіатр",G408*L405,IF($B$405="Лікар-терапевт","х",IF($B$405="Лікар загальної практики - сімейний лікар",G408*L405,0)))</f>
        <v>0</v>
      </c>
      <c r="H405" s="196">
        <f>IF($B$405="Лікар-педіатр",H408*L405,IF($B$405="Лікар-терапевт","х",IF($B$405="Лікар загальної практики - сімейний лікар",H408*L405,0)))</f>
        <v>0</v>
      </c>
      <c r="I405" s="196">
        <f>IF($B$405="Лікар-педіатр","x",IF($B$405="Лікар-терапевт",I408*L405,IF($B$405="Лікар загальної практики - сімейний лікар",I408*L405,0)))</f>
        <v>0</v>
      </c>
      <c r="J405" s="196">
        <f>IF($B$405="Лікар-педіатр","x",IF($B$405="Лікар-терапевт",J408*L405,IF($B$405="Лікар загальної практики - сімейний лікар",J408*L405,0)))</f>
        <v>0</v>
      </c>
      <c r="K405" s="196">
        <f>IF($B$405="Лікар-педіатр","x",IF($B$405="Лікар-терапевт",K408*L405,IF($B$405="Лікар загальної практики - сімейний лікар",K408*L405,0)))</f>
        <v>0</v>
      </c>
      <c r="L405" s="557"/>
      <c r="M405" s="941"/>
      <c r="N405" s="196">
        <f>IF($B$405="Лікар-педіатр",N408*S405,IF($B$405="Лікар-терапевт","х",IF($B$405="Лікар загальної практики - сімейний лікар",N408*S405,0)))</f>
        <v>0</v>
      </c>
      <c r="O405" s="196">
        <f>IF($B$405="Лікар-педіатр",O408*S405,IF($B$405="Лікар-терапевт","х",IF($B$405="Лікар загальної практики - сімейний лікар",O408*S405,0)))</f>
        <v>0</v>
      </c>
      <c r="P405" s="196">
        <f>IF($B$405="Лікар-педіатр","x",IF($B$405="Лікар-терапевт",P408*S405,IF($B$405="Лікар загальної практики - сімейний лікар",P408*S405,0)))</f>
        <v>0</v>
      </c>
      <c r="Q405" s="196">
        <f>IF($B$405="Лікар-педіатр","x",IF($B$405="Лікар-терапевт",Q408*S405,IF($B$405="Лікар загальної практики - сімейний лікар",Q408*S405,0)))</f>
        <v>0</v>
      </c>
      <c r="R405" s="196">
        <f>IF($B$405="Лікар-педіатр","x",IF($B$405="Лікар-терапевт",R408*S405,IF($B$405="Лікар загальної практики - сімейний лікар",R408*S405,0)))</f>
        <v>0</v>
      </c>
      <c r="S405" s="557"/>
      <c r="T405" s="941"/>
      <c r="U405" s="196">
        <f>IF($B$405="Лікар-педіатр",U408*Z405,IF($B$405="Лікар-терапевт","х",IF($B$405="Лікар загальної практики - сімейний лікар",U408*Z405,0)))</f>
        <v>0</v>
      </c>
      <c r="V405" s="196">
        <f>IF($B$405="Лікар-педіатр",V408*Z405,IF($B$405="Лікар-терапевт","х",IF($B$405="Лікар загальної практики - сімейний лікар",V408*Z405,0)))</f>
        <v>0</v>
      </c>
      <c r="W405" s="196">
        <f>IF($B$405="Лікар-педіатр","x",IF($B$405="Лікар-терапевт",W408*Z405,IF($B$405="Лікар загальної практики - сімейний лікар",W408*Z405,0)))</f>
        <v>0</v>
      </c>
      <c r="X405" s="196">
        <f>IF($B$405="Лікар-педіатр","x",IF($B$405="Лікар-терапевт",X408*Z405,IF($B$405="Лікар загальної практики - сімейний лікар",X408*Z405,0)))</f>
        <v>0</v>
      </c>
      <c r="Y405" s="196">
        <f>IF($B$405="Лікар-педіатр","x",IF($B$405="Лікар-терапевт",Y408*Z405,IF($B$405="Лікар загальної практики - сімейний лікар",Y408*Z405,0)))</f>
        <v>0</v>
      </c>
      <c r="Z405" s="557"/>
      <c r="AA405" s="941"/>
      <c r="AB405" s="196">
        <f>IF($B$405="Лікар-педіатр",AB408*AG405,IF($B$405="Лікар-терапевт","х",IF($B$405="Лікар загальної практики - сімейний лікар",AB408*AG405,0)))</f>
        <v>0</v>
      </c>
      <c r="AC405" s="196">
        <f>IF($B$405="Лікар-педіатр",AC408*AG405,IF($B$405="Лікар-терапевт","х",IF($B$405="Лікар загальної практики - сімейний лікар",AC408*AG405,0)))</f>
        <v>0</v>
      </c>
      <c r="AD405" s="196">
        <f>IF($B$405="Лікар-педіатр","x",IF($B$405="Лікар-терапевт",AD408*AG405,IF($B$405="Лікар загальної практики - сімейний лікар",AD408*AG405,0)))</f>
        <v>0</v>
      </c>
      <c r="AE405" s="196">
        <f>IF($B$405="Лікар-педіатр","x",IF($B$405="Лікар-терапевт",AE408*AG405,IF($B$405="Лікар загальної практики - сімейний лікар",AE408*AG405,0)))</f>
        <v>0</v>
      </c>
      <c r="AF405" s="196">
        <f>IF($B$405="Лікар-педіатр","x",IF($B$405="Лікар-терапевт",AF408*AG405,IF($B$405="Лікар загальної практики - сімейний лікар",AF408*AG405,0)))</f>
        <v>0</v>
      </c>
      <c r="AG405" s="557"/>
      <c r="AH405" s="941"/>
      <c r="AI405" s="540">
        <f>A405</f>
        <v>29</v>
      </c>
      <c r="AJ405" s="944">
        <f>B405</f>
        <v>0</v>
      </c>
      <c r="AK405" s="959">
        <f>C405</f>
        <v>0</v>
      </c>
      <c r="AL405" s="959">
        <f>D405</f>
        <v>0</v>
      </c>
      <c r="AM405" s="929" t="s">
        <v>79</v>
      </c>
      <c r="AN405" s="947">
        <f>SUM(AN410:AN416)</f>
        <v>0</v>
      </c>
      <c r="AO405" s="947">
        <f>SUM(AO410:AO416)</f>
        <v>0</v>
      </c>
      <c r="AP405" s="947">
        <f>SUM(AP410:AP416)</f>
        <v>0</v>
      </c>
      <c r="AQ405" s="947">
        <f>SUM(AQ410:AQ416)</f>
        <v>0</v>
      </c>
      <c r="AR405" s="962">
        <f>SUM(AN405:AQ409)</f>
        <v>0</v>
      </c>
    </row>
    <row r="406" spans="1:44" s="50" customFormat="1" ht="28.15" hidden="1" customHeight="1">
      <c r="A406" s="197"/>
      <c r="B406" s="951"/>
      <c r="C406" s="954"/>
      <c r="D406" s="957"/>
      <c r="E406" s="939"/>
      <c r="F406" s="234" t="s">
        <v>660</v>
      </c>
      <c r="G406" s="196">
        <f>IF($B$405="Лікар-педіатр",G408*L406,IF($B$405="Лікар-терапевт","х",IF($B$405="Лікар загальної практики - сімейний лікар",G408*L406,0)))</f>
        <v>0</v>
      </c>
      <c r="H406" s="196">
        <f>IF($B$405="Лікар-педіатр",H408*L406,IF($B$405="Лікар-терапевт","х",IF($B$405="Лікар загальної практики - сімейний лікар",H408*L406,0)))</f>
        <v>0</v>
      </c>
      <c r="I406" s="196">
        <f>IF($B$405="Лікар-педіатр","x",IF($B$405="Лікар-терапевт",I408*L406,IF($B$405="Лікар загальної практики - сімейний лікар",I408*L406,0)))</f>
        <v>0</v>
      </c>
      <c r="J406" s="196">
        <f>IF($B$405="Лікар-педіатр","x",IF($B$405="Лікар-терапевт",J408*L406,IF($B$405="Лікар загальної практики - сімейний лікар",J408*L406,0)))</f>
        <v>0</v>
      </c>
      <c r="K406" s="196">
        <f>IF($B$405="Лікар-педіатр","x",IF($B$405="Лікар-терапевт",K408*L406,IF($B$405="Лікар загальної практики - сімейний лікар",K408*L406,0)))</f>
        <v>0</v>
      </c>
      <c r="L406" s="557"/>
      <c r="M406" s="942"/>
      <c r="N406" s="196">
        <f>IF($B$405="Лікар-педіатр",N408*S406,IF($B$405="Лікар-терапевт","х",IF($B$405="Лікар загальної практики - сімейний лікар",N408*S406,0)))</f>
        <v>0</v>
      </c>
      <c r="O406" s="196">
        <f>IF($B$405="Лікар-педіатр",O408*S406,IF($B$405="Лікар-терапевт","х",IF($B$405="Лікар загальної практики - сімейний лікар",O408*S406,0)))</f>
        <v>0</v>
      </c>
      <c r="P406" s="196">
        <f>IF($B$405="Лікар-педіатр","x",IF($B$405="Лікар-терапевт",P408*S406,IF($B$405="Лікар загальної практики - сімейний лікар",P408*S406,0)))</f>
        <v>0</v>
      </c>
      <c r="Q406" s="196">
        <f>IF($B$405="Лікар-педіатр","x",IF($B$405="Лікар-терапевт",Q408*S406,IF($B$405="Лікар загальної практики - сімейний лікар",Q408*S406,0)))</f>
        <v>0</v>
      </c>
      <c r="R406" s="196">
        <f>IF($B$405="Лікар-педіатр","x",IF($B$405="Лікар-терапевт",R408*S406,IF($B$405="Лікар загальної практики - сімейний лікар",R408*S406,0)))</f>
        <v>0</v>
      </c>
      <c r="S406" s="557"/>
      <c r="T406" s="942"/>
      <c r="U406" s="196">
        <f>IF($B$405="Лікар-педіатр",U408*Z406,IF($B$405="Лікар-терапевт","х",IF($B$405="Лікар загальної практики - сімейний лікар",U408*Z406,0)))</f>
        <v>0</v>
      </c>
      <c r="V406" s="196">
        <f>IF($B$405="Лікар-педіатр",V408*Z406,IF($B$405="Лікар-терапевт","х",IF($B$405="Лікар загальної практики - сімейний лікар",V408*Z406,0)))</f>
        <v>0</v>
      </c>
      <c r="W406" s="196">
        <f>IF($B$405="Лікар-педіатр","x",IF($B$405="Лікар-терапевт",W408*Z406,IF($B$405="Лікар загальної практики - сімейний лікар",W408*Z406,0)))</f>
        <v>0</v>
      </c>
      <c r="X406" s="196">
        <f>IF($B$405="Лікар-педіатр","x",IF($B$405="Лікар-терапевт",X408*Z406,IF($B$405="Лікар загальної практики - сімейний лікар",X408*Z406,0)))</f>
        <v>0</v>
      </c>
      <c r="Y406" s="196">
        <f>IF($B$405="Лікар-педіатр","x",IF($B$405="Лікар-терапевт",Y408*Z406,IF($B$405="Лікар загальної практики - сімейний лікар",Y408*Z406,0)))</f>
        <v>0</v>
      </c>
      <c r="Z406" s="557"/>
      <c r="AA406" s="942"/>
      <c r="AB406" s="196">
        <f>IF($B$405="Лікар-педіатр",AB408*AG406,IF($B$405="Лікар-терапевт","х",IF($B$405="Лікар загальної практики - сімейний лікар",AB408*AG406,0)))</f>
        <v>0</v>
      </c>
      <c r="AC406" s="196">
        <f>IF($B$405="Лікар-педіатр",AC408*AG406,IF($B$405="Лікар-терапевт","х",IF($B$405="Лікар загальної практики - сімейний лікар",AC408*AG406,0)))</f>
        <v>0</v>
      </c>
      <c r="AD406" s="196">
        <f>IF($B$405="Лікар-педіатр","x",IF($B$405="Лікар-терапевт",AD408*AG406,IF($B$405="Лікар загальної практики - сімейний лікар",AD408*AG406,0)))</f>
        <v>0</v>
      </c>
      <c r="AE406" s="196">
        <f>IF($B$405="Лікар-педіатр","x",IF($B$405="Лікар-терапевт",AE408*AG406,IF($B$405="Лікар загальної практики - сімейний лікар",AE408*AG406,0)))</f>
        <v>0</v>
      </c>
      <c r="AF406" s="196">
        <f>IF($B$405="Лікар-педіатр","x",IF($B$405="Лікар-терапевт",AF408*AG406,IF($B$405="Лікар загальної практики - сімейний лікар",AF408*AG406,0)))</f>
        <v>0</v>
      </c>
      <c r="AG406" s="557"/>
      <c r="AH406" s="942"/>
      <c r="AI406" s="198"/>
      <c r="AJ406" s="945"/>
      <c r="AK406" s="960"/>
      <c r="AL406" s="960"/>
      <c r="AM406" s="930"/>
      <c r="AN406" s="948"/>
      <c r="AO406" s="948"/>
      <c r="AP406" s="948"/>
      <c r="AQ406" s="948"/>
      <c r="AR406" s="963"/>
    </row>
    <row r="407" spans="1:44" s="90" customFormat="1" ht="31.15" hidden="1" customHeight="1">
      <c r="A407" s="240"/>
      <c r="B407" s="951"/>
      <c r="C407" s="954"/>
      <c r="D407" s="957"/>
      <c r="E407" s="939"/>
      <c r="F407" s="241" t="s">
        <v>661</v>
      </c>
      <c r="G407" s="199">
        <f>IF(B405="Лікар загальної практики - сімейний лікар"," ",IF(B405="Лікар-педіатр"," ",IF(B405="Лікар-терапевт","х",0)))</f>
        <v>0</v>
      </c>
      <c r="H407" s="199">
        <f>IF(B405="Лікар загальної практики - сімейний лікар"," ",IF(B405="Лікар-педіатр"," ",IF(B405="Лікар-терапевт","х",0)))</f>
        <v>0</v>
      </c>
      <c r="I407" s="199">
        <f>IF(B405="Лікар загальної практики - сімейний лікар"," ",IF(B405="Лікар-педіатр","х",IF(B405="Лікар-терапевт"," ",0)))</f>
        <v>0</v>
      </c>
      <c r="J407" s="199">
        <f>IF(B405="Лікар загальної практики - сімейний лікар"," ",IF(B405="Лікар-педіатр","х",IF(B405="Лікар-терапевт"," ",0)))</f>
        <v>0</v>
      </c>
      <c r="K407" s="199">
        <f>IF(B405="Лікар загальної практики - сімейний лікар"," ",IF(B405="Лікар-педіатр","х",IF(B405="Лікар-терапевт"," ",0)))</f>
        <v>0</v>
      </c>
      <c r="L407" s="200">
        <f>SUM(G407:K407)</f>
        <v>0</v>
      </c>
      <c r="M407" s="942"/>
      <c r="N407" s="199">
        <f>IF(B405="Лікар загальної практики - сімейний лікар"," ",IF(B405="Лікар-педіатр"," ",IF(B405="Лікар-терапевт","х",0)))</f>
        <v>0</v>
      </c>
      <c r="O407" s="199">
        <f>IF(B405="Лікар загальної практики - сімейний лікар"," ",IF(B405="Лікар-педіатр"," ",IF(B405="Лікар-терапевт","х",0)))</f>
        <v>0</v>
      </c>
      <c r="P407" s="199">
        <f>IF(B405="Лікар загальної практики - сімейний лікар"," ",IF(B405="Лікар-педіатр","х",IF(B405="Лікар-терапевт"," ",0)))</f>
        <v>0</v>
      </c>
      <c r="Q407" s="199">
        <f>IF(B405="Лікар загальної практики - сімейний лікар"," ",IF(B405="Лікар-педіатр","х",IF(B405="Лікар-терапевт"," ",0)))</f>
        <v>0</v>
      </c>
      <c r="R407" s="199">
        <f>IF(B405="Лікар загальної практики - сімейний лікар"," ",IF(B405="Лікар-педіатр","х",IF(B405="Лікар-терапевт"," ",0)))</f>
        <v>0</v>
      </c>
      <c r="S407" s="200">
        <f>SUM(N407:R407)</f>
        <v>0</v>
      </c>
      <c r="T407" s="942"/>
      <c r="U407" s="199">
        <f>IF(B405="Лікар загальної практики - сімейний лікар"," ",IF(B405="Лікар-педіатр"," ",IF(B405="Лікар-терапевт","х",0)))</f>
        <v>0</v>
      </c>
      <c r="V407" s="199">
        <f>IF(B405="Лікар загальної практики - сімейний лікар"," ",IF(B405="Лікар-педіатр"," ",IF(B405="Лікар-терапевт","х",0)))</f>
        <v>0</v>
      </c>
      <c r="W407" s="199">
        <f>IF(B405="Лікар загальної практики - сімейний лікар"," ",IF(B405="Лікар-педіатр","х",IF(B405="Лікар-терапевт"," ",0)))</f>
        <v>0</v>
      </c>
      <c r="X407" s="199">
        <f>IF(B405="Лікар загальної практики - сімейний лікар"," ",IF(B405="Лікар-педіатр","х",IF(B405="Лікар-терапевт"," ",0)))</f>
        <v>0</v>
      </c>
      <c r="Y407" s="199">
        <f>IF(B405="Лікар загальної практики - сімейний лікар"," ",IF(B405="Лікар-педіатр","х",IF(B405="Лікар-терапевт"," ",0)))</f>
        <v>0</v>
      </c>
      <c r="Z407" s="200">
        <f>SUM(U407:Y407)</f>
        <v>0</v>
      </c>
      <c r="AA407" s="942"/>
      <c r="AB407" s="199">
        <f>IF(B405="Лікар загальної практики - сімейний лікар"," ",IF(B405="Лікар-педіатр"," ",IF(B405="Лікар-терапевт","х",0)))</f>
        <v>0</v>
      </c>
      <c r="AC407" s="199">
        <f>IF(B405="Лікар загальної практики - сімейний лікар"," ",IF(B405="Лікар-педіатр"," ",IF(B405="Лікар-терапевт","х",0)))</f>
        <v>0</v>
      </c>
      <c r="AD407" s="199">
        <f>IF(B405="Лікар загальної практики - сімейний лікар"," ",IF(B405="Лікар-педіатр","х",IF(B405="Лікар-терапевт"," ",0)))</f>
        <v>0</v>
      </c>
      <c r="AE407" s="199">
        <f>IF(B405="Лікар загальної практики - сімейний лікар"," ",IF(B405="Лікар-педіатр","х",IF(B405="Лікар-терапевт"," ",0)))</f>
        <v>0</v>
      </c>
      <c r="AF407" s="199">
        <f>IF(B405="Лікар загальної практики - сімейний лікар"," ",IF(B405="Лікар-педіатр","х",IF(B405="Лікар-терапевт"," ",0)))</f>
        <v>0</v>
      </c>
      <c r="AG407" s="200">
        <f>SUM(AB407:AF407)</f>
        <v>0</v>
      </c>
      <c r="AH407" s="942"/>
      <c r="AI407" s="242"/>
      <c r="AJ407" s="945"/>
      <c r="AK407" s="960"/>
      <c r="AL407" s="960"/>
      <c r="AM407" s="930"/>
      <c r="AN407" s="948"/>
      <c r="AO407" s="948"/>
      <c r="AP407" s="948"/>
      <c r="AQ407" s="948"/>
      <c r="AR407" s="963"/>
    </row>
    <row r="408" spans="1:44" s="50" customFormat="1" ht="31.9" hidden="1" customHeight="1" thickBot="1">
      <c r="A408" s="197"/>
      <c r="B408" s="951"/>
      <c r="C408" s="954"/>
      <c r="D408" s="957"/>
      <c r="E408" s="939"/>
      <c r="F408" s="236" t="s">
        <v>426</v>
      </c>
      <c r="G408" s="203">
        <f>IF($B$405="Лікар-педіатр",G407/L407,IF($B$405="Лікар-терапевт","х",IF($B$405="Лікар загальної практики - сімейний лікар",G407/L407,0)))</f>
        <v>0</v>
      </c>
      <c r="H408" s="203">
        <f>IF($B$405="Лікар-педіатр",H407/L407,IF($B$405="Лікар-терапевт","х",IF($B$405="Лікар загальної практики - сімейний лікар",H407/L407,0)))</f>
        <v>0</v>
      </c>
      <c r="I408" s="203">
        <f>IF($B$405="Лікар-педіатр","x",IF($B$405="Лікар-терапевт",I407/L407,IF($B$405="Лікар загальної практики - сімейний лікар",I407/L407,0)))</f>
        <v>0</v>
      </c>
      <c r="J408" s="203">
        <f>IF($B$405="Лікар-педіатр","x",IF($B$405="Лікар-терапевт",J407/L407,IF($B$405="Лікар загальної практики - сімейний лікар",J407/L407,0)))</f>
        <v>0</v>
      </c>
      <c r="K408" s="203">
        <f>IF($B$405="Лікар-педіатр","x",IF($B$405="Лікар-терапевт",K407/L407,IF($B$405="Лікар загальної практики - сімейний лікар",K407/L407,0)))</f>
        <v>0</v>
      </c>
      <c r="L408" s="203">
        <f>SUM(G408:K408)</f>
        <v>0</v>
      </c>
      <c r="M408" s="942"/>
      <c r="N408" s="203">
        <f>IF($B$405="Лікар-педіатр",N407/S407,IF($B$405="Лікар-терапевт","х",IF($B$405="Лікар загальної практики - сімейний лікар",N407/S407,0)))</f>
        <v>0</v>
      </c>
      <c r="O408" s="203">
        <f>IF($B$405="Лікар-педіатр",O407/S407,IF($B$405="Лікар-терапевт","х",IF($B$405="Лікар загальної практики - сімейний лікар",O407/S407,0)))</f>
        <v>0</v>
      </c>
      <c r="P408" s="203">
        <f>IF($B$405="Лікар-педіатр","x",IF($B$405="Лікар-терапевт",P407/S407,IF($B$405="Лікар загальної практики - сімейний лікар",P407/S407,0)))</f>
        <v>0</v>
      </c>
      <c r="Q408" s="203">
        <f>IF($B$405="Лікар-педіатр","x",IF($B$405="Лікар-терапевт",Q407/S407,IF($B$405="Лікар загальної практики - сімейний лікар",Q407/S407,0)))</f>
        <v>0</v>
      </c>
      <c r="R408" s="203">
        <f>IF($B$405="Лікар-педіатр","x",IF($B$405="Лікар-терапевт",R407/S407,IF($B$405="Лікар загальної практики - сімейний лікар",R407/S407,0)))</f>
        <v>0</v>
      </c>
      <c r="S408" s="203">
        <f>SUM(N408:R408)</f>
        <v>0</v>
      </c>
      <c r="T408" s="942"/>
      <c r="U408" s="203">
        <f>IF($B$405="Лікар-педіатр",U407/Z407,IF($B$405="Лікар-терапевт","х",IF($B$405="Лікар загальної практики - сімейний лікар",U407/Z407,0)))</f>
        <v>0</v>
      </c>
      <c r="V408" s="203">
        <f>IF($B$405="Лікар-педіатр",V407/Z407,IF($B$405="Лікар-терапевт","х",IF($B$405="Лікар загальної практики - сімейний лікар",V407/Z407,0)))</f>
        <v>0</v>
      </c>
      <c r="W408" s="203">
        <f>IF($B$405="Лікар-педіатр","x",IF($B$405="Лікар-терапевт",W407/Z407,IF($B$405="Лікар загальної практики - сімейний лікар",W407/Z407,0)))</f>
        <v>0</v>
      </c>
      <c r="X408" s="203">
        <f>IF($B$405="Лікар-педіатр","x",IF($B$405="Лікар-терапевт",X407/Z407,IF($B$405="Лікар загальної практики - сімейний лікар",X407/Z407,0)))</f>
        <v>0</v>
      </c>
      <c r="Y408" s="203">
        <f>IF($B$405="Лікар-педіатр","x",IF($B$405="Лікар-терапевт",Y407/Z407,IF($B$405="Лікар загальної практики - сімейний лікар",Y407/Z407,0)))</f>
        <v>0</v>
      </c>
      <c r="Z408" s="203">
        <f>SUM(U408:Y408)</f>
        <v>0</v>
      </c>
      <c r="AA408" s="942"/>
      <c r="AB408" s="203">
        <f>IF($B$405="Лікар-педіатр",AB407/AG407,IF($B$405="Лікар-терапевт","х",IF($B$405="Лікар загальної практики - сімейний лікар",AB407/AG407,0)))</f>
        <v>0</v>
      </c>
      <c r="AC408" s="203">
        <f>IF($B$405="Лікар-педіатр",AC407/AG407,IF($B$405="Лікар-терапевт","х",IF($B$405="Лікар загальної практики - сімейний лікар",AC407/AG407,0)))</f>
        <v>0</v>
      </c>
      <c r="AD408" s="203">
        <f>IF($B$405="Лікар-педіатр","x",IF($B$405="Лікар-терапевт",AD407/AG407,IF($B$405="Лікар загальної практики - сімейний лікар",AD407/AG407,0)))</f>
        <v>0</v>
      </c>
      <c r="AE408" s="203">
        <f>IF($B$405="Лікар-педіатр","x",IF($B$405="Лікар-терапевт",AE407/AG407,IF($B$405="Лікар загальної практики - сімейний лікар",AE407/AG407,0)))</f>
        <v>0</v>
      </c>
      <c r="AF408" s="203">
        <f>IF($B$405="Лікар-педіатр","x",IF($B$405="Лікар-терапевт",AF407/AG407,IF($B$405="Лікар загальної практики - сімейний лікар",AF407/AG407,0)))</f>
        <v>0</v>
      </c>
      <c r="AG408" s="203">
        <f>SUM(AB408:AF408)</f>
        <v>0</v>
      </c>
      <c r="AH408" s="942"/>
      <c r="AI408" s="201"/>
      <c r="AJ408" s="945"/>
      <c r="AK408" s="960"/>
      <c r="AL408" s="960"/>
      <c r="AM408" s="930"/>
      <c r="AN408" s="948"/>
      <c r="AO408" s="948"/>
      <c r="AP408" s="948"/>
      <c r="AQ408" s="948"/>
      <c r="AR408" s="963"/>
    </row>
    <row r="409" spans="1:44" s="50" customFormat="1" ht="45" hidden="1" customHeight="1" thickBot="1">
      <c r="A409" s="197"/>
      <c r="B409" s="951"/>
      <c r="C409" s="954"/>
      <c r="D409" s="957"/>
      <c r="E409" s="939"/>
      <c r="F409" s="204" t="s">
        <v>662</v>
      </c>
      <c r="G409" s="205">
        <f>IF($B$405="Лікар загальної практики - сімейний лікар",AVERAGE(G405:G407),IF($B$405="Лікар-педіатр",AVERAGE(G405:G407),IF($B$405="Лікар-терапевт","х",0)))</f>
        <v>0</v>
      </c>
      <c r="H409" s="205">
        <f>IF($B$405="Лікар загальної практики - сімейний лікар",AVERAGE(H405:H407),IF($B$405="Лікар-педіатр",AVERAGE(H405:H407),IF($B$405="Лікар-терапевт","х",0)))</f>
        <v>0</v>
      </c>
      <c r="I409" s="205">
        <f>IF($B$405="Лікар загальної практики - сімейний лікар",AVERAGE(I405:I407),IF($B$405="Лікар-педіатр","x",IF($B$405="Лікар-терапевт",AVERAGE(I405:I407),0)))</f>
        <v>0</v>
      </c>
      <c r="J409" s="205">
        <f>IF($B$405="Лікар загальної практики - сімейний лікар",AVERAGE(J405:J407),IF($B$405="Лікар-педіатр","x",IF($B$405="Лікар-терапевт",AVERAGE(J405:J407),0)))</f>
        <v>0</v>
      </c>
      <c r="K409" s="205">
        <f>IF($B$405="Лікар загальної практики - сімейний лікар",AVERAGE(K405:K407),IF($B$405="Лікар-педіатр","x",IF($B$405="Лікар-терапевт",AVERAGE(K405:K407),0)))</f>
        <v>0</v>
      </c>
      <c r="L409" s="206">
        <f>SUM(G409:K409)</f>
        <v>0</v>
      </c>
      <c r="M409" s="942"/>
      <c r="N409" s="205">
        <f>IF($B$405="Лікар загальної практики - сімейний лікар",AVERAGE(N405:N407),IF($B$405="Лікар-педіатр",AVERAGE(N405:N407),IF($B$405="Лікар-терапевт","х",0)))</f>
        <v>0</v>
      </c>
      <c r="O409" s="205">
        <f>IF($B$405="Лікар загальної практики - сімейний лікар",AVERAGE(O405:O407),IF($B$405="Лікар-педіатр",AVERAGE(O405:O407),IF($B$405="Лікар-терапевт","х",0)))</f>
        <v>0</v>
      </c>
      <c r="P409" s="205">
        <f>IF($B$405="Лікар загальної практики - сімейний лікар",AVERAGE(P405:P407),IF($B$405="Лікар-педіатр","x",IF($B$405="Лікар-терапевт",AVERAGE(P405:P407),0)))</f>
        <v>0</v>
      </c>
      <c r="Q409" s="205">
        <f>IF($B$405="Лікар загальної практики - сімейний лікар",AVERAGE(Q405:Q407),IF($B$405="Лікар-педіатр","x",IF($B$405="Лікар-терапевт",AVERAGE(Q405:Q407),0)))</f>
        <v>0</v>
      </c>
      <c r="R409" s="205">
        <f>IF($B$405="Лікар загальної практики - сімейний лікар",AVERAGE(R405:R407),IF($B$405="Лікар-педіатр","x",IF($B$405="Лікар-терапевт",AVERAGE(R405:R407),0)))</f>
        <v>0</v>
      </c>
      <c r="S409" s="206">
        <f>SUM(N409:R409)</f>
        <v>0</v>
      </c>
      <c r="T409" s="942"/>
      <c r="U409" s="205">
        <f>IF($B$405="Лікар загальної практики - сімейний лікар",AVERAGE(U405:U407),IF($B$405="Лікар-педіатр",AVERAGE(U405:U407),IF($B$405="Лікар-терапевт","х",0)))</f>
        <v>0</v>
      </c>
      <c r="V409" s="205">
        <f>IF($B$405="Лікар загальної практики - сімейний лікар",AVERAGE(V405:V407),IF($B$405="Лікар-педіатр",AVERAGE(V405:V407),IF($B$405="Лікар-терапевт","х",0)))</f>
        <v>0</v>
      </c>
      <c r="W409" s="205">
        <f>IF($B$405="Лікар загальної практики - сімейний лікар",AVERAGE(W405:W407),IF($B$405="Лікар-педіатр","x",IF($B$405="Лікар-терапевт",AVERAGE(W405:W407),0)))</f>
        <v>0</v>
      </c>
      <c r="X409" s="205">
        <f>IF($B$405="Лікар загальної практики - сімейний лікар",AVERAGE(X405:X407),IF($B$405="Лікар-педіатр","x",IF($B$405="Лікар-терапевт",AVERAGE(X405:X407),0)))</f>
        <v>0</v>
      </c>
      <c r="Y409" s="205">
        <f>IF($B$405="Лікар загальної практики - сімейний лікар",AVERAGE(Y405:Y407),IF($B$405="Лікар-педіатр","x",IF($B$405="Лікар-терапевт",AVERAGE(Y405:Y407),0)))</f>
        <v>0</v>
      </c>
      <c r="Z409" s="206">
        <f>SUM(U409:Y409)</f>
        <v>0</v>
      </c>
      <c r="AA409" s="942"/>
      <c r="AB409" s="205">
        <f>IF($B$405="Лікар загальної практики - сімейний лікар",AVERAGE(AB405:AB407),IF($B$405="Лікар-педіатр",AVERAGE(AB405:AB407),IF($B$405="Лікар-терапевт","х",0)))</f>
        <v>0</v>
      </c>
      <c r="AC409" s="205">
        <f>IF($B$405="Лікар загальної практики - сімейний лікар",AVERAGE(AC405:AC407),IF($B$405="Лікар-педіатр",AVERAGE(AC405:AC407),IF($B$405="Лікар-терапевт","х",0)))</f>
        <v>0</v>
      </c>
      <c r="AD409" s="205">
        <f>IF($B$405="Лікар загальної практики - сімейний лікар",AVERAGE(AD405:AD407),IF($B$405="Лікар-педіатр","x",IF($B$405="Лікар-терапевт",AVERAGE(AD405:AD407),0)))</f>
        <v>0</v>
      </c>
      <c r="AE409" s="205">
        <f>IF($B$405="Лікар загальної практики - сімейний лікар",AVERAGE(AE405:AE407),IF($B$405="Лікар-педіатр","x",IF($B$405="Лікар-терапевт",AVERAGE(AE405:AE407),0)))</f>
        <v>0</v>
      </c>
      <c r="AF409" s="205">
        <f>IF($B$405="Лікар загальної практики - сімейний лікар",AVERAGE(AF405:AF407),IF($B$405="Лікар-педіатр","x",IF($B$405="Лікар-терапевт",AVERAGE(AF405:AF407),0)))</f>
        <v>0</v>
      </c>
      <c r="AG409" s="206">
        <f>SUM(AB409:AF409)</f>
        <v>0</v>
      </c>
      <c r="AH409" s="942"/>
      <c r="AI409" s="201"/>
      <c r="AJ409" s="945"/>
      <c r="AK409" s="960"/>
      <c r="AL409" s="960"/>
      <c r="AM409" s="931"/>
      <c r="AN409" s="949"/>
      <c r="AO409" s="949"/>
      <c r="AP409" s="949"/>
      <c r="AQ409" s="949"/>
      <c r="AR409" s="964"/>
    </row>
    <row r="410" spans="1:44" s="50" customFormat="1" ht="40.5" hidden="1">
      <c r="A410" s="197"/>
      <c r="B410" s="951"/>
      <c r="C410" s="954"/>
      <c r="D410" s="957"/>
      <c r="E410" s="939"/>
      <c r="F410" s="237" t="str">
        <f ca="1">IF(B405="Лікар-педіатр",Законод!$C$17,IF(B405="Лікар загальної практики - сімейний лікар",Законод!$C$21,IF(B405="Лікар-терапевт",Законод!$C$25,"х")))</f>
        <v>х</v>
      </c>
      <c r="G410" s="208">
        <f ca="1">IF($B$405="Лікар загальної практики - сімейний лікар",IF(L409&lt;=Законод!$C$22,G409,Законод!$C$22*'01_Доходи'!G408),IF($B$405="Лікар-педіатр",IF(L409&lt;=Законод!$C$18,G409,Законод!$C$18*'01_Доходи'!G408),IF($B$405="Лікар-терапевт","x",0)))</f>
        <v>0</v>
      </c>
      <c r="H410" s="208">
        <f ca="1">IF($B$405="Лікар загальної практики - сімейний лікар",IF(L409&lt;=Законод!$C$22,H409,Законод!$C$22*'01_Доходи'!H408),IF($B$405="Лікар-педіатр",IF(L409&lt;=Законод!$C$18,H409,Законод!$C$18*'01_Доходи'!H408),IF($B$405="Лікар-терапевт","x",0)))</f>
        <v>0</v>
      </c>
      <c r="I410" s="208">
        <f ca="1">IF($B$405="Лікар загальної практики - сімейний лікар",IF(L409&lt;=Законод!$C$22,I409,Законод!$C$22*'01_Доходи'!I408),IF($B$405="Лікар-педіатр","x",IF($B$405="Лікар-терапевт",IF(L409&lt;=Законод!$C$26,I409,Законод!$C$26*'01_Доходи'!I408),0)))</f>
        <v>0</v>
      </c>
      <c r="J410" s="208">
        <f ca="1">IF($B$405="Лікар загальної практики - сімейний лікар",IF(L409&lt;=Законод!$C$22,J409,Законод!$C$22*'01_Доходи'!J408),IF($B$405="Лікар-педіатр","x",IF($B$405="Лікар-терапевт",IF(L409&lt;=Законод!$C$26,J409,Законод!$C$26*'01_Доходи'!J408),0)))</f>
        <v>0</v>
      </c>
      <c r="K410" s="208">
        <f ca="1">IF($B$405="Лікар загальної практики - сімейний лікар",IF(L409&lt;=Законод!$C$22,K409,Законод!$C$22*'01_Доходи'!K408),IF($B$405="Лікар-педіатр","x",IF($B$405="Лікар-терапевт",IF(L409&lt;=Законод!$C$26,K409,Законод!$C$26*'01_Доходи'!K408),0)))</f>
        <v>0</v>
      </c>
      <c r="L410" s="209">
        <f ca="1">SUM(G410:K410)</f>
        <v>0</v>
      </c>
      <c r="M410" s="942"/>
      <c r="N410" s="208">
        <f ca="1">IF($B$405="Лікар загальної практики - сімейний лікар",IF(S409&lt;=Законод!$C$22,N409,Законод!$C$22*'01_Доходи'!N408),IF($B$405="Лікар-педіатр",IF(S409&lt;=Законод!$C$18,N409,Законод!$C$18*'01_Доходи'!N408),IF($B$405="Лікар-терапевт","x",0)))</f>
        <v>0</v>
      </c>
      <c r="O410" s="208">
        <f ca="1">IF($B$405="Лікар загальної практики - сімейний лікар",IF(S409&lt;=Законод!$C$22,O409,Законод!$C$22*'01_Доходи'!O408),IF($B$405="Лікар-педіатр",IF(S409&lt;=Законод!$C$18,O409,Законод!$C$18*'01_Доходи'!O408),IF($B$405="Лікар-терапевт","x",0)))</f>
        <v>0</v>
      </c>
      <c r="P410" s="208">
        <f ca="1">IF($B$405="Лікар загальної практики - сімейний лікар",IF(S409&lt;=Законод!$C$22,P409,Законод!$C$22*'01_Доходи'!P408),IF($B$405="Лікар-педіатр","x",IF($B$405="Лікар-терапевт",IF(S409&lt;=Законод!$C$26,P409,Законод!$C$26*'01_Доходи'!P408),0)))</f>
        <v>0</v>
      </c>
      <c r="Q410" s="208">
        <f ca="1">IF($B$405="Лікар загальної практики - сімейний лікар",IF(S409&lt;=Законод!$C$22,Q409,Законод!$C$22*'01_Доходи'!Q408),IF($B$405="Лікар-педіатр","x",IF($B$405="Лікар-терапевт",IF(S409&lt;=Законод!$C$26,Q409,Законод!$C$26*'01_Доходи'!Q408),0)))</f>
        <v>0</v>
      </c>
      <c r="R410" s="208">
        <f ca="1">IF($B$405="Лікар загальної практики - сімейний лікар",IF(S409&lt;=Законод!$C$22,R409,Законод!$C$22*'01_Доходи'!R408),IF($B$405="Лікар-педіатр","x",IF($B$405="Лікар-терапевт",IF(S409&lt;=Законод!$C$26,R409,Законод!$C$26*'01_Доходи'!R408),0)))</f>
        <v>0</v>
      </c>
      <c r="S410" s="209">
        <f ca="1">SUM(N410:R410)</f>
        <v>0</v>
      </c>
      <c r="T410" s="942"/>
      <c r="U410" s="208">
        <f ca="1">IF($B$405="Лікар загальної практики - сімейний лікар",IF(Z409&lt;=Законод!$C$22,U409,Законод!$C$22*'01_Доходи'!U408),IF($B$405="Лікар-педіатр",IF(Z409&lt;=Законод!$C$18,U409,Законод!$C$18*'01_Доходи'!U408),IF($B$405="Лікар-терапевт","x",0)))</f>
        <v>0</v>
      </c>
      <c r="V410" s="208">
        <f ca="1">IF($B$405="Лікар загальної практики - сімейний лікар",IF(Z409&lt;=Законод!$C$22,V409,Законод!$C$22*'01_Доходи'!V408),IF($B$405="Лікар-педіатр",IF(Z409&lt;=Законод!$C$18,V409,Законод!$C$18*'01_Доходи'!V408),IF($B$405="Лікар-терапевт","x",0)))</f>
        <v>0</v>
      </c>
      <c r="W410" s="208">
        <f ca="1">IF($B$405="Лікар загальної практики - сімейний лікар",IF(Z409&lt;=Законод!$C$22,W409,Законод!$C$22*'01_Доходи'!W408),IF($B$405="Лікар-педіатр","x",IF($B$405="Лікар-терапевт",IF(Z409&lt;=Законод!$C$26,W409,Законод!$C$26*'01_Доходи'!W408),0)))</f>
        <v>0</v>
      </c>
      <c r="X410" s="208">
        <f ca="1">IF($B$405="Лікар загальної практики - сімейний лікар",IF(Z409&lt;=Законод!$C$22,X409,Законод!$C$22*'01_Доходи'!X408),IF($B$405="Лікар-педіатр","x",IF($B$405="Лікар-терапевт",IF(Z409&lt;=Законод!$C$26,X409,Законод!$C$26*'01_Доходи'!X408),0)))</f>
        <v>0</v>
      </c>
      <c r="Y410" s="208">
        <f ca="1">IF($B$405="Лікар загальної практики - сімейний лікар",IF(Z409&lt;=Законод!$C$22,Y409,Законод!$C$22*'01_Доходи'!Y408),IF($B$405="Лікар-педіатр","x",IF($B$405="Лікар-терапевт",IF(Z409&lt;=Законод!$C$26,Y409,Законод!$C$26*'01_Доходи'!Y408),0)))</f>
        <v>0</v>
      </c>
      <c r="Z410" s="209">
        <f ca="1">SUM(U410:Y410)</f>
        <v>0</v>
      </c>
      <c r="AA410" s="942"/>
      <c r="AB410" s="208">
        <f ca="1">IF($B$405="Лікар загальної практики - сімейний лікар",IF(AG409&lt;=Законод!$C$22,AB409,Законод!$C$22*'01_Доходи'!AB408),IF($B$405="Лікар-педіатр",IF(AG409&lt;=Законод!$C$18,AB409,Законод!$C$18*'01_Доходи'!AB408),IF($B$405="Лікар-терапевт","x",0)))</f>
        <v>0</v>
      </c>
      <c r="AC410" s="208">
        <f ca="1">IF($B$405="Лікар загальної практики - сімейний лікар",IF(AG409&lt;=Законод!$C$22,AC409,Законод!$C$22*'01_Доходи'!AC408),IF($B$405="Лікар-педіатр",IF(AG409&lt;=Законод!$C$18,AC409,Законод!$C$18*'01_Доходи'!AC408),IF($B$405="Лікар-терапевт","x",0)))</f>
        <v>0</v>
      </c>
      <c r="AD410" s="208">
        <f ca="1">IF($B$405="Лікар загальної практики - сімейний лікар",IF(AG409&lt;=Законод!$C$22,AD409,Законод!$C$22*'01_Доходи'!AD408),IF($B$405="Лікар-педіатр","x",IF($B$405="Лікар-терапевт",IF(AG409&lt;=Законод!$C$26,AD409,Законод!$C$26*'01_Доходи'!AD408),0)))</f>
        <v>0</v>
      </c>
      <c r="AE410" s="208">
        <f ca="1">IF($B$405="Лікар загальної практики - сімейний лікар",IF(AG409&lt;=Законод!$C$22,AE409,Законод!$C$22*'01_Доходи'!AE408),IF($B$405="Лікар-педіатр","x",IF($B$405="Лікар-терапевт",IF(AG409&lt;=Законод!$C$26,AE409,Законод!$C$26*'01_Доходи'!AE408),0)))</f>
        <v>0</v>
      </c>
      <c r="AF410" s="208">
        <f ca="1">IF($B$405="Лікар загальної практики - сімейний лікар",IF(AG409&lt;=Законод!$C$22,AF409,Законод!$C$22*'01_Доходи'!AF408),IF($B$405="Лікар-педіатр","x",IF($B$405="Лікар-терапевт",IF(AG409&lt;=Законод!$C$26,AF409,Законод!$C$26*'01_Доходи'!AF408),0)))</f>
        <v>0</v>
      </c>
      <c r="AG410" s="209">
        <f ca="1">SUM(AB410:AF410)</f>
        <v>0</v>
      </c>
      <c r="AH410" s="942"/>
      <c r="AI410" s="201"/>
      <c r="AJ410" s="945"/>
      <c r="AK410" s="960"/>
      <c r="AL410" s="960"/>
      <c r="AM410" s="348" t="s">
        <v>451</v>
      </c>
      <c r="AN410" s="210">
        <f ca="1">IF(B405="Лікар загальної практики - сімейний лікар",G410*Законод!$C$11+'01_Доходи'!H410*Законод!$D$11+'01_Доходи'!I410*Законод!$E$11+'01_Доходи'!J410*Законод!$F$11+'01_Доходи'!K410*Законод!$G$11,IF(B405="Лікар-педіатр",G410*Законод!$C$11+'01_Доходи'!H410*Законод!$D$11,IF(B405="Лікар-терапевт",'01_Доходи'!I410*Законод!$E$11+'01_Доходи'!J410*Законод!$F$11+'01_Доходи'!K410*Законод!$G$11,0)))</f>
        <v>0</v>
      </c>
      <c r="AO410" s="210">
        <f ca="1">IF(B405="Лікар загальної практики - сімейний лікар",N410*Законод!$C$11+'01_Доходи'!O410*Законод!$D$11+'01_Доходи'!P410*Законод!$E$11+'01_Доходи'!Q410*Законод!$F$11+'01_Доходи'!R410*Законод!$G$11,IF(B405="Лікар-педіатр",N410*Законод!$C$11+'01_Доходи'!O410*Законод!$D$11,IF(B405="Лікар-терапевт",'01_Доходи'!P410*Законод!$E$11+'01_Доходи'!Q410*Законод!$F$11+'01_Доходи'!R410*Законод!$G$11,0)))</f>
        <v>0</v>
      </c>
      <c r="AP410" s="210">
        <f ca="1">IF(B405="Лікар загальної практики - сімейний лікар",U410*Законод!$C$11+'01_Доходи'!V410*Законод!$D$11+'01_Доходи'!W410*Законод!$E$11+'01_Доходи'!X410*Законод!$F$11+'01_Доходи'!Y410*Законод!$G$11,IF(B405="Лікар-педіатр",U410*Законод!$C$11+'01_Доходи'!V410*Законод!$D$11,IF(B405="Лікар-терапевт",'01_Доходи'!W410*Законод!$E$11+'01_Доходи'!X410*Законод!$F$11+'01_Доходи'!Y410*Законод!$G$11,0)))</f>
        <v>0</v>
      </c>
      <c r="AQ410" s="210">
        <f ca="1">IF(B405="Лікар загальної практики - сімейний лікар",AB410*Законод!$C$11+'01_Доходи'!AC410*Законод!$D$11+'01_Доходи'!AD410*Законод!$E$11+'01_Доходи'!AE410*Законод!$F$11+'01_Доходи'!AF410*Законод!$G$11,IF(B405="Лікар-педіатр",AB410*Законод!$C$11+'01_Доходи'!AC410*Законод!$D$11,IF(B405="Лікар-терапевт",'01_Доходи'!AD410*Законод!$E$11+'01_Доходи'!AE410*Законод!$F$11+'01_Доходи'!AF410*Законод!$G$11,0)))</f>
        <v>0</v>
      </c>
      <c r="AR410" s="211">
        <f t="shared" ref="AR410:AR416" si="71">SUM(AN410:AQ410)</f>
        <v>0</v>
      </c>
    </row>
    <row r="411" spans="1:44" s="50" customFormat="1" ht="31.9" hidden="1" customHeight="1">
      <c r="A411" s="197"/>
      <c r="B411" s="951"/>
      <c r="C411" s="954"/>
      <c r="D411" s="957"/>
      <c r="E411" s="939"/>
      <c r="F411" s="238" t="str">
        <f ca="1">IF(B405="Лікар-педіатр",Законод!$E$17,IF(B405="Лікар загальної практики - сімейний лікар",Законод!$E$21,IF(B405="Лікар-терапевт",Законод!$E$25,"х")))</f>
        <v>х</v>
      </c>
      <c r="G411" s="935" t="s">
        <v>423</v>
      </c>
      <c r="H411" s="936"/>
      <c r="I411" s="936"/>
      <c r="J411" s="936"/>
      <c r="K411" s="937"/>
      <c r="L411" s="196">
        <f ca="1">IF($B$405="Лікар загальної практики - сімейний лікар",IF(L409&lt;Законод!$C$22,0,(IF(AND(L409&gt;=Законод!$E$22,L409&lt;=Законод!$E$23),L409-Законод!$C$22,IF('01_Доходи'!L409&gt;=Законод!$F$22,Законод!$E$24,0)))),IF($B$405="Лікар-педіатр",IF(L409&lt;Законод!$C$18,0,(IF(AND(L409&gt;=Законод!$E$18,L409&lt;=Законод!$E$19),L409-Законод!$C$18,IF('01_Доходи'!L409&gt;=Законод!$F$18,Законод!$E$20,0)))),IF($B$405="Лікар-терапевт",IF(L409&lt;Законод!$C$26,0,(IF(AND(L409&gt;=Законод!$E$26,L409&lt;=Законод!$E$27),L409-Законод!$C$26,IF('01_Доходи'!L409&gt;=Законод!$F$26,Законод!$E$28,0)))),0)))</f>
        <v>0</v>
      </c>
      <c r="M411" s="942"/>
      <c r="N411" s="935" t="s">
        <v>423</v>
      </c>
      <c r="O411" s="936"/>
      <c r="P411" s="936"/>
      <c r="Q411" s="936"/>
      <c r="R411" s="937"/>
      <c r="S411" s="196">
        <f ca="1">IF($B$405="Лікар загальної практики - сімейний лікар",IF(S409&lt;Законод!$C$22,0,(IF(AND(S409&gt;=Законод!$E$22,S409&lt;=Законод!$E$23),S409-Законод!$C$22,IF('01_Доходи'!S409&gt;=Законод!$F$22,Законод!$E$24,0)))),IF($B$405="Лікар-педіатр",IF(S409&lt;Законод!$C$18,0,(IF(AND(S409&gt;=Законод!$E$18,S409&lt;=Законод!$E$19),S409-Законод!$C$18,IF('01_Доходи'!S409&gt;=Законод!$F$18,Законод!$E$20,0)))),IF($B$405="Лікар-терапевт",IF(S409&lt;Законод!$C$26,0,(IF(AND(S409&gt;=Законод!$E$26,S409&lt;=Законод!$E$27),S409-Законод!$C$26,IF('01_Доходи'!S409&gt;=Законод!$F$26,Законод!$E$28,0)))),0)))</f>
        <v>0</v>
      </c>
      <c r="T411" s="942"/>
      <c r="U411" s="935" t="s">
        <v>423</v>
      </c>
      <c r="V411" s="936"/>
      <c r="W411" s="936"/>
      <c r="X411" s="936"/>
      <c r="Y411" s="937"/>
      <c r="Z411" s="196">
        <f ca="1">IF($B$405="Лікар загальної практики - сімейний лікар",IF(Z409&lt;Законод!$C$22,0,(IF(AND(Z409&gt;=Законод!$E$22,Z409&lt;=Законод!$E$23),Z409-Законод!$C$22,IF('01_Доходи'!Z409&gt;=Законод!$F$22,Законод!$E$24,0)))),IF($B$405="Лікар-педіатр",IF(Z409&lt;Законод!$C$18,0,(IF(AND(Z409&gt;=Законод!$E$18,Z409&lt;=Законод!$E$19),Z409-Законод!$C$18,IF('01_Доходи'!Z409&gt;=Законод!$F$18,Законод!$E$20,0)))),IF($B$405="Лікар-терапевт",IF(Z409&lt;Законод!$C$26,0,(IF(AND(Z409&gt;=Законод!$E$26,Z409&lt;=Законод!$E$27),Z409-Законод!$C$26,IF('01_Доходи'!Z409&gt;=Законод!$F$26,Законод!$E$28,0)))),0)))</f>
        <v>0</v>
      </c>
      <c r="AA411" s="942"/>
      <c r="AB411" s="935" t="s">
        <v>423</v>
      </c>
      <c r="AC411" s="936"/>
      <c r="AD411" s="936"/>
      <c r="AE411" s="936"/>
      <c r="AF411" s="937"/>
      <c r="AG411" s="196">
        <f ca="1">IF($B$405="Лікар загальної практики - сімейний лікар",IF(AG409&lt;Законод!$C$22,0,(IF(AND(AG409&gt;=Законод!$E$22,AG409&lt;=Законод!$E$23),AG409-Законод!$C$22,IF('01_Доходи'!AG409&gt;=Законод!$F$22,Законод!$E$24,0)))),IF($B$405="Лікар-педіатр",IF(AG409&lt;Законод!$C$18,0,(IF(AND(AG409&gt;=Законод!$E$18,AG409&lt;=Законод!$E$19),AG409-Законод!$C$18,IF('01_Доходи'!AG409&gt;=Законод!$F$18,Законод!$E$20,0)))),IF($B$405="Лікар-терапевт",IF(AG409&lt;Законод!$C$26,0,(IF(AND(AG409&gt;=Законод!$E$26,AG409&lt;=Законод!$E$27),AG409-Законод!$C$26,IF('01_Доходи'!AG409&gt;=Законод!$F$26,Законод!$E$28,0)))),0)))</f>
        <v>0</v>
      </c>
      <c r="AH411" s="942"/>
      <c r="AI411" s="201"/>
      <c r="AJ411" s="945"/>
      <c r="AK411" s="960"/>
      <c r="AL411" s="960"/>
      <c r="AM411" s="926" t="s">
        <v>452</v>
      </c>
      <c r="AN411" s="210">
        <f ca="1">IF(B405="Лікар загальної практики - сімейний лікар",L411*Законод!$C$9/4*Законод!$E$16,IF(B405="Лікар-педіатр",L411*Законод!$C$9/4*Законод!$E$16,IF(B405="Лікар-терапевт",L411*Законод!$C$9/4*Законод!$E$16,0)))</f>
        <v>0</v>
      </c>
      <c r="AO411" s="210">
        <f ca="1">IF(B405="Лікар загальної практики - сімейний лікар",S411*Законод!$C$9/4*Законод!$E$16,IF(B405="Лікар-педіатр",S411*Законод!$C$9/4*Законод!$E$16,IF(B405="Лікар-терапевт",S411*Законод!$C$9/4*Законод!$E$16,0)))</f>
        <v>0</v>
      </c>
      <c r="AP411" s="210">
        <f ca="1">IF(B405="Лікар загальної практики - сімейний лікар",Z411*Законод!$C$9/4*Законод!$E$16,IF(B405="Лікар-педіатр",Z411*Законод!$C$9/4*Законод!$E$16,IF(B405="Лікар-терапевт",Z411*Законод!$C$9/4*Законод!$E$16,0)))</f>
        <v>0</v>
      </c>
      <c r="AQ411" s="210">
        <f ca="1">IF(B405="Лікар загальної практики - сімейний лікар",AG411*Законод!$C$9/4*Законод!$E$16,IF(B405="Лікар-педіатр",AG411*Законод!$C$9/4*Законод!$E$16,IF(B405="Лікар-терапевт",AG411*Законод!$C$9/4*Законод!$E$16,0)))</f>
        <v>0</v>
      </c>
      <c r="AR411" s="211">
        <f t="shared" si="71"/>
        <v>0</v>
      </c>
    </row>
    <row r="412" spans="1:44" s="50" customFormat="1" ht="31.9" hidden="1" customHeight="1">
      <c r="A412" s="197"/>
      <c r="B412" s="951"/>
      <c r="C412" s="954"/>
      <c r="D412" s="957"/>
      <c r="E412" s="939"/>
      <c r="F412" s="238" t="str">
        <f ca="1">IF(B405="Лікар-педіатр",Законод!$F$17,IF(B405="Лікар загальної практики - сімейний лікар",Законод!$F$21,IF(B405="Лікар-терапевт",Законод!$F$25,"х")))</f>
        <v>х</v>
      </c>
      <c r="G412" s="935" t="s">
        <v>423</v>
      </c>
      <c r="H412" s="936"/>
      <c r="I412" s="936"/>
      <c r="J412" s="936"/>
      <c r="K412" s="937"/>
      <c r="L412" s="196">
        <f ca="1">IF($B$405="Лікар загальної практики - сімейний лікар",IF(L409&lt;Законод!$C$22,0,(IF(AND(L409&gt;=Законод!$F$22,L409&lt;=Законод!$F$23),L409-Законод!$E$23,IF('01_Доходи'!L409&gt;=Законод!$G$22,Законод!$F$24,0)))),IF($B$405="Лікар-педіатр",IF(L409&lt;Законод!$C$18,0,(IF(AND(L409&gt;=Законод!$F$18,L409&lt;=Законод!$F$19),L409-Законод!$E$19,IF('01_Доходи'!L409&gt;=Законод!$G$18,Законод!$F$20,0)))),IF($B$405="Лікар-терапевт",IF(L409&lt;Законод!$C$26,0,(IF(AND(L409&gt;=Законод!$F$26,L409&lt;=Законод!$F$27),L409-Законод!$E$27,IF('01_Доходи'!L409&gt;=Законод!$G$26,Законод!$F$28,0)))),0)))</f>
        <v>0</v>
      </c>
      <c r="M412" s="942"/>
      <c r="N412" s="935" t="s">
        <v>423</v>
      </c>
      <c r="O412" s="936"/>
      <c r="P412" s="936"/>
      <c r="Q412" s="936"/>
      <c r="R412" s="937"/>
      <c r="S412" s="196">
        <f ca="1">IF($B$405="Лікар загальної практики - сімейний лікар",IF(S409&lt;Законод!$C$22,0,(IF(AND(S409&gt;=Законод!$F$22,S409&lt;=Законод!$F$23),S409-Законод!$E$23,IF('01_Доходи'!S409&gt;=Законод!$G$22,Законод!$F$24,0)))),IF($B$405="Лікар-педіатр",IF(S409&lt;Законод!$C$18,0,(IF(AND(S409&gt;=Законод!$F$18,S409&lt;=Законод!$F$19),S409-Законод!$E$19,IF('01_Доходи'!S409&gt;=Законод!$G$18,Законод!$F$20,0)))),IF($B$405="Лікар-терапевт",IF(S409&lt;Законод!$C$26,0,(IF(AND(S409&gt;=Законод!$F$26,S409&lt;=Законод!$F$27),S409-Законод!$E$27,IF('01_Доходи'!S409&gt;=Законод!$G$26,Законод!$F$28,0)))),0)))</f>
        <v>0</v>
      </c>
      <c r="T412" s="942"/>
      <c r="U412" s="935" t="s">
        <v>423</v>
      </c>
      <c r="V412" s="936"/>
      <c r="W412" s="936"/>
      <c r="X412" s="936"/>
      <c r="Y412" s="937"/>
      <c r="Z412" s="196">
        <f ca="1">IF($B$405="Лікар загальної практики - сімейний лікар",IF(Z409&lt;Законод!$C$22,0,(IF(AND(Z409&gt;=Законод!$F$22,Z409&lt;=Законод!$F$23),Z409-Законод!$E$23,IF('01_Доходи'!Z409&gt;=Законод!$G$22,Законод!$F$24,0)))),IF($B$405="Лікар-педіатр",IF(Z409&lt;Законод!$C$18,0,(IF(AND(Z409&gt;=Законод!$F$18,Z409&lt;=Законод!$F$19),Z409-Законод!$E$19,IF('01_Доходи'!Z409&gt;=Законод!$G$18,Законод!$F$20,0)))),IF($B$405="Лікар-терапевт",IF(Z409&lt;Законод!$C$26,0,(IF(AND(Z409&gt;=Законод!$F$26,Z409&lt;=Законод!$F$27),Z409-Законод!$E$27,IF('01_Доходи'!Z409&gt;=Законод!$G$26,Законод!$F$28,0)))),0)))</f>
        <v>0</v>
      </c>
      <c r="AA412" s="942"/>
      <c r="AB412" s="935" t="s">
        <v>423</v>
      </c>
      <c r="AC412" s="936"/>
      <c r="AD412" s="936"/>
      <c r="AE412" s="936"/>
      <c r="AF412" s="937"/>
      <c r="AG412" s="196">
        <f ca="1">IF($B$405="Лікар загальної практики - сімейний лікар",IF(AG409&lt;Законод!$C$22,0,(IF(AND(AG409&gt;=Законод!$F$22,AG409&lt;=Законод!$F$23),AG409-Законод!$E$23,IF('01_Доходи'!AG409&gt;=Законод!$G$22,Законод!$F$24,0)))),IF($B$405="Лікар-педіатр",IF(AG409&lt;Законод!$C$18,0,(IF(AND(AG409&gt;=Законод!$F$18,AG409&lt;=Законод!$F$19),AG409-Законод!$E$19,IF('01_Доходи'!AG409&gt;=Законод!$G$18,Законод!$F$20,0)))),IF($B$405="Лікар-терапевт",IF(AG409&lt;Законод!$C$26,0,(IF(AND(AG409&gt;=Законод!$F$26,AG409&lt;=Законод!$F$27),AG409-Законод!$E$27,IF('01_Доходи'!AG409&gt;=Законод!$G$26,Законод!$F$28,0)))),0)))</f>
        <v>0</v>
      </c>
      <c r="AH412" s="942"/>
      <c r="AI412" s="201"/>
      <c r="AJ412" s="945"/>
      <c r="AK412" s="960"/>
      <c r="AL412" s="960"/>
      <c r="AM412" s="927"/>
      <c r="AN412" s="210">
        <f ca="1">IF(B405="Лікар загальної практики - сімейний лікар",L412*Законод!$C$9/4*Законод!$F$16,IF(B405="Лікар-педіатр",L412*Законод!$C$9/4*Законод!$F$16,IF(B405="Лікар-терапевт",L412*Законод!$C$9/4*Законод!$F$16,0)))</f>
        <v>0</v>
      </c>
      <c r="AO412" s="210">
        <f ca="1">IF(B405="Лікар загальної практики - сімейний лікар",S412*Законод!$C$9/4*Законод!$F$16,IF(B405="Лікар-педіатр",S412*Законод!$C$9/4*Законод!$F$16,IF(B405="Лікар-терапевт",S412*Законод!$C$9/4*Законод!$F$16,0)))</f>
        <v>0</v>
      </c>
      <c r="AP412" s="210">
        <f ca="1">IF(B405="Лікар загальної практики - сімейний лікар",Z412*Законод!$C$9/4*Законод!$F$16,IF(B405="Лікар-педіатр",Z412*Законод!$C$9/4*Законод!$F$16,IF(B405="Лікар-терапевт",Z412*Законод!$C$9/4*Законод!$F$16,0)))</f>
        <v>0</v>
      </c>
      <c r="AQ412" s="210">
        <f ca="1">IF(B405="Лікар загальної практики - сімейний лікар",AG412*Законод!$C$9/4*Законод!$F$16,IF(B405="Лікар-педіатр",AG412*Законод!$C$9/4*Законод!$F$16,IF(B405="Лікар-терапевт",AG412*Законод!$C$9/4*Законод!$F$16,0)))</f>
        <v>0</v>
      </c>
      <c r="AR412" s="211">
        <f t="shared" si="71"/>
        <v>0</v>
      </c>
    </row>
    <row r="413" spans="1:44" s="50" customFormat="1" ht="31.9" hidden="1" customHeight="1">
      <c r="A413" s="197"/>
      <c r="B413" s="951"/>
      <c r="C413" s="954"/>
      <c r="D413" s="957"/>
      <c r="E413" s="939"/>
      <c r="F413" s="238" t="str">
        <f ca="1">IF(B405="Лікар-педіатр",Законод!$G$17,IF(B405="Лікар загальної практики - сімейний лікар",Законод!$G$21,IF(B405="Лікар-терапевт",Законод!$G$25,"х")))</f>
        <v>х</v>
      </c>
      <c r="G413" s="935" t="s">
        <v>423</v>
      </c>
      <c r="H413" s="936"/>
      <c r="I413" s="936"/>
      <c r="J413" s="936"/>
      <c r="K413" s="937"/>
      <c r="L413" s="196">
        <f ca="1">IF($B$405="Лікар загальної практики - сімейний лікар",IF(L409&lt;Законод!$C$22,0,(IF(AND(L409&gt;=Законод!$G$22,L409&lt;=Законод!$G$23),L409-Законод!$F$23,IF('01_Доходи'!L409&gt;=Законод!$H$22,Законод!$G$24,0)))),IF($B$405="Лікар-педіатр",IF(L409&lt;Законод!$C$18,0,(IF(AND(L409&gt;=Законод!$G$18,L409&lt;=Законод!$G$19),L409-Законод!$F$19,IF('01_Доходи'!L409&gt;=Законод!$H$18,Законод!$G$20,0)))),IF($B$405="Лікар-терапевт",IF(L409&lt;Законод!$C$26,0,(IF(AND(L409&gt;=Законод!$G$26,L409&lt;=Законод!$G$27),L409-Законод!$F$27,IF('01_Доходи'!L409&gt;=Законод!$H$26,Законод!$G$28,0)))),0)))</f>
        <v>0</v>
      </c>
      <c r="M413" s="942"/>
      <c r="N413" s="935" t="s">
        <v>423</v>
      </c>
      <c r="O413" s="936"/>
      <c r="P413" s="936"/>
      <c r="Q413" s="936"/>
      <c r="R413" s="937"/>
      <c r="S413" s="196">
        <f ca="1">IF($B$405="Лікар загальної практики - сімейний лікар",IF(S409&lt;Законод!$C$22,0,(IF(AND(S409&gt;=Законод!$G$22,S409&lt;=Законод!$G$23),S409-Законод!$F$23,IF('01_Доходи'!S409&gt;=Законод!$H$22,Законод!$G$24,0)))),IF($B$405="Лікар-педіатр",IF(S409&lt;Законод!$C$18,0,(IF(AND(S409&gt;=Законод!$G$18,S409&lt;=Законод!$G$19),S409-Законод!$F$19,IF('01_Доходи'!S409&gt;=Законод!$H$18,Законод!$G$20,0)))),IF($B$405="Лікар-терапевт",IF(S409&lt;Законод!$C$26,0,(IF(AND(S409&gt;=Законод!$G$26,S409&lt;=Законод!$G$27),S409-Законод!$F$27,IF('01_Доходи'!S409&gt;=Законод!$H$26,Законод!$G$28,0)))),0)))</f>
        <v>0</v>
      </c>
      <c r="T413" s="942"/>
      <c r="U413" s="935" t="s">
        <v>423</v>
      </c>
      <c r="V413" s="936"/>
      <c r="W413" s="936"/>
      <c r="X413" s="936"/>
      <c r="Y413" s="937"/>
      <c r="Z413" s="196">
        <f ca="1">IF($B$405="Лікар загальної практики - сімейний лікар",IF(Z409&lt;Законод!$C$22,0,(IF(AND(Z409&gt;=Законод!$G$22,Z409&lt;=Законод!$G$23),Z409-Законод!$F$23,IF('01_Доходи'!Z409&gt;=Законод!$H$22,Законод!$G$24,0)))),IF($B$405="Лікар-педіатр",IF(Z409&lt;Законод!$C$18,0,(IF(AND(Z409&gt;=Законод!$G$18,Z409&lt;=Законод!$G$19),Z409-Законод!$F$19,IF('01_Доходи'!Z409&gt;=Законод!$H$18,Законод!$G$20,0)))),IF($B$405="Лікар-терапевт",IF(Z409&lt;Законод!$C$26,0,(IF(AND(Z409&gt;=Законод!$G$26,Z409&lt;=Законод!$G$27),Z409-Законод!$F$27,IF('01_Доходи'!Z409&gt;=Законод!$H$26,Законод!$G$28,0)))),0)))</f>
        <v>0</v>
      </c>
      <c r="AA413" s="942"/>
      <c r="AB413" s="935" t="s">
        <v>423</v>
      </c>
      <c r="AC413" s="936"/>
      <c r="AD413" s="936"/>
      <c r="AE413" s="936"/>
      <c r="AF413" s="937"/>
      <c r="AG413" s="196">
        <f ca="1">IF($B$405="Лікар загальної практики - сімейний лікар",IF(AG409&lt;Законод!$C$22,0,(IF(AND(AG409&gt;=Законод!$G$22,AG409&lt;=Законод!$G$23),AG409-Законод!$F$23,IF('01_Доходи'!AG409&gt;=Законод!$H$22,Законод!$G$24,0)))),IF($B$405="Лікар-педіатр",IF(AG409&lt;Законод!$C$18,0,(IF(AND(AG409&gt;=Законод!$G$18,AG409&lt;=Законод!$G$19),AG409-Законод!$F$19,IF('01_Доходи'!AG409&gt;=Законод!$H$18,Законод!$G$20,0)))),IF($B$405="Лікар-терапевт",IF(AG409&lt;Законод!$C$26,0,(IF(AND(AG409&gt;=Законод!$G$26,AG409&lt;=Законод!$G$27),AG409-Законод!$F$27,IF('01_Доходи'!AG409&gt;=Законод!$H$26,Законод!$G$28,0)))),0)))</f>
        <v>0</v>
      </c>
      <c r="AH413" s="942"/>
      <c r="AI413" s="201"/>
      <c r="AJ413" s="945"/>
      <c r="AK413" s="960"/>
      <c r="AL413" s="960"/>
      <c r="AM413" s="927"/>
      <c r="AN413" s="210">
        <f ca="1">IF(B405="Лікар загальної практики - сімейний лікар",L413*Законод!$C$9/4*Законод!$G$16,IF(B405="Лікар-педіатр",L413*Законод!$C$9/4*Законод!$G$16,IF(B405="Лікар-терапевт",L413*Законод!$C$9/4*Законод!$G$16,0)))</f>
        <v>0</v>
      </c>
      <c r="AO413" s="210">
        <f ca="1">IF(B405="Лікар загальної практики - сімейний лікар",S413*Законод!$C$9/4*Законод!$G$16,IF(B405="Лікар-педіатр",S413*Законод!$C$9/4*Законод!$G$16,IF(B405="Лікар-терапевт",S413*Законод!$C$9/4*Законод!$G$16,0)))</f>
        <v>0</v>
      </c>
      <c r="AP413" s="210">
        <f ca="1">IF(B405="Лікар загальної практики - сімейний лікар",Z413*Законод!$C$9/4*Законод!$G$16,IF(B405="Лікар-педіатр",Z413*Законод!$C$9/4*Законод!$G$16,IF(B405="Лікар-терапевт",Z413*Законод!$C$9/4*Законод!$G$16,0)))</f>
        <v>0</v>
      </c>
      <c r="AQ413" s="210">
        <f ca="1">IF(B405="Лікар загальної практики - сімейний лікар",AG413*Законод!$C$9/4*Законод!$G$16,IF(B405="Лікар-педіатр",AG413*Законод!$C$9/4*Законод!$G$16,IF(B405="Лікар-терапевт",AG413*Законод!$C$9/4*Законод!$G$16,0)))</f>
        <v>0</v>
      </c>
      <c r="AR413" s="211">
        <f t="shared" si="71"/>
        <v>0</v>
      </c>
    </row>
    <row r="414" spans="1:44" s="50" customFormat="1" ht="31.9" hidden="1" customHeight="1">
      <c r="A414" s="197"/>
      <c r="B414" s="951"/>
      <c r="C414" s="954"/>
      <c r="D414" s="957"/>
      <c r="E414" s="939"/>
      <c r="F414" s="238" t="str">
        <f ca="1">IF(B405="Лікар-педіатр",Законод!$H$17,IF(B405="Лікар загальної практики - сімейний лікар",Законод!$H$21,IF(B405="Лікар-терапевт",Законод!$H$25,"х")))</f>
        <v>х</v>
      </c>
      <c r="G414" s="935" t="s">
        <v>423</v>
      </c>
      <c r="H414" s="936"/>
      <c r="I414" s="936"/>
      <c r="J414" s="936"/>
      <c r="K414" s="937"/>
      <c r="L414" s="196">
        <f ca="1">IF($B$405="Лікар загальної практики - сімейний лікар",IF(L409&lt;Законод!$C$22,0,(IF(AND(L409&gt;=Законод!$H$22,L409&lt;=Законод!$H$23),L409-Законод!$G$23,IF('01_Доходи'!L409&gt;=Законод!$I$22,Законод!$H$24,0)))),IF($B$405="Лікар-педіатр",IF(L409&lt;Законод!$C$18,0,(IF(AND(L409&gt;=Законод!$H$18,L409&lt;=Законод!$H$19),L409-Законод!$G$19,IF('01_Доходи'!L409&gt;=Законод!$I$18,Законод!$H$20,0)))),IF($B$405="Лікар-терапевт",IF(L409&lt;Законод!$C$26,0,(IF(AND(L409&gt;=Законод!$H$26,L409&lt;=Законод!$H$27),L409-Законод!$G$27,IF(L409&gt;=Законод!$I$26,Законод!$H$28,0)))),0)))</f>
        <v>0</v>
      </c>
      <c r="M414" s="942"/>
      <c r="N414" s="935" t="s">
        <v>423</v>
      </c>
      <c r="O414" s="936"/>
      <c r="P414" s="936"/>
      <c r="Q414" s="936"/>
      <c r="R414" s="937"/>
      <c r="S414" s="196">
        <f ca="1">IF($B$405="Лікар загальної практики - сімейний лікар",IF(S409&lt;Законод!$C$22,0,(IF(AND(S409&gt;=Законод!$H$22,S409&lt;=Законод!$H$23),S409-Законод!$G$23,IF('01_Доходи'!S409&gt;=Законод!$I$22,Законод!$H$24,0)))),IF($B$405="Лікар-педіатр",IF(S409&lt;Законод!$C$18,0,(IF(AND(S409&gt;=Законод!$H$18,S409&lt;=Законод!$H$19),S409-Законод!$G$19,IF('01_Доходи'!S409&gt;=Законод!$I$18,Законод!$H$20,0)))),IF($B$405="Лікар-терапевт",IF(S409&lt;Законод!$C$26,0,(IF(AND(S409&gt;=Законод!$H$26,S409&lt;=Законод!$H$27),S409-Законод!$G$27,IF(S409&gt;=Законод!$I$26,Законод!$H$28,0)))),0)))</f>
        <v>0</v>
      </c>
      <c r="T414" s="942"/>
      <c r="U414" s="935" t="s">
        <v>423</v>
      </c>
      <c r="V414" s="936"/>
      <c r="W414" s="936"/>
      <c r="X414" s="936"/>
      <c r="Y414" s="937"/>
      <c r="Z414" s="196">
        <f ca="1">IF($B$405="Лікар загальної практики - сімейний лікар",IF(Z409&lt;Законод!$C$22,0,(IF(AND(Z409&gt;=Законод!$H$22,Z409&lt;=Законод!$H$23),Z409-Законод!$G$23,IF('01_Доходи'!Z409&gt;=Законод!$I$22,Законод!$H$24,0)))),IF($B$405="Лікар-педіатр",IF(Z409&lt;Законод!$C$18,0,(IF(AND(Z409&gt;=Законод!$H$18,Z409&lt;=Законод!$H$19),Z409-Законод!$G$19,IF('01_Доходи'!Z409&gt;=Законод!$I$18,Законод!$H$20,0)))),IF($B$405="Лікар-терапевт",IF(Z409&lt;Законод!$C$26,0,(IF(AND(Z409&gt;=Законод!$H$26,Z409&lt;=Законод!$H$27),Z409-Законод!$G$27,IF(Z409&gt;=Законод!$I$26,Законод!$H$28,0)))),0)))</f>
        <v>0</v>
      </c>
      <c r="AA414" s="942"/>
      <c r="AB414" s="935" t="s">
        <v>423</v>
      </c>
      <c r="AC414" s="936"/>
      <c r="AD414" s="936"/>
      <c r="AE414" s="936"/>
      <c r="AF414" s="937"/>
      <c r="AG414" s="196">
        <f ca="1">IF($B$405="Лікар загальної практики - сімейний лікар",IF(AG409&lt;Законод!$C$22,0,(IF(AND(AG409&gt;=Законод!$H$22,AG409&lt;=Законод!$H$23),AG409-Законод!$G$23,IF('01_Доходи'!AG409&gt;=Законод!$I$22,Законод!$H$24,0)))),IF($B$405="Лікар-педіатр",IF(AG409&lt;Законод!$C$18,0,(IF(AND(AG409&gt;=Законод!$H$18,AG409&lt;=Законод!$H$19),AG409-Законод!$G$19,IF('01_Доходи'!AG409&gt;=Законод!$I$18,Законод!$H$20,0)))),IF($B$405="Лікар-терапевт",IF(AG409&lt;Законод!$C$26,0,(IF(AND(AG409&gt;=Законод!$H$26,AG409&lt;=Законод!$H$27),AG409-Законод!$G$27,IF(AG409&gt;=Законод!$I$26,Законод!$H$28,0)))),0)))</f>
        <v>0</v>
      </c>
      <c r="AH414" s="942"/>
      <c r="AI414" s="201"/>
      <c r="AJ414" s="945"/>
      <c r="AK414" s="960"/>
      <c r="AL414" s="960"/>
      <c r="AM414" s="927"/>
      <c r="AN414" s="210">
        <f ca="1">IF(B405="Лікар загальної практики - сімейний лікар",L414*Законод!$C$9/4*Законод!$H$16,IF(B405="Лікар-педіатр",L414*Законод!$C$9/4*Законод!$H$16,IF(B405="Лікар-терапевт",L414*Законод!$C$9/4*Законод!$H$16,0)))</f>
        <v>0</v>
      </c>
      <c r="AO414" s="210">
        <f ca="1">IF(B405="Лікар загальної практики - сімейний лікар",S414*Законод!$C$9/4*Законод!$H$16,IF(B405="Лікар-педіатр",S414*Законод!$C$9/4*Законод!$H$16,IF(B405="Лікар-терапевт",S414*Законод!$C$9/4*Законод!$H$16,0)))</f>
        <v>0</v>
      </c>
      <c r="AP414" s="210">
        <f ca="1">IF(B405="Лікар загальної практики - сімейний лікар",Z414*Законод!$C$9/4*Законод!$H$16,IF(B405="Лікар-педіатр",Z414*Законод!$C$9/4*Законод!$H$16,IF(B405="Лікар-терапевт",Z414*Законод!$C$9/4*Законод!$H$16,0)))</f>
        <v>0</v>
      </c>
      <c r="AQ414" s="210">
        <f ca="1">IF(B405="Лікар загальної практики - сімейний лікар",AG414*Законод!$C$9/4*Законод!$H$16,IF(B405="Лікар-педіатр",AG414*Законод!$C$9/4*Законод!$H$16,IF(B405="Лікар-терапевт",AG414*Законод!$C$9/4*Законод!$H$16,0)))</f>
        <v>0</v>
      </c>
      <c r="AR414" s="211">
        <f t="shared" si="71"/>
        <v>0</v>
      </c>
    </row>
    <row r="415" spans="1:44" s="50" customFormat="1" ht="31.9" hidden="1" customHeight="1">
      <c r="A415" s="197"/>
      <c r="B415" s="951"/>
      <c r="C415" s="954"/>
      <c r="D415" s="957"/>
      <c r="E415" s="939"/>
      <c r="F415" s="238" t="str">
        <f ca="1">IF(B405="Лікар-педіатр",Законод!$I$17,IF(B405="Лікар загальної практики - сімейний лікар",Законод!$I$21,IF(B405="Лікар-терапевт",Законод!$I$25,"х")))</f>
        <v>х</v>
      </c>
      <c r="G415" s="935" t="s">
        <v>423</v>
      </c>
      <c r="H415" s="936"/>
      <c r="I415" s="936"/>
      <c r="J415" s="936"/>
      <c r="K415" s="937"/>
      <c r="L415" s="196">
        <f ca="1">IF($B$405="Лікар загальної практики - сімейний лікар",IF(L409&lt;Законод!$C$22,0,(IF(AND(L409&gt;=Законод!$I$22,L409&lt;=Законод!$I$23),L409-Законод!$H$23,IF('01_Доходи'!L409&gt;=Законод!$I$22,Законод!$I$24,0)))),IF($B$405="Лікар-педіатр",IF(L409&lt;Законод!$C$18,0,(IF(AND(L409&gt;=Законод!$I$18,L409&lt;=Законод!$I$19),L409-Законод!$H$19,IF('01_Доходи'!L409&gt;=Законод!$I$18,Законод!$H$20,0)))),IF($B$405="Лікар-терапевт",IF(L409&lt;Законод!$C$26,0,(IF(AND(L409&gt;=Законод!$I$26,L409&lt;=Законод!$I$27),L409-Законод!$H$27,IF('01_Доходи'!L409&gt;=Законод!$I$26,Законод!$H$28,0)))),0)))</f>
        <v>0</v>
      </c>
      <c r="M415" s="942"/>
      <c r="N415" s="935" t="s">
        <v>423</v>
      </c>
      <c r="O415" s="936"/>
      <c r="P415" s="936"/>
      <c r="Q415" s="936"/>
      <c r="R415" s="937"/>
      <c r="S415" s="196">
        <f ca="1">IF($B$405="Лікар загальної практики - сімейний лікар",IF(S409&lt;Законод!$C$22,0,(IF(AND(S409&gt;=Законод!$I$22,S409&lt;=Законод!$I$23),S409-Законод!$H$23,IF('01_Доходи'!S409&gt;=Законод!$I$22,Законод!$I$24,0)))),IF($B$405="Лікар-педіатр",IF(S409&lt;Законод!$C$18,0,(IF(AND(S409&gt;=Законод!$I$18,S409&lt;=Законод!$I$19),S409-Законод!$H$19,IF('01_Доходи'!S409&gt;=Законод!$I$18,Законод!$H$20,0)))),IF($B$405="Лікар-терапевт",IF(S409&lt;Законод!$C$26,0,(IF(AND(S409&gt;=Законод!$I$26,S409&lt;=Законод!$I$27),S409-Законод!$H$27,IF('01_Доходи'!S409&gt;=Законод!$I$26,Законод!$H$28,0)))),0)))</f>
        <v>0</v>
      </c>
      <c r="T415" s="942"/>
      <c r="U415" s="935" t="s">
        <v>423</v>
      </c>
      <c r="V415" s="936"/>
      <c r="W415" s="936"/>
      <c r="X415" s="936"/>
      <c r="Y415" s="937"/>
      <c r="Z415" s="196">
        <f ca="1">IF($B$405="Лікар загальної практики - сімейний лікар",IF(Z409&lt;Законод!$C$22,0,(IF(AND(Z409&gt;=Законод!$I$22,Z409&lt;=Законод!$I$23),Z409-Законод!$H$23,IF('01_Доходи'!Z409&gt;=Законод!$I$22,Законод!$I$24,0)))),IF($B$405="Лікар-педіатр",IF(Z409&lt;Законод!$C$18,0,(IF(AND(Z409&gt;=Законод!$I$18,Z409&lt;=Законод!$I$19),Z409-Законод!$H$19,IF('01_Доходи'!Z409&gt;=Законод!$I$18,Законод!$H$20,0)))),IF($B$405="Лікар-терапевт",IF(Z409&lt;Законод!$C$26,0,(IF(AND(Z409&gt;=Законод!$I$26,Z409&lt;=Законод!$I$27),Z409-Законод!$H$27,IF('01_Доходи'!Z409&gt;=Законод!$I$26,Законод!$H$28,0)))),0)))</f>
        <v>0</v>
      </c>
      <c r="AA415" s="942"/>
      <c r="AB415" s="935" t="s">
        <v>423</v>
      </c>
      <c r="AC415" s="936"/>
      <c r="AD415" s="936"/>
      <c r="AE415" s="936"/>
      <c r="AF415" s="937"/>
      <c r="AG415" s="196">
        <f ca="1">IF($B$405="Лікар загальної практики - сімейний лікар",IF(AG409&lt;Законод!$C$22,0,(IF(AND(AG409&gt;=Законод!$I$22,AG409&lt;=Законод!$I$23),AG409-Законод!$H$23,IF('01_Доходи'!AG409&gt;=Законод!$I$22,Законод!$I$24,0)))),IF($B$405="Лікар-педіатр",IF(AG409&lt;Законод!$C$18,0,(IF(AND(AG409&gt;=Законод!$I$18,AG409&lt;=Законод!$I$19),AG409-Законод!$H$19,IF('01_Доходи'!AG409&gt;=Законод!$I$18,Законод!$H$20,0)))),IF($B$405="Лікар-терапевт",IF(AG409&lt;Законод!$C$26,0,(IF(AND(AG409&gt;=Законод!$I$26,AG409&lt;=Законод!$I$27),AG409-Законод!$H$27,IF('01_Доходи'!AG409&gt;=Законод!$I$26,Законод!$H$28,0)))),0)))</f>
        <v>0</v>
      </c>
      <c r="AH415" s="942"/>
      <c r="AI415" s="201"/>
      <c r="AJ415" s="945"/>
      <c r="AK415" s="960"/>
      <c r="AL415" s="960"/>
      <c r="AM415" s="927"/>
      <c r="AN415" s="210">
        <f ca="1">IF(B405="Лікар загальної практики - сімейний лікар",L415*Законод!$C$9/4*Законод!$I$16,IF(B405="Лікар-педіатр",L415*Законод!$C$9/4*Законод!$I$16,IF(B405="Лікар-терапевт",L415*Законод!$C$9/4*Законод!$I$16,0)))</f>
        <v>0</v>
      </c>
      <c r="AO415" s="210">
        <f ca="1">IF(B405="Лікар загальної практики - сімейний лікар",S415*Законод!$C$9/4*Законод!$I$16,IF(B405="Лікар-педіатр",S415*Законод!$C$9/4*Законод!$I$16,IF(B405="Лікар-терапевт",S415*Законод!$C$9/4*Законод!$I$16,0)))</f>
        <v>0</v>
      </c>
      <c r="AP415" s="210">
        <f ca="1">IF(B405="Лікар загальної практики - сімейний лікар",Z415*Законод!$C$9/4*Законод!$I$16,IF(B405="Лікар-педіатр",Z415*Законод!$C$9/4*Законод!$I$16,IF(B405="Лікар-терапевт",Z415*Законод!$C$9/4*Законод!$I$16,0)))</f>
        <v>0</v>
      </c>
      <c r="AQ415" s="210">
        <f ca="1">IF(B405="Лікар загальної практики - сімейний лікар",AG415*Законод!$C$9/4*Законод!$I$16,IF(B405="Лікар-педіатр",AG415*Законод!$C$9/4*Законод!$I$16,IF(B405="Лікар-терапевт",AG415*Законод!$C$9/4*Законод!$I$16,0)))</f>
        <v>0</v>
      </c>
      <c r="AR415" s="211">
        <f t="shared" si="71"/>
        <v>0</v>
      </c>
    </row>
    <row r="416" spans="1:44" s="218" customFormat="1" ht="31.9" hidden="1" customHeight="1" thickBot="1">
      <c r="A416" s="213"/>
      <c r="B416" s="952"/>
      <c r="C416" s="955"/>
      <c r="D416" s="958"/>
      <c r="E416" s="940"/>
      <c r="F416" s="239" t="str">
        <f ca="1">IF(B405="Лікар-педіатр",Законод!$J$17,IF(B405="Лікар загальної практики - сімейний лікар",Законод!$J$21,IF(B405="Лікар-терапевт",Законод!$J$25,"х")))</f>
        <v>х</v>
      </c>
      <c r="G416" s="932" t="s">
        <v>423</v>
      </c>
      <c r="H416" s="933"/>
      <c r="I416" s="933"/>
      <c r="J416" s="933"/>
      <c r="K416" s="934"/>
      <c r="L416" s="196">
        <f ca="1">IF($B$405="Лікар загальної практики - сімейний лікар",IF(L409&gt;=Законод!$J$22,'01_Доходи'!L409-('01_Доходи'!L410+'01_Доходи'!L411+'01_Доходи'!L412+'01_Доходи'!L413+'01_Доходи'!L414+'01_Доходи'!L415),0),IF($B$405="Лікар-педіатр",IF(L409&gt;=Законод!$J$18,'01_Доходи'!L409-('01_Доходи'!L410+'01_Доходи'!L411+'01_Доходи'!L412+'01_Доходи'!L413+'01_Доходи'!L414+'01_Доходи'!L415),0),IF($B$405="Лікар-терапевт",IF('01_Доходи'!L409&gt;=Законод!$J$26,L409-Законод!$I$27,0),0)))</f>
        <v>0</v>
      </c>
      <c r="M416" s="943"/>
      <c r="N416" s="932" t="s">
        <v>423</v>
      </c>
      <c r="O416" s="933"/>
      <c r="P416" s="933"/>
      <c r="Q416" s="933"/>
      <c r="R416" s="934"/>
      <c r="S416" s="196">
        <f ca="1">IF($B$405="Лікар загальної практики - сімейний лікар",IF(S409&gt;=Законод!$J$22,'01_Доходи'!S409-('01_Доходи'!S410+'01_Доходи'!S411+'01_Доходи'!S412+'01_Доходи'!S413+'01_Доходи'!S414+'01_Доходи'!S415),0),IF($B$405="Лікар-педіатр",IF(S409&gt;=Законод!$J$18,'01_Доходи'!S409-('01_Доходи'!S410+'01_Доходи'!S411+'01_Доходи'!S412+'01_Доходи'!S413+'01_Доходи'!S414+'01_Доходи'!S415),0),IF($B$405="Лікар-терапевт",IF('01_Доходи'!S409&gt;=Законод!$J$26,S409-Законод!$I$27,0),0)))</f>
        <v>0</v>
      </c>
      <c r="T416" s="943"/>
      <c r="U416" s="932" t="s">
        <v>423</v>
      </c>
      <c r="V416" s="933"/>
      <c r="W416" s="933"/>
      <c r="X416" s="933"/>
      <c r="Y416" s="934"/>
      <c r="Z416" s="196">
        <f ca="1">IF($B$405="Лікар загальної практики - сімейний лікар",IF(Z409&gt;=Законод!$J$22,'01_Доходи'!Z409-('01_Доходи'!Z410+'01_Доходи'!Z411+'01_Доходи'!Z412+'01_Доходи'!Z413+'01_Доходи'!Z414+'01_Доходи'!Z415),0),IF($B$405="Лікар-педіатр",IF(Z409&gt;=Законод!$J$18,'01_Доходи'!Z409-('01_Доходи'!Z410+'01_Доходи'!Z411+'01_Доходи'!Z412+'01_Доходи'!Z413+'01_Доходи'!Z414+'01_Доходи'!Z415),0),IF($B$405="Лікар-терапевт",IF('01_Доходи'!Z409&gt;=Законод!$J$26,Z409-Законод!$I$27,0),0)))</f>
        <v>0</v>
      </c>
      <c r="AA416" s="943"/>
      <c r="AB416" s="932" t="s">
        <v>423</v>
      </c>
      <c r="AC416" s="933"/>
      <c r="AD416" s="933"/>
      <c r="AE416" s="933"/>
      <c r="AF416" s="934"/>
      <c r="AG416" s="196">
        <f ca="1">IF($B$405="Лікар загальної практики - сімейний лікар",IF(AG409&gt;=Законод!$J$22,'01_Доходи'!AG409-('01_Доходи'!AG410+'01_Доходи'!AG411+'01_Доходи'!AG412+'01_Доходи'!AG413+'01_Доходи'!AG414+'01_Доходи'!AG415),0),IF($B$405="Лікар-педіатр",IF(AG409&gt;=Законод!$J$18,'01_Доходи'!AG409-('01_Доходи'!AG410+'01_Доходи'!AG411+'01_Доходи'!AG412+'01_Доходи'!AG413+'01_Доходи'!AG414+'01_Доходи'!AG415),0),IF($B$405="Лікар-терапевт",IF('01_Доходи'!AG409&gt;=Законод!$J$26,AG409-Законод!$I$27,0),0)))</f>
        <v>0</v>
      </c>
      <c r="AH416" s="943"/>
      <c r="AI416" s="215"/>
      <c r="AJ416" s="946"/>
      <c r="AK416" s="961"/>
      <c r="AL416" s="961"/>
      <c r="AM416" s="928"/>
      <c r="AN416" s="216">
        <f ca="1">IF(B405="Лікар загальної практики - сімейний лікар",L416*Законод!$C$9/4*Законод!$J$16,IF(B405="Лікар-педіатр",L416*Законод!$C$9/4*Законод!$J$16,IF(B405="Лікар-терапевт",L416*Законод!$C$9/4*Законод!$J$16,0)))</f>
        <v>0</v>
      </c>
      <c r="AO416" s="216">
        <f ca="1">IF(B405="Лікар загальної практики - сімейний лікар",S416*Законод!$C$9/4*Законод!$J$16,IF(B405="Лікар-педіатр",S416*Законод!$C$9/4*Законод!$J$16,IF(B405="Лікар-терапевт",S416*Законод!$C$9/4*Законод!$J$16,0)))</f>
        <v>0</v>
      </c>
      <c r="AP416" s="216">
        <f ca="1">IF(B405="Лікар загальної практики - сімейний лікар",S416*Законод!$C$9/4*Законод!$J$16,IF(B405="Лікар-педіатр",S416*Законод!$C$9/4*Законод!$J$16,IF(B405="Лікар-терапевт",S416*Законод!$C$9/4*Законод!$J$16,0)))</f>
        <v>0</v>
      </c>
      <c r="AQ416" s="216">
        <f ca="1">IF(B405="Лікар загальної практики - сімейний лікар",AG416*Законод!$C$9/4*Законод!$J$16,IF(B405="Лікар-педіатр",AG416*Законод!$C$9/4*Законод!$J$16,IF(B405="Лікар-терапевт",AG416*Законод!$C$9/4*Законод!$J$16,0)))</f>
        <v>0</v>
      </c>
      <c r="AR416" s="217">
        <f t="shared" si="71"/>
        <v>0</v>
      </c>
    </row>
    <row r="417" spans="1:44" s="247" customFormat="1" ht="23.45" hidden="1" customHeight="1" thickBot="1">
      <c r="A417" s="243"/>
      <c r="B417" s="244"/>
      <c r="C417" s="244"/>
      <c r="D417" s="244"/>
      <c r="E417" s="244"/>
      <c r="F417" s="245"/>
      <c r="G417" s="246"/>
      <c r="H417" s="246"/>
      <c r="L417" s="248"/>
      <c r="S417" s="248"/>
      <c r="Z417" s="248"/>
      <c r="AG417" s="248"/>
      <c r="AM417" s="249"/>
      <c r="AR417" s="250"/>
    </row>
    <row r="418" spans="1:44" s="191" customFormat="1" ht="27.6" hidden="1" customHeight="1">
      <c r="A418" s="194">
        <f>A405+1</f>
        <v>30</v>
      </c>
      <c r="B418" s="950"/>
      <c r="C418" s="953"/>
      <c r="D418" s="956"/>
      <c r="E418" s="938"/>
      <c r="F418" s="234" t="s">
        <v>659</v>
      </c>
      <c r="G418" s="196">
        <f>IF($B$418="Лікар-педіатр",G421*L418,IF($B$418="Лікар-терапевт","х",IF($B$418="Лікар загальної практики - сімейний лікар",G421*L418,0)))</f>
        <v>0</v>
      </c>
      <c r="H418" s="196">
        <f>IF($B$418="Лікар-педіатр",H421*L418,IF($B$418="Лікар-терапевт","х",IF($B$418="Лікар загальної практики - сімейний лікар",H421*L418,0)))</f>
        <v>0</v>
      </c>
      <c r="I418" s="196">
        <f>IF($B$418="Лікар-педіатр","x",IF($B$418="Лікар-терапевт",I421*L418,IF($B$418="Лікар загальної практики - сімейний лікар",I421*L418,0)))</f>
        <v>0</v>
      </c>
      <c r="J418" s="196">
        <f>IF($B$418="Лікар-педіатр","x",IF($B$418="Лікар-терапевт",J421*L418,IF($B$418="Лікар загальної практики - сімейний лікар",J421*L418,0)))</f>
        <v>0</v>
      </c>
      <c r="K418" s="196">
        <f>IF($B$418="Лікар-педіатр","x",IF($B$418="Лікар-терапевт",K421*L418,IF($B$418="Лікар загальної практики - сімейний лікар",K421*L418,0)))</f>
        <v>0</v>
      </c>
      <c r="L418" s="557"/>
      <c r="M418" s="941"/>
      <c r="N418" s="196">
        <f>IF($B$418="Лікар-педіатр",N421*S418,IF($B$418="Лікар-терапевт","х",IF($B$418="Лікар загальної практики - сімейний лікар",N421*S418,0)))</f>
        <v>0</v>
      </c>
      <c r="O418" s="196">
        <f>IF($B$418="Лікар-педіатр",O421*S418,IF($B$418="Лікар-терапевт","х",IF($B$418="Лікар загальної практики - сімейний лікар",O421*S418,0)))</f>
        <v>0</v>
      </c>
      <c r="P418" s="196">
        <f>IF($B$418="Лікар-педіатр","x",IF($B$418="Лікар-терапевт",P421*S418,IF($B$418="Лікар загальної практики - сімейний лікар",P421*S418,0)))</f>
        <v>0</v>
      </c>
      <c r="Q418" s="196">
        <f>IF($B$418="Лікар-педіатр","x",IF($B$418="Лікар-терапевт",Q421*S418,IF($B$418="Лікар загальної практики - сімейний лікар",Q421*S418,0)))</f>
        <v>0</v>
      </c>
      <c r="R418" s="196">
        <f>IF($B$418="Лікар-педіатр","x",IF($B$418="Лікар-терапевт",R421*S418,IF($B$418="Лікар загальної практики - сімейний лікар",R421*S418,0)))</f>
        <v>0</v>
      </c>
      <c r="S418" s="557"/>
      <c r="T418" s="941"/>
      <c r="U418" s="196">
        <f>IF($B$418="Лікар-педіатр",U421*Z418,IF($B$418="Лікар-терапевт","х",IF($B$418="Лікар загальної практики - сімейний лікар",U421*Z418,0)))</f>
        <v>0</v>
      </c>
      <c r="V418" s="196">
        <f>IF($B$418="Лікар-педіатр",V421*Z418,IF($B$418="Лікар-терапевт","х",IF($B$418="Лікар загальної практики - сімейний лікар",V421*Z418,0)))</f>
        <v>0</v>
      </c>
      <c r="W418" s="196">
        <f>IF($B$418="Лікар-педіатр","x",IF($B$418="Лікар-терапевт",W421*Z418,IF($B$418="Лікар загальної практики - сімейний лікар",W421*Z418,0)))</f>
        <v>0</v>
      </c>
      <c r="X418" s="196">
        <f>IF($B$418="Лікар-педіатр","x",IF($B$418="Лікар-терапевт",X421*Z418,IF($B$418="Лікар загальної практики - сімейний лікар",X421*Z418,0)))</f>
        <v>0</v>
      </c>
      <c r="Y418" s="196">
        <f>IF($B$418="Лікар-педіатр","x",IF($B$418="Лікар-терапевт",Y421*Z418,IF($B$418="Лікар загальної практики - сімейний лікар",Y421*Z418,0)))</f>
        <v>0</v>
      </c>
      <c r="Z418" s="557"/>
      <c r="AA418" s="941"/>
      <c r="AB418" s="196">
        <f>IF($B$418="Лікар-педіатр",AB421*AG418,IF($B$418="Лікар-терапевт","х",IF($B$418="Лікар загальної практики - сімейний лікар",AB421*AG418,0)))</f>
        <v>0</v>
      </c>
      <c r="AC418" s="196">
        <f>IF($B$418="Лікар-педіатр",AC421*AG418,IF($B$418="Лікар-терапевт","х",IF($B$418="Лікар загальної практики - сімейний лікар",AC421*AG418,0)))</f>
        <v>0</v>
      </c>
      <c r="AD418" s="196">
        <f>IF($B$418="Лікар-педіатр","x",IF($B$418="Лікар-терапевт",AD421*AG418,IF($B$418="Лікар загальної практики - сімейний лікар",AD421*AG418,0)))</f>
        <v>0</v>
      </c>
      <c r="AE418" s="196">
        <f>IF($B$418="Лікар-педіатр","x",IF($B$418="Лікар-терапевт",AE421*AG418,IF($B$418="Лікар загальної практики - сімейний лікар",AE421*AG418,0)))</f>
        <v>0</v>
      </c>
      <c r="AF418" s="196">
        <f>IF($B$418="Лікар-педіатр","x",IF($B$418="Лікар-терапевт",AF421*AG418,IF($B$418="Лікар загальної практики - сімейний лікар",AF421*AG418,0)))</f>
        <v>0</v>
      </c>
      <c r="AG418" s="557"/>
      <c r="AH418" s="941"/>
      <c r="AI418" s="540">
        <f>A418</f>
        <v>30</v>
      </c>
      <c r="AJ418" s="944">
        <f>B418</f>
        <v>0</v>
      </c>
      <c r="AK418" s="959">
        <f>C418</f>
        <v>0</v>
      </c>
      <c r="AL418" s="959">
        <f>D418</f>
        <v>0</v>
      </c>
      <c r="AM418" s="929" t="s">
        <v>79</v>
      </c>
      <c r="AN418" s="947">
        <f>SUM(AN423:AN429)</f>
        <v>0</v>
      </c>
      <c r="AO418" s="947">
        <f>SUM(AO423:AO429)</f>
        <v>0</v>
      </c>
      <c r="AP418" s="947">
        <f>SUM(AP423:AP429)</f>
        <v>0</v>
      </c>
      <c r="AQ418" s="947">
        <f>SUM(AQ423:AQ429)</f>
        <v>0</v>
      </c>
      <c r="AR418" s="962">
        <f>SUM(AN418:AQ422)</f>
        <v>0</v>
      </c>
    </row>
    <row r="419" spans="1:44" s="50" customFormat="1" ht="28.15" hidden="1" customHeight="1">
      <c r="A419" s="197"/>
      <c r="B419" s="951"/>
      <c r="C419" s="954"/>
      <c r="D419" s="957"/>
      <c r="E419" s="939"/>
      <c r="F419" s="234" t="s">
        <v>660</v>
      </c>
      <c r="G419" s="196">
        <f>IF($B$418="Лікар-педіатр",G421*L419,IF($B$418="Лікар-терапевт","х",IF($B$418="Лікар загальної практики - сімейний лікар",G421*L419,0)))</f>
        <v>0</v>
      </c>
      <c r="H419" s="196">
        <f>IF($B$418="Лікар-педіатр",H421*L419,IF($B$418="Лікар-терапевт","х",IF($B$418="Лікар загальної практики - сімейний лікар",H421*L419,0)))</f>
        <v>0</v>
      </c>
      <c r="I419" s="196">
        <f>IF($B$418="Лікар-педіатр","x",IF($B$418="Лікар-терапевт",I421*L419,IF($B$418="Лікар загальної практики - сімейний лікар",I421*L419,0)))</f>
        <v>0</v>
      </c>
      <c r="J419" s="196">
        <f>IF($B$418="Лікар-педіатр","x",IF($B$418="Лікар-терапевт",J421*L419,IF($B$418="Лікар загальної практики - сімейний лікар",J421*L419,0)))</f>
        <v>0</v>
      </c>
      <c r="K419" s="196">
        <f>IF($B$418="Лікар-педіатр","x",IF($B$418="Лікар-терапевт",K421*L419,IF($B$418="Лікар загальної практики - сімейний лікар",K421*L419,0)))</f>
        <v>0</v>
      </c>
      <c r="L419" s="557"/>
      <c r="M419" s="942"/>
      <c r="N419" s="196">
        <f>IF($B$418="Лікар-педіатр",N421*S419,IF($B$418="Лікар-терапевт","х",IF($B$418="Лікар загальної практики - сімейний лікар",N421*S419,0)))</f>
        <v>0</v>
      </c>
      <c r="O419" s="196">
        <f>IF($B$418="Лікар-педіатр",O421*S419,IF($B$418="Лікар-терапевт","х",IF($B$418="Лікар загальної практики - сімейний лікар",O421*S419,0)))</f>
        <v>0</v>
      </c>
      <c r="P419" s="196">
        <f>IF($B$418="Лікар-педіатр","x",IF($B$418="Лікар-терапевт",P421*S419,IF($B$418="Лікар загальної практики - сімейний лікар",P421*S419,0)))</f>
        <v>0</v>
      </c>
      <c r="Q419" s="196">
        <f>IF($B$418="Лікар-педіатр","x",IF($B$418="Лікар-терапевт",Q421*S419,IF($B$418="Лікар загальної практики - сімейний лікар",Q421*S419,0)))</f>
        <v>0</v>
      </c>
      <c r="R419" s="196">
        <f>IF($B$418="Лікар-педіатр","x",IF($B$418="Лікар-терапевт",R421*S419,IF($B$418="Лікар загальної практики - сімейний лікар",R421*S419,0)))</f>
        <v>0</v>
      </c>
      <c r="S419" s="557"/>
      <c r="T419" s="942"/>
      <c r="U419" s="196">
        <f>IF($B$418="Лікар-педіатр",U421*Z419,IF($B$418="Лікар-терапевт","х",IF($B$418="Лікар загальної практики - сімейний лікар",U421*Z419,0)))</f>
        <v>0</v>
      </c>
      <c r="V419" s="196">
        <f>IF($B$418="Лікар-педіатр",V421*Z419,IF($B$418="Лікар-терапевт","х",IF($B$418="Лікар загальної практики - сімейний лікар",V421*Z419,0)))</f>
        <v>0</v>
      </c>
      <c r="W419" s="196">
        <f>IF($B$418="Лікар-педіатр","x",IF($B$418="Лікар-терапевт",W421*Z419,IF($B$418="Лікар загальної практики - сімейний лікар",W421*Z419,0)))</f>
        <v>0</v>
      </c>
      <c r="X419" s="196">
        <f>IF($B$418="Лікар-педіатр","x",IF($B$418="Лікар-терапевт",X421*Z419,IF($B$418="Лікар загальної практики - сімейний лікар",X421*Z419,0)))</f>
        <v>0</v>
      </c>
      <c r="Y419" s="196">
        <f>IF($B$418="Лікар-педіатр","x",IF($B$418="Лікар-терапевт",Y421*Z419,IF($B$418="Лікар загальної практики - сімейний лікар",Y421*Z419,0)))</f>
        <v>0</v>
      </c>
      <c r="Z419" s="557"/>
      <c r="AA419" s="942"/>
      <c r="AB419" s="196">
        <f>IF($B$418="Лікар-педіатр",AB421*AG419,IF($B$418="Лікар-терапевт","х",IF($B$418="Лікар загальної практики - сімейний лікар",AB421*AG419,0)))</f>
        <v>0</v>
      </c>
      <c r="AC419" s="196">
        <f>IF($B$418="Лікар-педіатр",AC421*AG419,IF($B$418="Лікар-терапевт","х",IF($B$418="Лікар загальної практики - сімейний лікар",AC421*AG419,0)))</f>
        <v>0</v>
      </c>
      <c r="AD419" s="196">
        <f>IF($B$418="Лікар-педіатр","x",IF($B$418="Лікар-терапевт",AD421*AG419,IF($B$418="Лікар загальної практики - сімейний лікар",AD421*AG419,0)))</f>
        <v>0</v>
      </c>
      <c r="AE419" s="196">
        <f>IF($B$418="Лікар-педіатр","x",IF($B$418="Лікар-терапевт",AE421*AG419,IF($B$418="Лікар загальної практики - сімейний лікар",AE421*AG419,0)))</f>
        <v>0</v>
      </c>
      <c r="AF419" s="196">
        <f>IF($B$418="Лікар-педіатр","x",IF($B$418="Лікар-терапевт",AF421*AG419,IF($B$418="Лікар загальної практики - сімейний лікар",AF421*AG419,0)))</f>
        <v>0</v>
      </c>
      <c r="AG419" s="557"/>
      <c r="AH419" s="942"/>
      <c r="AI419" s="198"/>
      <c r="AJ419" s="945"/>
      <c r="AK419" s="960"/>
      <c r="AL419" s="960"/>
      <c r="AM419" s="930"/>
      <c r="AN419" s="948"/>
      <c r="AO419" s="948"/>
      <c r="AP419" s="948"/>
      <c r="AQ419" s="948"/>
      <c r="AR419" s="963"/>
    </row>
    <row r="420" spans="1:44" s="90" customFormat="1" ht="31.15" hidden="1" customHeight="1">
      <c r="A420" s="240"/>
      <c r="B420" s="951"/>
      <c r="C420" s="954"/>
      <c r="D420" s="957"/>
      <c r="E420" s="939"/>
      <c r="F420" s="241" t="s">
        <v>661</v>
      </c>
      <c r="G420" s="199">
        <f>IF(B418="Лікар загальної практики - сімейний лікар"," ",IF(B418="Лікар-педіатр"," ",IF(B418="Лікар-терапевт","х",0)))</f>
        <v>0</v>
      </c>
      <c r="H420" s="199">
        <f>IF(B418="Лікар загальної практики - сімейний лікар"," ",IF(B418="Лікар-педіатр"," ",IF(B418="Лікар-терапевт","х",0)))</f>
        <v>0</v>
      </c>
      <c r="I420" s="199">
        <f>IF(B418="Лікар загальної практики - сімейний лікар"," ",IF(B418="Лікар-педіатр","х",IF(B418="Лікар-терапевт"," ",0)))</f>
        <v>0</v>
      </c>
      <c r="J420" s="199">
        <f>IF(B418="Лікар загальної практики - сімейний лікар"," ",IF(B418="Лікар-педіатр","х",IF(B418="Лікар-терапевт"," ",0)))</f>
        <v>0</v>
      </c>
      <c r="K420" s="199">
        <f>IF(B418="Лікар загальної практики - сімейний лікар"," ",IF(B418="Лікар-педіатр","х",IF(B418="Лікар-терапевт"," ",0)))</f>
        <v>0</v>
      </c>
      <c r="L420" s="200">
        <f>SUM(G420:K420)</f>
        <v>0</v>
      </c>
      <c r="M420" s="942"/>
      <c r="N420" s="199">
        <f>IF(B418="Лікар загальної практики - сімейний лікар"," ",IF(B418="Лікар-педіатр"," ",IF(B418="Лікар-терапевт","х",0)))</f>
        <v>0</v>
      </c>
      <c r="O420" s="199">
        <f>IF(B418="Лікар загальної практики - сімейний лікар"," ",IF(B418="Лікар-педіатр"," ",IF(B418="Лікар-терапевт","х",0)))</f>
        <v>0</v>
      </c>
      <c r="P420" s="199">
        <f>IF(B418="Лікар загальної практики - сімейний лікар"," ",IF(B418="Лікар-педіатр","х",IF(B418="Лікар-терапевт"," ",0)))</f>
        <v>0</v>
      </c>
      <c r="Q420" s="199">
        <f>IF(B418="Лікар загальної практики - сімейний лікар"," ",IF(B418="Лікар-педіатр","х",IF(B418="Лікар-терапевт"," ",0)))</f>
        <v>0</v>
      </c>
      <c r="R420" s="199">
        <f>IF(B418="Лікар загальної практики - сімейний лікар"," ",IF(B418="Лікар-педіатр","х",IF(B418="Лікар-терапевт"," ",0)))</f>
        <v>0</v>
      </c>
      <c r="S420" s="200">
        <f>SUM(N420:R420)</f>
        <v>0</v>
      </c>
      <c r="T420" s="942"/>
      <c r="U420" s="199">
        <f>IF(B418="Лікар загальної практики - сімейний лікар"," ",IF(B418="Лікар-педіатр"," ",IF(B418="Лікар-терапевт","х",0)))</f>
        <v>0</v>
      </c>
      <c r="V420" s="199">
        <f>IF(B418="Лікар загальної практики - сімейний лікар"," ",IF(B418="Лікар-педіатр"," ",IF(B418="Лікар-терапевт","х",0)))</f>
        <v>0</v>
      </c>
      <c r="W420" s="199">
        <f>IF(B418="Лікар загальної практики - сімейний лікар"," ",IF(B418="Лікар-педіатр","х",IF(B418="Лікар-терапевт"," ",0)))</f>
        <v>0</v>
      </c>
      <c r="X420" s="199">
        <f>IF(B418="Лікар загальної практики - сімейний лікар"," ",IF(B418="Лікар-педіатр","х",IF(B418="Лікар-терапевт"," ",0)))</f>
        <v>0</v>
      </c>
      <c r="Y420" s="199">
        <f>IF(B418="Лікар загальної практики - сімейний лікар"," ",IF(B418="Лікар-педіатр","х",IF(B418="Лікар-терапевт"," ",0)))</f>
        <v>0</v>
      </c>
      <c r="Z420" s="200">
        <f>SUM(U420:Y420)</f>
        <v>0</v>
      </c>
      <c r="AA420" s="942"/>
      <c r="AB420" s="199">
        <f>IF(B418="Лікар загальної практики - сімейний лікар"," ",IF(B418="Лікар-педіатр"," ",IF(B418="Лікар-терапевт","х",0)))</f>
        <v>0</v>
      </c>
      <c r="AC420" s="199">
        <f>IF(B418="Лікар загальної практики - сімейний лікар"," ",IF(B418="Лікар-педіатр"," ",IF(B418="Лікар-терапевт","х",0)))</f>
        <v>0</v>
      </c>
      <c r="AD420" s="199">
        <f>IF(B418="Лікар загальної практики - сімейний лікар"," ",IF(B418="Лікар-педіатр","х",IF(B418="Лікар-терапевт"," ",0)))</f>
        <v>0</v>
      </c>
      <c r="AE420" s="199">
        <f>IF(B418="Лікар загальної практики - сімейний лікар"," ",IF(B418="Лікар-педіатр","х",IF(B418="Лікар-терапевт"," ",0)))</f>
        <v>0</v>
      </c>
      <c r="AF420" s="199">
        <f>IF(B418="Лікар загальної практики - сімейний лікар"," ",IF(B418="Лікар-педіатр","х",IF(B418="Лікар-терапевт"," ",0)))</f>
        <v>0</v>
      </c>
      <c r="AG420" s="200">
        <f>SUM(AB420:AF420)</f>
        <v>0</v>
      </c>
      <c r="AH420" s="942"/>
      <c r="AI420" s="242"/>
      <c r="AJ420" s="945"/>
      <c r="AK420" s="960"/>
      <c r="AL420" s="960"/>
      <c r="AM420" s="930"/>
      <c r="AN420" s="948"/>
      <c r="AO420" s="948"/>
      <c r="AP420" s="948"/>
      <c r="AQ420" s="948"/>
      <c r="AR420" s="963"/>
    </row>
    <row r="421" spans="1:44" s="50" customFormat="1" ht="31.9" hidden="1" customHeight="1" thickBot="1">
      <c r="A421" s="197"/>
      <c r="B421" s="951"/>
      <c r="C421" s="954"/>
      <c r="D421" s="957"/>
      <c r="E421" s="939"/>
      <c r="F421" s="236" t="s">
        <v>426</v>
      </c>
      <c r="G421" s="203">
        <f>IF($B$418="Лікар-педіатр",G420/L420,IF($B$418="Лікар-терапевт","х",IF($B$418="Лікар загальної практики - сімейний лікар",G420/L420,0)))</f>
        <v>0</v>
      </c>
      <c r="H421" s="203">
        <f>IF($B$418="Лікар-педіатр",H420/L420,IF($B$418="Лікар-терапевт","х",IF($B$418="Лікар загальної практики - сімейний лікар",H420/L420,0)))</f>
        <v>0</v>
      </c>
      <c r="I421" s="203">
        <f>IF($B$418="Лікар-педіатр","x",IF($B$418="Лікар-терапевт",I420/L420,IF($B$418="Лікар загальної практики - сімейний лікар",I420/L420,0)))</f>
        <v>0</v>
      </c>
      <c r="J421" s="203">
        <f>IF($B$418="Лікар-педіатр","x",IF($B$418="Лікар-терапевт",J420/L420,IF($B$418="Лікар загальної практики - сімейний лікар",J420/L420,0)))</f>
        <v>0</v>
      </c>
      <c r="K421" s="203">
        <f>IF($B$418="Лікар-педіатр","x",IF($B$418="Лікар-терапевт",K420/L420,IF($B$418="Лікар загальної практики - сімейний лікар",K420/L420,0)))</f>
        <v>0</v>
      </c>
      <c r="L421" s="203">
        <f>SUM(G421:K421)</f>
        <v>0</v>
      </c>
      <c r="M421" s="942"/>
      <c r="N421" s="203">
        <f>IF($B$418="Лікар-педіатр",N420/S420,IF($B$418="Лікар-терапевт","х",IF($B$418="Лікар загальної практики - сімейний лікар",N420/S420,0)))</f>
        <v>0</v>
      </c>
      <c r="O421" s="203">
        <f>IF($B$418="Лікар-педіатр",O420/S420,IF($B$418="Лікар-терапевт","х",IF($B$418="Лікар загальної практики - сімейний лікар",O420/S420,0)))</f>
        <v>0</v>
      </c>
      <c r="P421" s="203">
        <f>IF($B$418="Лікар-педіатр","x",IF($B$418="Лікар-терапевт",P420/S420,IF($B$418="Лікар загальної практики - сімейний лікар",P420/S420,0)))</f>
        <v>0</v>
      </c>
      <c r="Q421" s="203">
        <f>IF($B$418="Лікар-педіатр","x",IF($B$418="Лікар-терапевт",Q420/S420,IF($B$418="Лікар загальної практики - сімейний лікар",Q420/S420,0)))</f>
        <v>0</v>
      </c>
      <c r="R421" s="203">
        <f>IF($B$418="Лікар-педіатр","x",IF($B$418="Лікар-терапевт",R420/S420,IF($B$418="Лікар загальної практики - сімейний лікар",R420/S420,0)))</f>
        <v>0</v>
      </c>
      <c r="S421" s="203">
        <f>SUM(N421:R421)</f>
        <v>0</v>
      </c>
      <c r="T421" s="942"/>
      <c r="U421" s="203">
        <f>IF($B$418="Лікар-педіатр",U420/Z420,IF($B$418="Лікар-терапевт","х",IF($B$418="Лікар загальної практики - сімейний лікар",U420/Z420,0)))</f>
        <v>0</v>
      </c>
      <c r="V421" s="203">
        <f>IF($B$418="Лікар-педіатр",V420/Z420,IF($B$418="Лікар-терапевт","х",IF($B$418="Лікар загальної практики - сімейний лікар",V420/Z420,0)))</f>
        <v>0</v>
      </c>
      <c r="W421" s="203">
        <f>IF($B$418="Лікар-педіатр","x",IF($B$418="Лікар-терапевт",W420/Z420,IF($B$418="Лікар загальної практики - сімейний лікар",W420/Z420,0)))</f>
        <v>0</v>
      </c>
      <c r="X421" s="203">
        <f>IF($B$418="Лікар-педіатр","x",IF($B$418="Лікар-терапевт",X420/Z420,IF($B$418="Лікар загальної практики - сімейний лікар",X420/Z420,0)))</f>
        <v>0</v>
      </c>
      <c r="Y421" s="203">
        <f>IF($B$418="Лікар-педіатр","x",IF($B$418="Лікар-терапевт",Y420/Z420,IF($B$418="Лікар загальної практики - сімейний лікар",Y420/Z420,0)))</f>
        <v>0</v>
      </c>
      <c r="Z421" s="203">
        <f>SUM(U421:Y421)</f>
        <v>0</v>
      </c>
      <c r="AA421" s="942"/>
      <c r="AB421" s="203">
        <f>IF($B$418="Лікар-педіатр",AB420/AG420,IF($B$418="Лікар-терапевт","х",IF($B$418="Лікар загальної практики - сімейний лікар",AB420/AG420,0)))</f>
        <v>0</v>
      </c>
      <c r="AC421" s="203">
        <f>IF($B$418="Лікар-педіатр",AC420/AG420,IF($B$418="Лікар-терапевт","х",IF($B$418="Лікар загальної практики - сімейний лікар",AC420/AG420,0)))</f>
        <v>0</v>
      </c>
      <c r="AD421" s="203">
        <f>IF($B$418="Лікар-педіатр","x",IF($B$418="Лікар-терапевт",AD420/AG420,IF($B$418="Лікар загальної практики - сімейний лікар",AD420/AG420,0)))</f>
        <v>0</v>
      </c>
      <c r="AE421" s="203">
        <f>IF($B$418="Лікар-педіатр","x",IF($B$418="Лікар-терапевт",AE420/AG420,IF($B$418="Лікар загальної практики - сімейний лікар",AE420/AG420,0)))</f>
        <v>0</v>
      </c>
      <c r="AF421" s="203">
        <f>IF($B$418="Лікар-педіатр","x",IF($B$418="Лікар-терапевт",AF420/AG420,IF($B$418="Лікар загальної практики - сімейний лікар",AF420/AG420,0)))</f>
        <v>0</v>
      </c>
      <c r="AG421" s="203">
        <f>SUM(AB421:AF421)</f>
        <v>0</v>
      </c>
      <c r="AH421" s="942"/>
      <c r="AI421" s="201"/>
      <c r="AJ421" s="945"/>
      <c r="AK421" s="960"/>
      <c r="AL421" s="960"/>
      <c r="AM421" s="930"/>
      <c r="AN421" s="948"/>
      <c r="AO421" s="948"/>
      <c r="AP421" s="948"/>
      <c r="AQ421" s="948"/>
      <c r="AR421" s="963"/>
    </row>
    <row r="422" spans="1:44" s="50" customFormat="1" ht="45" hidden="1" customHeight="1" thickBot="1">
      <c r="A422" s="197"/>
      <c r="B422" s="951"/>
      <c r="C422" s="954"/>
      <c r="D422" s="957"/>
      <c r="E422" s="939"/>
      <c r="F422" s="204" t="s">
        <v>662</v>
      </c>
      <c r="G422" s="205">
        <f>IF($B$418="Лікар загальної практики - сімейний лікар",AVERAGE(G418:G420),IF($B$418="Лікар-педіатр",AVERAGE(G418:G420),IF($B$418="Лікар-терапевт","х",0)))</f>
        <v>0</v>
      </c>
      <c r="H422" s="205">
        <f>IF($B$418="Лікар загальної практики - сімейний лікар",AVERAGE(H418:H420),IF($B$418="Лікар-педіатр",AVERAGE(H418:H420),IF($B$418="Лікар-терапевт","х",0)))</f>
        <v>0</v>
      </c>
      <c r="I422" s="205">
        <f>IF($B$418="Лікар загальної практики - сімейний лікар",AVERAGE(I418:I420),IF($B$418="Лікар-педіатр","x",IF($B$418="Лікар-терапевт",AVERAGE(I418:I420),0)))</f>
        <v>0</v>
      </c>
      <c r="J422" s="205">
        <f>IF($B$418="Лікар загальної практики - сімейний лікар",AVERAGE(J418:J420),IF($B$418="Лікар-педіатр","x",IF($B$418="Лікар-терапевт",AVERAGE(J418:J420),0)))</f>
        <v>0</v>
      </c>
      <c r="K422" s="205">
        <f>IF($B$418="Лікар загальної практики - сімейний лікар",AVERAGE(K418:K420),IF($B$418="Лікар-педіатр","x",IF($B$418="Лікар-терапевт",AVERAGE(K418:K420),0)))</f>
        <v>0</v>
      </c>
      <c r="L422" s="206">
        <f>SUM(G422:K422)</f>
        <v>0</v>
      </c>
      <c r="M422" s="942"/>
      <c r="N422" s="205">
        <f>IF($B$418="Лікар загальної практики - сімейний лікар",AVERAGE(N418:N420),IF($B$418="Лікар-педіатр",AVERAGE(N418:N420),IF($B$418="Лікар-терапевт","х",0)))</f>
        <v>0</v>
      </c>
      <c r="O422" s="205">
        <f>IF($B$418="Лікар загальної практики - сімейний лікар",AVERAGE(O418:O420),IF($B$418="Лікар-педіатр",AVERAGE(O418:O420),IF($B$418="Лікар-терапевт","х",0)))</f>
        <v>0</v>
      </c>
      <c r="P422" s="205">
        <f>IF($B$418="Лікар загальної практики - сімейний лікар",AVERAGE(P418:P420),IF($B$418="Лікар-педіатр","x",IF($B$418="Лікар-терапевт",AVERAGE(P418:P420),0)))</f>
        <v>0</v>
      </c>
      <c r="Q422" s="205">
        <f>IF($B$418="Лікар загальної практики - сімейний лікар",AVERAGE(Q418:Q420),IF($B$418="Лікар-педіатр","x",IF($B$418="Лікар-терапевт",AVERAGE(Q418:Q420),0)))</f>
        <v>0</v>
      </c>
      <c r="R422" s="205">
        <f>IF($B$418="Лікар загальної практики - сімейний лікар",AVERAGE(R418:R420),IF($B$418="Лікар-педіатр","x",IF($B$418="Лікар-терапевт",AVERAGE(R418:R420),0)))</f>
        <v>0</v>
      </c>
      <c r="S422" s="206">
        <f>SUM(N422:R422)</f>
        <v>0</v>
      </c>
      <c r="T422" s="942"/>
      <c r="U422" s="205">
        <f>IF($B$418="Лікар загальної практики - сімейний лікар",AVERAGE(U418:U420),IF($B$418="Лікар-педіатр",AVERAGE(U418:U420),IF($B$418="Лікар-терапевт","х",0)))</f>
        <v>0</v>
      </c>
      <c r="V422" s="205">
        <f>IF($B$418="Лікар загальної практики - сімейний лікар",AVERAGE(V418:V420),IF($B$418="Лікар-педіатр",AVERAGE(V418:V420),IF($B$418="Лікар-терапевт","х",0)))</f>
        <v>0</v>
      </c>
      <c r="W422" s="205">
        <f>IF($B$418="Лікар загальної практики - сімейний лікар",AVERAGE(W418:W420),IF($B$418="Лікар-педіатр","x",IF($B$418="Лікар-терапевт",AVERAGE(W418:W420),0)))</f>
        <v>0</v>
      </c>
      <c r="X422" s="205">
        <f>IF($B$418="Лікар загальної практики - сімейний лікар",AVERAGE(X418:X420),IF($B$418="Лікар-педіатр","x",IF($B$418="Лікар-терапевт",AVERAGE(X418:X420),0)))</f>
        <v>0</v>
      </c>
      <c r="Y422" s="205">
        <f>IF($B$418="Лікар загальної практики - сімейний лікар",AVERAGE(Y418:Y420),IF($B$418="Лікар-педіатр","x",IF($B$418="Лікар-терапевт",AVERAGE(Y418:Y420),0)))</f>
        <v>0</v>
      </c>
      <c r="Z422" s="206">
        <f>SUM(U422:Y422)</f>
        <v>0</v>
      </c>
      <c r="AA422" s="942"/>
      <c r="AB422" s="205">
        <f>IF($B$418="Лікар загальної практики - сімейний лікар",AVERAGE(AB418:AB420),IF($B$418="Лікар-педіатр",AVERAGE(AB418:AB420),IF($B$418="Лікар-терапевт","х",0)))</f>
        <v>0</v>
      </c>
      <c r="AC422" s="205">
        <f>IF($B$418="Лікар загальної практики - сімейний лікар",AVERAGE(AC418:AC420),IF($B$418="Лікар-педіатр",AVERAGE(AC418:AC420),IF($B$418="Лікар-терапевт","х",0)))</f>
        <v>0</v>
      </c>
      <c r="AD422" s="205">
        <f>IF($B$418="Лікар загальної практики - сімейний лікар",AVERAGE(AD418:AD420),IF($B$418="Лікар-педіатр","x",IF($B$418="Лікар-терапевт",AVERAGE(AD418:AD420),0)))</f>
        <v>0</v>
      </c>
      <c r="AE422" s="205">
        <f>IF($B$418="Лікар загальної практики - сімейний лікар",AVERAGE(AE418:AE420),IF($B$418="Лікар-педіатр","x",IF($B$418="Лікар-терапевт",AVERAGE(AE418:AE420),0)))</f>
        <v>0</v>
      </c>
      <c r="AF422" s="205">
        <f>IF($B$418="Лікар загальної практики - сімейний лікар",AVERAGE(AF418:AF420),IF($B$418="Лікар-педіатр","x",IF($B$418="Лікар-терапевт",AVERAGE(AF418:AF420),0)))</f>
        <v>0</v>
      </c>
      <c r="AG422" s="206">
        <f>SUM(AB422:AF422)</f>
        <v>0</v>
      </c>
      <c r="AH422" s="942"/>
      <c r="AI422" s="201"/>
      <c r="AJ422" s="945"/>
      <c r="AK422" s="960"/>
      <c r="AL422" s="960"/>
      <c r="AM422" s="931"/>
      <c r="AN422" s="949"/>
      <c r="AO422" s="949"/>
      <c r="AP422" s="949"/>
      <c r="AQ422" s="949"/>
      <c r="AR422" s="964"/>
    </row>
    <row r="423" spans="1:44" s="50" customFormat="1" ht="40.5" hidden="1">
      <c r="A423" s="197"/>
      <c r="B423" s="951"/>
      <c r="C423" s="954"/>
      <c r="D423" s="957"/>
      <c r="E423" s="939"/>
      <c r="F423" s="237" t="str">
        <f ca="1">IF(B418="Лікар-педіатр",Законод!$C$17,IF(B418="Лікар загальної практики - сімейний лікар",Законод!$C$21,IF(B418="Лікар-терапевт",Законод!$C$25,"х")))</f>
        <v>х</v>
      </c>
      <c r="G423" s="208">
        <f ca="1">IF($B$418="Лікар загальної практики - сімейний лікар",IF(L422&lt;=Законод!$C$22,G422,Законод!$C$22*'01_Доходи'!G421),IF($B$418="Лікар-педіатр",IF(L422&lt;=Законод!$C$18,G422,Законод!$C$18*'01_Доходи'!G421),IF($B$418="Лікар-терапевт","x",0)))</f>
        <v>0</v>
      </c>
      <c r="H423" s="208">
        <f ca="1">IF($B$418="Лікар загальної практики - сімейний лікар",IF(L422&lt;=Законод!$C$22,H422,Законод!$C$22*'01_Доходи'!H421),IF($B$418="Лікар-педіатр",IF(L422&lt;=Законод!$C$18,H422,Законод!$C$18*'01_Доходи'!H421),IF($B$418="Лікар-терапевт","x",0)))</f>
        <v>0</v>
      </c>
      <c r="I423" s="208">
        <f ca="1">IF($B$418="Лікар загальної практики - сімейний лікар",IF(L422&lt;=Законод!$C$22,I422,Законод!$C$22*'01_Доходи'!I421),IF($B$418="Лікар-педіатр","x",IF($B$418="Лікар-терапевт",IF(L422&lt;=Законод!$C$26,I422,Законод!$C$26*'01_Доходи'!I421),0)))</f>
        <v>0</v>
      </c>
      <c r="J423" s="208">
        <f ca="1">IF($B$418="Лікар загальної практики - сімейний лікар",IF(L422&lt;=Законод!$C$22,J422,Законод!$C$22*'01_Доходи'!J421),IF($B$418="Лікар-педіатр","x",IF($B$418="Лікар-терапевт",IF(L422&lt;=Законод!$C$26,J422,Законод!$C$26*'01_Доходи'!J421),0)))</f>
        <v>0</v>
      </c>
      <c r="K423" s="208">
        <f ca="1">IF($B$418="Лікар загальної практики - сімейний лікар",IF(L422&lt;=Законод!$C$22,K422,Законод!$C$22*'01_Доходи'!K421),IF($B$418="Лікар-педіатр","x",IF($B$418="Лікар-терапевт",IF(L422&lt;=Законод!$C$26,K422,Законод!$C$26*'01_Доходи'!K421),0)))</f>
        <v>0</v>
      </c>
      <c r="L423" s="209">
        <f ca="1">SUM(G423:K423)</f>
        <v>0</v>
      </c>
      <c r="M423" s="942"/>
      <c r="N423" s="208">
        <f ca="1">IF($B$418="Лікар загальної практики - сімейний лікар",IF(S422&lt;=Законод!$C$22,N422,Законод!$C$22*'01_Доходи'!N421),IF($B$418="Лікар-педіатр",IF(S422&lt;=Законод!$C$18,N422,Законод!$C$18*'01_Доходи'!N421),IF($B$418="Лікар-терапевт","x",0)))</f>
        <v>0</v>
      </c>
      <c r="O423" s="208">
        <f ca="1">IF($B$418="Лікар загальної практики - сімейний лікар",IF(S422&lt;=Законод!$C$22,O422,Законод!$C$22*'01_Доходи'!O421),IF($B$418="Лікар-педіатр",IF(S422&lt;=Законод!$C$18,O422,Законод!$C$18*'01_Доходи'!O421),IF($B$418="Лікар-терапевт","x",0)))</f>
        <v>0</v>
      </c>
      <c r="P423" s="208">
        <f ca="1">IF($B$418="Лікар загальної практики - сімейний лікар",IF(S422&lt;=Законод!$C$22,P422,Законод!$C$22*'01_Доходи'!P421),IF($B$418="Лікар-педіатр","x",IF($B$418="Лікар-терапевт",IF(S422&lt;=Законод!$C$26,P422,Законод!$C$26*'01_Доходи'!P421),0)))</f>
        <v>0</v>
      </c>
      <c r="Q423" s="208">
        <f ca="1">IF($B$418="Лікар загальної практики - сімейний лікар",IF(S422&lt;=Законод!$C$22,Q422,Законод!$C$22*'01_Доходи'!Q421),IF($B$418="Лікар-педіатр","x",IF($B$418="Лікар-терапевт",IF(S422&lt;=Законод!$C$26,Q422,Законод!$C$26*'01_Доходи'!Q421),0)))</f>
        <v>0</v>
      </c>
      <c r="R423" s="208">
        <f ca="1">IF($B$418="Лікар загальної практики - сімейний лікар",IF(S422&lt;=Законод!$C$22,R422,Законод!$C$22*'01_Доходи'!R421),IF($B$418="Лікар-педіатр","x",IF($B$418="Лікар-терапевт",IF(S422&lt;=Законод!$C$26,R422,Законод!$C$26*'01_Доходи'!R421),0)))</f>
        <v>0</v>
      </c>
      <c r="S423" s="209">
        <f ca="1">SUM(N423:R423)</f>
        <v>0</v>
      </c>
      <c r="T423" s="942"/>
      <c r="U423" s="208">
        <f ca="1">IF($B$418="Лікар загальної практики - сімейний лікар",IF(Z422&lt;=Законод!$C$22,U422,Законод!$C$22*'01_Доходи'!U421),IF($B$418="Лікар-педіатр",IF(Z422&lt;=Законод!$C$18,U422,Законод!$C$18*'01_Доходи'!U421),IF($B$418="Лікар-терапевт","x",0)))</f>
        <v>0</v>
      </c>
      <c r="V423" s="208">
        <f ca="1">IF($B$418="Лікар загальної практики - сімейний лікар",IF(Z422&lt;=Законод!$C$22,V422,Законод!$C$22*'01_Доходи'!V421),IF($B$418="Лікар-педіатр",IF(Z422&lt;=Законод!$C$18,V422,Законод!$C$18*'01_Доходи'!V421),IF($B$418="Лікар-терапевт","x",0)))</f>
        <v>0</v>
      </c>
      <c r="W423" s="208">
        <f ca="1">IF($B$418="Лікар загальної практики - сімейний лікар",IF(Z422&lt;=Законод!$C$22,W422,Законод!$C$22*'01_Доходи'!W421),IF($B$418="Лікар-педіатр","x",IF($B$418="Лікар-терапевт",IF(Z422&lt;=Законод!$C$26,W422,Законод!$C$26*'01_Доходи'!W421),0)))</f>
        <v>0</v>
      </c>
      <c r="X423" s="208">
        <f ca="1">IF($B$418="Лікар загальної практики - сімейний лікар",IF(Z422&lt;=Законод!$C$22,X422,Законод!$C$22*'01_Доходи'!X421),IF($B$418="Лікар-педіатр","x",IF($B$418="Лікар-терапевт",IF(Z422&lt;=Законод!$C$26,X422,Законод!$C$26*'01_Доходи'!X421),0)))</f>
        <v>0</v>
      </c>
      <c r="Y423" s="208">
        <f ca="1">IF($B$418="Лікар загальної практики - сімейний лікар",IF(Z422&lt;=Законод!$C$22,Y422,Законод!$C$22*'01_Доходи'!Y421),IF($B$418="Лікар-педіатр","x",IF($B$418="Лікар-терапевт",IF(Z422&lt;=Законод!$C$26,Y422,Законод!$C$26*'01_Доходи'!Y421),0)))</f>
        <v>0</v>
      </c>
      <c r="Z423" s="209">
        <f ca="1">SUM(U423:Y423)</f>
        <v>0</v>
      </c>
      <c r="AA423" s="942"/>
      <c r="AB423" s="208">
        <f ca="1">IF($B$418="Лікар загальної практики - сімейний лікар",IF(AG422&lt;=Законод!$C$22,AB422,Законод!$C$22*'01_Доходи'!AB421),IF($B$418="Лікар-педіатр",IF(AG422&lt;=Законод!$C$18,AB422,Законод!$C$18*'01_Доходи'!AB421),IF($B$418="Лікар-терапевт","x",0)))</f>
        <v>0</v>
      </c>
      <c r="AC423" s="208">
        <f ca="1">IF($B$418="Лікар загальної практики - сімейний лікар",IF(AG422&lt;=Законод!$C$22,AC422,Законод!$C$22*'01_Доходи'!AC421),IF($B$418="Лікар-педіатр",IF(AG422&lt;=Законод!$C$18,AC422,Законод!$C$18*'01_Доходи'!AC421),IF($B$418="Лікар-терапевт","x",0)))</f>
        <v>0</v>
      </c>
      <c r="AD423" s="208">
        <f ca="1">IF($B$418="Лікар загальної практики - сімейний лікар",IF(AG422&lt;=Законод!$C$22,AD422,Законод!$C$22*'01_Доходи'!AD421),IF($B$418="Лікар-педіатр","x",IF($B$418="Лікар-терапевт",IF(AG422&lt;=Законод!$C$26,AD422,Законод!$C$26*'01_Доходи'!AD421),0)))</f>
        <v>0</v>
      </c>
      <c r="AE423" s="208">
        <f ca="1">IF($B$418="Лікар загальної практики - сімейний лікар",IF(AG422&lt;=Законод!$C$22,AE422,Законод!$C$22*'01_Доходи'!AE421),IF($B$418="Лікар-педіатр","x",IF($B$418="Лікар-терапевт",IF(AG422&lt;=Законод!$C$26,AE422,Законод!$C$26*'01_Доходи'!AE421),0)))</f>
        <v>0</v>
      </c>
      <c r="AF423" s="208">
        <f ca="1">IF($B$418="Лікар загальної практики - сімейний лікар",IF(AG422&lt;=Законод!$C$22,AF422,Законод!$C$22*'01_Доходи'!AF421),IF($B$418="Лікар-педіатр","x",IF($B$418="Лікар-терапевт",IF(AG422&lt;=Законод!$C$26,AF422,Законод!$C$26*'01_Доходи'!AF421),0)))</f>
        <v>0</v>
      </c>
      <c r="AG423" s="209">
        <f ca="1">SUM(AB423:AF423)</f>
        <v>0</v>
      </c>
      <c r="AH423" s="942"/>
      <c r="AI423" s="201"/>
      <c r="AJ423" s="945"/>
      <c r="AK423" s="960"/>
      <c r="AL423" s="960"/>
      <c r="AM423" s="348" t="s">
        <v>451</v>
      </c>
      <c r="AN423" s="210">
        <f ca="1">IF(B418="Лікар загальної практики - сімейний лікар",G423*Законод!$C$11+'01_Доходи'!H423*Законод!$D$11+'01_Доходи'!I423*Законод!$E$11+'01_Доходи'!J423*Законод!$F$11+'01_Доходи'!K423*Законод!$G$11,IF(B418="Лікар-педіатр",G423*Законод!$C$11+'01_Доходи'!H423*Законод!$D$11,IF(B418="Лікар-терапевт",'01_Доходи'!I423*Законод!$E$11+'01_Доходи'!J423*Законод!$F$11+'01_Доходи'!K423*Законод!$G$11,0)))</f>
        <v>0</v>
      </c>
      <c r="AO423" s="210">
        <f ca="1">IF(B418="Лікар загальної практики - сімейний лікар",N423*Законод!$C$11+'01_Доходи'!O423*Законод!$D$11+'01_Доходи'!P423*Законод!$E$11+'01_Доходи'!Q423*Законод!$F$11+'01_Доходи'!R423*Законод!$G$11,IF(B418="Лікар-педіатр",N423*Законод!$C$11+'01_Доходи'!O423*Законод!$D$11,IF(B418="Лікар-терапевт",'01_Доходи'!P423*Законод!$E$11+'01_Доходи'!Q423*Законод!$F$11+'01_Доходи'!R423*Законод!$G$11,0)))</f>
        <v>0</v>
      </c>
      <c r="AP423" s="210">
        <f ca="1">IF(B418="Лікар загальної практики - сімейний лікар",U423*Законод!$C$11+'01_Доходи'!V423*Законод!$D$11+'01_Доходи'!W423*Законод!$E$11+'01_Доходи'!X423*Законод!$F$11+'01_Доходи'!Y423*Законод!$G$11,IF(B418="Лікар-педіатр",U423*Законод!$C$11+'01_Доходи'!V423*Законод!$D$11,IF(B418="Лікар-терапевт",'01_Доходи'!W423*Законод!$E$11+'01_Доходи'!X423*Законод!$F$11+'01_Доходи'!Y423*Законод!$G$11,0)))</f>
        <v>0</v>
      </c>
      <c r="AQ423" s="210">
        <f ca="1">IF(B418="Лікар загальної практики - сімейний лікар",AB423*Законод!$C$11+'01_Доходи'!AC423*Законод!$D$11+'01_Доходи'!AD423*Законод!$E$11+'01_Доходи'!AE423*Законод!$F$11+'01_Доходи'!AF423*Законод!$G$11,IF(B418="Лікар-педіатр",AB423*Законод!$C$11+'01_Доходи'!AC423*Законод!$D$11,IF(B418="Лікар-терапевт",'01_Доходи'!AD423*Законод!$E$11+'01_Доходи'!AE423*Законод!$F$11+'01_Доходи'!AF423*Законод!$G$11,0)))</f>
        <v>0</v>
      </c>
      <c r="AR423" s="211">
        <f t="shared" ref="AR423:AR429" si="72">SUM(AN423:AQ423)</f>
        <v>0</v>
      </c>
    </row>
    <row r="424" spans="1:44" s="50" customFormat="1" ht="31.9" hidden="1" customHeight="1">
      <c r="A424" s="197"/>
      <c r="B424" s="951"/>
      <c r="C424" s="954"/>
      <c r="D424" s="957"/>
      <c r="E424" s="939"/>
      <c r="F424" s="238" t="str">
        <f ca="1">IF(B418="Лікар-педіатр",Законод!$E$17,IF(B418="Лікар загальної практики - сімейний лікар",Законод!$E$21,IF(B418="Лікар-терапевт",Законод!$E$25,"х")))</f>
        <v>х</v>
      </c>
      <c r="G424" s="935" t="s">
        <v>423</v>
      </c>
      <c r="H424" s="936"/>
      <c r="I424" s="936"/>
      <c r="J424" s="936"/>
      <c r="K424" s="937"/>
      <c r="L424" s="196">
        <f ca="1">IF($B$418="Лікар загальної практики - сімейний лікар",IF(L422&lt;Законод!$C$22,0,(IF(AND(L422&gt;=Законод!$E$22,L422&lt;=Законод!$E$23),L422-Законод!$C$22,IF('01_Доходи'!L422&gt;=Законод!$F$22,Законод!$E$24,0)))),IF($B$418="Лікар-педіатр",IF(L422&lt;Законод!$C$18,0,(IF(AND(L422&gt;=Законод!$E$18,L422&lt;=Законод!$E$19),L422-Законод!$C$18,IF('01_Доходи'!L422&gt;=Законод!$F$18,Законод!$E$20,0)))),IF($B$418="Лікар-терапевт",IF(L422&lt;Законод!$C$26,0,(IF(AND(L422&gt;=Законод!$E$26,L422&lt;=Законод!$E$27),L422-Законод!$C$26,IF('01_Доходи'!L422&gt;=Законод!$F$26,Законод!$E$28,0)))),0)))</f>
        <v>0</v>
      </c>
      <c r="M424" s="942"/>
      <c r="N424" s="935" t="s">
        <v>423</v>
      </c>
      <c r="O424" s="936"/>
      <c r="P424" s="936"/>
      <c r="Q424" s="936"/>
      <c r="R424" s="937"/>
      <c r="S424" s="196">
        <f ca="1">IF($B$418="Лікар загальної практики - сімейний лікар",IF(S422&lt;Законод!$C$22,0,(IF(AND(S422&gt;=Законод!$E$22,S422&lt;=Законод!$E$23),S422-Законод!$C$22,IF('01_Доходи'!S422&gt;=Законод!$F$22,Законод!$E$24,0)))),IF($B$418="Лікар-педіатр",IF(S422&lt;Законод!$C$18,0,(IF(AND(S422&gt;=Законод!$E$18,S422&lt;=Законод!$E$19),S422-Законод!$C$18,IF('01_Доходи'!S422&gt;=Законод!$F$18,Законод!$E$20,0)))),IF($B$418="Лікар-терапевт",IF(S422&lt;Законод!$C$26,0,(IF(AND(S422&gt;=Законод!$E$26,S422&lt;=Законод!$E$27),S422-Законод!$C$26,IF('01_Доходи'!S422&gt;=Законод!$F$26,Законод!$E$28,0)))),0)))</f>
        <v>0</v>
      </c>
      <c r="T424" s="942"/>
      <c r="U424" s="935" t="s">
        <v>423</v>
      </c>
      <c r="V424" s="936"/>
      <c r="W424" s="936"/>
      <c r="X424" s="936"/>
      <c r="Y424" s="937"/>
      <c r="Z424" s="196">
        <f ca="1">IF($B$418="Лікар загальної практики - сімейний лікар",IF(Z422&lt;Законод!$C$22,0,(IF(AND(Z422&gt;=Законод!$E$22,Z422&lt;=Законод!$E$23),Z422-Законод!$C$22,IF('01_Доходи'!Z422&gt;=Законод!$F$22,Законод!$E$24,0)))),IF($B$418="Лікар-педіатр",IF(Z422&lt;Законод!$C$18,0,(IF(AND(Z422&gt;=Законод!$E$18,Z422&lt;=Законод!$E$19),Z422-Законод!$C$18,IF('01_Доходи'!Z422&gt;=Законод!$F$18,Законод!$E$20,0)))),IF($B$418="Лікар-терапевт",IF(Z422&lt;Законод!$C$26,0,(IF(AND(Z422&gt;=Законод!$E$26,Z422&lt;=Законод!$E$27),Z422-Законод!$C$26,IF('01_Доходи'!Z422&gt;=Законод!$F$26,Законод!$E$28,0)))),0)))</f>
        <v>0</v>
      </c>
      <c r="AA424" s="942"/>
      <c r="AB424" s="935" t="s">
        <v>423</v>
      </c>
      <c r="AC424" s="936"/>
      <c r="AD424" s="936"/>
      <c r="AE424" s="936"/>
      <c r="AF424" s="937"/>
      <c r="AG424" s="196">
        <f ca="1">IF($B$418="Лікар загальної практики - сімейний лікар",IF(AG422&lt;Законод!$C$22,0,(IF(AND(AG422&gt;=Законод!$E$22,AG422&lt;=Законод!$E$23),AG422-Законод!$C$22,IF('01_Доходи'!AG422&gt;=Законод!$F$22,Законод!$E$24,0)))),IF($B$418="Лікар-педіатр",IF(AG422&lt;Законод!$C$18,0,(IF(AND(AG422&gt;=Законод!$E$18,AG422&lt;=Законод!$E$19),AG422-Законод!$C$18,IF('01_Доходи'!AG422&gt;=Законод!$F$18,Законод!$E$20,0)))),IF($B$418="Лікар-терапевт",IF(AG422&lt;Законод!$C$26,0,(IF(AND(AG422&gt;=Законод!$E$26,AG422&lt;=Законод!$E$27),AG422-Законод!$C$26,IF('01_Доходи'!AG422&gt;=Законод!$F$26,Законод!$E$28,0)))),0)))</f>
        <v>0</v>
      </c>
      <c r="AH424" s="942"/>
      <c r="AI424" s="201"/>
      <c r="AJ424" s="945"/>
      <c r="AK424" s="960"/>
      <c r="AL424" s="960"/>
      <c r="AM424" s="926" t="s">
        <v>452</v>
      </c>
      <c r="AN424" s="210">
        <f ca="1">IF(B418="Лікар загальної практики - сімейний лікар",L424*Законод!$C$9/4*Законод!$E$16,IF(B418="Лікар-педіатр",L424*Законод!$C$9/4*Законод!$E$16,IF(B418="Лікар-терапевт",L424*Законод!$C$9/4*Законод!$E$16,0)))</f>
        <v>0</v>
      </c>
      <c r="AO424" s="210">
        <f ca="1">IF(B418="Лікар загальної практики - сімейний лікар",S424*Законод!$C$9/4*Законод!$E$16,IF(B418="Лікар-педіатр",S424*Законод!$C$9/4*Законод!$E$16,IF(B418="Лікар-терапевт",S424*Законод!$C$9/4*Законод!$E$16,0)))</f>
        <v>0</v>
      </c>
      <c r="AP424" s="210">
        <f ca="1">IF(B418="Лікар загальної практики - сімейний лікар",Z424*Законод!$C$9/4*Законод!$E$16,IF(B418="Лікар-педіатр",Z424*Законод!$C$9/4*Законод!$E$16,IF(B418="Лікар-терапевт",Z424*Законод!$C$9/4*Законод!$E$16,0)))</f>
        <v>0</v>
      </c>
      <c r="AQ424" s="210">
        <f ca="1">IF(B418="Лікар загальної практики - сімейний лікар",AG424*Законод!$C$9/4*Законод!$E$16,IF(B418="Лікар-педіатр",AG424*Законод!$C$9/4*Законод!$E$16,IF(B418="Лікар-терапевт",AG424*Законод!$C$9/4*Законод!$E$16,0)))</f>
        <v>0</v>
      </c>
      <c r="AR424" s="211">
        <f t="shared" si="72"/>
        <v>0</v>
      </c>
    </row>
    <row r="425" spans="1:44" s="50" customFormat="1" ht="31.9" hidden="1" customHeight="1">
      <c r="A425" s="197"/>
      <c r="B425" s="951"/>
      <c r="C425" s="954"/>
      <c r="D425" s="957"/>
      <c r="E425" s="939"/>
      <c r="F425" s="238" t="str">
        <f ca="1">IF(B418="Лікар-педіатр",Законод!$F$17,IF(B418="Лікар загальної практики - сімейний лікар",Законод!$F$21,IF(B418="Лікар-терапевт",Законод!$F$25,"х")))</f>
        <v>х</v>
      </c>
      <c r="G425" s="935" t="s">
        <v>423</v>
      </c>
      <c r="H425" s="936"/>
      <c r="I425" s="936"/>
      <c r="J425" s="936"/>
      <c r="K425" s="937"/>
      <c r="L425" s="196">
        <f ca="1">IF($B$418="Лікар загальної практики - сімейний лікар",IF(L422&lt;Законод!$C$22,0,(IF(AND(L422&gt;=Законод!$F$22,L422&lt;=Законод!$F$23),L422-Законод!$E$23,IF('01_Доходи'!L422&gt;=Законод!$G$22,Законод!$F$24,0)))),IF($B$418="Лікар-педіатр",IF(L422&lt;Законод!$C$18,0,(IF(AND(L422&gt;=Законод!$F$18,L422&lt;=Законод!$F$19),L422-Законод!$E$19,IF('01_Доходи'!L422&gt;=Законод!$G$18,Законод!$F$20,0)))),IF($B$418="Лікар-терапевт",IF(L422&lt;Законод!$C$26,0,(IF(AND(L422&gt;=Законод!$F$26,L422&lt;=Законод!$F$27),L422-Законод!$E$27,IF('01_Доходи'!L422&gt;=Законод!$G$26,Законод!$F$28,0)))),0)))</f>
        <v>0</v>
      </c>
      <c r="M425" s="942"/>
      <c r="N425" s="935" t="s">
        <v>423</v>
      </c>
      <c r="O425" s="936"/>
      <c r="P425" s="936"/>
      <c r="Q425" s="936"/>
      <c r="R425" s="937"/>
      <c r="S425" s="196">
        <f ca="1">IF($B$418="Лікар загальної практики - сімейний лікар",IF(S422&lt;Законод!$C$22,0,(IF(AND(S422&gt;=Законод!$F$22,S422&lt;=Законод!$F$23),S422-Законод!$E$23,IF('01_Доходи'!S422&gt;=Законод!$G$22,Законод!$F$24,0)))),IF($B$418="Лікар-педіатр",IF(S422&lt;Законод!$C$18,0,(IF(AND(S422&gt;=Законод!$F$18,S422&lt;=Законод!$F$19),S422-Законод!$E$19,IF('01_Доходи'!S422&gt;=Законод!$G$18,Законод!$F$20,0)))),IF($B$418="Лікар-терапевт",IF(S422&lt;Законод!$C$26,0,(IF(AND(S422&gt;=Законод!$F$26,S422&lt;=Законод!$F$27),S422-Законод!$E$27,IF('01_Доходи'!S422&gt;=Законод!$G$26,Законод!$F$28,0)))),0)))</f>
        <v>0</v>
      </c>
      <c r="T425" s="942"/>
      <c r="U425" s="935" t="s">
        <v>423</v>
      </c>
      <c r="V425" s="936"/>
      <c r="W425" s="936"/>
      <c r="X425" s="936"/>
      <c r="Y425" s="937"/>
      <c r="Z425" s="196">
        <f ca="1">IF($B$418="Лікар загальної практики - сімейний лікар",IF(Z422&lt;Законод!$C$22,0,(IF(AND(Z422&gt;=Законод!$F$22,Z422&lt;=Законод!$F$23),Z422-Законод!$E$23,IF('01_Доходи'!Z422&gt;=Законод!$G$22,Законод!$F$24,0)))),IF($B$418="Лікар-педіатр",IF(Z422&lt;Законод!$C$18,0,(IF(AND(Z422&gt;=Законод!$F$18,Z422&lt;=Законод!$F$19),Z422-Законод!$E$19,IF('01_Доходи'!Z422&gt;=Законод!$G$18,Законод!$F$20,0)))),IF($B$418="Лікар-терапевт",IF(Z422&lt;Законод!$C$26,0,(IF(AND(Z422&gt;=Законод!$F$26,Z422&lt;=Законод!$F$27),Z422-Законод!$E$27,IF('01_Доходи'!Z422&gt;=Законод!$G$26,Законод!$F$28,0)))),0)))</f>
        <v>0</v>
      </c>
      <c r="AA425" s="942"/>
      <c r="AB425" s="935" t="s">
        <v>423</v>
      </c>
      <c r="AC425" s="936"/>
      <c r="AD425" s="936"/>
      <c r="AE425" s="936"/>
      <c r="AF425" s="937"/>
      <c r="AG425" s="196">
        <f ca="1">IF($B$418="Лікар загальної практики - сімейний лікар",IF(AG422&lt;Законод!$C$22,0,(IF(AND(AG422&gt;=Законод!$F$22,AG422&lt;=Законод!$F$23),AG422-Законод!$E$23,IF('01_Доходи'!AG422&gt;=Законод!$G$22,Законод!$F$24,0)))),IF($B$418="Лікар-педіатр",IF(AG422&lt;Законод!$C$18,0,(IF(AND(AG422&gt;=Законод!$F$18,AG422&lt;=Законод!$F$19),AG422-Законод!$E$19,IF('01_Доходи'!AG422&gt;=Законод!$G$18,Законод!$F$20,0)))),IF($B$418="Лікар-терапевт",IF(AG422&lt;Законод!$C$26,0,(IF(AND(AG422&gt;=Законод!$F$26,AG422&lt;=Законод!$F$27),AG422-Законод!$E$27,IF('01_Доходи'!AG422&gt;=Законод!$G$26,Законод!$F$28,0)))),0)))</f>
        <v>0</v>
      </c>
      <c r="AH425" s="942"/>
      <c r="AI425" s="201"/>
      <c r="AJ425" s="945"/>
      <c r="AK425" s="960"/>
      <c r="AL425" s="960"/>
      <c r="AM425" s="927"/>
      <c r="AN425" s="210">
        <f ca="1">IF(B418="Лікар загальної практики - сімейний лікар",L425*Законод!$C$9/4*Законод!$F$16,IF(B418="Лікар-педіатр",L425*Законод!$C$9/4*Законод!$F$16,IF(B418="Лікар-терапевт",L425*Законод!$C$9/4*Законод!$F$16,0)))</f>
        <v>0</v>
      </c>
      <c r="AO425" s="210">
        <f ca="1">IF(B418="Лікар загальної практики - сімейний лікар",S425*Законод!$C$9/4*Законод!$F$16,IF(B418="Лікар-педіатр",S425*Законод!$C$9/4*Законод!$F$16,IF(B418="Лікар-терапевт",S425*Законод!$C$9/4*Законод!$F$16,0)))</f>
        <v>0</v>
      </c>
      <c r="AP425" s="210">
        <f ca="1">IF(B418="Лікар загальної практики - сімейний лікар",Z425*Законод!$C$9/4*Законод!$F$16,IF(B418="Лікар-педіатр",Z425*Законод!$C$9/4*Законод!$F$16,IF(B418="Лікар-терапевт",Z425*Законод!$C$9/4*Законод!$F$16,0)))</f>
        <v>0</v>
      </c>
      <c r="AQ425" s="210">
        <f ca="1">IF(B418="Лікар загальної практики - сімейний лікар",AG425*Законод!$C$9/4*Законод!$F$16,IF(B418="Лікар-педіатр",AG425*Законод!$C$9/4*Законод!$F$16,IF(B418="Лікар-терапевт",AG425*Законод!$C$9/4*Законод!$F$16,0)))</f>
        <v>0</v>
      </c>
      <c r="AR425" s="211">
        <f t="shared" si="72"/>
        <v>0</v>
      </c>
    </row>
    <row r="426" spans="1:44" s="50" customFormat="1" ht="31.9" hidden="1" customHeight="1">
      <c r="A426" s="197"/>
      <c r="B426" s="951"/>
      <c r="C426" s="954"/>
      <c r="D426" s="957"/>
      <c r="E426" s="939"/>
      <c r="F426" s="238" t="str">
        <f ca="1">IF(B418="Лікар-педіатр",Законод!$G$17,IF(B418="Лікар загальної практики - сімейний лікар",Законод!$G$21,IF(B418="Лікар-терапевт",Законод!$G$25,"х")))</f>
        <v>х</v>
      </c>
      <c r="G426" s="935" t="s">
        <v>423</v>
      </c>
      <c r="H426" s="936"/>
      <c r="I426" s="936"/>
      <c r="J426" s="936"/>
      <c r="K426" s="937"/>
      <c r="L426" s="196">
        <f ca="1">IF($B$418="Лікар загальної практики - сімейний лікар",IF(L422&lt;Законод!$C$22,0,(IF(AND(L422&gt;=Законод!$G$22,L422&lt;=Законод!$G$23),L422-Законод!$F$23,IF('01_Доходи'!L422&gt;=Законод!$H$22,Законод!$G$24,0)))),IF($B$418="Лікар-педіатр",IF(L422&lt;Законод!$C$18,0,(IF(AND(L422&gt;=Законод!$G$18,L422&lt;=Законод!$G$19),L422-Законод!$F$19,IF('01_Доходи'!L422&gt;=Законод!$H$18,Законод!$G$20,0)))),IF($B$418="Лікар-терапевт",IF(L422&lt;Законод!$C$26,0,(IF(AND(L422&gt;=Законод!$G$26,L422&lt;=Законод!$G$27),L422-Законод!$F$27,IF('01_Доходи'!L422&gt;=Законод!$H$26,Законод!$G$28,0)))),0)))</f>
        <v>0</v>
      </c>
      <c r="M426" s="942"/>
      <c r="N426" s="935" t="s">
        <v>423</v>
      </c>
      <c r="O426" s="936"/>
      <c r="P426" s="936"/>
      <c r="Q426" s="936"/>
      <c r="R426" s="937"/>
      <c r="S426" s="196">
        <f ca="1">IF($B$418="Лікар загальної практики - сімейний лікар",IF(S422&lt;Законод!$C$22,0,(IF(AND(S422&gt;=Законод!$G$22,S422&lt;=Законод!$G$23),S422-Законод!$F$23,IF('01_Доходи'!S422&gt;=Законод!$H$22,Законод!$G$24,0)))),IF($B$418="Лікар-педіатр",IF(S422&lt;Законод!$C$18,0,(IF(AND(S422&gt;=Законод!$G$18,S422&lt;=Законод!$G$19),S422-Законод!$F$19,IF('01_Доходи'!S422&gt;=Законод!$H$18,Законод!$G$20,0)))),IF($B$418="Лікар-терапевт",IF(S422&lt;Законод!$C$26,0,(IF(AND(S422&gt;=Законод!$G$26,S422&lt;=Законод!$G$27),S422-Законод!$F$27,IF('01_Доходи'!S422&gt;=Законод!$H$26,Законод!$G$28,0)))),0)))</f>
        <v>0</v>
      </c>
      <c r="T426" s="942"/>
      <c r="U426" s="935" t="s">
        <v>423</v>
      </c>
      <c r="V426" s="936"/>
      <c r="W426" s="936"/>
      <c r="X426" s="936"/>
      <c r="Y426" s="937"/>
      <c r="Z426" s="196">
        <f ca="1">IF($B$418="Лікар загальної практики - сімейний лікар",IF(Z422&lt;Законод!$C$22,0,(IF(AND(Z422&gt;=Законод!$G$22,Z422&lt;=Законод!$G$23),Z422-Законод!$F$23,IF('01_Доходи'!Z422&gt;=Законод!$H$22,Законод!$G$24,0)))),IF($B$418="Лікар-педіатр",IF(Z422&lt;Законод!$C$18,0,(IF(AND(Z422&gt;=Законод!$G$18,Z422&lt;=Законод!$G$19),Z422-Законод!$F$19,IF('01_Доходи'!Z422&gt;=Законод!$H$18,Законод!$G$20,0)))),IF($B$418="Лікар-терапевт",IF(Z422&lt;Законод!$C$26,0,(IF(AND(Z422&gt;=Законод!$G$26,Z422&lt;=Законод!$G$27),Z422-Законод!$F$27,IF('01_Доходи'!Z422&gt;=Законод!$H$26,Законод!$G$28,0)))),0)))</f>
        <v>0</v>
      </c>
      <c r="AA426" s="942"/>
      <c r="AB426" s="935" t="s">
        <v>423</v>
      </c>
      <c r="AC426" s="936"/>
      <c r="AD426" s="936"/>
      <c r="AE426" s="936"/>
      <c r="AF426" s="937"/>
      <c r="AG426" s="196">
        <f ca="1">IF($B$418="Лікар загальної практики - сімейний лікар",IF(AG422&lt;Законод!$C$22,0,(IF(AND(AG422&gt;=Законод!$G$22,AG422&lt;=Законод!$G$23),AG422-Законод!$F$23,IF('01_Доходи'!AG422&gt;=Законод!$H$22,Законод!$G$24,0)))),IF($B$418="Лікар-педіатр",IF(AG422&lt;Законод!$C$18,0,(IF(AND(AG422&gt;=Законод!$G$18,AG422&lt;=Законод!$G$19),AG422-Законод!$F$19,IF('01_Доходи'!AG422&gt;=Законод!$H$18,Законод!$G$20,0)))),IF($B$418="Лікар-терапевт",IF(AG422&lt;Законод!$C$26,0,(IF(AND(AG422&gt;=Законод!$G$26,AG422&lt;=Законод!$G$27),AG422-Законод!$F$27,IF('01_Доходи'!AG422&gt;=Законод!$H$26,Законод!$G$28,0)))),0)))</f>
        <v>0</v>
      </c>
      <c r="AH426" s="942"/>
      <c r="AI426" s="201"/>
      <c r="AJ426" s="945"/>
      <c r="AK426" s="960"/>
      <c r="AL426" s="960"/>
      <c r="AM426" s="927"/>
      <c r="AN426" s="210">
        <f ca="1">IF(B418="Лікар загальної практики - сімейний лікар",L426*Законод!$C$9/4*Законод!$G$16,IF(B418="Лікар-педіатр",L426*Законод!$C$9/4*Законод!$G$16,IF(B418="Лікар-терапевт",L426*Законод!$C$9/4*Законод!$G$16,0)))</f>
        <v>0</v>
      </c>
      <c r="AO426" s="210">
        <f ca="1">IF(B418="Лікар загальної практики - сімейний лікар",S426*Законод!$C$9/4*Законод!$G$16,IF(B418="Лікар-педіатр",S426*Законод!$C$9/4*Законод!$G$16,IF(B418="Лікар-терапевт",S426*Законод!$C$9/4*Законод!$G$16,0)))</f>
        <v>0</v>
      </c>
      <c r="AP426" s="210">
        <f ca="1">IF(B418="Лікар загальної практики - сімейний лікар",Z426*Законод!$C$9/4*Законод!$G$16,IF(B418="Лікар-педіатр",Z426*Законод!$C$9/4*Законод!$G$16,IF(B418="Лікар-терапевт",Z426*Законод!$C$9/4*Законод!$G$16,0)))</f>
        <v>0</v>
      </c>
      <c r="AQ426" s="210">
        <f ca="1">IF(B418="Лікар загальної практики - сімейний лікар",AG426*Законод!$C$9/4*Законод!$G$16,IF(B418="Лікар-педіатр",AG426*Законод!$C$9/4*Законод!$G$16,IF(B418="Лікар-терапевт",AG426*Законод!$C$9/4*Законод!$G$16,0)))</f>
        <v>0</v>
      </c>
      <c r="AR426" s="211">
        <f t="shared" si="72"/>
        <v>0</v>
      </c>
    </row>
    <row r="427" spans="1:44" s="50" customFormat="1" ht="31.9" hidden="1" customHeight="1">
      <c r="A427" s="197"/>
      <c r="B427" s="951"/>
      <c r="C427" s="954"/>
      <c r="D427" s="957"/>
      <c r="E427" s="939"/>
      <c r="F427" s="238" t="str">
        <f ca="1">IF(B418="Лікар-педіатр",Законод!$H$17,IF(B418="Лікар загальної практики - сімейний лікар",Законод!$H$21,IF(B418="Лікар-терапевт",Законод!$H$25,"х")))</f>
        <v>х</v>
      </c>
      <c r="G427" s="935" t="s">
        <v>423</v>
      </c>
      <c r="H427" s="936"/>
      <c r="I427" s="936"/>
      <c r="J427" s="936"/>
      <c r="K427" s="937"/>
      <c r="L427" s="196">
        <f ca="1">IF($B$418="Лікар загальної практики - сімейний лікар",IF(L422&lt;Законод!$C$22,0,(IF(AND(L422&gt;=Законод!$H$22,L422&lt;=Законод!$H$23),L422-Законод!$G$23,IF('01_Доходи'!L422&gt;=Законод!$I$22,Законод!$H$24,0)))),IF($B$418="Лікар-педіатр",IF(L422&lt;Законод!$C$18,0,(IF(AND(L422&gt;=Законод!$H$18,L422&lt;=Законод!$H$19),L422-Законод!$G$19,IF('01_Доходи'!L422&gt;=Законод!$I$18,Законод!$H$20,0)))),IF($B$418="Лікар-терапевт",IF(L422&lt;Законод!$C$26,0,(IF(AND(L422&gt;=Законод!$H$26,L422&lt;=Законод!$H$27),L422-Законод!$G$27,IF(L422&gt;=Законод!$I$26,Законод!$H$28,0)))),0)))</f>
        <v>0</v>
      </c>
      <c r="M427" s="942"/>
      <c r="N427" s="935" t="s">
        <v>423</v>
      </c>
      <c r="O427" s="936"/>
      <c r="P427" s="936"/>
      <c r="Q427" s="936"/>
      <c r="R427" s="937"/>
      <c r="S427" s="196">
        <f ca="1">IF($B$418="Лікар загальної практики - сімейний лікар",IF(S422&lt;Законод!$C$22,0,(IF(AND(S422&gt;=Законод!$H$22,S422&lt;=Законод!$H$23),S422-Законод!$G$23,IF('01_Доходи'!S422&gt;=Законод!$I$22,Законод!$H$24,0)))),IF($B$418="Лікар-педіатр",IF(S422&lt;Законод!$C$18,0,(IF(AND(S422&gt;=Законод!$H$18,S422&lt;=Законод!$H$19),S422-Законод!$G$19,IF('01_Доходи'!S422&gt;=Законод!$I$18,Законод!$H$20,0)))),IF($B$418="Лікар-терапевт",IF(S422&lt;Законод!$C$26,0,(IF(AND(S422&gt;=Законод!$H$26,S422&lt;=Законод!$H$27),S422-Законод!$G$27,IF(S422&gt;=Законод!$I$26,Законод!$H$28,0)))),0)))</f>
        <v>0</v>
      </c>
      <c r="T427" s="942"/>
      <c r="U427" s="935" t="s">
        <v>423</v>
      </c>
      <c r="V427" s="936"/>
      <c r="W427" s="936"/>
      <c r="X427" s="936"/>
      <c r="Y427" s="937"/>
      <c r="Z427" s="196">
        <f ca="1">IF($B$418="Лікар загальної практики - сімейний лікар",IF(Z422&lt;Законод!$C$22,0,(IF(AND(Z422&gt;=Законод!$H$22,Z422&lt;=Законод!$H$23),Z422-Законод!$G$23,IF('01_Доходи'!Z422&gt;=Законод!$I$22,Законод!$H$24,0)))),IF($B$418="Лікар-педіатр",IF(Z422&lt;Законод!$C$18,0,(IF(AND(Z422&gt;=Законод!$H$18,Z422&lt;=Законод!$H$19),Z422-Законод!$G$19,IF('01_Доходи'!Z422&gt;=Законод!$I$18,Законод!$H$20,0)))),IF($B$418="Лікар-терапевт",IF(Z422&lt;Законод!$C$26,0,(IF(AND(Z422&gt;=Законод!$H$26,Z422&lt;=Законод!$H$27),Z422-Законод!$G$27,IF(Z422&gt;=Законод!$I$26,Законод!$H$28,0)))),0)))</f>
        <v>0</v>
      </c>
      <c r="AA427" s="942"/>
      <c r="AB427" s="935" t="s">
        <v>423</v>
      </c>
      <c r="AC427" s="936"/>
      <c r="AD427" s="936"/>
      <c r="AE427" s="936"/>
      <c r="AF427" s="937"/>
      <c r="AG427" s="196">
        <f ca="1">IF($B$418="Лікар загальної практики - сімейний лікар",IF(AG422&lt;Законод!$C$22,0,(IF(AND(AG422&gt;=Законод!$H$22,AG422&lt;=Законод!$H$23),AG422-Законод!$G$23,IF('01_Доходи'!AG422&gt;=Законод!$I$22,Законод!$H$24,0)))),IF($B$418="Лікар-педіатр",IF(AG422&lt;Законод!$C$18,0,(IF(AND(AG422&gt;=Законод!$H$18,AG422&lt;=Законод!$H$19),AG422-Законод!$G$19,IF('01_Доходи'!AG422&gt;=Законод!$I$18,Законод!$H$20,0)))),IF($B$418="Лікар-терапевт",IF(AG422&lt;Законод!$C$26,0,(IF(AND(AG422&gt;=Законод!$H$26,AG422&lt;=Законод!$H$27),AG422-Законод!$G$27,IF(AG422&gt;=Законод!$I$26,Законод!$H$28,0)))),0)))</f>
        <v>0</v>
      </c>
      <c r="AH427" s="942"/>
      <c r="AI427" s="201"/>
      <c r="AJ427" s="945"/>
      <c r="AK427" s="960"/>
      <c r="AL427" s="960"/>
      <c r="AM427" s="927"/>
      <c r="AN427" s="210">
        <f ca="1">IF(B418="Лікар загальної практики - сімейний лікар",L427*Законод!$C$9/4*Законод!$H$16,IF(B418="Лікар-педіатр",L427*Законод!$C$9/4*Законод!$H$16,IF(B418="Лікар-терапевт",L427*Законод!$C$9/4*Законод!$H$16,0)))</f>
        <v>0</v>
      </c>
      <c r="AO427" s="210">
        <f ca="1">IF(B418="Лікар загальної практики - сімейний лікар",S427*Законод!$C$9/4*Законод!$H$16,IF(B418="Лікар-педіатр",S427*Законод!$C$9/4*Законод!$H$16,IF(B418="Лікар-терапевт",S427*Законод!$C$9/4*Законод!$H$16,0)))</f>
        <v>0</v>
      </c>
      <c r="AP427" s="210">
        <f ca="1">IF(B418="Лікар загальної практики - сімейний лікар",Z427*Законод!$C$9/4*Законод!$H$16,IF(B418="Лікар-педіатр",Z427*Законод!$C$9/4*Законод!$H$16,IF(B418="Лікар-терапевт",Z427*Законод!$C$9/4*Законод!$H$16,0)))</f>
        <v>0</v>
      </c>
      <c r="AQ427" s="210">
        <f ca="1">IF(B418="Лікар загальної практики - сімейний лікар",AG427*Законод!$C$9/4*Законод!$H$16,IF(B418="Лікар-педіатр",AG427*Законод!$C$9/4*Законод!$H$16,IF(B418="Лікар-терапевт",AG427*Законод!$C$9/4*Законод!$H$16,0)))</f>
        <v>0</v>
      </c>
      <c r="AR427" s="211">
        <f t="shared" si="72"/>
        <v>0</v>
      </c>
    </row>
    <row r="428" spans="1:44" s="50" customFormat="1" ht="31.9" hidden="1" customHeight="1">
      <c r="A428" s="197"/>
      <c r="B428" s="951"/>
      <c r="C428" s="954"/>
      <c r="D428" s="957"/>
      <c r="E428" s="939"/>
      <c r="F428" s="238" t="str">
        <f ca="1">IF(B418="Лікар-педіатр",Законод!$I$17,IF(B418="Лікар загальної практики - сімейний лікар",Законод!$I$21,IF(B418="Лікар-терапевт",Законод!$I$25,"х")))</f>
        <v>х</v>
      </c>
      <c r="G428" s="935" t="s">
        <v>423</v>
      </c>
      <c r="H428" s="936"/>
      <c r="I428" s="936"/>
      <c r="J428" s="936"/>
      <c r="K428" s="937"/>
      <c r="L428" s="196">
        <f ca="1">IF($B$418="Лікар загальної практики - сімейний лікар",IF(L422&lt;Законод!$C$22,0,(IF(AND(L422&gt;=Законод!$I$22,L422&lt;=Законод!$I$23),L422-Законод!$H$23,IF('01_Доходи'!L422&gt;=Законод!$I$22,Законод!$I$24,0)))),IF($B$418="Лікар-педіатр",IF(L422&lt;Законод!$C$18,0,(IF(AND(L422&gt;=Законод!$I$18,L422&lt;=Законод!$I$19),L422-Законод!$H$19,IF('01_Доходи'!L422&gt;=Законод!$I$18,Законод!$H$20,0)))),IF($B$418="Лікар-терапевт",IF(L422&lt;Законод!$C$26,0,(IF(AND(L422&gt;=Законод!$I$26,L422&lt;=Законод!$I$27),L422-Законод!$H$27,IF('01_Доходи'!L422&gt;=Законод!$I$26,Законод!$H$28,0)))),0)))</f>
        <v>0</v>
      </c>
      <c r="M428" s="942"/>
      <c r="N428" s="935" t="s">
        <v>423</v>
      </c>
      <c r="O428" s="936"/>
      <c r="P428" s="936"/>
      <c r="Q428" s="936"/>
      <c r="R428" s="937"/>
      <c r="S428" s="196">
        <f ca="1">IF($B$418="Лікар загальної практики - сімейний лікар",IF(S422&lt;Законод!$C$22,0,(IF(AND(S422&gt;=Законод!$I$22,S422&lt;=Законод!$I$23),S422-Законод!$H$23,IF('01_Доходи'!S422&gt;=Законод!$I$22,Законод!$I$24,0)))),IF($B$418="Лікар-педіатр",IF(S422&lt;Законод!$C$18,0,(IF(AND(S422&gt;=Законод!$I$18,S422&lt;=Законод!$I$19),S422-Законод!$H$19,IF('01_Доходи'!S422&gt;=Законод!$I$18,Законод!$H$20,0)))),IF($B$418="Лікар-терапевт",IF(S422&lt;Законод!$C$26,0,(IF(AND(S422&gt;=Законод!$I$26,S422&lt;=Законод!$I$27),S422-Законод!$H$27,IF('01_Доходи'!S422&gt;=Законод!$I$26,Законод!$H$28,0)))),0)))</f>
        <v>0</v>
      </c>
      <c r="T428" s="942"/>
      <c r="U428" s="935" t="s">
        <v>423</v>
      </c>
      <c r="V428" s="936"/>
      <c r="W428" s="936"/>
      <c r="X428" s="936"/>
      <c r="Y428" s="937"/>
      <c r="Z428" s="196">
        <f ca="1">IF($B$418="Лікар загальної практики - сімейний лікар",IF(Z422&lt;Законод!$C$22,0,(IF(AND(Z422&gt;=Законод!$I$22,Z422&lt;=Законод!$I$23),Z422-Законод!$H$23,IF('01_Доходи'!Z422&gt;=Законод!$I$22,Законод!$I$24,0)))),IF($B$418="Лікар-педіатр",IF(Z422&lt;Законод!$C$18,0,(IF(AND(Z422&gt;=Законод!$I$18,Z422&lt;=Законод!$I$19),Z422-Законод!$H$19,IF('01_Доходи'!Z422&gt;=Законод!$I$18,Законод!$H$20,0)))),IF($B$418="Лікар-терапевт",IF(Z422&lt;Законод!$C$26,0,(IF(AND(Z422&gt;=Законод!$I$26,Z422&lt;=Законод!$I$27),Z422-Законод!$H$27,IF('01_Доходи'!Z422&gt;=Законод!$I$26,Законод!$H$28,0)))),0)))</f>
        <v>0</v>
      </c>
      <c r="AA428" s="942"/>
      <c r="AB428" s="935" t="s">
        <v>423</v>
      </c>
      <c r="AC428" s="936"/>
      <c r="AD428" s="936"/>
      <c r="AE428" s="936"/>
      <c r="AF428" s="937"/>
      <c r="AG428" s="196">
        <f ca="1">IF($B$418="Лікар загальної практики - сімейний лікар",IF(AG422&lt;Законод!$C$22,0,(IF(AND(AG422&gt;=Законод!$I$22,AG422&lt;=Законод!$I$23),AG422-Законод!$H$23,IF('01_Доходи'!AG422&gt;=Законод!$I$22,Законод!$I$24,0)))),IF($B$418="Лікар-педіатр",IF(AG422&lt;Законод!$C$18,0,(IF(AND(AG422&gt;=Законод!$I$18,AG422&lt;=Законод!$I$19),AG422-Законод!$H$19,IF('01_Доходи'!AG422&gt;=Законод!$I$18,Законод!$H$20,0)))),IF($B$418="Лікар-терапевт",IF(AG422&lt;Законод!$C$26,0,(IF(AND(AG422&gt;=Законод!$I$26,AG422&lt;=Законод!$I$27),AG422-Законод!$H$27,IF('01_Доходи'!AG422&gt;=Законод!$I$26,Законод!$H$28,0)))),0)))</f>
        <v>0</v>
      </c>
      <c r="AH428" s="942"/>
      <c r="AI428" s="201"/>
      <c r="AJ428" s="945"/>
      <c r="AK428" s="960"/>
      <c r="AL428" s="960"/>
      <c r="AM428" s="927"/>
      <c r="AN428" s="210">
        <f ca="1">IF(B418="Лікар загальної практики - сімейний лікар",L428*Законод!$C$9/4*Законод!$I$16,IF(B418="Лікар-педіатр",L428*Законод!$C$9/4*Законод!$I$16,IF(B418="Лікар-терапевт",L428*Законод!$C$9/4*Законод!$I$16,0)))</f>
        <v>0</v>
      </c>
      <c r="AO428" s="210">
        <f ca="1">IF(B418="Лікар загальної практики - сімейний лікар",S428*Законод!$C$9/4*Законод!$I$16,IF(B418="Лікар-педіатр",S428*Законод!$C$9/4*Законод!$I$16,IF(B418="Лікар-терапевт",S428*Законод!$C$9/4*Законод!$I$16,0)))</f>
        <v>0</v>
      </c>
      <c r="AP428" s="210">
        <f ca="1">IF(B418="Лікар загальної практики - сімейний лікар",Z428*Законод!$C$9/4*Законод!$I$16,IF(B418="Лікар-педіатр",Z428*Законод!$C$9/4*Законод!$I$16,IF(B418="Лікар-терапевт",Z428*Законод!$C$9/4*Законод!$I$16,0)))</f>
        <v>0</v>
      </c>
      <c r="AQ428" s="210">
        <f ca="1">IF(B418="Лікар загальної практики - сімейний лікар",AG428*Законод!$C$9/4*Законод!$I$16,IF(B418="Лікар-педіатр",AG428*Законод!$C$9/4*Законод!$I$16,IF(B418="Лікар-терапевт",AG428*Законод!$C$9/4*Законод!$I$16,0)))</f>
        <v>0</v>
      </c>
      <c r="AR428" s="211">
        <f t="shared" si="72"/>
        <v>0</v>
      </c>
    </row>
    <row r="429" spans="1:44" s="218" customFormat="1" ht="31.9" hidden="1" customHeight="1" thickBot="1">
      <c r="A429" s="213"/>
      <c r="B429" s="952"/>
      <c r="C429" s="955"/>
      <c r="D429" s="958"/>
      <c r="E429" s="940"/>
      <c r="F429" s="239" t="str">
        <f ca="1">IF(B418="Лікар-педіатр",Законод!$J$17,IF(B418="Лікар загальної практики - сімейний лікар",Законод!$J$21,IF(B418="Лікар-терапевт",Законод!$J$25,"х")))</f>
        <v>х</v>
      </c>
      <c r="G429" s="932" t="s">
        <v>423</v>
      </c>
      <c r="H429" s="933"/>
      <c r="I429" s="933"/>
      <c r="J429" s="933"/>
      <c r="K429" s="934"/>
      <c r="L429" s="196">
        <f ca="1">IF($B$418="Лікар загальної практики - сімейний лікар",IF(L422&gt;=Законод!$J$22,'01_Доходи'!L422-('01_Доходи'!L423+'01_Доходи'!L424+'01_Доходи'!L425+'01_Доходи'!L426+'01_Доходи'!L427+'01_Доходи'!L428),0),IF($B$418="Лікар-педіатр",IF(L422&gt;=Законод!$J$18,'01_Доходи'!L422-('01_Доходи'!L423+'01_Доходи'!L424+'01_Доходи'!L425+'01_Доходи'!L426+'01_Доходи'!L427+'01_Доходи'!L428),0),IF($B$418="Лікар-терапевт",IF('01_Доходи'!L422&gt;=Законод!$J$26,L422-Законод!$I$27,0),0)))</f>
        <v>0</v>
      </c>
      <c r="M429" s="943"/>
      <c r="N429" s="932" t="s">
        <v>423</v>
      </c>
      <c r="O429" s="933"/>
      <c r="P429" s="933"/>
      <c r="Q429" s="933"/>
      <c r="R429" s="934"/>
      <c r="S429" s="196">
        <f ca="1">IF($B$418="Лікар загальної практики - сімейний лікар",IF(S422&gt;=Законод!$J$22,'01_Доходи'!S422-('01_Доходи'!S423+'01_Доходи'!S424+'01_Доходи'!S425+'01_Доходи'!S426+'01_Доходи'!S427+'01_Доходи'!S428),0),IF($B$418="Лікар-педіатр",IF(S422&gt;=Законод!$J$18,'01_Доходи'!S422-('01_Доходи'!S423+'01_Доходи'!S424+'01_Доходи'!S425+'01_Доходи'!S426+'01_Доходи'!S427+'01_Доходи'!S428),0),IF($B$418="Лікар-терапевт",IF('01_Доходи'!S422&gt;=Законод!$J$26,S422-Законод!$I$27,0),0)))</f>
        <v>0</v>
      </c>
      <c r="T429" s="943"/>
      <c r="U429" s="932" t="s">
        <v>423</v>
      </c>
      <c r="V429" s="933"/>
      <c r="W429" s="933"/>
      <c r="X429" s="933"/>
      <c r="Y429" s="934"/>
      <c r="Z429" s="196">
        <f ca="1">IF($B$418="Лікар загальної практики - сімейний лікар",IF(Z422&gt;=Законод!$J$22,'01_Доходи'!Z422-('01_Доходи'!Z423+'01_Доходи'!Z424+'01_Доходи'!Z425+'01_Доходи'!Z426+'01_Доходи'!Z427+'01_Доходи'!Z428),0),IF($B$418="Лікар-педіатр",IF(Z422&gt;=Законод!$J$18,'01_Доходи'!Z422-('01_Доходи'!Z423+'01_Доходи'!Z424+'01_Доходи'!Z425+'01_Доходи'!Z426+'01_Доходи'!Z427+'01_Доходи'!Z428),0),IF($B$418="Лікар-терапевт",IF('01_Доходи'!Z422&gt;=Законод!$J$26,Z422-Законод!$I$27,0),0)))</f>
        <v>0</v>
      </c>
      <c r="AA429" s="943"/>
      <c r="AB429" s="932" t="s">
        <v>423</v>
      </c>
      <c r="AC429" s="933"/>
      <c r="AD429" s="933"/>
      <c r="AE429" s="933"/>
      <c r="AF429" s="934"/>
      <c r="AG429" s="196">
        <f ca="1">IF($B$418="Лікар загальної практики - сімейний лікар",IF(AG422&gt;=Законод!$J$22,'01_Доходи'!AG422-('01_Доходи'!AG423+'01_Доходи'!AG424+'01_Доходи'!AG425+'01_Доходи'!AG426+'01_Доходи'!AG427+'01_Доходи'!AG428),0),IF($B$418="Лікар-педіатр",IF(AG422&gt;=Законод!$J$18,'01_Доходи'!AG422-('01_Доходи'!AG423+'01_Доходи'!AG424+'01_Доходи'!AG425+'01_Доходи'!AG426+'01_Доходи'!AG427+'01_Доходи'!AG428),0),IF($B$418="Лікар-терапевт",IF('01_Доходи'!AG422&gt;=Законод!$J$26,AG422-Законод!$I$27,0),0)))</f>
        <v>0</v>
      </c>
      <c r="AH429" s="943"/>
      <c r="AI429" s="215"/>
      <c r="AJ429" s="946"/>
      <c r="AK429" s="961"/>
      <c r="AL429" s="961"/>
      <c r="AM429" s="928"/>
      <c r="AN429" s="216">
        <f ca="1">IF(B418="Лікар загальної практики - сімейний лікар",L429*Законод!$C$9/4*Законод!$J$16,IF(B418="Лікар-педіатр",L429*Законод!$C$9/4*Законод!$J$16,IF(B418="Лікар-терапевт",L429*Законод!$C$9/4*Законод!$J$16,0)))</f>
        <v>0</v>
      </c>
      <c r="AO429" s="216">
        <f ca="1">IF(B418="Лікар загальної практики - сімейний лікар",S429*Законод!$C$9/4*Законод!$J$16,IF(B418="Лікар-педіатр",S429*Законод!$C$9/4*Законод!$J$16,IF(B418="Лікар-терапевт",S429*Законод!$C$9/4*Законод!$J$16,0)))</f>
        <v>0</v>
      </c>
      <c r="AP429" s="216">
        <f ca="1">IF(B418="Лікар загальної практики - сімейний лікар",S429*Законод!$C$9/4*Законод!$J$16,IF(B418="Лікар-педіатр",S429*Законод!$C$9/4*Законод!$J$16,IF(B418="Лікар-терапевт",S429*Законод!$C$9/4*Законод!$J$16,0)))</f>
        <v>0</v>
      </c>
      <c r="AQ429" s="216">
        <f ca="1">IF(B418="Лікар загальної практики - сімейний лікар",AG429*Законод!$C$9/4*Законод!$J$16,IF(B418="Лікар-педіатр",AG429*Законод!$C$9/4*Законод!$J$16,IF(B418="Лікар-терапевт",AG429*Законод!$C$9/4*Законод!$J$16,0)))</f>
        <v>0</v>
      </c>
      <c r="AR429" s="217">
        <f t="shared" si="72"/>
        <v>0</v>
      </c>
    </row>
    <row r="430" spans="1:44" s="247" customFormat="1" ht="23.45" hidden="1" customHeight="1" thickBot="1">
      <c r="A430" s="243"/>
      <c r="B430" s="244"/>
      <c r="C430" s="244"/>
      <c r="D430" s="244"/>
      <c r="E430" s="244"/>
      <c r="F430" s="245"/>
      <c r="G430" s="246"/>
      <c r="H430" s="246"/>
      <c r="L430" s="248"/>
      <c r="S430" s="248"/>
      <c r="Z430" s="248"/>
      <c r="AG430" s="248"/>
      <c r="AM430" s="249"/>
      <c r="AR430" s="250"/>
    </row>
    <row r="431" spans="1:44" s="191" customFormat="1" ht="24.6" hidden="1" customHeight="1">
      <c r="A431" s="194">
        <f>A418+1</f>
        <v>31</v>
      </c>
      <c r="B431" s="950"/>
      <c r="C431" s="953"/>
      <c r="D431" s="956"/>
      <c r="E431" s="938"/>
      <c r="F431" s="234" t="s">
        <v>659</v>
      </c>
      <c r="G431" s="196">
        <f>IF($B$431="Лікар-педіатр",G434*L431,IF($B$431="Лікар-терапевт","х",IF($B$431="Лікар загальної практики - сімейний лікар",G434*L431,0)))</f>
        <v>0</v>
      </c>
      <c r="H431" s="196">
        <f>IF($B$431="Лікар-педіатр",H434*L431,IF($B$431="Лікар-терапевт","х",IF($B$431="Лікар загальної практики - сімейний лікар",H434*L431,0)))</f>
        <v>0</v>
      </c>
      <c r="I431" s="196">
        <f>IF($B$431="Лікар-педіатр","x",IF($B$431="Лікар-терапевт",I434*L431,IF($B$431="Лікар загальної практики - сімейний лікар",I434*L431,0)))</f>
        <v>0</v>
      </c>
      <c r="J431" s="196">
        <f>IF($B$431="Лікар-педіатр","x",IF($B$431="Лікар-терапевт",J434*L431,IF($B$431="Лікар загальної практики - сімейний лікар",J434*L431,0)))</f>
        <v>0</v>
      </c>
      <c r="K431" s="196">
        <f>IF($B$431="Лікар-педіатр","x",IF($B$431="Лікар-терапевт",K434*L431,IF($B$431="Лікар загальної практики - сімейний лікар",K434*L431,0)))</f>
        <v>0</v>
      </c>
      <c r="L431" s="557"/>
      <c r="M431" s="941"/>
      <c r="N431" s="196">
        <f>IF($B$431="Лікар-педіатр",N434*S431,IF($B$431="Лікар-терапевт","х",IF($B$431="Лікар загальної практики - сімейний лікар",N434*S431,0)))</f>
        <v>0</v>
      </c>
      <c r="O431" s="196">
        <f>IF($B$431="Лікар-педіатр",O434*S431,IF($B$431="Лікар-терапевт","х",IF($B$431="Лікар загальної практики - сімейний лікар",O434*S431,0)))</f>
        <v>0</v>
      </c>
      <c r="P431" s="196">
        <f>IF($B$431="Лікар-педіатр","x",IF($B$431="Лікар-терапевт",P434*S431,IF($B$431="Лікар загальної практики - сімейний лікар",P434*S431,0)))</f>
        <v>0</v>
      </c>
      <c r="Q431" s="196">
        <f>IF($B$431="Лікар-педіатр","x",IF($B$431="Лікар-терапевт",Q434*S431,IF($B$431="Лікар загальної практики - сімейний лікар",Q434*S431,0)))</f>
        <v>0</v>
      </c>
      <c r="R431" s="196">
        <f>IF($B$431="Лікар-педіатр","x",IF($B$431="Лікар-терапевт",R434*S431,IF($B$431="Лікар загальної практики - сімейний лікар",R434*S431,0)))</f>
        <v>0</v>
      </c>
      <c r="S431" s="557"/>
      <c r="T431" s="941"/>
      <c r="U431" s="196">
        <f>IF($B$431="Лікар-педіатр",U434*Z431,IF($B$431="Лікар-терапевт","х",IF($B$431="Лікар загальної практики - сімейний лікар",U434*Z431,0)))</f>
        <v>0</v>
      </c>
      <c r="V431" s="196">
        <f>IF($B$431="Лікар-педіатр",V434*Z431,IF($B$431="Лікар-терапевт","х",IF($B$431="Лікар загальної практики - сімейний лікар",V434*Z431,0)))</f>
        <v>0</v>
      </c>
      <c r="W431" s="196">
        <f>IF($B$431="Лікар-педіатр","x",IF($B$431="Лікар-терапевт",W434*Z431,IF($B$431="Лікар загальної практики - сімейний лікар",W434*Z431,0)))</f>
        <v>0</v>
      </c>
      <c r="X431" s="196">
        <f>IF($B$431="Лікар-педіатр","x",IF($B$431="Лікар-терапевт",X434*Z431,IF($B$431="Лікар загальної практики - сімейний лікар",X434*Z431,0)))</f>
        <v>0</v>
      </c>
      <c r="Y431" s="196">
        <f>IF($B$431="Лікар-педіатр","x",IF($B$431="Лікар-терапевт",Y434*Z431,IF($B$431="Лікар загальної практики - сімейний лікар",Y434*Z431,0)))</f>
        <v>0</v>
      </c>
      <c r="Z431" s="557"/>
      <c r="AA431" s="941"/>
      <c r="AB431" s="196">
        <f>IF($B$431="Лікар-педіатр",AB434*AG431,IF($B$431="Лікар-терапевт","х",IF($B$431="Лікар загальної практики - сімейний лікар",AB434*AG431,0)))</f>
        <v>0</v>
      </c>
      <c r="AC431" s="196">
        <f>IF($B$431="Лікар-педіатр",AC434*AG431,IF($B$431="Лікар-терапевт","х",IF($B$431="Лікар загальної практики - сімейний лікар",AC434*AG431,0)))</f>
        <v>0</v>
      </c>
      <c r="AD431" s="196">
        <f>IF($B$431="Лікар-педіатр","x",IF($B$431="Лікар-терапевт",AD434*AG431,IF($B$431="Лікар загальної практики - сімейний лікар",AD434*AG431,0)))</f>
        <v>0</v>
      </c>
      <c r="AE431" s="196">
        <f>IF($B$431="Лікар-педіатр","x",IF($B$431="Лікар-терапевт",AE434*AG431,IF($B$431="Лікар загальної практики - сімейний лікар",AE434*AG431,0)))</f>
        <v>0</v>
      </c>
      <c r="AF431" s="196">
        <f>IF($B$431="Лікар-педіатр","x",IF($B$431="Лікар-терапевт",AF434*AG431,IF($B$431="Лікар загальної практики - сімейний лікар",AF434*AG431,0)))</f>
        <v>0</v>
      </c>
      <c r="AG431" s="557"/>
      <c r="AH431" s="941"/>
      <c r="AI431" s="540">
        <f>A431</f>
        <v>31</v>
      </c>
      <c r="AJ431" s="944">
        <f>B431</f>
        <v>0</v>
      </c>
      <c r="AK431" s="959">
        <f>C431</f>
        <v>0</v>
      </c>
      <c r="AL431" s="959">
        <f>D431</f>
        <v>0</v>
      </c>
      <c r="AM431" s="929" t="s">
        <v>79</v>
      </c>
      <c r="AN431" s="947">
        <f>SUM(AN436:AN442)</f>
        <v>0</v>
      </c>
      <c r="AO431" s="947">
        <f>SUM(AO436:AO442)</f>
        <v>0</v>
      </c>
      <c r="AP431" s="947">
        <f>SUM(AP436:AP442)</f>
        <v>0</v>
      </c>
      <c r="AQ431" s="947">
        <f>SUM(AQ436:AQ442)</f>
        <v>0</v>
      </c>
      <c r="AR431" s="962">
        <f>SUM(AN431:AQ435)</f>
        <v>0</v>
      </c>
    </row>
    <row r="432" spans="1:44" s="50" customFormat="1" ht="28.15" hidden="1" customHeight="1">
      <c r="A432" s="197"/>
      <c r="B432" s="951"/>
      <c r="C432" s="954"/>
      <c r="D432" s="957"/>
      <c r="E432" s="939"/>
      <c r="F432" s="234" t="s">
        <v>660</v>
      </c>
      <c r="G432" s="196">
        <f>IF($B$431="Лікар-педіатр",G434*L432,IF($B$431="Лікар-терапевт","х",IF($B$431="Лікар загальної практики - сімейний лікар",G434*L432,0)))</f>
        <v>0</v>
      </c>
      <c r="H432" s="196">
        <f>IF($B$431="Лікар-педіатр",H434*L432,IF($B$431="Лікар-терапевт","х",IF($B$431="Лікар загальної практики - сімейний лікар",H434*L432,0)))</f>
        <v>0</v>
      </c>
      <c r="I432" s="196">
        <f>IF($B$431="Лікар-педіатр","x",IF($B$431="Лікар-терапевт",I434*L432,IF($B$431="Лікар загальної практики - сімейний лікар",I434*L432,0)))</f>
        <v>0</v>
      </c>
      <c r="J432" s="196">
        <f>IF($B$431="Лікар-педіатр","x",IF($B$431="Лікар-терапевт",J434*L432,IF($B$431="Лікар загальної практики - сімейний лікар",J434*L432,0)))</f>
        <v>0</v>
      </c>
      <c r="K432" s="196">
        <f>IF($B$431="Лікар-педіатр","x",IF($B$431="Лікар-терапевт",K434*L432,IF($B$431="Лікар загальної практики - сімейний лікар",K434*L432,0)))</f>
        <v>0</v>
      </c>
      <c r="L432" s="557"/>
      <c r="M432" s="942"/>
      <c r="N432" s="196">
        <f>IF($B$431="Лікар-педіатр",N434*S432,IF($B$431="Лікар-терапевт","х",IF($B$431="Лікар загальної практики - сімейний лікар",N434*S432,0)))</f>
        <v>0</v>
      </c>
      <c r="O432" s="196">
        <f>IF($B$431="Лікар-педіатр",O434*S432,IF($B$431="Лікар-терапевт","х",IF($B$431="Лікар загальної практики - сімейний лікар",O434*S432,0)))</f>
        <v>0</v>
      </c>
      <c r="P432" s="196">
        <f>IF($B$431="Лікар-педіатр","x",IF($B$431="Лікар-терапевт",P434*S432,IF($B$431="Лікар загальної практики - сімейний лікар",P434*S432,0)))</f>
        <v>0</v>
      </c>
      <c r="Q432" s="196">
        <f>IF($B$431="Лікар-педіатр","x",IF($B$431="Лікар-терапевт",Q434*S432,IF($B$431="Лікар загальної практики - сімейний лікар",Q434*S432,0)))</f>
        <v>0</v>
      </c>
      <c r="R432" s="196">
        <f>IF($B$431="Лікар-педіатр","x",IF($B$431="Лікар-терапевт",R434*S432,IF($B$431="Лікар загальної практики - сімейний лікар",R434*S432,0)))</f>
        <v>0</v>
      </c>
      <c r="S432" s="557"/>
      <c r="T432" s="942"/>
      <c r="U432" s="196">
        <f>IF($B$431="Лікар-педіатр",U434*Z432,IF($B$431="Лікар-терапевт","х",IF($B$431="Лікар загальної практики - сімейний лікар",U434*Z432,0)))</f>
        <v>0</v>
      </c>
      <c r="V432" s="196">
        <f>IF($B$431="Лікар-педіатр",V434*Z432,IF($B$431="Лікар-терапевт","х",IF($B$431="Лікар загальної практики - сімейний лікар",V434*Z432,0)))</f>
        <v>0</v>
      </c>
      <c r="W432" s="196">
        <f>IF($B$431="Лікар-педіатр","x",IF($B$431="Лікар-терапевт",W434*Z432,IF($B$431="Лікар загальної практики - сімейний лікар",W434*Z432,0)))</f>
        <v>0</v>
      </c>
      <c r="X432" s="196">
        <f>IF($B$431="Лікар-педіатр","x",IF($B$431="Лікар-терапевт",X434*Z432,IF($B$431="Лікар загальної практики - сімейний лікар",X434*Z432,0)))</f>
        <v>0</v>
      </c>
      <c r="Y432" s="196">
        <f>IF($B$431="Лікар-педіатр","x",IF($B$431="Лікар-терапевт",Y434*Z432,IF($B$431="Лікар загальної практики - сімейний лікар",Y434*Z432,0)))</f>
        <v>0</v>
      </c>
      <c r="Z432" s="557"/>
      <c r="AA432" s="942"/>
      <c r="AB432" s="196">
        <f>IF($B$431="Лікар-педіатр",AB434*AG432,IF($B$431="Лікар-терапевт","х",IF($B$431="Лікар загальної практики - сімейний лікар",AB434*AG432,0)))</f>
        <v>0</v>
      </c>
      <c r="AC432" s="196">
        <f>IF($B$431="Лікар-педіатр",AC434*AG432,IF($B$431="Лікар-терапевт","х",IF($B$431="Лікар загальної практики - сімейний лікар",AC434*AG432,0)))</f>
        <v>0</v>
      </c>
      <c r="AD432" s="196">
        <f>IF($B$431="Лікар-педіатр","x",IF($B$431="Лікар-терапевт",AD434*AG432,IF($B$431="Лікар загальної практики - сімейний лікар",AD434*AG432,0)))</f>
        <v>0</v>
      </c>
      <c r="AE432" s="196">
        <f>IF($B$431="Лікар-педіатр","x",IF($B$431="Лікар-терапевт",AE434*AG432,IF($B$431="Лікар загальної практики - сімейний лікар",AE434*AG432,0)))</f>
        <v>0</v>
      </c>
      <c r="AF432" s="196">
        <f>IF($B$431="Лікар-педіатр","x",IF($B$431="Лікар-терапевт",AF434*AG432,IF($B$431="Лікар загальної практики - сімейний лікар",AF434*AG432,0)))</f>
        <v>0</v>
      </c>
      <c r="AG432" s="557"/>
      <c r="AH432" s="942"/>
      <c r="AI432" s="198"/>
      <c r="AJ432" s="945"/>
      <c r="AK432" s="960"/>
      <c r="AL432" s="960"/>
      <c r="AM432" s="930"/>
      <c r="AN432" s="948"/>
      <c r="AO432" s="948"/>
      <c r="AP432" s="948"/>
      <c r="AQ432" s="948"/>
      <c r="AR432" s="963"/>
    </row>
    <row r="433" spans="1:44" s="90" customFormat="1" ht="31.15" hidden="1" customHeight="1">
      <c r="A433" s="240"/>
      <c r="B433" s="951"/>
      <c r="C433" s="954"/>
      <c r="D433" s="957"/>
      <c r="E433" s="939"/>
      <c r="F433" s="241" t="s">
        <v>661</v>
      </c>
      <c r="G433" s="199">
        <f>IF(B431="Лікар загальної практики - сімейний лікар"," ",IF(B431="Лікар-педіатр"," ",IF(B431="Лікар-терапевт","х",0)))</f>
        <v>0</v>
      </c>
      <c r="H433" s="199">
        <f>IF(B431="Лікар загальної практики - сімейний лікар"," ",IF(B431="Лікар-педіатр"," ",IF(B431="Лікар-терапевт","х",0)))</f>
        <v>0</v>
      </c>
      <c r="I433" s="199">
        <f>IF(B431="Лікар загальної практики - сімейний лікар"," ",IF(B431="Лікар-педіатр","х",IF(B431="Лікар-терапевт"," ",0)))</f>
        <v>0</v>
      </c>
      <c r="J433" s="199">
        <f>IF(B431="Лікар загальної практики - сімейний лікар"," ",IF(B431="Лікар-педіатр","х",IF(B431="Лікар-терапевт"," ",0)))</f>
        <v>0</v>
      </c>
      <c r="K433" s="199">
        <f>IF(B431="Лікар загальної практики - сімейний лікар"," ",IF(B431="Лікар-педіатр","х",IF(B431="Лікар-терапевт"," ",0)))</f>
        <v>0</v>
      </c>
      <c r="L433" s="200">
        <f>SUM(G433:K433)</f>
        <v>0</v>
      </c>
      <c r="M433" s="942"/>
      <c r="N433" s="199">
        <f>IF(B431="Лікар загальної практики - сімейний лікар"," ",IF(B431="Лікар-педіатр"," ",IF(B431="Лікар-терапевт","х",0)))</f>
        <v>0</v>
      </c>
      <c r="O433" s="199">
        <f>IF(B431="Лікар загальної практики - сімейний лікар"," ",IF(B431="Лікар-педіатр"," ",IF(B431="Лікар-терапевт","х",0)))</f>
        <v>0</v>
      </c>
      <c r="P433" s="199">
        <f>IF(B431="Лікар загальної практики - сімейний лікар"," ",IF(B431="Лікар-педіатр","х",IF(B431="Лікар-терапевт"," ",0)))</f>
        <v>0</v>
      </c>
      <c r="Q433" s="199">
        <f>IF(B431="Лікар загальної практики - сімейний лікар"," ",IF(B431="Лікар-педіатр","х",IF(B431="Лікар-терапевт"," ",0)))</f>
        <v>0</v>
      </c>
      <c r="R433" s="199">
        <f>IF(B431="Лікар загальної практики - сімейний лікар"," ",IF(B431="Лікар-педіатр","х",IF(B431="Лікар-терапевт"," ",0)))</f>
        <v>0</v>
      </c>
      <c r="S433" s="200">
        <f>SUM(N433:R433)</f>
        <v>0</v>
      </c>
      <c r="T433" s="942"/>
      <c r="U433" s="199">
        <f>IF(B431="Лікар загальної практики - сімейний лікар"," ",IF(B431="Лікар-педіатр"," ",IF(B431="Лікар-терапевт","х",0)))</f>
        <v>0</v>
      </c>
      <c r="V433" s="199">
        <f>IF(B431="Лікар загальної практики - сімейний лікар"," ",IF(B431="Лікар-педіатр"," ",IF(B431="Лікар-терапевт","х",0)))</f>
        <v>0</v>
      </c>
      <c r="W433" s="199">
        <f>IF(B431="Лікар загальної практики - сімейний лікар"," ",IF(B431="Лікар-педіатр","х",IF(B431="Лікар-терапевт"," ",0)))</f>
        <v>0</v>
      </c>
      <c r="X433" s="199">
        <f>IF(B431="Лікар загальної практики - сімейний лікар"," ",IF(B431="Лікар-педіатр","х",IF(B431="Лікар-терапевт"," ",0)))</f>
        <v>0</v>
      </c>
      <c r="Y433" s="199">
        <f>IF(B431="Лікар загальної практики - сімейний лікар"," ",IF(B431="Лікар-педіатр","х",IF(B431="Лікар-терапевт"," ",0)))</f>
        <v>0</v>
      </c>
      <c r="Z433" s="200">
        <f>SUM(U433:Y433)</f>
        <v>0</v>
      </c>
      <c r="AA433" s="942"/>
      <c r="AB433" s="199">
        <f>IF(B431="Лікар загальної практики - сімейний лікар"," ",IF(B431="Лікар-педіатр"," ",IF(B431="Лікар-терапевт","х",0)))</f>
        <v>0</v>
      </c>
      <c r="AC433" s="199">
        <f>IF(B431="Лікар загальної практики - сімейний лікар"," ",IF(B431="Лікар-педіатр"," ",IF(B431="Лікар-терапевт","х",0)))</f>
        <v>0</v>
      </c>
      <c r="AD433" s="199">
        <f>IF(B431="Лікар загальної практики - сімейний лікар"," ",IF(B431="Лікар-педіатр","х",IF(B431="Лікар-терапевт"," ",0)))</f>
        <v>0</v>
      </c>
      <c r="AE433" s="199">
        <f>IF(B431="Лікар загальної практики - сімейний лікар"," ",IF(B431="Лікар-педіатр","х",IF(B431="Лікар-терапевт"," ",0)))</f>
        <v>0</v>
      </c>
      <c r="AF433" s="199">
        <f>IF(B431="Лікар загальної практики - сімейний лікар"," ",IF(B431="Лікар-педіатр","х",IF(B431="Лікар-терапевт"," ",0)))</f>
        <v>0</v>
      </c>
      <c r="AG433" s="200">
        <f>SUM(AB433:AF433)</f>
        <v>0</v>
      </c>
      <c r="AH433" s="942"/>
      <c r="AI433" s="242"/>
      <c r="AJ433" s="945"/>
      <c r="AK433" s="960"/>
      <c r="AL433" s="960"/>
      <c r="AM433" s="930"/>
      <c r="AN433" s="948"/>
      <c r="AO433" s="948"/>
      <c r="AP433" s="948"/>
      <c r="AQ433" s="948"/>
      <c r="AR433" s="963"/>
    </row>
    <row r="434" spans="1:44" s="50" customFormat="1" ht="31.9" hidden="1" customHeight="1" thickBot="1">
      <c r="A434" s="197"/>
      <c r="B434" s="951"/>
      <c r="C434" s="954"/>
      <c r="D434" s="957"/>
      <c r="E434" s="939"/>
      <c r="F434" s="236" t="s">
        <v>426</v>
      </c>
      <c r="G434" s="203">
        <f>IF($B$431="Лікар-педіатр",G433/L433,IF($B$431="Лікар-терапевт","х",IF($B$431="Лікар загальної практики - сімейний лікар",G433/L433,0)))</f>
        <v>0</v>
      </c>
      <c r="H434" s="203">
        <f>IF($B$431="Лікар-педіатр",H433/L433,IF($B$431="Лікар-терапевт","х",IF($B$431="Лікар загальної практики - сімейний лікар",H433/L433,0)))</f>
        <v>0</v>
      </c>
      <c r="I434" s="203">
        <f>IF($B$431="Лікар-педіатр","x",IF($B$431="Лікар-терапевт",I433/L433,IF($B$431="Лікар загальної практики - сімейний лікар",I433/L433,0)))</f>
        <v>0</v>
      </c>
      <c r="J434" s="203">
        <f>IF($B$431="Лікар-педіатр","x",IF($B$431="Лікар-терапевт",J433/L433,IF($B$431="Лікар загальної практики - сімейний лікар",J433/L433,0)))</f>
        <v>0</v>
      </c>
      <c r="K434" s="203">
        <f>IF($B$431="Лікар-педіатр","x",IF($B$431="Лікар-терапевт",K433/L433,IF($B$431="Лікар загальної практики - сімейний лікар",K433/L433,0)))</f>
        <v>0</v>
      </c>
      <c r="L434" s="203">
        <f>SUM(G434:K434)</f>
        <v>0</v>
      </c>
      <c r="M434" s="942"/>
      <c r="N434" s="203">
        <f>IF($B$431="Лікар-педіатр",N433/S433,IF($B$431="Лікар-терапевт","х",IF($B$431="Лікар загальної практики - сімейний лікар",N433/S433,0)))</f>
        <v>0</v>
      </c>
      <c r="O434" s="203">
        <f>IF($B$431="Лікар-педіатр",O433/S433,IF($B$431="Лікар-терапевт","х",IF($B$431="Лікар загальної практики - сімейний лікар",O433/S433,0)))</f>
        <v>0</v>
      </c>
      <c r="P434" s="203">
        <f>IF($B$431="Лікар-педіатр","x",IF($B$431="Лікар-терапевт",P433/S433,IF($B$431="Лікар загальної практики - сімейний лікар",P433/S433,0)))</f>
        <v>0</v>
      </c>
      <c r="Q434" s="203">
        <f>IF($B$431="Лікар-педіатр","x",IF($B$431="Лікар-терапевт",Q433/S433,IF($B$431="Лікар загальної практики - сімейний лікар",Q433/S433,0)))</f>
        <v>0</v>
      </c>
      <c r="R434" s="203">
        <f>IF($B$431="Лікар-педіатр","x",IF($B$431="Лікар-терапевт",R433/S433,IF($B$431="Лікар загальної практики - сімейний лікар",R433/S433,0)))</f>
        <v>0</v>
      </c>
      <c r="S434" s="203">
        <f>SUM(N434:R434)</f>
        <v>0</v>
      </c>
      <c r="T434" s="942"/>
      <c r="U434" s="203">
        <f>IF($B$431="Лікар-педіатр",U433/Z433,IF($B$431="Лікар-терапевт","х",IF($B$431="Лікар загальної практики - сімейний лікар",U433/Z433,0)))</f>
        <v>0</v>
      </c>
      <c r="V434" s="203">
        <f>IF($B$431="Лікар-педіатр",V433/Z433,IF($B$431="Лікар-терапевт","х",IF($B$431="Лікар загальної практики - сімейний лікар",V433/Z433,0)))</f>
        <v>0</v>
      </c>
      <c r="W434" s="203">
        <f>IF($B$431="Лікар-педіатр","x",IF($B$431="Лікар-терапевт",W433/Z433,IF($B$431="Лікар загальної практики - сімейний лікар",W433/Z433,0)))</f>
        <v>0</v>
      </c>
      <c r="X434" s="203">
        <f>IF($B$431="Лікар-педіатр","x",IF($B$431="Лікар-терапевт",X433/Z433,IF($B$431="Лікар загальної практики - сімейний лікар",X433/Z433,0)))</f>
        <v>0</v>
      </c>
      <c r="Y434" s="203">
        <f>IF($B$431="Лікар-педіатр","x",IF($B$431="Лікар-терапевт",Y433/Z433,IF($B$431="Лікар загальної практики - сімейний лікар",Y433/Z433,0)))</f>
        <v>0</v>
      </c>
      <c r="Z434" s="203">
        <f>SUM(U434:Y434)</f>
        <v>0</v>
      </c>
      <c r="AA434" s="942"/>
      <c r="AB434" s="203">
        <f>IF($B$431="Лікар-педіатр",AB433/AG433,IF($B$431="Лікар-терапевт","х",IF($B$431="Лікар загальної практики - сімейний лікар",AB433/AG433,0)))</f>
        <v>0</v>
      </c>
      <c r="AC434" s="203">
        <f>IF($B$431="Лікар-педіатр",AC433/AG433,IF($B$431="Лікар-терапевт","х",IF($B$431="Лікар загальної практики - сімейний лікар",AC433/AG433,0)))</f>
        <v>0</v>
      </c>
      <c r="AD434" s="203">
        <f>IF($B$431="Лікар-педіатр","x",IF($B$431="Лікар-терапевт",AD433/AG433,IF($B$431="Лікар загальної практики - сімейний лікар",AD433/AG433,0)))</f>
        <v>0</v>
      </c>
      <c r="AE434" s="203">
        <f>IF($B$431="Лікар-педіатр","x",IF($B$431="Лікар-терапевт",AE433/AG433,IF($B$431="Лікар загальної практики - сімейний лікар",AE433/AG433,0)))</f>
        <v>0</v>
      </c>
      <c r="AF434" s="203">
        <f>IF($B$431="Лікар-педіатр","x",IF($B$431="Лікар-терапевт",AF433/AG433,IF($B$431="Лікар загальної практики - сімейний лікар",AF433/AG433,0)))</f>
        <v>0</v>
      </c>
      <c r="AG434" s="203">
        <f>SUM(AB434:AF434)</f>
        <v>0</v>
      </c>
      <c r="AH434" s="942"/>
      <c r="AI434" s="201"/>
      <c r="AJ434" s="945"/>
      <c r="AK434" s="960"/>
      <c r="AL434" s="960"/>
      <c r="AM434" s="930"/>
      <c r="AN434" s="948"/>
      <c r="AO434" s="948"/>
      <c r="AP434" s="948"/>
      <c r="AQ434" s="948"/>
      <c r="AR434" s="963"/>
    </row>
    <row r="435" spans="1:44" s="50" customFormat="1" ht="45" hidden="1" customHeight="1" thickBot="1">
      <c r="A435" s="197"/>
      <c r="B435" s="951"/>
      <c r="C435" s="954"/>
      <c r="D435" s="957"/>
      <c r="E435" s="939"/>
      <c r="F435" s="204" t="s">
        <v>662</v>
      </c>
      <c r="G435" s="205">
        <f>IF($B$431="Лікар загальної практики - сімейний лікар",AVERAGE(G431:G433),IF($B$431="Лікар-педіатр",AVERAGE(G431:G433),IF($B$431="Лікар-терапевт","х",0)))</f>
        <v>0</v>
      </c>
      <c r="H435" s="205">
        <f>IF($B$431="Лікар загальної практики - сімейний лікар",AVERAGE(H431:H433),IF($B$431="Лікар-педіатр",AVERAGE(H431:H433),IF($B$431="Лікар-терапевт","х",0)))</f>
        <v>0</v>
      </c>
      <c r="I435" s="205">
        <f>IF($B$431="Лікар загальної практики - сімейний лікар",AVERAGE(I431:I433),IF($B$431="Лікар-педіатр","x",IF($B$431="Лікар-терапевт",AVERAGE(I431:I433),0)))</f>
        <v>0</v>
      </c>
      <c r="J435" s="205">
        <f>IF($B$431="Лікар загальної практики - сімейний лікар",AVERAGE(J431:J433),IF($B$431="Лікар-педіатр","x",IF($B$431="Лікар-терапевт",AVERAGE(J431:J433),0)))</f>
        <v>0</v>
      </c>
      <c r="K435" s="205">
        <f>IF($B$431="Лікар загальної практики - сімейний лікар",AVERAGE(K431:K433),IF($B$431="Лікар-педіатр","x",IF($B$431="Лікар-терапевт",AVERAGE(K431:K433),0)))</f>
        <v>0</v>
      </c>
      <c r="L435" s="206">
        <f>SUM(G435:K435)</f>
        <v>0</v>
      </c>
      <c r="M435" s="942"/>
      <c r="N435" s="205">
        <f>IF($B$431="Лікар загальної практики - сімейний лікар",AVERAGE(N431:N433),IF($B$431="Лікар-педіатр",AVERAGE(N431:N433),IF($B$431="Лікар-терапевт","х",0)))</f>
        <v>0</v>
      </c>
      <c r="O435" s="205">
        <f>IF($B$431="Лікар загальної практики - сімейний лікар",AVERAGE(O431:O433),IF($B$431="Лікар-педіатр",AVERAGE(O431:O433),IF($B$431="Лікар-терапевт","х",0)))</f>
        <v>0</v>
      </c>
      <c r="P435" s="205">
        <f>IF($B$431="Лікар загальної практики - сімейний лікар",AVERAGE(P431:P433),IF($B$431="Лікар-педіатр","x",IF($B$431="Лікар-терапевт",AVERAGE(P431:P433),0)))</f>
        <v>0</v>
      </c>
      <c r="Q435" s="205">
        <f>IF($B$431="Лікар загальної практики - сімейний лікар",AVERAGE(Q431:Q433),IF($B$431="Лікар-педіатр","x",IF($B$431="Лікар-терапевт",AVERAGE(Q431:Q433),0)))</f>
        <v>0</v>
      </c>
      <c r="R435" s="205">
        <f>IF($B$431="Лікар загальної практики - сімейний лікар",AVERAGE(R431:R433),IF($B$431="Лікар-педіатр","x",IF($B$431="Лікар-терапевт",AVERAGE(R431:R433),0)))</f>
        <v>0</v>
      </c>
      <c r="S435" s="206">
        <f>SUM(N435:R435)</f>
        <v>0</v>
      </c>
      <c r="T435" s="942"/>
      <c r="U435" s="205">
        <f>IF($B$431="Лікар загальної практики - сімейний лікар",AVERAGE(U431:U433),IF($B$431="Лікар-педіатр",AVERAGE(U431:U433),IF($B$431="Лікар-терапевт","х",0)))</f>
        <v>0</v>
      </c>
      <c r="V435" s="205">
        <f>IF($B$431="Лікар загальної практики - сімейний лікар",AVERAGE(V431:V433),IF($B$431="Лікар-педіатр",AVERAGE(V431:V433),IF($B$431="Лікар-терапевт","х",0)))</f>
        <v>0</v>
      </c>
      <c r="W435" s="205">
        <f>IF($B$431="Лікар загальної практики - сімейний лікар",AVERAGE(W431:W433),IF($B$431="Лікар-педіатр","x",IF($B$431="Лікар-терапевт",AVERAGE(W431:W433),0)))</f>
        <v>0</v>
      </c>
      <c r="X435" s="205">
        <f>IF($B$431="Лікар загальної практики - сімейний лікар",AVERAGE(X431:X433),IF($B$431="Лікар-педіатр","x",IF($B$431="Лікар-терапевт",AVERAGE(X431:X433),0)))</f>
        <v>0</v>
      </c>
      <c r="Y435" s="205">
        <f>IF($B$431="Лікар загальної практики - сімейний лікар",AVERAGE(Y431:Y433),IF($B$431="Лікар-педіатр","x",IF($B$431="Лікар-терапевт",AVERAGE(Y431:Y433),0)))</f>
        <v>0</v>
      </c>
      <c r="Z435" s="206">
        <f>SUM(U435:Y435)</f>
        <v>0</v>
      </c>
      <c r="AA435" s="942"/>
      <c r="AB435" s="205">
        <f>IF($B$431="Лікар загальної практики - сімейний лікар",AVERAGE(AB431:AB433),IF($B$431="Лікар-педіатр",AVERAGE(AB431:AB433),IF($B$431="Лікар-терапевт","х",0)))</f>
        <v>0</v>
      </c>
      <c r="AC435" s="205">
        <f>IF($B$431="Лікар загальної практики - сімейний лікар",AVERAGE(AC431:AC433),IF($B$431="Лікар-педіатр",AVERAGE(AC431:AC433),IF($B$431="Лікар-терапевт","х",0)))</f>
        <v>0</v>
      </c>
      <c r="AD435" s="205">
        <f>IF($B$431="Лікар загальної практики - сімейний лікар",AVERAGE(AD431:AD433),IF($B$431="Лікар-педіатр","x",IF($B$431="Лікар-терапевт",AVERAGE(AD431:AD433),0)))</f>
        <v>0</v>
      </c>
      <c r="AE435" s="205">
        <f>IF($B$431="Лікар загальної практики - сімейний лікар",AVERAGE(AE431:AE433),IF($B$431="Лікар-педіатр","x",IF($B$431="Лікар-терапевт",AVERAGE(AE431:AE433),0)))</f>
        <v>0</v>
      </c>
      <c r="AF435" s="205">
        <f>IF($B$431="Лікар загальної практики - сімейний лікар",AVERAGE(AF431:AF433),IF($B$431="Лікар-педіатр","x",IF($B$431="Лікар-терапевт",AVERAGE(AF431:AF433),0)))</f>
        <v>0</v>
      </c>
      <c r="AG435" s="206">
        <f>SUM(AB435:AF435)</f>
        <v>0</v>
      </c>
      <c r="AH435" s="942"/>
      <c r="AI435" s="201"/>
      <c r="AJ435" s="945"/>
      <c r="AK435" s="960"/>
      <c r="AL435" s="960"/>
      <c r="AM435" s="931"/>
      <c r="AN435" s="949"/>
      <c r="AO435" s="949"/>
      <c r="AP435" s="949"/>
      <c r="AQ435" s="949"/>
      <c r="AR435" s="964"/>
    </row>
    <row r="436" spans="1:44" s="50" customFormat="1" ht="40.5" hidden="1">
      <c r="A436" s="197"/>
      <c r="B436" s="951"/>
      <c r="C436" s="954"/>
      <c r="D436" s="957"/>
      <c r="E436" s="939"/>
      <c r="F436" s="237" t="str">
        <f ca="1">IF(B431="Лікар-педіатр",Законод!$C$17,IF(B431="Лікар загальної практики - сімейний лікар",Законод!$C$21,IF(B431="Лікар-терапевт",Законод!$C$25,"х")))</f>
        <v>х</v>
      </c>
      <c r="G436" s="208">
        <f ca="1">IF($B$431="Лікар загальної практики - сімейний лікар",IF(L435&lt;=Законод!$C$22,G435,Законод!$C$22*'01_Доходи'!G434),IF($B$431="Лікар-педіатр",IF(L435&lt;=Законод!$C$18,G435,Законод!$C$18*'01_Доходи'!G434),IF($B$431="Лікар-терапевт","x",0)))</f>
        <v>0</v>
      </c>
      <c r="H436" s="208">
        <f ca="1">IF($B$431="Лікар загальної практики - сімейний лікар",IF(L435&lt;=Законод!$C$22,H435,Законод!$C$22*'01_Доходи'!H434),IF($B$431="Лікар-педіатр",IF(L435&lt;=Законод!$C$18,H435,Законод!$C$18*'01_Доходи'!H434),IF($B$431="Лікар-терапевт","x",0)))</f>
        <v>0</v>
      </c>
      <c r="I436" s="208">
        <f ca="1">IF($B$431="Лікар загальної практики - сімейний лікар",IF(L435&lt;=Законод!$C$22,I435,Законод!$C$22*'01_Доходи'!I434),IF($B$431="Лікар-педіатр","x",IF($B$431="Лікар-терапевт",IF(L435&lt;=Законод!$C$26,I435,Законод!$C$26*'01_Доходи'!I434),0)))</f>
        <v>0</v>
      </c>
      <c r="J436" s="208">
        <f ca="1">IF($B$431="Лікар загальної практики - сімейний лікар",IF(L435&lt;=Законод!$C$22,J435,Законод!$C$22*'01_Доходи'!J434),IF($B$431="Лікар-педіатр","x",IF($B$431="Лікар-терапевт",IF(L435&lt;=Законод!$C$26,J435,Законод!$C$26*'01_Доходи'!J434),0)))</f>
        <v>0</v>
      </c>
      <c r="K436" s="208">
        <f ca="1">IF($B$431="Лікар загальної практики - сімейний лікар",IF(L435&lt;=Законод!$C$22,K435,Законод!$C$22*'01_Доходи'!K434),IF($B$431="Лікар-педіатр","x",IF($B$431="Лікар-терапевт",IF(L435&lt;=Законод!$C$26,K435,Законод!$C$26*'01_Доходи'!K434),0)))</f>
        <v>0</v>
      </c>
      <c r="L436" s="209">
        <f ca="1">SUM(G436:K436)</f>
        <v>0</v>
      </c>
      <c r="M436" s="942"/>
      <c r="N436" s="208">
        <f ca="1">IF($B$431="Лікар загальної практики - сімейний лікар",IF(S435&lt;=Законод!$C$22,N435,Законод!$C$22*'01_Доходи'!N434),IF($B$431="Лікар-педіатр",IF(S435&lt;=Законод!$C$18,N435,Законод!$C$18*'01_Доходи'!N434),IF($B$431="Лікар-терапевт","x",0)))</f>
        <v>0</v>
      </c>
      <c r="O436" s="208">
        <f ca="1">IF($B$431="Лікар загальної практики - сімейний лікар",IF(S435&lt;=Законод!$C$22,O435,Законод!$C$22*'01_Доходи'!O434),IF($B$431="Лікар-педіатр",IF(S435&lt;=Законод!$C$18,O435,Законод!$C$18*'01_Доходи'!O434),IF($B$431="Лікар-терапевт","x",0)))</f>
        <v>0</v>
      </c>
      <c r="P436" s="208">
        <f ca="1">IF($B$431="Лікар загальної практики - сімейний лікар",IF(S435&lt;=Законод!$C$22,P435,Законод!$C$22*'01_Доходи'!P434),IF($B$431="Лікар-педіатр","x",IF($B$431="Лікар-терапевт",IF(S435&lt;=Законод!$C$26,P435,Законод!$C$26*'01_Доходи'!P434),0)))</f>
        <v>0</v>
      </c>
      <c r="Q436" s="208">
        <f ca="1">IF($B$431="Лікар загальної практики - сімейний лікар",IF(S435&lt;=Законод!$C$22,Q435,Законод!$C$22*'01_Доходи'!Q434),IF($B$431="Лікар-педіатр","x",IF($B$431="Лікар-терапевт",IF(S435&lt;=Законод!$C$26,Q435,Законод!$C$26*'01_Доходи'!Q434),0)))</f>
        <v>0</v>
      </c>
      <c r="R436" s="208">
        <f ca="1">IF($B$431="Лікар загальної практики - сімейний лікар",IF(S435&lt;=Законод!$C$22,R435,Законод!$C$22*'01_Доходи'!R434),IF($B$431="Лікар-педіатр","x",IF($B$431="Лікар-терапевт",IF(S435&lt;=Законод!$C$26,R435,Законод!$C$26*'01_Доходи'!R434),0)))</f>
        <v>0</v>
      </c>
      <c r="S436" s="209">
        <f ca="1">SUM(N436:R436)</f>
        <v>0</v>
      </c>
      <c r="T436" s="942"/>
      <c r="U436" s="208">
        <f ca="1">IF($B$431="Лікар загальної практики - сімейний лікар",IF(Z435&lt;=Законод!$C$22,U435,Законод!$C$22*'01_Доходи'!U434),IF($B$431="Лікар-педіатр",IF(Z435&lt;=Законод!$C$18,U435,Законод!$C$18*'01_Доходи'!U434),IF($B$431="Лікар-терапевт","x",0)))</f>
        <v>0</v>
      </c>
      <c r="V436" s="208">
        <f ca="1">IF($B$431="Лікар загальної практики - сімейний лікар",IF(Z435&lt;=Законод!$C$22,V435,Законод!$C$22*'01_Доходи'!V434),IF($B$431="Лікар-педіатр",IF(Z435&lt;=Законод!$C$18,V435,Законод!$C$18*'01_Доходи'!V434),IF($B$431="Лікар-терапевт","x",0)))</f>
        <v>0</v>
      </c>
      <c r="W436" s="208">
        <f ca="1">IF($B$431="Лікар загальної практики - сімейний лікар",IF(Z435&lt;=Законод!$C$22,W435,Законод!$C$22*'01_Доходи'!W434),IF($B$431="Лікар-педіатр","x",IF($B$431="Лікар-терапевт",IF(Z435&lt;=Законод!$C$26,W435,Законод!$C$26*'01_Доходи'!W434),0)))</f>
        <v>0</v>
      </c>
      <c r="X436" s="208">
        <f ca="1">IF($B$431="Лікар загальної практики - сімейний лікар",IF(Z435&lt;=Законод!$C$22,X435,Законод!$C$22*'01_Доходи'!X434),IF($B$431="Лікар-педіатр","x",IF($B$431="Лікар-терапевт",IF(Z435&lt;=Законод!$C$26,X435,Законод!$C$26*'01_Доходи'!X434),0)))</f>
        <v>0</v>
      </c>
      <c r="Y436" s="208">
        <f ca="1">IF($B$431="Лікар загальної практики - сімейний лікар",IF(Z435&lt;=Законод!$C$22,Y435,Законод!$C$22*'01_Доходи'!Y434),IF($B$431="Лікар-педіатр","x",IF($B$431="Лікар-терапевт",IF(Z435&lt;=Законод!$C$26,Y435,Законод!$C$26*'01_Доходи'!Y434),0)))</f>
        <v>0</v>
      </c>
      <c r="Z436" s="209">
        <f ca="1">SUM(U436:Y436)</f>
        <v>0</v>
      </c>
      <c r="AA436" s="942"/>
      <c r="AB436" s="208">
        <f ca="1">IF($B$431="Лікар загальної практики - сімейний лікар",IF(AG435&lt;=Законод!$C$22,AB435,Законод!$C$22*'01_Доходи'!AB434),IF($B$431="Лікар-педіатр",IF(AG435&lt;=Законод!$C$18,AB435,Законод!$C$18*'01_Доходи'!AB434),IF($B$431="Лікар-терапевт","x",0)))</f>
        <v>0</v>
      </c>
      <c r="AC436" s="208">
        <f ca="1">IF($B$431="Лікар загальної практики - сімейний лікар",IF(AG435&lt;=Законод!$C$22,AC435,Законод!$C$22*'01_Доходи'!AC434),IF($B$431="Лікар-педіатр",IF(AG435&lt;=Законод!$C$18,AC435,Законод!$C$18*'01_Доходи'!AC434),IF($B$431="Лікар-терапевт","x",0)))</f>
        <v>0</v>
      </c>
      <c r="AD436" s="208">
        <f ca="1">IF($B$431="Лікар загальної практики - сімейний лікар",IF(AG435&lt;=Законод!$C$22,AD435,Законод!$C$22*'01_Доходи'!AD434),IF($B$431="Лікар-педіатр","x",IF($B$431="Лікар-терапевт",IF(AG435&lt;=Законод!$C$26,AD435,Законод!$C$26*'01_Доходи'!AD434),0)))</f>
        <v>0</v>
      </c>
      <c r="AE436" s="208">
        <f ca="1">IF($B$431="Лікар загальної практики - сімейний лікар",IF(AG435&lt;=Законод!$C$22,AE435,Законод!$C$22*'01_Доходи'!AE434),IF($B$431="Лікар-педіатр","x",IF($B$431="Лікар-терапевт",IF(AG435&lt;=Законод!$C$26,AE435,Законод!$C$26*'01_Доходи'!AE434),0)))</f>
        <v>0</v>
      </c>
      <c r="AF436" s="208">
        <f ca="1">IF($B$431="Лікар загальної практики - сімейний лікар",IF(AG435&lt;=Законод!$C$22,AF435,Законод!$C$22*'01_Доходи'!AF434),IF($B$431="Лікар-педіатр","x",IF($B$431="Лікар-терапевт",IF(AG435&lt;=Законод!$C$26,AF435,Законод!$C$26*'01_Доходи'!AF434),0)))</f>
        <v>0</v>
      </c>
      <c r="AG436" s="209">
        <f ca="1">SUM(AB436:AF436)</f>
        <v>0</v>
      </c>
      <c r="AH436" s="942"/>
      <c r="AI436" s="201"/>
      <c r="AJ436" s="945"/>
      <c r="AK436" s="960"/>
      <c r="AL436" s="960"/>
      <c r="AM436" s="348" t="s">
        <v>451</v>
      </c>
      <c r="AN436" s="210">
        <f ca="1">IF(B431="Лікар загальної практики - сімейний лікар",G436*Законод!$C$11+'01_Доходи'!H436*Законод!$D$11+'01_Доходи'!I436*Законод!$E$11+'01_Доходи'!J436*Законод!$F$11+'01_Доходи'!K436*Законод!$G$11,IF(B431="Лікар-педіатр",G436*Законод!$C$11+'01_Доходи'!H436*Законод!$D$11,IF(B431="Лікар-терапевт",'01_Доходи'!I436*Законод!$E$11+'01_Доходи'!J436*Законод!$F$11+'01_Доходи'!K436*Законод!$G$11,0)))</f>
        <v>0</v>
      </c>
      <c r="AO436" s="210">
        <f ca="1">IF(B431="Лікар загальної практики - сімейний лікар",N436*Законод!$C$11+'01_Доходи'!O436*Законод!$D$11+'01_Доходи'!P436*Законод!$E$11+'01_Доходи'!Q436*Законод!$F$11+'01_Доходи'!R436*Законод!$G$11,IF(B431="Лікар-педіатр",N436*Законод!$C$11+'01_Доходи'!O436*Законод!$D$11,IF(B431="Лікар-терапевт",'01_Доходи'!P436*Законод!$E$11+'01_Доходи'!Q436*Законод!$F$11+'01_Доходи'!R436*Законод!$G$11,0)))</f>
        <v>0</v>
      </c>
      <c r="AP436" s="210">
        <f ca="1">IF(B431="Лікар загальної практики - сімейний лікар",U436*Законод!$C$11+'01_Доходи'!V436*Законод!$D$11+'01_Доходи'!W436*Законод!$E$11+'01_Доходи'!X436*Законод!$F$11+'01_Доходи'!Y436*Законод!$G$11,IF(B431="Лікар-педіатр",U436*Законод!$C$11+'01_Доходи'!V436*Законод!$D$11,IF(B431="Лікар-терапевт",'01_Доходи'!W436*Законод!$E$11+'01_Доходи'!X436*Законод!$F$11+'01_Доходи'!Y436*Законод!$G$11,0)))</f>
        <v>0</v>
      </c>
      <c r="AQ436" s="210">
        <f ca="1">IF(B431="Лікар загальної практики - сімейний лікар",AB436*Законод!$C$11+'01_Доходи'!AC436*Законод!$D$11+'01_Доходи'!AD436*Законод!$E$11+'01_Доходи'!AE436*Законод!$F$11+'01_Доходи'!AF436*Законод!$G$11,IF(B431="Лікар-педіатр",AB436*Законод!$C$11+'01_Доходи'!AC436*Законод!$D$11,IF(B431="Лікар-терапевт",'01_Доходи'!AD436*Законод!$E$11+'01_Доходи'!AE436*Законод!$F$11+'01_Доходи'!AF436*Законод!$G$11,0)))</f>
        <v>0</v>
      </c>
      <c r="AR436" s="211">
        <f t="shared" ref="AR436:AR442" si="73">SUM(AN436:AQ436)</f>
        <v>0</v>
      </c>
    </row>
    <row r="437" spans="1:44" s="50" customFormat="1" ht="31.9" hidden="1" customHeight="1">
      <c r="A437" s="197"/>
      <c r="B437" s="951"/>
      <c r="C437" s="954"/>
      <c r="D437" s="957"/>
      <c r="E437" s="939"/>
      <c r="F437" s="238" t="str">
        <f ca="1">IF(B431="Лікар-педіатр",Законод!$E$17,IF(B431="Лікар загальної практики - сімейний лікар",Законод!$E$21,IF(B431="Лікар-терапевт",Законод!$E$25,"х")))</f>
        <v>х</v>
      </c>
      <c r="G437" s="935" t="s">
        <v>423</v>
      </c>
      <c r="H437" s="936"/>
      <c r="I437" s="936"/>
      <c r="J437" s="936"/>
      <c r="K437" s="937"/>
      <c r="L437" s="196">
        <f ca="1">IF($B$431="Лікар загальної практики - сімейний лікар",IF(L435&lt;Законод!$C$22,0,(IF(AND(L435&gt;=Законод!$E$22,L435&lt;=Законод!$E$23),L435-Законод!$C$22,IF('01_Доходи'!L435&gt;=Законод!$F$22,Законод!$E$24,0)))),IF($B$431="Лікар-педіатр",IF(L435&lt;Законод!$C$18,0,(IF(AND(L435&gt;=Законод!$E$18,L435&lt;=Законод!$E$19),L435-Законод!$C$18,IF('01_Доходи'!L435&gt;=Законод!$F$18,Законод!$E$20,0)))),IF($B$431="Лікар-терапевт",IF(L435&lt;Законод!$C$26,0,(IF(AND(L435&gt;=Законод!$E$26,L435&lt;=Законод!$E$27),L435-Законод!$C$26,IF('01_Доходи'!L435&gt;=Законод!$F$26,Законод!$E$28,0)))),0)))</f>
        <v>0</v>
      </c>
      <c r="M437" s="942"/>
      <c r="N437" s="935" t="s">
        <v>423</v>
      </c>
      <c r="O437" s="936"/>
      <c r="P437" s="936"/>
      <c r="Q437" s="936"/>
      <c r="R437" s="937"/>
      <c r="S437" s="196">
        <f ca="1">IF($B$431="Лікар загальної практики - сімейний лікар",IF(S435&lt;Законод!$C$22,0,(IF(AND(S435&gt;=Законод!$E$22,S435&lt;=Законод!$E$23),S435-Законод!$C$22,IF('01_Доходи'!S435&gt;=Законод!$F$22,Законод!$E$24,0)))),IF($B$431="Лікар-педіатр",IF(S435&lt;Законод!$C$18,0,(IF(AND(S435&gt;=Законод!$E$18,S435&lt;=Законод!$E$19),S435-Законод!$C$18,IF('01_Доходи'!S435&gt;=Законод!$F$18,Законод!$E$20,0)))),IF($B$431="Лікар-терапевт",IF(S435&lt;Законод!$C$26,0,(IF(AND(S435&gt;=Законод!$E$26,S435&lt;=Законод!$E$27),S435-Законод!$C$26,IF('01_Доходи'!S435&gt;=Законод!$F$26,Законод!$E$28,0)))),0)))</f>
        <v>0</v>
      </c>
      <c r="T437" s="942"/>
      <c r="U437" s="935" t="s">
        <v>423</v>
      </c>
      <c r="V437" s="936"/>
      <c r="W437" s="936"/>
      <c r="X437" s="936"/>
      <c r="Y437" s="937"/>
      <c r="Z437" s="196">
        <f ca="1">IF($B$431="Лікар загальної практики - сімейний лікар",IF(Z435&lt;Законод!$C$22,0,(IF(AND(Z435&gt;=Законод!$E$22,Z435&lt;=Законод!$E$23),Z435-Законод!$C$22,IF('01_Доходи'!Z435&gt;=Законод!$F$22,Законод!$E$24,0)))),IF($B$431="Лікар-педіатр",IF(Z435&lt;Законод!$C$18,0,(IF(AND(Z435&gt;=Законод!$E$18,Z435&lt;=Законод!$E$19),Z435-Законод!$C$18,IF('01_Доходи'!Z435&gt;=Законод!$F$18,Законод!$E$20,0)))),IF($B$431="Лікар-терапевт",IF(Z435&lt;Законод!$C$26,0,(IF(AND(Z435&gt;=Законод!$E$26,Z435&lt;=Законод!$E$27),Z435-Законод!$C$26,IF('01_Доходи'!Z435&gt;=Законод!$F$26,Законод!$E$28,0)))),0)))</f>
        <v>0</v>
      </c>
      <c r="AA437" s="942"/>
      <c r="AB437" s="935" t="s">
        <v>423</v>
      </c>
      <c r="AC437" s="936"/>
      <c r="AD437" s="936"/>
      <c r="AE437" s="936"/>
      <c r="AF437" s="937"/>
      <c r="AG437" s="196">
        <f ca="1">IF($B$431="Лікар загальної практики - сімейний лікар",IF(AG435&lt;Законод!$C$22,0,(IF(AND(AG435&gt;=Законод!$E$22,AG435&lt;=Законод!$E$23),AG435-Законод!$C$22,IF('01_Доходи'!AG435&gt;=Законод!$F$22,Законод!$E$24,0)))),IF($B$431="Лікар-педіатр",IF(AG435&lt;Законод!$C$18,0,(IF(AND(AG435&gt;=Законод!$E$18,AG435&lt;=Законод!$E$19),AG435-Законод!$C$18,IF('01_Доходи'!AG435&gt;=Законод!$F$18,Законод!$E$20,0)))),IF($B$431="Лікар-терапевт",IF(AG435&lt;Законод!$C$26,0,(IF(AND(AG435&gt;=Законод!$E$26,AG435&lt;=Законод!$E$27),AG435-Законод!$C$26,IF('01_Доходи'!AG435&gt;=Законод!$F$26,Законод!$E$28,0)))),0)))</f>
        <v>0</v>
      </c>
      <c r="AH437" s="942"/>
      <c r="AI437" s="201"/>
      <c r="AJ437" s="945"/>
      <c r="AK437" s="960"/>
      <c r="AL437" s="960"/>
      <c r="AM437" s="926" t="s">
        <v>452</v>
      </c>
      <c r="AN437" s="210">
        <f ca="1">IF(B431="Лікар загальної практики - сімейний лікар",L437*Законод!$C$9/4*Законод!$E$16,IF(B431="Лікар-педіатр",L437*Законод!$C$9/4*Законод!$E$16,IF(B431="Лікар-терапевт",L437*Законод!$C$9/4*Законод!$E$16,0)))</f>
        <v>0</v>
      </c>
      <c r="AO437" s="210">
        <f ca="1">IF(B431="Лікар загальної практики - сімейний лікар",S437*Законод!$C$9/4*Законод!$E$16,IF(B431="Лікар-педіатр",S437*Законод!$C$9/4*Законод!$E$16,IF(B431="Лікар-терапевт",S437*Законод!$C$9/4*Законод!$E$16,0)))</f>
        <v>0</v>
      </c>
      <c r="AP437" s="210">
        <f ca="1">IF(B431="Лікар загальної практики - сімейний лікар",Z437*Законод!$C$9/4*Законод!$E$16,IF(B431="Лікар-педіатр",Z437*Законод!$C$9/4*Законод!$E$16,IF(B431="Лікар-терапевт",Z437*Законод!$C$9/4*Законод!$E$16,0)))</f>
        <v>0</v>
      </c>
      <c r="AQ437" s="210">
        <f ca="1">IF(B431="Лікар загальної практики - сімейний лікар",AG437*Законод!$C$9/4*Законод!$E$16,IF(B431="Лікар-педіатр",AG437*Законод!$C$9/4*Законод!$E$16,IF(B431="Лікар-терапевт",AG437*Законод!$C$9/4*Законод!$E$16,0)))</f>
        <v>0</v>
      </c>
      <c r="AR437" s="211">
        <f t="shared" si="73"/>
        <v>0</v>
      </c>
    </row>
    <row r="438" spans="1:44" s="50" customFormat="1" ht="31.9" hidden="1" customHeight="1">
      <c r="A438" s="197"/>
      <c r="B438" s="951"/>
      <c r="C438" s="954"/>
      <c r="D438" s="957"/>
      <c r="E438" s="939"/>
      <c r="F438" s="238" t="str">
        <f ca="1">IF(B431="Лікар-педіатр",Законод!$F$17,IF(B431="Лікар загальної практики - сімейний лікар",Законод!$F$21,IF(B431="Лікар-терапевт",Законод!$F$25,"х")))</f>
        <v>х</v>
      </c>
      <c r="G438" s="935" t="s">
        <v>423</v>
      </c>
      <c r="H438" s="936"/>
      <c r="I438" s="936"/>
      <c r="J438" s="936"/>
      <c r="K438" s="937"/>
      <c r="L438" s="196">
        <f ca="1">IF($B$431="Лікар загальної практики - сімейний лікар",IF(L435&lt;Законод!$C$22,0,(IF(AND(L435&gt;=Законод!$F$22,L435&lt;=Законод!$F$23),L435-Законод!$E$23,IF('01_Доходи'!L435&gt;=Законод!$G$22,Законод!$F$24,0)))),IF($B$431="Лікар-педіатр",IF(L435&lt;Законод!$C$18,0,(IF(AND(L435&gt;=Законод!$F$18,L435&lt;=Законод!$F$19),L435-Законод!$E$19,IF('01_Доходи'!L435&gt;=Законод!$G$18,Законод!$F$20,0)))),IF($B$431="Лікар-терапевт",IF(L435&lt;Законод!$C$26,0,(IF(AND(L435&gt;=Законод!$F$26,L435&lt;=Законод!$F$27),L435-Законод!$E$27,IF('01_Доходи'!L435&gt;=Законод!$G$26,Законод!$F$28,0)))),0)))</f>
        <v>0</v>
      </c>
      <c r="M438" s="942"/>
      <c r="N438" s="935" t="s">
        <v>423</v>
      </c>
      <c r="O438" s="936"/>
      <c r="P438" s="936"/>
      <c r="Q438" s="936"/>
      <c r="R438" s="937"/>
      <c r="S438" s="196">
        <f ca="1">IF($B$431="Лікар загальної практики - сімейний лікар",IF(S435&lt;Законод!$C$22,0,(IF(AND(S435&gt;=Законод!$F$22,S435&lt;=Законод!$F$23),S435-Законод!$E$23,IF('01_Доходи'!S435&gt;=Законод!$G$22,Законод!$F$24,0)))),IF($B$431="Лікар-педіатр",IF(S435&lt;Законод!$C$18,0,(IF(AND(S435&gt;=Законод!$F$18,S435&lt;=Законод!$F$19),S435-Законод!$E$19,IF('01_Доходи'!S435&gt;=Законод!$G$18,Законод!$F$20,0)))),IF($B$431="Лікар-терапевт",IF(S435&lt;Законод!$C$26,0,(IF(AND(S435&gt;=Законод!$F$26,S435&lt;=Законод!$F$27),S435-Законод!$E$27,IF('01_Доходи'!S435&gt;=Законод!$G$26,Законод!$F$28,0)))),0)))</f>
        <v>0</v>
      </c>
      <c r="T438" s="942"/>
      <c r="U438" s="935" t="s">
        <v>423</v>
      </c>
      <c r="V438" s="936"/>
      <c r="W438" s="936"/>
      <c r="X438" s="936"/>
      <c r="Y438" s="937"/>
      <c r="Z438" s="196">
        <f ca="1">IF($B$431="Лікар загальної практики - сімейний лікар",IF(Z435&lt;Законод!$C$22,0,(IF(AND(Z435&gt;=Законод!$F$22,Z435&lt;=Законод!$F$23),Z435-Законод!$E$23,IF('01_Доходи'!Z435&gt;=Законод!$G$22,Законод!$F$24,0)))),IF($B$431="Лікар-педіатр",IF(Z435&lt;Законод!$C$18,0,(IF(AND(Z435&gt;=Законод!$F$18,Z435&lt;=Законод!$F$19),Z435-Законод!$E$19,IF('01_Доходи'!Z435&gt;=Законод!$G$18,Законод!$F$20,0)))),IF($B$431="Лікар-терапевт",IF(Z435&lt;Законод!$C$26,0,(IF(AND(Z435&gt;=Законод!$F$26,Z435&lt;=Законод!$F$27),Z435-Законод!$E$27,IF('01_Доходи'!Z435&gt;=Законод!$G$26,Законод!$F$28,0)))),0)))</f>
        <v>0</v>
      </c>
      <c r="AA438" s="942"/>
      <c r="AB438" s="935" t="s">
        <v>423</v>
      </c>
      <c r="AC438" s="936"/>
      <c r="AD438" s="936"/>
      <c r="AE438" s="936"/>
      <c r="AF438" s="937"/>
      <c r="AG438" s="196">
        <f ca="1">IF($B$431="Лікар загальної практики - сімейний лікар",IF(AG435&lt;Законод!$C$22,0,(IF(AND(AG435&gt;=Законод!$F$22,AG435&lt;=Законод!$F$23),AG435-Законод!$E$23,IF('01_Доходи'!AG435&gt;=Законод!$G$22,Законод!$F$24,0)))),IF($B$431="Лікар-педіатр",IF(AG435&lt;Законод!$C$18,0,(IF(AND(AG435&gt;=Законод!$F$18,AG435&lt;=Законод!$F$19),AG435-Законод!$E$19,IF('01_Доходи'!AG435&gt;=Законод!$G$18,Законод!$F$20,0)))),IF($B$431="Лікар-терапевт",IF(AG435&lt;Законод!$C$26,0,(IF(AND(AG435&gt;=Законод!$F$26,AG435&lt;=Законод!$F$27),AG435-Законод!$E$27,IF('01_Доходи'!AG435&gt;=Законод!$G$26,Законод!$F$28,0)))),0)))</f>
        <v>0</v>
      </c>
      <c r="AH438" s="942"/>
      <c r="AI438" s="201"/>
      <c r="AJ438" s="945"/>
      <c r="AK438" s="960"/>
      <c r="AL438" s="960"/>
      <c r="AM438" s="927"/>
      <c r="AN438" s="210">
        <f ca="1">IF(B431="Лікар загальної практики - сімейний лікар",L438*Законод!$C$9/4*Законод!$F$16,IF(B431="Лікар-педіатр",L438*Законод!$C$9/4*Законод!$F$16,IF(B431="Лікар-терапевт",L438*Законод!$C$9/4*Законод!$F$16,0)))</f>
        <v>0</v>
      </c>
      <c r="AO438" s="210">
        <f ca="1">IF(B431="Лікар загальної практики - сімейний лікар",S438*Законод!$C$9/4*Законод!$F$16,IF(B431="Лікар-педіатр",S438*Законод!$C$9/4*Законод!$F$16,IF(B431="Лікар-терапевт",S438*Законод!$C$9/4*Законод!$F$16,0)))</f>
        <v>0</v>
      </c>
      <c r="AP438" s="210">
        <f ca="1">IF(B431="Лікар загальної практики - сімейний лікар",Z438*Законод!$C$9/4*Законод!$F$16,IF(B431="Лікар-педіатр",Z438*Законод!$C$9/4*Законод!$F$16,IF(B431="Лікар-терапевт",Z438*Законод!$C$9/4*Законод!$F$16,0)))</f>
        <v>0</v>
      </c>
      <c r="AQ438" s="210">
        <f ca="1">IF(B431="Лікар загальної практики - сімейний лікар",AG438*Законод!$C$9/4*Законод!$F$16,IF(B431="Лікар-педіатр",AG438*Законод!$C$9/4*Законод!$F$16,IF(B431="Лікар-терапевт",AG438*Законод!$C$9/4*Законод!$F$16,0)))</f>
        <v>0</v>
      </c>
      <c r="AR438" s="211">
        <f t="shared" si="73"/>
        <v>0</v>
      </c>
    </row>
    <row r="439" spans="1:44" s="50" customFormat="1" ht="31.9" hidden="1" customHeight="1">
      <c r="A439" s="197"/>
      <c r="B439" s="951"/>
      <c r="C439" s="954"/>
      <c r="D439" s="957"/>
      <c r="E439" s="939"/>
      <c r="F439" s="238" t="str">
        <f ca="1">IF(B431="Лікар-педіатр",Законод!$G$17,IF(B431="Лікар загальної практики - сімейний лікар",Законод!$G$21,IF(B431="Лікар-терапевт",Законод!$G$25,"х")))</f>
        <v>х</v>
      </c>
      <c r="G439" s="935" t="s">
        <v>423</v>
      </c>
      <c r="H439" s="936"/>
      <c r="I439" s="936"/>
      <c r="J439" s="936"/>
      <c r="K439" s="937"/>
      <c r="L439" s="196">
        <f ca="1">IF($B$431="Лікар загальної практики - сімейний лікар",IF(L435&lt;Законод!$C$22,0,(IF(AND(L435&gt;=Законод!$G$22,L435&lt;=Законод!$G$23),L435-Законод!$F$23,IF('01_Доходи'!L435&gt;=Законод!$H$22,Законод!$G$24,0)))),IF($B$431="Лікар-педіатр",IF(L435&lt;Законод!$C$18,0,(IF(AND(L435&gt;=Законод!$G$18,L435&lt;=Законод!$G$19),L435-Законод!$F$19,IF('01_Доходи'!L435&gt;=Законод!$H$18,Законод!$G$20,0)))),IF($B$431="Лікар-терапевт",IF(L435&lt;Законод!$C$26,0,(IF(AND(L435&gt;=Законод!$G$26,L435&lt;=Законод!$G$27),L435-Законод!$F$27,IF('01_Доходи'!L435&gt;=Законод!$H$26,Законод!$G$28,0)))),0)))</f>
        <v>0</v>
      </c>
      <c r="M439" s="942"/>
      <c r="N439" s="935" t="s">
        <v>423</v>
      </c>
      <c r="O439" s="936"/>
      <c r="P439" s="936"/>
      <c r="Q439" s="936"/>
      <c r="R439" s="937"/>
      <c r="S439" s="196">
        <f ca="1">IF($B$431="Лікар загальної практики - сімейний лікар",IF(S435&lt;Законод!$C$22,0,(IF(AND(S435&gt;=Законод!$G$22,S435&lt;=Законод!$G$23),S435-Законод!$F$23,IF('01_Доходи'!S435&gt;=Законод!$H$22,Законод!$G$24,0)))),IF($B$431="Лікар-педіатр",IF(S435&lt;Законод!$C$18,0,(IF(AND(S435&gt;=Законод!$G$18,S435&lt;=Законод!$G$19),S435-Законод!$F$19,IF('01_Доходи'!S435&gt;=Законод!$H$18,Законод!$G$20,0)))),IF($B$431="Лікар-терапевт",IF(S435&lt;Законод!$C$26,0,(IF(AND(S435&gt;=Законод!$G$26,S435&lt;=Законод!$G$27),S435-Законод!$F$27,IF('01_Доходи'!S435&gt;=Законод!$H$26,Законод!$G$28,0)))),0)))</f>
        <v>0</v>
      </c>
      <c r="T439" s="942"/>
      <c r="U439" s="935" t="s">
        <v>423</v>
      </c>
      <c r="V439" s="936"/>
      <c r="W439" s="936"/>
      <c r="X439" s="936"/>
      <c r="Y439" s="937"/>
      <c r="Z439" s="196">
        <f ca="1">IF($B$431="Лікар загальної практики - сімейний лікар",IF(Z435&lt;Законод!$C$22,0,(IF(AND(Z435&gt;=Законод!$G$22,Z435&lt;=Законод!$G$23),Z435-Законод!$F$23,IF('01_Доходи'!Z435&gt;=Законод!$H$22,Законод!$G$24,0)))),IF($B$431="Лікар-педіатр",IF(Z435&lt;Законод!$C$18,0,(IF(AND(Z435&gt;=Законод!$G$18,Z435&lt;=Законод!$G$19),Z435-Законод!$F$19,IF('01_Доходи'!Z435&gt;=Законод!$H$18,Законод!$G$20,0)))),IF($B$431="Лікар-терапевт",IF(Z435&lt;Законод!$C$26,0,(IF(AND(Z435&gt;=Законод!$G$26,Z435&lt;=Законод!$G$27),Z435-Законод!$F$27,IF('01_Доходи'!Z435&gt;=Законод!$H$26,Законод!$G$28,0)))),0)))</f>
        <v>0</v>
      </c>
      <c r="AA439" s="942"/>
      <c r="AB439" s="935" t="s">
        <v>423</v>
      </c>
      <c r="AC439" s="936"/>
      <c r="AD439" s="936"/>
      <c r="AE439" s="936"/>
      <c r="AF439" s="937"/>
      <c r="AG439" s="196">
        <f ca="1">IF($B$431="Лікар загальної практики - сімейний лікар",IF(AG435&lt;Законод!$C$22,0,(IF(AND(AG435&gt;=Законод!$G$22,AG435&lt;=Законод!$G$23),AG435-Законод!$F$23,IF('01_Доходи'!AG435&gt;=Законод!$H$22,Законод!$G$24,0)))),IF($B$431="Лікар-педіатр",IF(AG435&lt;Законод!$C$18,0,(IF(AND(AG435&gt;=Законод!$G$18,AG435&lt;=Законод!$G$19),AG435-Законод!$F$19,IF('01_Доходи'!AG435&gt;=Законод!$H$18,Законод!$G$20,0)))),IF($B$431="Лікар-терапевт",IF(AG435&lt;Законод!$C$26,0,(IF(AND(AG435&gt;=Законод!$G$26,AG435&lt;=Законод!$G$27),AG435-Законод!$F$27,IF('01_Доходи'!AG435&gt;=Законод!$H$26,Законод!$G$28,0)))),0)))</f>
        <v>0</v>
      </c>
      <c r="AH439" s="942"/>
      <c r="AI439" s="201"/>
      <c r="AJ439" s="945"/>
      <c r="AK439" s="960"/>
      <c r="AL439" s="960"/>
      <c r="AM439" s="927"/>
      <c r="AN439" s="210">
        <f ca="1">IF(B431="Лікар загальної практики - сімейний лікар",L439*Законод!$C$9/4*Законод!$G$16,IF(B431="Лікар-педіатр",L439*Законод!$C$9/4*Законод!$G$16,IF(B431="Лікар-терапевт",L439*Законод!$C$9/4*Законод!$G$16,0)))</f>
        <v>0</v>
      </c>
      <c r="AO439" s="210">
        <f ca="1">IF(B431="Лікар загальної практики - сімейний лікар",S439*Законод!$C$9/4*Законод!$G$16,IF(B431="Лікар-педіатр",S439*Законод!$C$9/4*Законод!$G$16,IF(B431="Лікар-терапевт",S439*Законод!$C$9/4*Законод!$G$16,0)))</f>
        <v>0</v>
      </c>
      <c r="AP439" s="210">
        <f ca="1">IF(B431="Лікар загальної практики - сімейний лікар",Z439*Законод!$C$9/4*Законод!$G$16,IF(B431="Лікар-педіатр",Z439*Законод!$C$9/4*Законод!$G$16,IF(B431="Лікар-терапевт",Z439*Законод!$C$9/4*Законод!$G$16,0)))</f>
        <v>0</v>
      </c>
      <c r="AQ439" s="210">
        <f ca="1">IF(B431="Лікар загальної практики - сімейний лікар",AG439*Законод!$C$9/4*Законод!$G$16,IF(B431="Лікар-педіатр",AG439*Законод!$C$9/4*Законод!$G$16,IF(B431="Лікар-терапевт",AG439*Законод!$C$9/4*Законод!$G$16,0)))</f>
        <v>0</v>
      </c>
      <c r="AR439" s="211">
        <f t="shared" si="73"/>
        <v>0</v>
      </c>
    </row>
    <row r="440" spans="1:44" s="50" customFormat="1" ht="31.9" hidden="1" customHeight="1">
      <c r="A440" s="197"/>
      <c r="B440" s="951"/>
      <c r="C440" s="954"/>
      <c r="D440" s="957"/>
      <c r="E440" s="939"/>
      <c r="F440" s="238" t="str">
        <f ca="1">IF(B431="Лікар-педіатр",Законод!$H$17,IF(B431="Лікар загальної практики - сімейний лікар",Законод!$H$21,IF(B431="Лікар-терапевт",Законод!$H$25,"х")))</f>
        <v>х</v>
      </c>
      <c r="G440" s="935" t="s">
        <v>423</v>
      </c>
      <c r="H440" s="936"/>
      <c r="I440" s="936"/>
      <c r="J440" s="936"/>
      <c r="K440" s="937"/>
      <c r="L440" s="196">
        <f ca="1">IF($B$431="Лікар загальної практики - сімейний лікар",IF(L435&lt;Законод!$C$22,0,(IF(AND(L435&gt;=Законод!$H$22,L435&lt;=Законод!$H$23),L435-Законод!$G$23,IF('01_Доходи'!L435&gt;=Законод!$I$22,Законод!$H$24,0)))),IF($B$431="Лікар-педіатр",IF(L435&lt;Законод!$C$18,0,(IF(AND(L435&gt;=Законод!$H$18,L435&lt;=Законод!$H$19),L435-Законод!$G$19,IF('01_Доходи'!L435&gt;=Законод!$I$18,Законод!$H$20,0)))),IF($B$431="Лікар-терапевт",IF(L435&lt;Законод!$C$26,0,(IF(AND(L435&gt;=Законод!$H$26,L435&lt;=Законод!$H$27),L435-Законод!$G$27,IF(L435&gt;=Законод!$I$26,Законод!$H$28,0)))),0)))</f>
        <v>0</v>
      </c>
      <c r="M440" s="942"/>
      <c r="N440" s="935" t="s">
        <v>423</v>
      </c>
      <c r="O440" s="936"/>
      <c r="P440" s="936"/>
      <c r="Q440" s="936"/>
      <c r="R440" s="937"/>
      <c r="S440" s="196">
        <f ca="1">IF($B$431="Лікар загальної практики - сімейний лікар",IF(S435&lt;Законод!$C$22,0,(IF(AND(S435&gt;=Законод!$H$22,S435&lt;=Законод!$H$23),S435-Законод!$G$23,IF('01_Доходи'!S435&gt;=Законод!$I$22,Законод!$H$24,0)))),IF($B$431="Лікар-педіатр",IF(S435&lt;Законод!$C$18,0,(IF(AND(S435&gt;=Законод!$H$18,S435&lt;=Законод!$H$19),S435-Законод!$G$19,IF('01_Доходи'!S435&gt;=Законод!$I$18,Законод!$H$20,0)))),IF($B$431="Лікар-терапевт",IF(S435&lt;Законод!$C$26,0,(IF(AND(S435&gt;=Законод!$H$26,S435&lt;=Законод!$H$27),S435-Законод!$G$27,IF(S435&gt;=Законод!$I$26,Законод!$H$28,0)))),0)))</f>
        <v>0</v>
      </c>
      <c r="T440" s="942"/>
      <c r="U440" s="935" t="s">
        <v>423</v>
      </c>
      <c r="V440" s="936"/>
      <c r="W440" s="936"/>
      <c r="X440" s="936"/>
      <c r="Y440" s="937"/>
      <c r="Z440" s="196">
        <f ca="1">IF($B$431="Лікар загальної практики - сімейний лікар",IF(Z435&lt;Законод!$C$22,0,(IF(AND(Z435&gt;=Законод!$H$22,Z435&lt;=Законод!$H$23),Z435-Законод!$G$23,IF('01_Доходи'!Z435&gt;=Законод!$I$22,Законод!$H$24,0)))),IF($B$431="Лікар-педіатр",IF(Z435&lt;Законод!$C$18,0,(IF(AND(Z435&gt;=Законод!$H$18,Z435&lt;=Законод!$H$19),Z435-Законод!$G$19,IF('01_Доходи'!Z435&gt;=Законод!$I$18,Законод!$H$20,0)))),IF($B$431="Лікар-терапевт",IF(Z435&lt;Законод!$C$26,0,(IF(AND(Z435&gt;=Законод!$H$26,Z435&lt;=Законод!$H$27),Z435-Законод!$G$27,IF(Z435&gt;=Законод!$I$26,Законод!$H$28,0)))),0)))</f>
        <v>0</v>
      </c>
      <c r="AA440" s="942"/>
      <c r="AB440" s="935" t="s">
        <v>423</v>
      </c>
      <c r="AC440" s="936"/>
      <c r="AD440" s="936"/>
      <c r="AE440" s="936"/>
      <c r="AF440" s="937"/>
      <c r="AG440" s="196">
        <f ca="1">IF($B$431="Лікар загальної практики - сімейний лікар",IF(AG435&lt;Законод!$C$22,0,(IF(AND(AG435&gt;=Законод!$H$22,AG435&lt;=Законод!$H$23),AG435-Законод!$G$23,IF('01_Доходи'!AG435&gt;=Законод!$I$22,Законод!$H$24,0)))),IF($B$431="Лікар-педіатр",IF(AG435&lt;Законод!$C$18,0,(IF(AND(AG435&gt;=Законод!$H$18,AG435&lt;=Законод!$H$19),AG435-Законод!$G$19,IF('01_Доходи'!AG435&gt;=Законод!$I$18,Законод!$H$20,0)))),IF($B$431="Лікар-терапевт",IF(AG435&lt;Законод!$C$26,0,(IF(AND(AG435&gt;=Законод!$H$26,AG435&lt;=Законод!$H$27),AG435-Законод!$G$27,IF(AG435&gt;=Законод!$I$26,Законод!$H$28,0)))),0)))</f>
        <v>0</v>
      </c>
      <c r="AH440" s="942"/>
      <c r="AI440" s="201"/>
      <c r="AJ440" s="945"/>
      <c r="AK440" s="960"/>
      <c r="AL440" s="960"/>
      <c r="AM440" s="927"/>
      <c r="AN440" s="210">
        <f ca="1">IF(B431="Лікар загальної практики - сімейний лікар",L440*Законод!$C$9/4*Законод!$H$16,IF(B431="Лікар-педіатр",L440*Законод!$C$9/4*Законод!$H$16,IF(B431="Лікар-терапевт",L440*Законод!$C$9/4*Законод!$H$16,0)))</f>
        <v>0</v>
      </c>
      <c r="AO440" s="210">
        <f ca="1">IF(B431="Лікар загальної практики - сімейний лікар",S440*Законод!$C$9/4*Законод!$H$16,IF(B431="Лікар-педіатр",S440*Законод!$C$9/4*Законод!$H$16,IF(B431="Лікар-терапевт",S440*Законод!$C$9/4*Законод!$H$16,0)))</f>
        <v>0</v>
      </c>
      <c r="AP440" s="210">
        <f ca="1">IF(B431="Лікар загальної практики - сімейний лікар",Z440*Законод!$C$9/4*Законод!$H$16,IF(B431="Лікар-педіатр",Z440*Законод!$C$9/4*Законод!$H$16,IF(B431="Лікар-терапевт",Z440*Законод!$C$9/4*Законод!$H$16,0)))</f>
        <v>0</v>
      </c>
      <c r="AQ440" s="210">
        <f ca="1">IF(B431="Лікар загальної практики - сімейний лікар",AG440*Законод!$C$9/4*Законод!$H$16,IF(B431="Лікар-педіатр",AG440*Законод!$C$9/4*Законод!$H$16,IF(B431="Лікар-терапевт",AG440*Законод!$C$9/4*Законод!$H$16,0)))</f>
        <v>0</v>
      </c>
      <c r="AR440" s="211">
        <f t="shared" si="73"/>
        <v>0</v>
      </c>
    </row>
    <row r="441" spans="1:44" s="50" customFormat="1" ht="31.9" hidden="1" customHeight="1">
      <c r="A441" s="197"/>
      <c r="B441" s="951"/>
      <c r="C441" s="954"/>
      <c r="D441" s="957"/>
      <c r="E441" s="939"/>
      <c r="F441" s="238" t="str">
        <f ca="1">IF(B431="Лікар-педіатр",Законод!$I$17,IF(B431="Лікар загальної практики - сімейний лікар",Законод!$I$21,IF(B431="Лікар-терапевт",Законод!$I$25,"х")))</f>
        <v>х</v>
      </c>
      <c r="G441" s="935" t="s">
        <v>423</v>
      </c>
      <c r="H441" s="936"/>
      <c r="I441" s="936"/>
      <c r="J441" s="936"/>
      <c r="K441" s="937"/>
      <c r="L441" s="196">
        <f ca="1">IF($B$431="Лікар загальної практики - сімейний лікар",IF(L435&lt;Законод!$C$22,0,(IF(AND(L435&gt;=Законод!$I$22,L435&lt;=Законод!$I$23),L435-Законод!$H$23,IF('01_Доходи'!L435&gt;=Законод!$I$22,Законод!$I$24,0)))),IF($B$431="Лікар-педіатр",IF(L435&lt;Законод!$C$18,0,(IF(AND(L435&gt;=Законод!$I$18,L435&lt;=Законод!$I$19),L435-Законод!$H$19,IF('01_Доходи'!L435&gt;=Законод!$I$18,Законод!$H$20,0)))),IF($B$431="Лікар-терапевт",IF(L435&lt;Законод!$C$26,0,(IF(AND(L435&gt;=Законод!$I$26,L435&lt;=Законод!$I$27),L435-Законод!$H$27,IF('01_Доходи'!L435&gt;=Законод!$I$26,Законод!$H$28,0)))),0)))</f>
        <v>0</v>
      </c>
      <c r="M441" s="942"/>
      <c r="N441" s="935" t="s">
        <v>423</v>
      </c>
      <c r="O441" s="936"/>
      <c r="P441" s="936"/>
      <c r="Q441" s="936"/>
      <c r="R441" s="937"/>
      <c r="S441" s="196">
        <f ca="1">IF($B$431="Лікар загальної практики - сімейний лікар",IF(S435&lt;Законод!$C$22,0,(IF(AND(S435&gt;=Законод!$I$22,S435&lt;=Законод!$I$23),S435-Законод!$H$23,IF('01_Доходи'!S435&gt;=Законод!$I$22,Законод!$I$24,0)))),IF($B$431="Лікар-педіатр",IF(S435&lt;Законод!$C$18,0,(IF(AND(S435&gt;=Законод!$I$18,S435&lt;=Законод!$I$19),S435-Законод!$H$19,IF('01_Доходи'!S435&gt;=Законод!$I$18,Законод!$H$20,0)))),IF($B$431="Лікар-терапевт",IF(S435&lt;Законод!$C$26,0,(IF(AND(S435&gt;=Законод!$I$26,S435&lt;=Законод!$I$27),S435-Законод!$H$27,IF('01_Доходи'!S435&gt;=Законод!$I$26,Законод!$H$28,0)))),0)))</f>
        <v>0</v>
      </c>
      <c r="T441" s="942"/>
      <c r="U441" s="935" t="s">
        <v>423</v>
      </c>
      <c r="V441" s="936"/>
      <c r="W441" s="936"/>
      <c r="X441" s="936"/>
      <c r="Y441" s="937"/>
      <c r="Z441" s="196">
        <f ca="1">IF($B$431="Лікар загальної практики - сімейний лікар",IF(Z435&lt;Законод!$C$22,0,(IF(AND(Z435&gt;=Законод!$I$22,Z435&lt;=Законод!$I$23),Z435-Законод!$H$23,IF('01_Доходи'!Z435&gt;=Законод!$I$22,Законод!$I$24,0)))),IF($B$431="Лікар-педіатр",IF(Z435&lt;Законод!$C$18,0,(IF(AND(Z435&gt;=Законод!$I$18,Z435&lt;=Законод!$I$19),Z435-Законод!$H$19,IF('01_Доходи'!Z435&gt;=Законод!$I$18,Законод!$H$20,0)))),IF($B$431="Лікар-терапевт",IF(Z435&lt;Законод!$C$26,0,(IF(AND(Z435&gt;=Законод!$I$26,Z435&lt;=Законод!$I$27),Z435-Законод!$H$27,IF('01_Доходи'!Z435&gt;=Законод!$I$26,Законод!$H$28,0)))),0)))</f>
        <v>0</v>
      </c>
      <c r="AA441" s="942"/>
      <c r="AB441" s="935" t="s">
        <v>423</v>
      </c>
      <c r="AC441" s="936"/>
      <c r="AD441" s="936"/>
      <c r="AE441" s="936"/>
      <c r="AF441" s="937"/>
      <c r="AG441" s="196">
        <f ca="1">IF($B$431="Лікар загальної практики - сімейний лікар",IF(AG435&lt;Законод!$C$22,0,(IF(AND(AG435&gt;=Законод!$I$22,AG435&lt;=Законод!$I$23),AG435-Законод!$H$23,IF('01_Доходи'!AG435&gt;=Законод!$I$22,Законод!$I$24,0)))),IF($B$431="Лікар-педіатр",IF(AG435&lt;Законод!$C$18,0,(IF(AND(AG435&gt;=Законод!$I$18,AG435&lt;=Законод!$I$19),AG435-Законод!$H$19,IF('01_Доходи'!AG435&gt;=Законод!$I$18,Законод!$H$20,0)))),IF($B$431="Лікар-терапевт",IF(AG435&lt;Законод!$C$26,0,(IF(AND(AG435&gt;=Законод!$I$26,AG435&lt;=Законод!$I$27),AG435-Законод!$H$27,IF('01_Доходи'!AG435&gt;=Законод!$I$26,Законод!$H$28,0)))),0)))</f>
        <v>0</v>
      </c>
      <c r="AH441" s="942"/>
      <c r="AI441" s="201"/>
      <c r="AJ441" s="945"/>
      <c r="AK441" s="960"/>
      <c r="AL441" s="960"/>
      <c r="AM441" s="927"/>
      <c r="AN441" s="210">
        <f ca="1">IF(B431="Лікар загальної практики - сімейний лікар",L441*Законод!$C$9/4*Законод!$I$16,IF(B431="Лікар-педіатр",L441*Законод!$C$9/4*Законод!$I$16,IF(B431="Лікар-терапевт",L441*Законод!$C$9/4*Законод!$I$16,0)))</f>
        <v>0</v>
      </c>
      <c r="AO441" s="210">
        <f ca="1">IF(B431="Лікар загальної практики - сімейний лікар",S441*Законод!$C$9/4*Законод!$I$16,IF(B431="Лікар-педіатр",S441*Законод!$C$9/4*Законод!$I$16,IF(B431="Лікар-терапевт",S441*Законод!$C$9/4*Законод!$I$16,0)))</f>
        <v>0</v>
      </c>
      <c r="AP441" s="210">
        <f ca="1">IF(B431="Лікар загальної практики - сімейний лікар",Z441*Законод!$C$9/4*Законод!$I$16,IF(B431="Лікар-педіатр",Z441*Законод!$C$9/4*Законод!$I$16,IF(B431="Лікар-терапевт",Z441*Законод!$C$9/4*Законод!$I$16,0)))</f>
        <v>0</v>
      </c>
      <c r="AQ441" s="210">
        <f ca="1">IF(B431="Лікар загальної практики - сімейний лікар",AG441*Законод!$C$9/4*Законод!$I$16,IF(B431="Лікар-педіатр",AG441*Законод!$C$9/4*Законод!$I$16,IF(B431="Лікар-терапевт",AG441*Законод!$C$9/4*Законод!$I$16,0)))</f>
        <v>0</v>
      </c>
      <c r="AR441" s="211">
        <f t="shared" si="73"/>
        <v>0</v>
      </c>
    </row>
    <row r="442" spans="1:44" s="218" customFormat="1" ht="31.9" hidden="1" customHeight="1" thickBot="1">
      <c r="A442" s="213"/>
      <c r="B442" s="952"/>
      <c r="C442" s="955"/>
      <c r="D442" s="958"/>
      <c r="E442" s="940"/>
      <c r="F442" s="239" t="str">
        <f ca="1">IF(B431="Лікар-педіатр",Законод!$J$17,IF(B431="Лікар загальної практики - сімейний лікар",Законод!$J$21,IF(B431="Лікар-терапевт",Законод!$J$25,"х")))</f>
        <v>х</v>
      </c>
      <c r="G442" s="932" t="s">
        <v>423</v>
      </c>
      <c r="H442" s="933"/>
      <c r="I442" s="933"/>
      <c r="J442" s="933"/>
      <c r="K442" s="934"/>
      <c r="L442" s="196">
        <f ca="1">IF($B$431="Лікар загальної практики - сімейний лікар",IF(L435&gt;=Законод!$J$22,'01_Доходи'!L435-('01_Доходи'!L436+'01_Доходи'!L437+'01_Доходи'!L438+'01_Доходи'!L439+'01_Доходи'!L440+'01_Доходи'!L441),0),IF($B$431="Лікар-педіатр",IF(L435&gt;=Законод!$J$18,'01_Доходи'!L435-('01_Доходи'!L436+'01_Доходи'!L437+'01_Доходи'!L438+'01_Доходи'!L439+'01_Доходи'!L440+'01_Доходи'!L441),0),IF($B$431="Лікар-терапевт",IF('01_Доходи'!L435&gt;=Законод!$J$26,L435-Законод!$I$27,0),0)))</f>
        <v>0</v>
      </c>
      <c r="M442" s="943"/>
      <c r="N442" s="932" t="s">
        <v>423</v>
      </c>
      <c r="O442" s="933"/>
      <c r="P442" s="933"/>
      <c r="Q442" s="933"/>
      <c r="R442" s="934"/>
      <c r="S442" s="196">
        <f ca="1">IF($B$431="Лікар загальної практики - сімейний лікар",IF(S435&gt;=Законод!$J$22,'01_Доходи'!S435-('01_Доходи'!S436+'01_Доходи'!S437+'01_Доходи'!S438+'01_Доходи'!S439+'01_Доходи'!S440+'01_Доходи'!S441),0),IF($B$431="Лікар-педіатр",IF(S435&gt;=Законод!$J$18,'01_Доходи'!S435-('01_Доходи'!S436+'01_Доходи'!S437+'01_Доходи'!S438+'01_Доходи'!S439+'01_Доходи'!S440+'01_Доходи'!S441),0),IF($B$431="Лікар-терапевт",IF('01_Доходи'!S435&gt;=Законод!$J$26,S435-Законод!$I$27,0),0)))</f>
        <v>0</v>
      </c>
      <c r="T442" s="943"/>
      <c r="U442" s="932" t="s">
        <v>423</v>
      </c>
      <c r="V442" s="933"/>
      <c r="W442" s="933"/>
      <c r="X442" s="933"/>
      <c r="Y442" s="934"/>
      <c r="Z442" s="196">
        <f ca="1">IF($B$431="Лікар загальної практики - сімейний лікар",IF(Z435&gt;=Законод!$J$22,'01_Доходи'!Z435-('01_Доходи'!Z436+'01_Доходи'!Z437+'01_Доходи'!Z438+'01_Доходи'!Z439+'01_Доходи'!Z440+'01_Доходи'!Z441),0),IF($B$431="Лікар-педіатр",IF(Z435&gt;=Законод!$J$18,'01_Доходи'!Z435-('01_Доходи'!Z436+'01_Доходи'!Z437+'01_Доходи'!Z438+'01_Доходи'!Z439+'01_Доходи'!Z440+'01_Доходи'!Z441),0),IF($B$431="Лікар-терапевт",IF('01_Доходи'!Z435&gt;=Законод!$J$26,Z435-Законод!$I$27,0),0)))</f>
        <v>0</v>
      </c>
      <c r="AA442" s="943"/>
      <c r="AB442" s="932" t="s">
        <v>423</v>
      </c>
      <c r="AC442" s="933"/>
      <c r="AD442" s="933"/>
      <c r="AE442" s="933"/>
      <c r="AF442" s="934"/>
      <c r="AG442" s="196">
        <f ca="1">IF($B$431="Лікар загальної практики - сімейний лікар",IF(AG435&gt;=Законод!$J$22,'01_Доходи'!AG435-('01_Доходи'!AG436+'01_Доходи'!AG437+'01_Доходи'!AG438+'01_Доходи'!AG439+'01_Доходи'!AG440+'01_Доходи'!AG441),0),IF($B$431="Лікар-педіатр",IF(AG435&gt;=Законод!$J$18,'01_Доходи'!AG435-('01_Доходи'!AG436+'01_Доходи'!AG437+'01_Доходи'!AG438+'01_Доходи'!AG439+'01_Доходи'!AG440+'01_Доходи'!AG441),0),IF($B$431="Лікар-терапевт",IF('01_Доходи'!AG435&gt;=Законод!$J$26,AG435-Законод!$I$27,0),0)))</f>
        <v>0</v>
      </c>
      <c r="AH442" s="943"/>
      <c r="AI442" s="215"/>
      <c r="AJ442" s="946"/>
      <c r="AK442" s="961"/>
      <c r="AL442" s="961"/>
      <c r="AM442" s="928"/>
      <c r="AN442" s="216">
        <f ca="1">IF(B431="Лікар загальної практики - сімейний лікар",L442*Законод!$C$9/4*Законод!$J$16,IF(B431="Лікар-педіатр",L442*Законод!$C$9/4*Законод!$J$16,IF(B431="Лікар-терапевт",L442*Законод!$C$9/4*Законод!$J$16,0)))</f>
        <v>0</v>
      </c>
      <c r="AO442" s="216">
        <f ca="1">IF(B431="Лікар загальної практики - сімейний лікар",S442*Законод!$C$9/4*Законод!$J$16,IF(B431="Лікар-педіатр",S442*Законод!$C$9/4*Законод!$J$16,IF(B431="Лікар-терапевт",S442*Законод!$C$9/4*Законод!$J$16,0)))</f>
        <v>0</v>
      </c>
      <c r="AP442" s="216">
        <f ca="1">IF(B431="Лікар загальної практики - сімейний лікар",S442*Законод!$C$9/4*Законод!$J$16,IF(B431="Лікар-педіатр",S442*Законод!$C$9/4*Законод!$J$16,IF(B431="Лікар-терапевт",S442*Законод!$C$9/4*Законод!$J$16,0)))</f>
        <v>0</v>
      </c>
      <c r="AQ442" s="216">
        <f ca="1">IF(B431="Лікар загальної практики - сімейний лікар",AG442*Законод!$C$9/4*Законод!$J$16,IF(B431="Лікар-педіатр",AG442*Законод!$C$9/4*Законод!$J$16,IF(B431="Лікар-терапевт",AG442*Законод!$C$9/4*Законод!$J$16,0)))</f>
        <v>0</v>
      </c>
      <c r="AR442" s="217">
        <f t="shared" si="73"/>
        <v>0</v>
      </c>
    </row>
    <row r="443" spans="1:44" s="247" customFormat="1" ht="23.45" hidden="1" customHeight="1" thickBot="1">
      <c r="A443" s="243"/>
      <c r="B443" s="244"/>
      <c r="C443" s="244"/>
      <c r="D443" s="244"/>
      <c r="E443" s="244"/>
      <c r="F443" s="245"/>
      <c r="G443" s="246"/>
      <c r="H443" s="246"/>
      <c r="L443" s="248"/>
      <c r="S443" s="248"/>
      <c r="Z443" s="248"/>
      <c r="AG443" s="248"/>
      <c r="AM443" s="249"/>
      <c r="AR443" s="250"/>
    </row>
    <row r="444" spans="1:44" s="191" customFormat="1" ht="24.6" hidden="1" customHeight="1">
      <c r="A444" s="194">
        <f>A431+1</f>
        <v>32</v>
      </c>
      <c r="B444" s="950"/>
      <c r="C444" s="953"/>
      <c r="D444" s="956"/>
      <c r="E444" s="938"/>
      <c r="F444" s="234" t="s">
        <v>659</v>
      </c>
      <c r="G444" s="196">
        <f>IF($B$444="Лікар-педіатр",G447*L444,IF($B$444="Лікар-терапевт","х",IF($B$444="Лікар загальної практики - сімейний лікар",G447*L444,0)))</f>
        <v>0</v>
      </c>
      <c r="H444" s="196">
        <f>IF($B$444="Лікар-педіатр",H447*L444,IF($B$444="Лікар-терапевт","х",IF($B$444="Лікар загальної практики - сімейний лікар",H447*L444,0)))</f>
        <v>0</v>
      </c>
      <c r="I444" s="196">
        <f>IF($B$444="Лікар-педіатр","x",IF($B$444="Лікар-терапевт",I447*L444,IF($B$444="Лікар загальної практики - сімейний лікар",I447*L444,0)))</f>
        <v>0</v>
      </c>
      <c r="J444" s="196">
        <f>IF($B$444="Лікар-педіатр","x",IF($B$444="Лікар-терапевт",J447*L444,IF($B$444="Лікар загальної практики - сімейний лікар",J447*L444,0)))</f>
        <v>0</v>
      </c>
      <c r="K444" s="196">
        <f>IF($B$444="Лікар-педіатр","x",IF($B$444="Лікар-терапевт",K447*L444,IF($B$444="Лікар загальної практики - сімейний лікар",K447*L444,0)))</f>
        <v>0</v>
      </c>
      <c r="L444" s="557"/>
      <c r="M444" s="941"/>
      <c r="N444" s="196">
        <f>IF($B$444="Лікар-педіатр",N447*S444,IF($B$444="Лікар-терапевт","х",IF($B$444="Лікар загальної практики - сімейний лікар",N447*S444,0)))</f>
        <v>0</v>
      </c>
      <c r="O444" s="196">
        <f>IF($B$444="Лікар-педіатр",O447*S444,IF($B$444="Лікар-терапевт","х",IF($B$444="Лікар загальної практики - сімейний лікар",O447*S444,0)))</f>
        <v>0</v>
      </c>
      <c r="P444" s="196">
        <f>IF($B$444="Лікар-педіатр","x",IF($B$444="Лікар-терапевт",P447*S444,IF($B$444="Лікар загальної практики - сімейний лікар",P447*S444,0)))</f>
        <v>0</v>
      </c>
      <c r="Q444" s="196">
        <f>IF($B$444="Лікар-педіатр","x",IF($B$444="Лікар-терапевт",Q447*S444,IF($B$444="Лікар загальної практики - сімейний лікар",Q447*S444,0)))</f>
        <v>0</v>
      </c>
      <c r="R444" s="196">
        <f>IF($B$444="Лікар-педіатр","x",IF($B$444="Лікар-терапевт",R447*S444,IF($B$444="Лікар загальної практики - сімейний лікар",R447*S444,0)))</f>
        <v>0</v>
      </c>
      <c r="S444" s="557"/>
      <c r="T444" s="941"/>
      <c r="U444" s="196">
        <f>IF($B$444="Лікар-педіатр",U447*Z444,IF($B$444="Лікар-терапевт","х",IF($B$444="Лікар загальної практики - сімейний лікар",U447*Z444,0)))</f>
        <v>0</v>
      </c>
      <c r="V444" s="196">
        <f>IF($B$444="Лікар-педіатр",V447*Z444,IF($B$444="Лікар-терапевт","х",IF($B$444="Лікар загальної практики - сімейний лікар",V447*Z444,0)))</f>
        <v>0</v>
      </c>
      <c r="W444" s="196">
        <f>IF($B$444="Лікар-педіатр","x",IF($B$444="Лікар-терапевт",W447*Z444,IF($B$444="Лікар загальної практики - сімейний лікар",W447*Z444,0)))</f>
        <v>0</v>
      </c>
      <c r="X444" s="196">
        <f>IF($B$444="Лікар-педіатр","x",IF($B$444="Лікар-терапевт",X447*Z444,IF($B$444="Лікар загальної практики - сімейний лікар",X447*Z444,0)))</f>
        <v>0</v>
      </c>
      <c r="Y444" s="196">
        <f>IF($B$444="Лікар-педіатр","x",IF($B$444="Лікар-терапевт",Y447*Z444,IF($B$444="Лікар загальної практики - сімейний лікар",Y447*Z444,0)))</f>
        <v>0</v>
      </c>
      <c r="Z444" s="557"/>
      <c r="AA444" s="941"/>
      <c r="AB444" s="196">
        <f>IF($B$444="Лікар-педіатр",AB447*AG444,IF($B$444="Лікар-терапевт","х",IF($B$444="Лікар загальної практики - сімейний лікар",AB447*AG444,0)))</f>
        <v>0</v>
      </c>
      <c r="AC444" s="196">
        <f>IF($B$444="Лікар-педіатр",AC447*AG444,IF($B$444="Лікар-терапевт","х",IF($B$444="Лікар загальної практики - сімейний лікар",AC447*AG444,0)))</f>
        <v>0</v>
      </c>
      <c r="AD444" s="196">
        <f>IF($B$444="Лікар-педіатр","x",IF($B$444="Лікар-терапевт",AD447*AG444,IF($B$444="Лікар загальної практики - сімейний лікар",AD447*AG444,0)))</f>
        <v>0</v>
      </c>
      <c r="AE444" s="196">
        <f>IF($B$444="Лікар-педіатр","x",IF($B$444="Лікар-терапевт",AE447*AG444,IF($B$444="Лікар загальної практики - сімейний лікар",AE447*AG444,0)))</f>
        <v>0</v>
      </c>
      <c r="AF444" s="196">
        <f>IF($B$444="Лікар-педіатр","x",IF($B$444="Лікар-терапевт",AF447*AG444,IF($B$444="Лікар загальної практики - сімейний лікар",AF447*AG444,0)))</f>
        <v>0</v>
      </c>
      <c r="AG444" s="557"/>
      <c r="AH444" s="941"/>
      <c r="AI444" s="540">
        <f>A444</f>
        <v>32</v>
      </c>
      <c r="AJ444" s="944">
        <f>B444</f>
        <v>0</v>
      </c>
      <c r="AK444" s="959">
        <f>C444</f>
        <v>0</v>
      </c>
      <c r="AL444" s="959">
        <f>D444</f>
        <v>0</v>
      </c>
      <c r="AM444" s="929" t="s">
        <v>79</v>
      </c>
      <c r="AN444" s="947">
        <f>SUM(AN449:AN455)</f>
        <v>0</v>
      </c>
      <c r="AO444" s="947">
        <f>SUM(AO449:AO455)</f>
        <v>0</v>
      </c>
      <c r="AP444" s="947">
        <f>SUM(AP449:AP455)</f>
        <v>0</v>
      </c>
      <c r="AQ444" s="947">
        <f>SUM(AQ449:AQ455)</f>
        <v>0</v>
      </c>
      <c r="AR444" s="962">
        <f>SUM(AN444:AQ448)</f>
        <v>0</v>
      </c>
    </row>
    <row r="445" spans="1:44" s="50" customFormat="1" ht="28.15" hidden="1" customHeight="1">
      <c r="A445" s="197"/>
      <c r="B445" s="951"/>
      <c r="C445" s="954"/>
      <c r="D445" s="957"/>
      <c r="E445" s="939"/>
      <c r="F445" s="234" t="s">
        <v>660</v>
      </c>
      <c r="G445" s="196">
        <f>IF($B$444="Лікар-педіатр",G447*L445,IF($B$444="Лікар-терапевт","х",IF($B$444="Лікар загальної практики - сімейний лікар",G447*L445,0)))</f>
        <v>0</v>
      </c>
      <c r="H445" s="196">
        <f>IF($B$444="Лікар-педіатр",H447*L445,IF($B$444="Лікар-терапевт","х",IF($B$444="Лікар загальної практики - сімейний лікар",H447*L445,0)))</f>
        <v>0</v>
      </c>
      <c r="I445" s="196">
        <f>IF($B$444="Лікар-педіатр","x",IF($B$444="Лікар-терапевт",I447*L445,IF($B$444="Лікар загальної практики - сімейний лікар",I447*L445,0)))</f>
        <v>0</v>
      </c>
      <c r="J445" s="196">
        <f>IF($B$444="Лікар-педіатр","x",IF($B$444="Лікар-терапевт",J447*L445,IF($B$444="Лікар загальної практики - сімейний лікар",J447*L445,0)))</f>
        <v>0</v>
      </c>
      <c r="K445" s="196">
        <f>IF($B$444="Лікар-педіатр","x",IF($B$444="Лікар-терапевт",K447*L445,IF($B$444="Лікар загальної практики - сімейний лікар",K447*L445,0)))</f>
        <v>0</v>
      </c>
      <c r="L445" s="557"/>
      <c r="M445" s="942"/>
      <c r="N445" s="196">
        <f>IF($B$444="Лікар-педіатр",N447*S445,IF($B$444="Лікар-терапевт","х",IF($B$444="Лікар загальної практики - сімейний лікар",N447*S445,0)))</f>
        <v>0</v>
      </c>
      <c r="O445" s="196">
        <f>IF($B$444="Лікар-педіатр",O447*S445,IF($B$444="Лікар-терапевт","х",IF($B$444="Лікар загальної практики - сімейний лікар",O447*S445,0)))</f>
        <v>0</v>
      </c>
      <c r="P445" s="196">
        <f>IF($B$444="Лікар-педіатр","x",IF($B$444="Лікар-терапевт",P447*S445,IF($B$444="Лікар загальної практики - сімейний лікар",P447*S445,0)))</f>
        <v>0</v>
      </c>
      <c r="Q445" s="196">
        <f>IF($B$444="Лікар-педіатр","x",IF($B$444="Лікар-терапевт",Q447*S445,IF($B$444="Лікар загальної практики - сімейний лікар",Q447*S445,0)))</f>
        <v>0</v>
      </c>
      <c r="R445" s="196">
        <f>IF($B$444="Лікар-педіатр","x",IF($B$444="Лікар-терапевт",R447*S445,IF($B$444="Лікар загальної практики - сімейний лікар",R447*S445,0)))</f>
        <v>0</v>
      </c>
      <c r="S445" s="557"/>
      <c r="T445" s="942"/>
      <c r="U445" s="196">
        <f>IF($B$444="Лікар-педіатр",U447*Z445,IF($B$444="Лікар-терапевт","х",IF($B$444="Лікар загальної практики - сімейний лікар",U447*Z445,0)))</f>
        <v>0</v>
      </c>
      <c r="V445" s="196">
        <f>IF($B$444="Лікар-педіатр",V447*Z445,IF($B$444="Лікар-терапевт","х",IF($B$444="Лікар загальної практики - сімейний лікар",V447*Z445,0)))</f>
        <v>0</v>
      </c>
      <c r="W445" s="196">
        <f>IF($B$444="Лікар-педіатр","x",IF($B$444="Лікар-терапевт",W447*Z445,IF($B$444="Лікар загальної практики - сімейний лікар",W447*Z445,0)))</f>
        <v>0</v>
      </c>
      <c r="X445" s="196">
        <f>IF($B$444="Лікар-педіатр","x",IF($B$444="Лікар-терапевт",X447*Z445,IF($B$444="Лікар загальної практики - сімейний лікар",X447*Z445,0)))</f>
        <v>0</v>
      </c>
      <c r="Y445" s="196">
        <f>IF($B$444="Лікар-педіатр","x",IF($B$444="Лікар-терапевт",Y447*Z445,IF($B$444="Лікар загальної практики - сімейний лікар",Y447*Z445,0)))</f>
        <v>0</v>
      </c>
      <c r="Z445" s="557"/>
      <c r="AA445" s="942"/>
      <c r="AB445" s="196">
        <f>IF($B$444="Лікар-педіатр",AB447*AG445,IF($B$444="Лікар-терапевт","х",IF($B$444="Лікар загальної практики - сімейний лікар",AB447*AG445,0)))</f>
        <v>0</v>
      </c>
      <c r="AC445" s="196">
        <f>IF($B$444="Лікар-педіатр",AC447*AG445,IF($B$444="Лікар-терапевт","х",IF($B$444="Лікар загальної практики - сімейний лікар",AC447*AG445,0)))</f>
        <v>0</v>
      </c>
      <c r="AD445" s="196">
        <f>IF($B$444="Лікар-педіатр","x",IF($B$444="Лікар-терапевт",AD447*AG445,IF($B$444="Лікар загальної практики - сімейний лікар",AD447*AG445,0)))</f>
        <v>0</v>
      </c>
      <c r="AE445" s="196">
        <f>IF($B$444="Лікар-педіатр","x",IF($B$444="Лікар-терапевт",AE447*AG445,IF($B$444="Лікар загальної практики - сімейний лікар",AE447*AG445,0)))</f>
        <v>0</v>
      </c>
      <c r="AF445" s="196">
        <f>IF($B$444="Лікар-педіатр","x",IF($B$444="Лікар-терапевт",AF447*AG445,IF($B$444="Лікар загальної практики - сімейний лікар",AF447*AG445,0)))</f>
        <v>0</v>
      </c>
      <c r="AG445" s="557"/>
      <c r="AH445" s="942"/>
      <c r="AI445" s="198"/>
      <c r="AJ445" s="945"/>
      <c r="AK445" s="960"/>
      <c r="AL445" s="960"/>
      <c r="AM445" s="930"/>
      <c r="AN445" s="948"/>
      <c r="AO445" s="948"/>
      <c r="AP445" s="948"/>
      <c r="AQ445" s="948"/>
      <c r="AR445" s="963"/>
    </row>
    <row r="446" spans="1:44" s="50" customFormat="1" ht="31.15" hidden="1" customHeight="1">
      <c r="A446" s="197"/>
      <c r="B446" s="951"/>
      <c r="C446" s="954"/>
      <c r="D446" s="957"/>
      <c r="E446" s="939"/>
      <c r="F446" s="234" t="s">
        <v>661</v>
      </c>
      <c r="G446" s="199">
        <f>IF(B444="Лікар загальної практики - сімейний лікар"," ",IF(B444="Лікар-педіатр"," ",IF(B444="Лікар-терапевт","х",0)))</f>
        <v>0</v>
      </c>
      <c r="H446" s="199">
        <f>IF(B444="Лікар загальної практики - сімейний лікар"," ",IF(B444="Лікар-педіатр"," ",IF(B444="Лікар-терапевт","х",0)))</f>
        <v>0</v>
      </c>
      <c r="I446" s="199">
        <f>IF(B444="Лікар загальної практики - сімейний лікар"," ",IF(B444="Лікар-педіатр","х",IF(B444="Лікар-терапевт"," ",0)))</f>
        <v>0</v>
      </c>
      <c r="J446" s="199">
        <f>IF(B444="Лікар загальної практики - сімейний лікар"," ",IF(B444="Лікар-педіатр","х",IF(B444="Лікар-терапевт"," ",0)))</f>
        <v>0</v>
      </c>
      <c r="K446" s="199">
        <f>IF(B444="Лікар загальної практики - сімейний лікар"," ",IF(B444="Лікар-педіатр","х",IF(B444="Лікар-терапевт"," ",0)))</f>
        <v>0</v>
      </c>
      <c r="L446" s="200">
        <f>SUM(G446:K446)</f>
        <v>0</v>
      </c>
      <c r="M446" s="942"/>
      <c r="N446" s="199">
        <f>IF(B444="Лікар загальної практики - сімейний лікар"," ",IF(B444="Лікар-педіатр"," ",IF(B444="Лікар-терапевт","х",0)))</f>
        <v>0</v>
      </c>
      <c r="O446" s="199">
        <f>IF(B444="Лікар загальної практики - сімейний лікар"," ",IF(B444="Лікар-педіатр"," ",IF(B444="Лікар-терапевт","х",0)))</f>
        <v>0</v>
      </c>
      <c r="P446" s="199">
        <f>IF(B444="Лікар загальної практики - сімейний лікар"," ",IF(B444="Лікар-педіатр","х",IF(B444="Лікар-терапевт"," ",0)))</f>
        <v>0</v>
      </c>
      <c r="Q446" s="199">
        <f>IF(B444="Лікар загальної практики - сімейний лікар"," ",IF(B444="Лікар-педіатр","х",IF(B444="Лікар-терапевт"," ",0)))</f>
        <v>0</v>
      </c>
      <c r="R446" s="199">
        <f>IF(B444="Лікар загальної практики - сімейний лікар"," ",IF(B444="Лікар-педіатр","х",IF(B444="Лікар-терапевт"," ",0)))</f>
        <v>0</v>
      </c>
      <c r="S446" s="200">
        <f>SUM(N446:R446)</f>
        <v>0</v>
      </c>
      <c r="T446" s="942"/>
      <c r="U446" s="199">
        <f>IF(B444="Лікар загальної практики - сімейний лікар"," ",IF(B444="Лікар-педіатр"," ",IF(B444="Лікар-терапевт","х",0)))</f>
        <v>0</v>
      </c>
      <c r="V446" s="199">
        <f>IF(B444="Лікар загальної практики - сімейний лікар"," ",IF(B444="Лікар-педіатр"," ",IF(B444="Лікар-терапевт","х",0)))</f>
        <v>0</v>
      </c>
      <c r="W446" s="199">
        <f>IF(B444="Лікар загальної практики - сімейний лікар"," ",IF(B444="Лікар-педіатр","х",IF(B444="Лікар-терапевт"," ",0)))</f>
        <v>0</v>
      </c>
      <c r="X446" s="199">
        <f>IF(B444="Лікар загальної практики - сімейний лікар"," ",IF(B444="Лікар-педіатр","х",IF(B444="Лікар-терапевт"," ",0)))</f>
        <v>0</v>
      </c>
      <c r="Y446" s="199">
        <f>IF(B444="Лікар загальної практики - сімейний лікар"," ",IF(B444="Лікар-педіатр","х",IF(B444="Лікар-терапевт"," ",0)))</f>
        <v>0</v>
      </c>
      <c r="Z446" s="200">
        <f>SUM(U446:Y446)</f>
        <v>0</v>
      </c>
      <c r="AA446" s="942"/>
      <c r="AB446" s="199">
        <f>IF(B444="Лікар загальної практики - сімейний лікар"," ",IF(B444="Лікар-педіатр"," ",IF(B444="Лікар-терапевт","х",0)))</f>
        <v>0</v>
      </c>
      <c r="AC446" s="199">
        <f>IF(B444="Лікар загальної практики - сімейний лікар"," ",IF(B444="Лікар-педіатр"," ",IF(B444="Лікар-терапевт","х",0)))</f>
        <v>0</v>
      </c>
      <c r="AD446" s="199">
        <f>IF(B444="Лікар загальної практики - сімейний лікар"," ",IF(B444="Лікар-педіатр","х",IF(B444="Лікар-терапевт"," ",0)))</f>
        <v>0</v>
      </c>
      <c r="AE446" s="199">
        <f>IF(B444="Лікар загальної практики - сімейний лікар"," ",IF(B444="Лікар-педіатр","х",IF(B444="Лікар-терапевт"," ",0)))</f>
        <v>0</v>
      </c>
      <c r="AF446" s="199">
        <f>IF(B444="Лікар загальної практики - сімейний лікар"," ",IF(B444="Лікар-педіатр","х",IF(B444="Лікар-терапевт"," ",0)))</f>
        <v>0</v>
      </c>
      <c r="AG446" s="200">
        <f>SUM(AB446:AF446)</f>
        <v>0</v>
      </c>
      <c r="AH446" s="942"/>
      <c r="AI446" s="201"/>
      <c r="AJ446" s="945"/>
      <c r="AK446" s="960"/>
      <c r="AL446" s="960"/>
      <c r="AM446" s="930"/>
      <c r="AN446" s="948"/>
      <c r="AO446" s="948"/>
      <c r="AP446" s="948"/>
      <c r="AQ446" s="948"/>
      <c r="AR446" s="963"/>
    </row>
    <row r="447" spans="1:44" s="90" customFormat="1" ht="31.9" hidden="1" customHeight="1" thickBot="1">
      <c r="A447" s="240"/>
      <c r="B447" s="951"/>
      <c r="C447" s="954"/>
      <c r="D447" s="957"/>
      <c r="E447" s="939"/>
      <c r="F447" s="236" t="s">
        <v>426</v>
      </c>
      <c r="G447" s="203">
        <f>IF($B$444="Лікар-педіатр",G446/L446,IF($B$444="Лікар-терапевт","х",IF($B$444="Лікар загальної практики - сімейний лікар",G446/L446,0)))</f>
        <v>0</v>
      </c>
      <c r="H447" s="203">
        <f>IF($B$444="Лікар-педіатр",H446/L446,IF($B$444="Лікар-терапевт","х",IF($B$444="Лікар загальної практики - сімейний лікар",H446/L446,0)))</f>
        <v>0</v>
      </c>
      <c r="I447" s="203">
        <f>IF($B$444="Лікар-педіатр","x",IF($B$444="Лікар-терапевт",I446/L446,IF($B$444="Лікар загальної практики - сімейний лікар",I446/L446,0)))</f>
        <v>0</v>
      </c>
      <c r="J447" s="203">
        <f>IF($B$444="Лікар-педіатр","x",IF($B$444="Лікар-терапевт",J446/L446,IF($B$444="Лікар загальної практики - сімейний лікар",J446/L446,0)))</f>
        <v>0</v>
      </c>
      <c r="K447" s="203">
        <f>IF($B$444="Лікар-педіатр","x",IF($B$444="Лікар-терапевт",K446/L446,IF($B$444="Лікар загальної практики - сімейний лікар",K446/L446,0)))</f>
        <v>0</v>
      </c>
      <c r="L447" s="203">
        <f>SUM(G447:K447)</f>
        <v>0</v>
      </c>
      <c r="M447" s="942"/>
      <c r="N447" s="203">
        <f>IF($B$444="Лікар-педіатр",N446/S446,IF($B$444="Лікар-терапевт","х",IF($B$444="Лікар загальної практики - сімейний лікар",N446/S446,0)))</f>
        <v>0</v>
      </c>
      <c r="O447" s="203">
        <f>IF($B$444="Лікар-педіатр",O446/S446,IF($B$444="Лікар-терапевт","х",IF($B$444="Лікар загальної практики - сімейний лікар",O446/S446,0)))</f>
        <v>0</v>
      </c>
      <c r="P447" s="203">
        <f>IF($B$444="Лікар-педіатр","x",IF($B$444="Лікар-терапевт",P446/S446,IF($B$444="Лікар загальної практики - сімейний лікар",P446/S446,0)))</f>
        <v>0</v>
      </c>
      <c r="Q447" s="203">
        <f>IF($B$444="Лікар-педіатр","x",IF($B$444="Лікар-терапевт",Q446/S446,IF($B$444="Лікар загальної практики - сімейний лікар",Q446/S446,0)))</f>
        <v>0</v>
      </c>
      <c r="R447" s="203">
        <f>IF($B$444="Лікар-педіатр","x",IF($B$444="Лікар-терапевт",R446/S446,IF($B$444="Лікар загальної практики - сімейний лікар",R446/S446,0)))</f>
        <v>0</v>
      </c>
      <c r="S447" s="203">
        <f>SUM(N447:R447)</f>
        <v>0</v>
      </c>
      <c r="T447" s="942"/>
      <c r="U447" s="203">
        <f>IF($B$444="Лікар-педіатр",U446/Z446,IF($B$444="Лікар-терапевт","х",IF($B$444="Лікар загальної практики - сімейний лікар",U446/Z446,0)))</f>
        <v>0</v>
      </c>
      <c r="V447" s="203">
        <f>IF($B$444="Лікар-педіатр",V446/Z446,IF($B$444="Лікар-терапевт","х",IF($B$444="Лікар загальної практики - сімейний лікар",V446/Z446,0)))</f>
        <v>0</v>
      </c>
      <c r="W447" s="203">
        <f>IF($B$444="Лікар-педіатр","x",IF($B$444="Лікар-терапевт",W446/Z446,IF($B$444="Лікар загальної практики - сімейний лікар",W446/Z446,0)))</f>
        <v>0</v>
      </c>
      <c r="X447" s="203">
        <f>IF($B$444="Лікар-педіатр","x",IF($B$444="Лікар-терапевт",X446/Z446,IF($B$444="Лікар загальної практики - сімейний лікар",X446/Z446,0)))</f>
        <v>0</v>
      </c>
      <c r="Y447" s="203">
        <f>IF($B$444="Лікар-педіатр","x",IF($B$444="Лікар-терапевт",Y446/Z446,IF($B$444="Лікар загальної практики - сімейний лікар",Y446/Z446,0)))</f>
        <v>0</v>
      </c>
      <c r="Z447" s="203">
        <f>SUM(U447:Y447)</f>
        <v>0</v>
      </c>
      <c r="AA447" s="942"/>
      <c r="AB447" s="203">
        <f>IF($B$444="Лікар-педіатр",AB446/AG446,IF($B$444="Лікар-терапевт","х",IF($B$444="Лікар загальної практики - сімейний лікар",AB446/AG446,0)))</f>
        <v>0</v>
      </c>
      <c r="AC447" s="203">
        <f>IF($B$444="Лікар-педіатр",AC446/AG446,IF($B$444="Лікар-терапевт","х",IF($B$444="Лікар загальної практики - сімейний лікар",AC446/AG446,0)))</f>
        <v>0</v>
      </c>
      <c r="AD447" s="203">
        <f>IF($B$444="Лікар-педіатр","x",IF($B$444="Лікар-терапевт",AD446/AG446,IF($B$444="Лікар загальної практики - сімейний лікар",AD446/AG446,0)))</f>
        <v>0</v>
      </c>
      <c r="AE447" s="203">
        <f>IF($B$444="Лікар-педіатр","x",IF($B$444="Лікар-терапевт",AE446/AG446,IF($B$444="Лікар загальної практики - сімейний лікар",AE446/AG446,0)))</f>
        <v>0</v>
      </c>
      <c r="AF447" s="203">
        <f>IF($B$444="Лікар-педіатр","x",IF($B$444="Лікар-терапевт",AF446/AG446,IF($B$444="Лікар загальної практики - сімейний лікар",AF446/AG446,0)))</f>
        <v>0</v>
      </c>
      <c r="AG447" s="203">
        <f>SUM(AB447:AF447)</f>
        <v>0</v>
      </c>
      <c r="AH447" s="942"/>
      <c r="AI447" s="242"/>
      <c r="AJ447" s="945"/>
      <c r="AK447" s="960"/>
      <c r="AL447" s="960"/>
      <c r="AM447" s="930"/>
      <c r="AN447" s="948"/>
      <c r="AO447" s="948"/>
      <c r="AP447" s="948"/>
      <c r="AQ447" s="948"/>
      <c r="AR447" s="963"/>
    </row>
    <row r="448" spans="1:44" s="50" customFormat="1" ht="45" hidden="1" customHeight="1" thickBot="1">
      <c r="A448" s="197"/>
      <c r="B448" s="951"/>
      <c r="C448" s="954"/>
      <c r="D448" s="957"/>
      <c r="E448" s="939"/>
      <c r="F448" s="204" t="s">
        <v>662</v>
      </c>
      <c r="G448" s="205">
        <f>IF($B$444="Лікар загальної практики - сімейний лікар",AVERAGE(G444:G446),IF($B$444="Лікар-педіатр",AVERAGE(G444:G446),IF($B$444="Лікар-терапевт","х",0)))</f>
        <v>0</v>
      </c>
      <c r="H448" s="205">
        <f>IF($B$444="Лікар загальної практики - сімейний лікар",AVERAGE(H444:H446),IF($B$444="Лікар-педіатр",AVERAGE(H444:H446),IF($B$444="Лікар-терапевт","х",0)))</f>
        <v>0</v>
      </c>
      <c r="I448" s="205">
        <f>IF($B$444="Лікар загальної практики - сімейний лікар",AVERAGE(I444:I446),IF($B$444="Лікар-педіатр","x",IF($B$444="Лікар-терапевт",AVERAGE(I444:I446),0)))</f>
        <v>0</v>
      </c>
      <c r="J448" s="205">
        <f>IF($B$444="Лікар загальної практики - сімейний лікар",AVERAGE(J444:J446),IF($B$444="Лікар-педіатр","x",IF($B$444="Лікар-терапевт",AVERAGE(J444:J446),0)))</f>
        <v>0</v>
      </c>
      <c r="K448" s="205">
        <f>IF($B$444="Лікар загальної практики - сімейний лікар",AVERAGE(K444:K446),IF($B$444="Лікар-педіатр","x",IF($B$444="Лікар-терапевт",AVERAGE(K444:K446),0)))</f>
        <v>0</v>
      </c>
      <c r="L448" s="206">
        <f>SUM(G448:K448)</f>
        <v>0</v>
      </c>
      <c r="M448" s="942"/>
      <c r="N448" s="205">
        <f>IF($B$444="Лікар загальної практики - сімейний лікар",AVERAGE(N444:N446),IF($B$444="Лікар-педіатр",AVERAGE(N444:N446),IF($B$444="Лікар-терапевт","х",0)))</f>
        <v>0</v>
      </c>
      <c r="O448" s="205">
        <f>IF($B$444="Лікар загальної практики - сімейний лікар",AVERAGE(O444:O446),IF($B$444="Лікар-педіатр",AVERAGE(O444:O446),IF($B$444="Лікар-терапевт","х",0)))</f>
        <v>0</v>
      </c>
      <c r="P448" s="205">
        <f>IF($B$444="Лікар загальної практики - сімейний лікар",AVERAGE(P444:P446),IF($B$444="Лікар-педіатр","x",IF($B$444="Лікар-терапевт",AVERAGE(P444:P446),0)))</f>
        <v>0</v>
      </c>
      <c r="Q448" s="205">
        <f>IF($B$444="Лікар загальної практики - сімейний лікар",AVERAGE(Q444:Q446),IF($B$444="Лікар-педіатр","x",IF($B$444="Лікар-терапевт",AVERAGE(Q444:Q446),0)))</f>
        <v>0</v>
      </c>
      <c r="R448" s="205">
        <f>IF($B$444="Лікар загальної практики - сімейний лікар",AVERAGE(R444:R446),IF($B$444="Лікар-педіатр","x",IF($B$444="Лікар-терапевт",AVERAGE(R444:R446),0)))</f>
        <v>0</v>
      </c>
      <c r="S448" s="206">
        <f>SUM(N448:R448)</f>
        <v>0</v>
      </c>
      <c r="T448" s="942"/>
      <c r="U448" s="205">
        <f>IF($B$444="Лікар загальної практики - сімейний лікар",AVERAGE(U444:U446),IF($B$444="Лікар-педіатр",AVERAGE(U444:U446),IF($B$444="Лікар-терапевт","х",0)))</f>
        <v>0</v>
      </c>
      <c r="V448" s="205">
        <f>IF($B$444="Лікар загальної практики - сімейний лікар",AVERAGE(V444:V446),IF($B$444="Лікар-педіатр",AVERAGE(V444:V446),IF($B$444="Лікар-терапевт","х",0)))</f>
        <v>0</v>
      </c>
      <c r="W448" s="205">
        <f>IF($B$444="Лікар загальної практики - сімейний лікар",AVERAGE(W444:W446),IF($B$444="Лікар-педіатр","x",IF($B$444="Лікар-терапевт",AVERAGE(W444:W446),0)))</f>
        <v>0</v>
      </c>
      <c r="X448" s="205">
        <f>IF($B$444="Лікар загальної практики - сімейний лікар",AVERAGE(X444:X446),IF($B$444="Лікар-педіатр","x",IF($B$444="Лікар-терапевт",AVERAGE(X444:X446),0)))</f>
        <v>0</v>
      </c>
      <c r="Y448" s="205">
        <f>IF($B$444="Лікар загальної практики - сімейний лікар",AVERAGE(Y444:Y446),IF($B$444="Лікар-педіатр","x",IF($B$444="Лікар-терапевт",AVERAGE(Y444:Y446),0)))</f>
        <v>0</v>
      </c>
      <c r="Z448" s="206">
        <f>SUM(U448:Y448)</f>
        <v>0</v>
      </c>
      <c r="AA448" s="942"/>
      <c r="AB448" s="205">
        <f>IF($B$444="Лікар загальної практики - сімейний лікар",AVERAGE(AB444:AB446),IF($B$444="Лікар-педіатр",AVERAGE(AB444:AB446),IF($B$444="Лікар-терапевт","х",0)))</f>
        <v>0</v>
      </c>
      <c r="AC448" s="205">
        <f>IF($B$444="Лікар загальної практики - сімейний лікар",AVERAGE(AC444:AC446),IF($B$444="Лікар-педіатр",AVERAGE(AC444:AC446),IF($B$444="Лікар-терапевт","х",0)))</f>
        <v>0</v>
      </c>
      <c r="AD448" s="205">
        <f>IF($B$444="Лікар загальної практики - сімейний лікар",AVERAGE(AD444:AD446),IF($B$444="Лікар-педіатр","x",IF($B$444="Лікар-терапевт",AVERAGE(AD444:AD446),0)))</f>
        <v>0</v>
      </c>
      <c r="AE448" s="205">
        <f>IF($B$444="Лікар загальної практики - сімейний лікар",AVERAGE(AE444:AE446),IF($B$444="Лікар-педіатр","x",IF($B$444="Лікар-терапевт",AVERAGE(AE444:AE446),0)))</f>
        <v>0</v>
      </c>
      <c r="AF448" s="205">
        <f>IF($B$444="Лікар загальної практики - сімейний лікар",AVERAGE(AF444:AF446),IF($B$444="Лікар-педіатр","x",IF($B$444="Лікар-терапевт",AVERAGE(AF444:AF446),0)))</f>
        <v>0</v>
      </c>
      <c r="AG448" s="206">
        <f>SUM(AB448:AF448)</f>
        <v>0</v>
      </c>
      <c r="AH448" s="942"/>
      <c r="AI448" s="201"/>
      <c r="AJ448" s="945"/>
      <c r="AK448" s="960"/>
      <c r="AL448" s="960"/>
      <c r="AM448" s="931"/>
      <c r="AN448" s="949"/>
      <c r="AO448" s="949"/>
      <c r="AP448" s="949"/>
      <c r="AQ448" s="949"/>
      <c r="AR448" s="964"/>
    </row>
    <row r="449" spans="1:44" s="50" customFormat="1" ht="40.5" hidden="1">
      <c r="A449" s="197"/>
      <c r="B449" s="951"/>
      <c r="C449" s="954"/>
      <c r="D449" s="957"/>
      <c r="E449" s="939"/>
      <c r="F449" s="237" t="str">
        <f ca="1">IF(B444="Лікар-педіатр",Законод!$C$17,IF(B444="Лікар загальної практики - сімейний лікар",Законод!$C$21,IF(B444="Лікар-терапевт",Законод!$C$25,"х")))</f>
        <v>х</v>
      </c>
      <c r="G449" s="208">
        <f ca="1">IF($B$444="Лікар загальної практики - сімейний лікар",IF(L448&lt;=Законод!$C$22,G448,Законод!$C$22*'01_Доходи'!G447),IF($B$444="Лікар-педіатр",IF(L448&lt;=Законод!$C$18,G448,Законод!$C$18*'01_Доходи'!G447),IF($B$444="Лікар-терапевт","x",0)))</f>
        <v>0</v>
      </c>
      <c r="H449" s="208">
        <f ca="1">IF($B$444="Лікар загальної практики - сімейний лікар",IF(L448&lt;=Законод!$C$22,H448,Законод!$C$22*'01_Доходи'!H447),IF($B$444="Лікар-педіатр",IF(L448&lt;=Законод!$C$18,H448,Законод!$C$18*'01_Доходи'!H447),IF($B$444="Лікар-терапевт","x",0)))</f>
        <v>0</v>
      </c>
      <c r="I449" s="208">
        <f ca="1">IF($B$444="Лікар загальної практики - сімейний лікар",IF(L448&lt;=Законод!$C$22,I448,Законод!$C$22*'01_Доходи'!I447),IF($B$444="Лікар-педіатр","x",IF($B$444="Лікар-терапевт",IF(L448&lt;=Законод!$C$26,I448,Законод!$C$26*'01_Доходи'!I447),0)))</f>
        <v>0</v>
      </c>
      <c r="J449" s="208">
        <f ca="1">IF($B$444="Лікар загальної практики - сімейний лікар",IF(L448&lt;=Законод!$C$22,J448,Законод!$C$22*'01_Доходи'!J447),IF($B$444="Лікар-педіатр","x",IF($B$444="Лікар-терапевт",IF(L448&lt;=Законод!$C$26,J448,Законод!$C$26*'01_Доходи'!J447),0)))</f>
        <v>0</v>
      </c>
      <c r="K449" s="208">
        <f ca="1">IF($B$444="Лікар загальної практики - сімейний лікар",IF(L448&lt;=Законод!$C$22,K448,Законод!$C$22*'01_Доходи'!K447),IF($B$444="Лікар-педіатр","x",IF($B$444="Лікар-терапевт",IF(L448&lt;=Законод!$C$26,K448,Законод!$C$26*'01_Доходи'!K447),0)))</f>
        <v>0</v>
      </c>
      <c r="L449" s="209">
        <f ca="1">SUM(G449:K449)</f>
        <v>0</v>
      </c>
      <c r="M449" s="942"/>
      <c r="N449" s="208">
        <f ca="1">IF($B$444="Лікар загальної практики - сімейний лікар",IF(S448&lt;=Законод!$C$22,N448,Законод!$C$22*'01_Доходи'!N447),IF($B$444="Лікар-педіатр",IF(S448&lt;=Законод!$C$18,N448,Законод!$C$18*'01_Доходи'!N447),IF($B$444="Лікар-терапевт","x",0)))</f>
        <v>0</v>
      </c>
      <c r="O449" s="208">
        <f ca="1">IF($B$444="Лікар загальної практики - сімейний лікар",IF(S448&lt;=Законод!$C$22,O448,Законод!$C$22*'01_Доходи'!O447),IF($B$444="Лікар-педіатр",IF(S448&lt;=Законод!$C$18,O448,Законод!$C$18*'01_Доходи'!O447),IF($B$444="Лікар-терапевт","x",0)))</f>
        <v>0</v>
      </c>
      <c r="P449" s="208">
        <f ca="1">IF($B$444="Лікар загальної практики - сімейний лікар",IF(S448&lt;=Законод!$C$22,P448,Законод!$C$22*'01_Доходи'!P447),IF($B$444="Лікар-педіатр","x",IF($B$444="Лікар-терапевт",IF(S448&lt;=Законод!$C$26,P448,Законод!$C$26*'01_Доходи'!P447),0)))</f>
        <v>0</v>
      </c>
      <c r="Q449" s="208">
        <f ca="1">IF($B$444="Лікар загальної практики - сімейний лікар",IF(S448&lt;=Законод!$C$22,Q448,Законод!$C$22*'01_Доходи'!Q447),IF($B$444="Лікар-педіатр","x",IF($B$444="Лікар-терапевт",IF(S448&lt;=Законод!$C$26,Q448,Законод!$C$26*'01_Доходи'!Q447),0)))</f>
        <v>0</v>
      </c>
      <c r="R449" s="208">
        <f ca="1">IF($B$444="Лікар загальної практики - сімейний лікар",IF(S448&lt;=Законод!$C$22,R448,Законод!$C$22*'01_Доходи'!R447),IF($B$444="Лікар-педіатр","x",IF($B$444="Лікар-терапевт",IF(S448&lt;=Законод!$C$26,R448,Законод!$C$26*'01_Доходи'!R447),0)))</f>
        <v>0</v>
      </c>
      <c r="S449" s="209">
        <f ca="1">SUM(N449:R449)</f>
        <v>0</v>
      </c>
      <c r="T449" s="942"/>
      <c r="U449" s="208">
        <f ca="1">IF($B$444="Лікар загальної практики - сімейний лікар",IF(Z448&lt;=Законод!$C$22,U448,Законод!$C$22*'01_Доходи'!U447),IF($B$444="Лікар-педіатр",IF(Z448&lt;=Законод!$C$18,U448,Законод!$C$18*'01_Доходи'!U447),IF($B$444="Лікар-терапевт","x",0)))</f>
        <v>0</v>
      </c>
      <c r="V449" s="208">
        <f ca="1">IF($B$444="Лікар загальної практики - сімейний лікар",IF(Z448&lt;=Законод!$C$22,V448,Законод!$C$22*'01_Доходи'!V447),IF($B$444="Лікар-педіатр",IF(Z448&lt;=Законод!$C$18,V448,Законод!$C$18*'01_Доходи'!V447),IF($B$444="Лікар-терапевт","x",0)))</f>
        <v>0</v>
      </c>
      <c r="W449" s="208">
        <f ca="1">IF($B$444="Лікар загальної практики - сімейний лікар",IF(Z448&lt;=Законод!$C$22,W448,Законод!$C$22*'01_Доходи'!W447),IF($B$444="Лікар-педіатр","x",IF($B$444="Лікар-терапевт",IF(Z448&lt;=Законод!$C$26,W448,Законод!$C$26*'01_Доходи'!W447),0)))</f>
        <v>0</v>
      </c>
      <c r="X449" s="208">
        <f ca="1">IF($B$444="Лікар загальної практики - сімейний лікар",IF(Z448&lt;=Законод!$C$22,X448,Законод!$C$22*'01_Доходи'!X447),IF($B$444="Лікар-педіатр","x",IF($B$444="Лікар-терапевт",IF(Z448&lt;=Законод!$C$26,X448,Законод!$C$26*'01_Доходи'!X447),0)))</f>
        <v>0</v>
      </c>
      <c r="Y449" s="208">
        <f ca="1">IF($B$444="Лікар загальної практики - сімейний лікар",IF(Z448&lt;=Законод!$C$22,Y448,Законод!$C$22*'01_Доходи'!Y447),IF($B$444="Лікар-педіатр","x",IF($B$444="Лікар-терапевт",IF(Z448&lt;=Законод!$C$26,Y448,Законод!$C$26*'01_Доходи'!Y447),0)))</f>
        <v>0</v>
      </c>
      <c r="Z449" s="209">
        <f ca="1">SUM(U449:Y449)</f>
        <v>0</v>
      </c>
      <c r="AA449" s="942"/>
      <c r="AB449" s="208">
        <f ca="1">IF($B$444="Лікар загальної практики - сімейний лікар",IF(AG448&lt;=Законод!$C$22,AB448,Законод!$C$22*'01_Доходи'!AB447),IF($B$444="Лікар-педіатр",IF(AG448&lt;=Законод!$C$18,AB448,Законод!$C$18*'01_Доходи'!AB447),IF($B$444="Лікар-терапевт","x",0)))</f>
        <v>0</v>
      </c>
      <c r="AC449" s="208">
        <f ca="1">IF($B$444="Лікар загальної практики - сімейний лікар",IF(AG448&lt;=Законод!$C$22,AC448,Законод!$C$22*'01_Доходи'!AC447),IF($B$444="Лікар-педіатр",IF(AG448&lt;=Законод!$C$18,AC448,Законод!$C$18*'01_Доходи'!AC447),IF($B$444="Лікар-терапевт","x",0)))</f>
        <v>0</v>
      </c>
      <c r="AD449" s="208">
        <f ca="1">IF($B$444="Лікар загальної практики - сімейний лікар",IF(AG448&lt;=Законод!$C$22,AD448,Законод!$C$22*'01_Доходи'!AD447),IF($B$444="Лікар-педіатр","x",IF($B$444="Лікар-терапевт",IF(AG448&lt;=Законод!$C$26,AD448,Законод!$C$26*'01_Доходи'!AD447),0)))</f>
        <v>0</v>
      </c>
      <c r="AE449" s="208">
        <f ca="1">IF($B$444="Лікар загальної практики - сімейний лікар",IF(AG448&lt;=Законод!$C$22,AE448,Законод!$C$22*'01_Доходи'!AE447),IF($B$444="Лікар-педіатр","x",IF($B$444="Лікар-терапевт",IF(AG448&lt;=Законод!$C$26,AE448,Законод!$C$26*'01_Доходи'!AE447),0)))</f>
        <v>0</v>
      </c>
      <c r="AF449" s="208">
        <f ca="1">IF($B$444="Лікар загальної практики - сімейний лікар",IF(AG448&lt;=Законод!$C$22,AF448,Законод!$C$22*'01_Доходи'!AF447),IF($B$444="Лікар-педіатр","x",IF($B$444="Лікар-терапевт",IF(AG448&lt;=Законод!$C$26,AF448,Законод!$C$26*'01_Доходи'!AF447),0)))</f>
        <v>0</v>
      </c>
      <c r="AG449" s="209">
        <f ca="1">SUM(AB449:AF449)</f>
        <v>0</v>
      </c>
      <c r="AH449" s="942"/>
      <c r="AI449" s="201"/>
      <c r="AJ449" s="945"/>
      <c r="AK449" s="960"/>
      <c r="AL449" s="960"/>
      <c r="AM449" s="348" t="s">
        <v>451</v>
      </c>
      <c r="AN449" s="210">
        <f ca="1">IF(B444="Лікар загальної практики - сімейний лікар",G449*Законод!$C$11+'01_Доходи'!H449*Законод!$D$11+'01_Доходи'!I449*Законод!$E$11+'01_Доходи'!J449*Законод!$F$11+'01_Доходи'!K449*Законод!$G$11,IF(B444="Лікар-педіатр",G449*Законод!$C$11+'01_Доходи'!H449*Законод!$D$11,IF(B444="Лікар-терапевт",'01_Доходи'!I449*Законод!$E$11+'01_Доходи'!J449*Законод!$F$11+'01_Доходи'!K449*Законод!$G$11,0)))</f>
        <v>0</v>
      </c>
      <c r="AO449" s="210">
        <f ca="1">IF(B444="Лікар загальної практики - сімейний лікар",N449*Законод!$C$11+'01_Доходи'!O449*Законод!$D$11+'01_Доходи'!P449*Законод!$E$11+'01_Доходи'!Q449*Законод!$F$11+'01_Доходи'!R449*Законод!$G$11,IF(B444="Лікар-педіатр",N449*Законод!$C$11+'01_Доходи'!O449*Законод!$D$11,IF(B444="Лікар-терапевт",'01_Доходи'!P449*Законод!$E$11+'01_Доходи'!Q449*Законод!$F$11+'01_Доходи'!R449*Законод!$G$11,0)))</f>
        <v>0</v>
      </c>
      <c r="AP449" s="210">
        <f ca="1">IF(B444="Лікар загальної практики - сімейний лікар",U449*Законод!$C$11+'01_Доходи'!V449*Законод!$D$11+'01_Доходи'!W449*Законод!$E$11+'01_Доходи'!X449*Законод!$F$11+'01_Доходи'!Y449*Законод!$G$11,IF(B444="Лікар-педіатр",U449*Законод!$C$11+'01_Доходи'!V449*Законод!$D$11,IF(B444="Лікар-терапевт",'01_Доходи'!W449*Законод!$E$11+'01_Доходи'!X449*Законод!$F$11+'01_Доходи'!Y449*Законод!$G$11,0)))</f>
        <v>0</v>
      </c>
      <c r="AQ449" s="210">
        <f ca="1">IF(B444="Лікар загальної практики - сімейний лікар",AB449*Законод!$C$11+'01_Доходи'!AC449*Законод!$D$11+'01_Доходи'!AD449*Законод!$E$11+'01_Доходи'!AE449*Законод!$F$11+'01_Доходи'!AF449*Законод!$G$11,IF(B444="Лікар-педіатр",AB449*Законод!$C$11+'01_Доходи'!AC449*Законод!$D$11,IF(B444="Лікар-терапевт",'01_Доходи'!AD449*Законод!$E$11+'01_Доходи'!AE449*Законод!$F$11+'01_Доходи'!AF449*Законод!$G$11,0)))</f>
        <v>0</v>
      </c>
      <c r="AR449" s="211">
        <f t="shared" ref="AR449:AR455" si="74">SUM(AN449:AQ449)</f>
        <v>0</v>
      </c>
    </row>
    <row r="450" spans="1:44" s="50" customFormat="1" ht="31.9" hidden="1" customHeight="1">
      <c r="A450" s="197"/>
      <c r="B450" s="951"/>
      <c r="C450" s="954"/>
      <c r="D450" s="957"/>
      <c r="E450" s="939"/>
      <c r="F450" s="238" t="str">
        <f ca="1">IF(B444="Лікар-педіатр",Законод!$E$17,IF(B444="Лікар загальної практики - сімейний лікар",Законод!$E$21,IF(B444="Лікар-терапевт",Законод!$E$25,"х")))</f>
        <v>х</v>
      </c>
      <c r="G450" s="935" t="s">
        <v>423</v>
      </c>
      <c r="H450" s="936"/>
      <c r="I450" s="936"/>
      <c r="J450" s="936"/>
      <c r="K450" s="937"/>
      <c r="L450" s="196">
        <f ca="1">IF($B$444="Лікар загальної практики - сімейний лікар",IF(L448&lt;Законод!$C$22,0,(IF(AND(L448&gt;=Законод!$E$22,L448&lt;=Законод!$E$23),L448-Законод!$C$22,IF('01_Доходи'!L448&gt;=Законод!$F$22,Законод!$E$24,0)))),IF($B$444="Лікар-педіатр",IF(L448&lt;Законод!$C$18,0,(IF(AND(L448&gt;=Законод!$E$18,L448&lt;=Законод!$E$19),L448-Законод!$C$18,IF('01_Доходи'!L448&gt;=Законод!$F$18,Законод!$E$20,0)))),IF($B$444="Лікар-терапевт",IF(L448&lt;Законод!$C$26,0,(IF(AND(L448&gt;=Законод!$E$26,L448&lt;=Законод!$E$27),L448-Законод!$C$26,IF('01_Доходи'!L448&gt;=Законод!$F$26,Законод!$E$28,0)))),0)))</f>
        <v>0</v>
      </c>
      <c r="M450" s="942"/>
      <c r="N450" s="935" t="s">
        <v>423</v>
      </c>
      <c r="O450" s="936"/>
      <c r="P450" s="936"/>
      <c r="Q450" s="936"/>
      <c r="R450" s="937"/>
      <c r="S450" s="196">
        <f ca="1">IF($B$444="Лікар загальної практики - сімейний лікар",IF(S448&lt;Законод!$C$22,0,(IF(AND(S448&gt;=Законод!$E$22,S448&lt;=Законод!$E$23),S448-Законод!$C$22,IF('01_Доходи'!S448&gt;=Законод!$F$22,Законод!$E$24,0)))),IF($B$444="Лікар-педіатр",IF(S448&lt;Законод!$C$18,0,(IF(AND(S448&gt;=Законод!$E$18,S448&lt;=Законод!$E$19),S448-Законод!$C$18,IF('01_Доходи'!S448&gt;=Законод!$F$18,Законод!$E$20,0)))),IF($B$444="Лікар-терапевт",IF(S448&lt;Законод!$C$26,0,(IF(AND(S448&gt;=Законод!$E$26,S448&lt;=Законод!$E$27),S448-Законод!$C$26,IF('01_Доходи'!S448&gt;=Законод!$F$26,Законод!$E$28,0)))),0)))</f>
        <v>0</v>
      </c>
      <c r="T450" s="942"/>
      <c r="U450" s="935" t="s">
        <v>423</v>
      </c>
      <c r="V450" s="936"/>
      <c r="W450" s="936"/>
      <c r="X450" s="936"/>
      <c r="Y450" s="937"/>
      <c r="Z450" s="196">
        <f ca="1">IF($B$444="Лікар загальної практики - сімейний лікар",IF(Z448&lt;Законод!$C$22,0,(IF(AND(Z448&gt;=Законод!$E$22,Z448&lt;=Законод!$E$23),Z448-Законод!$C$22,IF('01_Доходи'!Z448&gt;=Законод!$F$22,Законод!$E$24,0)))),IF($B$444="Лікар-педіатр",IF(Z448&lt;Законод!$C$18,0,(IF(AND(Z448&gt;=Законод!$E$18,Z448&lt;=Законод!$E$19),Z448-Законод!$C$18,IF('01_Доходи'!Z448&gt;=Законод!$F$18,Законод!$E$20,0)))),IF($B$444="Лікар-терапевт",IF(Z448&lt;Законод!$C$26,0,(IF(AND(Z448&gt;=Законод!$E$26,Z448&lt;=Законод!$E$27),Z448-Законод!$C$26,IF('01_Доходи'!Z448&gt;=Законод!$F$26,Законод!$E$28,0)))),0)))</f>
        <v>0</v>
      </c>
      <c r="AA450" s="942"/>
      <c r="AB450" s="935" t="s">
        <v>423</v>
      </c>
      <c r="AC450" s="936"/>
      <c r="AD450" s="936"/>
      <c r="AE450" s="936"/>
      <c r="AF450" s="937"/>
      <c r="AG450" s="196">
        <f ca="1">IF($B$444="Лікар загальної практики - сімейний лікар",IF(AG448&lt;Законод!$C$22,0,(IF(AND(AG448&gt;=Законод!$E$22,AG448&lt;=Законод!$E$23),AG448-Законод!$C$22,IF('01_Доходи'!AG448&gt;=Законод!$F$22,Законод!$E$24,0)))),IF($B$444="Лікар-педіатр",IF(AG448&lt;Законод!$C$18,0,(IF(AND(AG448&gt;=Законод!$E$18,AG448&lt;=Законод!$E$19),AG448-Законод!$C$18,IF('01_Доходи'!AG448&gt;=Законод!$F$18,Законод!$E$20,0)))),IF($B$444="Лікар-терапевт",IF(AG448&lt;Законод!$C$26,0,(IF(AND(AG448&gt;=Законод!$E$26,AG448&lt;=Законод!$E$27),AG448-Законод!$C$26,IF('01_Доходи'!AG448&gt;=Законод!$F$26,Законод!$E$28,0)))),0)))</f>
        <v>0</v>
      </c>
      <c r="AH450" s="942"/>
      <c r="AI450" s="201"/>
      <c r="AJ450" s="945"/>
      <c r="AK450" s="960"/>
      <c r="AL450" s="960"/>
      <c r="AM450" s="926" t="s">
        <v>452</v>
      </c>
      <c r="AN450" s="210">
        <f ca="1">IF(B444="Лікар загальної практики - сімейний лікар",L450*Законод!$C$9/4*Законод!$E$16,IF(B444="Лікар-педіатр",L450*Законод!$C$9/4*Законод!$E$16,IF(B444="Лікар-терапевт",L450*Законод!$C$9/4*Законод!$E$16,0)))</f>
        <v>0</v>
      </c>
      <c r="AO450" s="210">
        <f ca="1">IF(B444="Лікар загальної практики - сімейний лікар",S450*Законод!$C$9/4*Законод!$E$16,IF(B444="Лікар-педіатр",S450*Законод!$C$9/4*Законод!$E$16,IF(B444="Лікар-терапевт",S450*Законод!$C$9/4*Законод!$E$16,0)))</f>
        <v>0</v>
      </c>
      <c r="AP450" s="210">
        <f ca="1">IF(B444="Лікар загальної практики - сімейний лікар",Z450*Законод!$C$9/4*Законод!$E$16,IF(B444="Лікар-педіатр",Z450*Законод!$C$9/4*Законод!$E$16,IF(B444="Лікар-терапевт",Z450*Законод!$C$9/4*Законод!$E$16,0)))</f>
        <v>0</v>
      </c>
      <c r="AQ450" s="210">
        <f ca="1">IF(B444="Лікар загальної практики - сімейний лікар",AG450*Законод!$C$9/4*Законод!$E$16,IF(B444="Лікар-педіатр",AG450*Законод!$C$9/4*Законод!$E$16,IF(B444="Лікар-терапевт",AG450*Законод!$C$9/4*Законод!$E$16,0)))</f>
        <v>0</v>
      </c>
      <c r="AR450" s="211">
        <f t="shared" si="74"/>
        <v>0</v>
      </c>
    </row>
    <row r="451" spans="1:44" s="50" customFormat="1" ht="31.9" hidden="1" customHeight="1">
      <c r="A451" s="197"/>
      <c r="B451" s="951"/>
      <c r="C451" s="954"/>
      <c r="D451" s="957"/>
      <c r="E451" s="939"/>
      <c r="F451" s="238" t="str">
        <f ca="1">IF(B444="Лікар-педіатр",Законод!$F$17,IF(B444="Лікар загальної практики - сімейний лікар",Законод!$F$21,IF(B444="Лікар-терапевт",Законод!$F$25,"х")))</f>
        <v>х</v>
      </c>
      <c r="G451" s="935" t="s">
        <v>423</v>
      </c>
      <c r="H451" s="936"/>
      <c r="I451" s="936"/>
      <c r="J451" s="936"/>
      <c r="K451" s="937"/>
      <c r="L451" s="196">
        <f ca="1">IF($B$444="Лікар загальної практики - сімейний лікар",IF(L448&lt;Законод!$C$22,0,(IF(AND(L448&gt;=Законод!$F$22,L448&lt;=Законод!$F$23),L448-Законод!$E$23,IF('01_Доходи'!L448&gt;=Законод!$G$22,Законод!$F$24,0)))),IF($B$444="Лікар-педіатр",IF(L448&lt;Законод!$C$18,0,(IF(AND(L448&gt;=Законод!$F$18,L448&lt;=Законод!$F$19),L448-Законод!$E$19,IF('01_Доходи'!L448&gt;=Законод!$G$18,Законод!$F$20,0)))),IF($B$444="Лікар-терапевт",IF(L448&lt;Законод!$C$26,0,(IF(AND(L448&gt;=Законод!$F$26,L448&lt;=Законод!$F$27),L448-Законод!$E$27,IF('01_Доходи'!L448&gt;=Законод!$G$26,Законод!$F$28,0)))),0)))</f>
        <v>0</v>
      </c>
      <c r="M451" s="942"/>
      <c r="N451" s="935" t="s">
        <v>423</v>
      </c>
      <c r="O451" s="936"/>
      <c r="P451" s="936"/>
      <c r="Q451" s="936"/>
      <c r="R451" s="937"/>
      <c r="S451" s="196">
        <f ca="1">IF($B$444="Лікар загальної практики - сімейний лікар",IF(S448&lt;Законод!$C$22,0,(IF(AND(S448&gt;=Законод!$F$22,S448&lt;=Законод!$F$23),S448-Законод!$E$23,IF('01_Доходи'!S448&gt;=Законод!$G$22,Законод!$F$24,0)))),IF($B$444="Лікар-педіатр",IF(S448&lt;Законод!$C$18,0,(IF(AND(S448&gt;=Законод!$F$18,S448&lt;=Законод!$F$19),S448-Законод!$E$19,IF('01_Доходи'!S448&gt;=Законод!$G$18,Законод!$F$20,0)))),IF($B$444="Лікар-терапевт",IF(S448&lt;Законод!$C$26,0,(IF(AND(S448&gt;=Законод!$F$26,S448&lt;=Законод!$F$27),S448-Законод!$E$27,IF('01_Доходи'!S448&gt;=Законод!$G$26,Законод!$F$28,0)))),0)))</f>
        <v>0</v>
      </c>
      <c r="T451" s="942"/>
      <c r="U451" s="935" t="s">
        <v>423</v>
      </c>
      <c r="V451" s="936"/>
      <c r="W451" s="936"/>
      <c r="X451" s="936"/>
      <c r="Y451" s="937"/>
      <c r="Z451" s="196">
        <f ca="1">IF($B$444="Лікар загальної практики - сімейний лікар",IF(Z448&lt;Законод!$C$22,0,(IF(AND(Z448&gt;=Законод!$F$22,Z448&lt;=Законод!$F$23),Z448-Законод!$E$23,IF('01_Доходи'!Z448&gt;=Законод!$G$22,Законод!$F$24,0)))),IF($B$444="Лікар-педіатр",IF(Z448&lt;Законод!$C$18,0,(IF(AND(Z448&gt;=Законод!$F$18,Z448&lt;=Законод!$F$19),Z448-Законод!$E$19,IF('01_Доходи'!Z448&gt;=Законод!$G$18,Законод!$F$20,0)))),IF($B$444="Лікар-терапевт",IF(Z448&lt;Законод!$C$26,0,(IF(AND(Z448&gt;=Законод!$F$26,Z448&lt;=Законод!$F$27),Z448-Законод!$E$27,IF('01_Доходи'!Z448&gt;=Законод!$G$26,Законод!$F$28,0)))),0)))</f>
        <v>0</v>
      </c>
      <c r="AA451" s="942"/>
      <c r="AB451" s="935" t="s">
        <v>423</v>
      </c>
      <c r="AC451" s="936"/>
      <c r="AD451" s="936"/>
      <c r="AE451" s="936"/>
      <c r="AF451" s="937"/>
      <c r="AG451" s="196">
        <f ca="1">IF($B$444="Лікар загальної практики - сімейний лікар",IF(AG448&lt;Законод!$C$22,0,(IF(AND(AG448&gt;=Законод!$F$22,AG448&lt;=Законод!$F$23),AG448-Законод!$E$23,IF('01_Доходи'!AG448&gt;=Законод!$G$22,Законод!$F$24,0)))),IF($B$444="Лікар-педіатр",IF(AG448&lt;Законод!$C$18,0,(IF(AND(AG448&gt;=Законод!$F$18,AG448&lt;=Законод!$F$19),AG448-Законод!$E$19,IF('01_Доходи'!AG448&gt;=Законод!$G$18,Законод!$F$20,0)))),IF($B$444="Лікар-терапевт",IF(AG448&lt;Законод!$C$26,0,(IF(AND(AG448&gt;=Законод!$F$26,AG448&lt;=Законод!$F$27),AG448-Законод!$E$27,IF('01_Доходи'!AG448&gt;=Законод!$G$26,Законод!$F$28,0)))),0)))</f>
        <v>0</v>
      </c>
      <c r="AH451" s="942"/>
      <c r="AI451" s="201"/>
      <c r="AJ451" s="945"/>
      <c r="AK451" s="960"/>
      <c r="AL451" s="960"/>
      <c r="AM451" s="927"/>
      <c r="AN451" s="210">
        <f ca="1">IF(B444="Лікар загальної практики - сімейний лікар",L451*Законод!$C$9/4*Законод!$F$16,IF(B444="Лікар-педіатр",L451*Законод!$C$9/4*Законод!$F$16,IF(B444="Лікар-терапевт",L451*Законод!$C$9/4*Законод!$F$16,0)))</f>
        <v>0</v>
      </c>
      <c r="AO451" s="210">
        <f ca="1">IF(B444="Лікар загальної практики - сімейний лікар",S451*Законод!$C$9/4*Законод!$F$16,IF(B444="Лікар-педіатр",S451*Законод!$C$9/4*Законод!$F$16,IF(B444="Лікар-терапевт",S451*Законод!$C$9/4*Законод!$F$16,0)))</f>
        <v>0</v>
      </c>
      <c r="AP451" s="210">
        <f ca="1">IF(B444="Лікар загальної практики - сімейний лікар",Z451*Законод!$C$9/4*Законод!$F$16,IF(B444="Лікар-педіатр",Z451*Законод!$C$9/4*Законод!$F$16,IF(B444="Лікар-терапевт",Z451*Законод!$C$9/4*Законод!$F$16,0)))</f>
        <v>0</v>
      </c>
      <c r="AQ451" s="210">
        <f ca="1">IF(B444="Лікар загальної практики - сімейний лікар",AG451*Законод!$C$9/4*Законод!$F$16,IF(B444="Лікар-педіатр",AG451*Законод!$C$9/4*Законод!$F$16,IF(B444="Лікар-терапевт",AG451*Законод!$C$9/4*Законод!$F$16,0)))</f>
        <v>0</v>
      </c>
      <c r="AR451" s="211">
        <f t="shared" si="74"/>
        <v>0</v>
      </c>
    </row>
    <row r="452" spans="1:44" s="50" customFormat="1" ht="31.9" hidden="1" customHeight="1">
      <c r="A452" s="197"/>
      <c r="B452" s="951"/>
      <c r="C452" s="954"/>
      <c r="D452" s="957"/>
      <c r="E452" s="939"/>
      <c r="F452" s="238" t="str">
        <f ca="1">IF(B444="Лікар-педіатр",Законод!$G$17,IF(B444="Лікар загальної практики - сімейний лікар",Законод!$G$21,IF(B444="Лікар-терапевт",Законод!$G$25,"х")))</f>
        <v>х</v>
      </c>
      <c r="G452" s="935" t="s">
        <v>423</v>
      </c>
      <c r="H452" s="936"/>
      <c r="I452" s="936"/>
      <c r="J452" s="936"/>
      <c r="K452" s="937"/>
      <c r="L452" s="196">
        <f ca="1">IF($B$444="Лікар загальної практики - сімейний лікар",IF(L448&lt;Законод!$C$22,0,(IF(AND(L448&gt;=Законод!$G$22,L448&lt;=Законод!$G$23),L448-Законод!$F$23,IF('01_Доходи'!L448&gt;=Законод!$H$22,Законод!$G$24,0)))),IF($B$444="Лікар-педіатр",IF(L448&lt;Законод!$C$18,0,(IF(AND(L448&gt;=Законод!$G$18,L448&lt;=Законод!$G$19),L448-Законод!$F$19,IF('01_Доходи'!L448&gt;=Законод!$H$18,Законод!$G$20,0)))),IF($B$444="Лікар-терапевт",IF(L448&lt;Законод!$C$26,0,(IF(AND(L448&gt;=Законод!$G$26,L448&lt;=Законод!$G$27),L448-Законод!$F$27,IF('01_Доходи'!L448&gt;=Законод!$H$26,Законод!$G$28,0)))),0)))</f>
        <v>0</v>
      </c>
      <c r="M452" s="942"/>
      <c r="N452" s="935" t="s">
        <v>423</v>
      </c>
      <c r="O452" s="936"/>
      <c r="P452" s="936"/>
      <c r="Q452" s="936"/>
      <c r="R452" s="937"/>
      <c r="S452" s="196">
        <f ca="1">IF($B$444="Лікар загальної практики - сімейний лікар",IF(S448&lt;Законод!$C$22,0,(IF(AND(S448&gt;=Законод!$G$22,S448&lt;=Законод!$G$23),S448-Законод!$F$23,IF('01_Доходи'!S448&gt;=Законод!$H$22,Законод!$G$24,0)))),IF($B$444="Лікар-педіатр",IF(S448&lt;Законод!$C$18,0,(IF(AND(S448&gt;=Законод!$G$18,S448&lt;=Законод!$G$19),S448-Законод!$F$19,IF('01_Доходи'!S448&gt;=Законод!$H$18,Законод!$G$20,0)))),IF($B$444="Лікар-терапевт",IF(S448&lt;Законод!$C$26,0,(IF(AND(S448&gt;=Законод!$G$26,S448&lt;=Законод!$G$27),S448-Законод!$F$27,IF('01_Доходи'!S448&gt;=Законод!$H$26,Законод!$G$28,0)))),0)))</f>
        <v>0</v>
      </c>
      <c r="T452" s="942"/>
      <c r="U452" s="935" t="s">
        <v>423</v>
      </c>
      <c r="V452" s="936"/>
      <c r="W452" s="936"/>
      <c r="X452" s="936"/>
      <c r="Y452" s="937"/>
      <c r="Z452" s="196">
        <f ca="1">IF($B$444="Лікар загальної практики - сімейний лікар",IF(Z448&lt;Законод!$C$22,0,(IF(AND(Z448&gt;=Законод!$G$22,Z448&lt;=Законод!$G$23),Z448-Законод!$F$23,IF('01_Доходи'!Z448&gt;=Законод!$H$22,Законод!$G$24,0)))),IF($B$444="Лікар-педіатр",IF(Z448&lt;Законод!$C$18,0,(IF(AND(Z448&gt;=Законод!$G$18,Z448&lt;=Законод!$G$19),Z448-Законод!$F$19,IF('01_Доходи'!Z448&gt;=Законод!$H$18,Законод!$G$20,0)))),IF($B$444="Лікар-терапевт",IF(Z448&lt;Законод!$C$26,0,(IF(AND(Z448&gt;=Законод!$G$26,Z448&lt;=Законод!$G$27),Z448-Законод!$F$27,IF('01_Доходи'!Z448&gt;=Законод!$H$26,Законод!$G$28,0)))),0)))</f>
        <v>0</v>
      </c>
      <c r="AA452" s="942"/>
      <c r="AB452" s="935" t="s">
        <v>423</v>
      </c>
      <c r="AC452" s="936"/>
      <c r="AD452" s="936"/>
      <c r="AE452" s="936"/>
      <c r="AF452" s="937"/>
      <c r="AG452" s="196">
        <f ca="1">IF($B$444="Лікар загальної практики - сімейний лікар",IF(AG448&lt;Законод!$C$22,0,(IF(AND(AG448&gt;=Законод!$G$22,AG448&lt;=Законод!$G$23),AG448-Законод!$F$23,IF('01_Доходи'!AG448&gt;=Законод!$H$22,Законод!$G$24,0)))),IF($B$444="Лікар-педіатр",IF(AG448&lt;Законод!$C$18,0,(IF(AND(AG448&gt;=Законод!$G$18,AG448&lt;=Законод!$G$19),AG448-Законод!$F$19,IF('01_Доходи'!AG448&gt;=Законод!$H$18,Законод!$G$20,0)))),IF($B$444="Лікар-терапевт",IF(AG448&lt;Законод!$C$26,0,(IF(AND(AG448&gt;=Законод!$G$26,AG448&lt;=Законод!$G$27),AG448-Законод!$F$27,IF('01_Доходи'!AG448&gt;=Законод!$H$26,Законод!$G$28,0)))),0)))</f>
        <v>0</v>
      </c>
      <c r="AH452" s="942"/>
      <c r="AI452" s="201"/>
      <c r="AJ452" s="945"/>
      <c r="AK452" s="960"/>
      <c r="AL452" s="960"/>
      <c r="AM452" s="927"/>
      <c r="AN452" s="210">
        <f ca="1">IF(B444="Лікар загальної практики - сімейний лікар",L452*Законод!$C$9/4*Законод!$G$16,IF(B444="Лікар-педіатр",L452*Законод!$C$9/4*Законод!$G$16,IF(B444="Лікар-терапевт",L452*Законод!$C$9/4*Законод!$G$16,0)))</f>
        <v>0</v>
      </c>
      <c r="AO452" s="210">
        <f ca="1">IF(B444="Лікар загальної практики - сімейний лікар",S452*Законод!$C$9/4*Законод!$G$16,IF(B444="Лікар-педіатр",S452*Законод!$C$9/4*Законод!$G$16,IF(B444="Лікар-терапевт",S452*Законод!$C$9/4*Законод!$G$16,0)))</f>
        <v>0</v>
      </c>
      <c r="AP452" s="210">
        <f ca="1">IF(B444="Лікар загальної практики - сімейний лікар",Z452*Законод!$C$9/4*Законод!$G$16,IF(B444="Лікар-педіатр",Z452*Законод!$C$9/4*Законод!$G$16,IF(B444="Лікар-терапевт",Z452*Законод!$C$9/4*Законод!$G$16,0)))</f>
        <v>0</v>
      </c>
      <c r="AQ452" s="210">
        <f ca="1">IF(B444="Лікар загальної практики - сімейний лікар",AG452*Законод!$C$9/4*Законод!$G$16,IF(B444="Лікар-педіатр",AG452*Законод!$C$9/4*Законод!$G$16,IF(B444="Лікар-терапевт",AG452*Законод!$C$9/4*Законод!$G$16,0)))</f>
        <v>0</v>
      </c>
      <c r="AR452" s="211">
        <f t="shared" si="74"/>
        <v>0</v>
      </c>
    </row>
    <row r="453" spans="1:44" s="50" customFormat="1" ht="31.9" hidden="1" customHeight="1">
      <c r="A453" s="197"/>
      <c r="B453" s="951"/>
      <c r="C453" s="954"/>
      <c r="D453" s="957"/>
      <c r="E453" s="939"/>
      <c r="F453" s="238" t="str">
        <f ca="1">IF(B444="Лікар-педіатр",Законод!$H$17,IF(B444="Лікар загальної практики - сімейний лікар",Законод!$H$21,IF(B444="Лікар-терапевт",Законод!$H$25,"х")))</f>
        <v>х</v>
      </c>
      <c r="G453" s="935" t="s">
        <v>423</v>
      </c>
      <c r="H453" s="936"/>
      <c r="I453" s="936"/>
      <c r="J453" s="936"/>
      <c r="K453" s="937"/>
      <c r="L453" s="196">
        <f ca="1">IF($B$444="Лікар загальної практики - сімейний лікар",IF(L448&lt;Законод!$C$22,0,(IF(AND(L448&gt;=Законод!$H$22,L448&lt;=Законод!$H$23),L448-Законод!$G$23,IF('01_Доходи'!L448&gt;=Законод!$I$22,Законод!$H$24,0)))),IF($B$444="Лікар-педіатр",IF(L448&lt;Законод!$C$18,0,(IF(AND(L448&gt;=Законод!$H$18,L448&lt;=Законод!$H$19),L448-Законод!$G$19,IF('01_Доходи'!L448&gt;=Законод!$I$18,Законод!$H$20,0)))),IF($B$444="Лікар-терапевт",IF(L448&lt;Законод!$C$26,0,(IF(AND(L448&gt;=Законод!$H$26,L448&lt;=Законод!$H$27),L448-Законод!$G$27,IF(L448&gt;=Законод!$I$26,Законод!$H$28,0)))),0)))</f>
        <v>0</v>
      </c>
      <c r="M453" s="942"/>
      <c r="N453" s="935" t="s">
        <v>423</v>
      </c>
      <c r="O453" s="936"/>
      <c r="P453" s="936"/>
      <c r="Q453" s="936"/>
      <c r="R453" s="937"/>
      <c r="S453" s="196">
        <f ca="1">IF($B$444="Лікар загальної практики - сімейний лікар",IF(S448&lt;Законод!$C$22,0,(IF(AND(S448&gt;=Законод!$H$22,S448&lt;=Законод!$H$23),S448-Законод!$G$23,IF('01_Доходи'!S448&gt;=Законод!$I$22,Законод!$H$24,0)))),IF($B$444="Лікар-педіатр",IF(S448&lt;Законод!$C$18,0,(IF(AND(S448&gt;=Законод!$H$18,S448&lt;=Законод!$H$19),S448-Законод!$G$19,IF('01_Доходи'!S448&gt;=Законод!$I$18,Законод!$H$20,0)))),IF($B$444="Лікар-терапевт",IF(S448&lt;Законод!$C$26,0,(IF(AND(S448&gt;=Законод!$H$26,S448&lt;=Законод!$H$27),S448-Законод!$G$27,IF(S448&gt;=Законод!$I$26,Законод!$H$28,0)))),0)))</f>
        <v>0</v>
      </c>
      <c r="T453" s="942"/>
      <c r="U453" s="935" t="s">
        <v>423</v>
      </c>
      <c r="V453" s="936"/>
      <c r="W453" s="936"/>
      <c r="X453" s="936"/>
      <c r="Y453" s="937"/>
      <c r="Z453" s="196">
        <f ca="1">IF($B$444="Лікар загальної практики - сімейний лікар",IF(Z448&lt;Законод!$C$22,0,(IF(AND(Z448&gt;=Законод!$H$22,Z448&lt;=Законод!$H$23),Z448-Законод!$G$23,IF('01_Доходи'!Z448&gt;=Законод!$I$22,Законод!$H$24,0)))),IF($B$444="Лікар-педіатр",IF(Z448&lt;Законод!$C$18,0,(IF(AND(Z448&gt;=Законод!$H$18,Z448&lt;=Законод!$H$19),Z448-Законод!$G$19,IF('01_Доходи'!Z448&gt;=Законод!$I$18,Законод!$H$20,0)))),IF($B$444="Лікар-терапевт",IF(Z448&lt;Законод!$C$26,0,(IF(AND(Z448&gt;=Законод!$H$26,Z448&lt;=Законод!$H$27),Z448-Законод!$G$27,IF(Z448&gt;=Законод!$I$26,Законод!$H$28,0)))),0)))</f>
        <v>0</v>
      </c>
      <c r="AA453" s="942"/>
      <c r="AB453" s="935" t="s">
        <v>423</v>
      </c>
      <c r="AC453" s="936"/>
      <c r="AD453" s="936"/>
      <c r="AE453" s="936"/>
      <c r="AF453" s="937"/>
      <c r="AG453" s="196">
        <f ca="1">IF($B$444="Лікар загальної практики - сімейний лікар",IF(AG448&lt;Законод!$C$22,0,(IF(AND(AG448&gt;=Законод!$H$22,AG448&lt;=Законод!$H$23),AG448-Законод!$G$23,IF('01_Доходи'!AG448&gt;=Законод!$I$22,Законод!$H$24,0)))),IF($B$444="Лікар-педіатр",IF(AG448&lt;Законод!$C$18,0,(IF(AND(AG448&gt;=Законод!$H$18,AG448&lt;=Законод!$H$19),AG448-Законод!$G$19,IF('01_Доходи'!AG448&gt;=Законод!$I$18,Законод!$H$20,0)))),IF($B$444="Лікар-терапевт",IF(AG448&lt;Законод!$C$26,0,(IF(AND(AG448&gt;=Законод!$H$26,AG448&lt;=Законод!$H$27),AG448-Законод!$G$27,IF(AG448&gt;=Законод!$I$26,Законод!$H$28,0)))),0)))</f>
        <v>0</v>
      </c>
      <c r="AH453" s="942"/>
      <c r="AI453" s="201"/>
      <c r="AJ453" s="945"/>
      <c r="AK453" s="960"/>
      <c r="AL453" s="960"/>
      <c r="AM453" s="927"/>
      <c r="AN453" s="210">
        <f ca="1">IF(B444="Лікар загальної практики - сімейний лікар",L453*Законод!$C$9/4*Законод!$H$16,IF(B444="Лікар-педіатр",L453*Законод!$C$9/4*Законод!$H$16,IF(B444="Лікар-терапевт",L453*Законод!$C$9/4*Законод!$H$16,0)))</f>
        <v>0</v>
      </c>
      <c r="AO453" s="210">
        <f ca="1">IF(B444="Лікар загальної практики - сімейний лікар",S453*Законод!$C$9/4*Законод!$H$16,IF(B444="Лікар-педіатр",S453*Законод!$C$9/4*Законод!$H$16,IF(B444="Лікар-терапевт",S453*Законод!$C$9/4*Законод!$H$16,0)))</f>
        <v>0</v>
      </c>
      <c r="AP453" s="210">
        <f ca="1">IF(B444="Лікар загальної практики - сімейний лікар",Z453*Законод!$C$9/4*Законод!$H$16,IF(B444="Лікар-педіатр",Z453*Законод!$C$9/4*Законод!$H$16,IF(B444="Лікар-терапевт",Z453*Законод!$C$9/4*Законод!$H$16,0)))</f>
        <v>0</v>
      </c>
      <c r="AQ453" s="210">
        <f ca="1">IF(B444="Лікар загальної практики - сімейний лікар",AG453*Законод!$C$9/4*Законод!$H$16,IF(B444="Лікар-педіатр",AG453*Законод!$C$9/4*Законод!$H$16,IF(B444="Лікар-терапевт",AG453*Законод!$C$9/4*Законод!$H$16,0)))</f>
        <v>0</v>
      </c>
      <c r="AR453" s="211">
        <f t="shared" si="74"/>
        <v>0</v>
      </c>
    </row>
    <row r="454" spans="1:44" s="50" customFormat="1" ht="31.9" hidden="1" customHeight="1">
      <c r="A454" s="197"/>
      <c r="B454" s="951"/>
      <c r="C454" s="954"/>
      <c r="D454" s="957"/>
      <c r="E454" s="939"/>
      <c r="F454" s="238" t="str">
        <f ca="1">IF(B444="Лікар-педіатр",Законод!$I$17,IF(B444="Лікар загальної практики - сімейний лікар",Законод!$I$21,IF(B444="Лікар-терапевт",Законод!$I$25,"х")))</f>
        <v>х</v>
      </c>
      <c r="G454" s="935" t="s">
        <v>423</v>
      </c>
      <c r="H454" s="936"/>
      <c r="I454" s="936"/>
      <c r="J454" s="936"/>
      <c r="K454" s="937"/>
      <c r="L454" s="196">
        <f ca="1">IF($B$444="Лікар загальної практики - сімейний лікар",IF(L448&lt;Законод!$C$22,0,(IF(AND(L448&gt;=Законод!$I$22,L448&lt;=Законод!$I$23),L448-Законод!$H$23,IF('01_Доходи'!L448&gt;=Законод!$I$22,Законод!$I$24,0)))),IF($B$444="Лікар-педіатр",IF(L448&lt;Законод!$C$18,0,(IF(AND(L448&gt;=Законод!$I$18,L448&lt;=Законод!$I$19),L448-Законод!$H$19,IF('01_Доходи'!L448&gt;=Законод!$I$18,Законод!$H$20,0)))),IF($B$444="Лікар-терапевт",IF(L448&lt;Законод!$C$26,0,(IF(AND(L448&gt;=Законод!$I$26,L448&lt;=Законод!$I$27),L448-Законод!$H$27,IF('01_Доходи'!L448&gt;=Законод!$I$26,Законод!$H$28,0)))),0)))</f>
        <v>0</v>
      </c>
      <c r="M454" s="942"/>
      <c r="N454" s="935" t="s">
        <v>423</v>
      </c>
      <c r="O454" s="936"/>
      <c r="P454" s="936"/>
      <c r="Q454" s="936"/>
      <c r="R454" s="937"/>
      <c r="S454" s="196">
        <f ca="1">IF($B$444="Лікар загальної практики - сімейний лікар",IF(S448&lt;Законод!$C$22,0,(IF(AND(S448&gt;=Законод!$I$22,S448&lt;=Законод!$I$23),S448-Законод!$H$23,IF('01_Доходи'!S448&gt;=Законод!$I$22,Законод!$I$24,0)))),IF($B$444="Лікар-педіатр",IF(S448&lt;Законод!$C$18,0,(IF(AND(S448&gt;=Законод!$I$18,S448&lt;=Законод!$I$19),S448-Законод!$H$19,IF('01_Доходи'!S448&gt;=Законод!$I$18,Законод!$H$20,0)))),IF($B$444="Лікар-терапевт",IF(S448&lt;Законод!$C$26,0,(IF(AND(S448&gt;=Законод!$I$26,S448&lt;=Законод!$I$27),S448-Законод!$H$27,IF('01_Доходи'!S448&gt;=Законод!$I$26,Законод!$H$28,0)))),0)))</f>
        <v>0</v>
      </c>
      <c r="T454" s="942"/>
      <c r="U454" s="935" t="s">
        <v>423</v>
      </c>
      <c r="V454" s="936"/>
      <c r="W454" s="936"/>
      <c r="X454" s="936"/>
      <c r="Y454" s="937"/>
      <c r="Z454" s="196">
        <f ca="1">IF($B$444="Лікар загальної практики - сімейний лікар",IF(Z448&lt;Законод!$C$22,0,(IF(AND(Z448&gt;=Законод!$I$22,Z448&lt;=Законод!$I$23),Z448-Законод!$H$23,IF('01_Доходи'!Z448&gt;=Законод!$I$22,Законод!$I$24,0)))),IF($B$444="Лікар-педіатр",IF(Z448&lt;Законод!$C$18,0,(IF(AND(Z448&gt;=Законод!$I$18,Z448&lt;=Законод!$I$19),Z448-Законод!$H$19,IF('01_Доходи'!Z448&gt;=Законод!$I$18,Законод!$H$20,0)))),IF($B$444="Лікар-терапевт",IF(Z448&lt;Законод!$C$26,0,(IF(AND(Z448&gt;=Законод!$I$26,Z448&lt;=Законод!$I$27),Z448-Законод!$H$27,IF('01_Доходи'!Z448&gt;=Законод!$I$26,Законод!$H$28,0)))),0)))</f>
        <v>0</v>
      </c>
      <c r="AA454" s="942"/>
      <c r="AB454" s="935" t="s">
        <v>423</v>
      </c>
      <c r="AC454" s="936"/>
      <c r="AD454" s="936"/>
      <c r="AE454" s="936"/>
      <c r="AF454" s="937"/>
      <c r="AG454" s="196">
        <f ca="1">IF($B$444="Лікар загальної практики - сімейний лікар",IF(AG448&lt;Законод!$C$22,0,(IF(AND(AG448&gt;=Законод!$I$22,AG448&lt;=Законод!$I$23),AG448-Законод!$H$23,IF('01_Доходи'!AG448&gt;=Законод!$I$22,Законод!$I$24,0)))),IF($B$444="Лікар-педіатр",IF(AG448&lt;Законод!$C$18,0,(IF(AND(AG448&gt;=Законод!$I$18,AG448&lt;=Законод!$I$19),AG448-Законод!$H$19,IF('01_Доходи'!AG448&gt;=Законод!$I$18,Законод!$H$20,0)))),IF($B$444="Лікар-терапевт",IF(AG448&lt;Законод!$C$26,0,(IF(AND(AG448&gt;=Законод!$I$26,AG448&lt;=Законод!$I$27),AG448-Законод!$H$27,IF('01_Доходи'!AG448&gt;=Законод!$I$26,Законод!$H$28,0)))),0)))</f>
        <v>0</v>
      </c>
      <c r="AH454" s="942"/>
      <c r="AI454" s="201"/>
      <c r="AJ454" s="945"/>
      <c r="AK454" s="960"/>
      <c r="AL454" s="960"/>
      <c r="AM454" s="927"/>
      <c r="AN454" s="210">
        <f ca="1">IF(B444="Лікар загальної практики - сімейний лікар",L454*Законод!$C$9/4*Законод!$I$16,IF(B444="Лікар-педіатр",L454*Законод!$C$9/4*Законод!$I$16,IF(B444="Лікар-терапевт",L454*Законод!$C$9/4*Законод!$I$16,0)))</f>
        <v>0</v>
      </c>
      <c r="AO454" s="210">
        <f ca="1">IF(B444="Лікар загальної практики - сімейний лікар",S454*Законод!$C$9/4*Законод!$I$16,IF(B444="Лікар-педіатр",S454*Законод!$C$9/4*Законод!$I$16,IF(B444="Лікар-терапевт",S454*Законод!$C$9/4*Законод!$I$16,0)))</f>
        <v>0</v>
      </c>
      <c r="AP454" s="210">
        <f ca="1">IF(B444="Лікар загальної практики - сімейний лікар",Z454*Законод!$C$9/4*Законод!$I$16,IF(B444="Лікар-педіатр",Z454*Законод!$C$9/4*Законод!$I$16,IF(B444="Лікар-терапевт",Z454*Законод!$C$9/4*Законод!$I$16,0)))</f>
        <v>0</v>
      </c>
      <c r="AQ454" s="210">
        <f ca="1">IF(B444="Лікар загальної практики - сімейний лікар",AG454*Законод!$C$9/4*Законод!$I$16,IF(B444="Лікар-педіатр",AG454*Законод!$C$9/4*Законод!$I$16,IF(B444="Лікар-терапевт",AG454*Законод!$C$9/4*Законод!$I$16,0)))</f>
        <v>0</v>
      </c>
      <c r="AR454" s="211">
        <f t="shared" si="74"/>
        <v>0</v>
      </c>
    </row>
    <row r="455" spans="1:44" s="218" customFormat="1" ht="31.9" hidden="1" customHeight="1" thickBot="1">
      <c r="A455" s="213"/>
      <c r="B455" s="952"/>
      <c r="C455" s="955"/>
      <c r="D455" s="958"/>
      <c r="E455" s="940"/>
      <c r="F455" s="239" t="str">
        <f ca="1">IF(B444="Лікар-педіатр",Законод!$J$17,IF(B444="Лікар загальної практики - сімейний лікар",Законод!$J$21,IF(B444="Лікар-терапевт",Законод!$J$25,"х")))</f>
        <v>х</v>
      </c>
      <c r="G455" s="932" t="s">
        <v>423</v>
      </c>
      <c r="H455" s="933"/>
      <c r="I455" s="933"/>
      <c r="J455" s="933"/>
      <c r="K455" s="934"/>
      <c r="L455" s="196">
        <f ca="1">IF($B$444="Лікар загальної практики - сімейний лікар",IF(L448&gt;=Законод!$J$22,'01_Доходи'!L448-('01_Доходи'!L449+'01_Доходи'!L450+'01_Доходи'!L451+'01_Доходи'!L452+'01_Доходи'!L453+'01_Доходи'!L454),0),IF($B$444="Лікар-педіатр",IF(L448&gt;=Законод!$J$18,'01_Доходи'!L448-('01_Доходи'!L449+'01_Доходи'!L450+'01_Доходи'!L451+'01_Доходи'!L452+'01_Доходи'!L453+'01_Доходи'!L454),0),IF($B$444="Лікар-терапевт",IF('01_Доходи'!L448&gt;=Законод!$J$26,L448-Законод!$I$27,0),0)))</f>
        <v>0</v>
      </c>
      <c r="M455" s="943"/>
      <c r="N455" s="932" t="s">
        <v>423</v>
      </c>
      <c r="O455" s="933"/>
      <c r="P455" s="933"/>
      <c r="Q455" s="933"/>
      <c r="R455" s="934"/>
      <c r="S455" s="196">
        <f ca="1">IF($B$444="Лікар загальної практики - сімейний лікар",IF(S448&gt;=Законод!$J$22,'01_Доходи'!S448-('01_Доходи'!S449+'01_Доходи'!S450+'01_Доходи'!S451+'01_Доходи'!S452+'01_Доходи'!S453+'01_Доходи'!S454),0),IF($B$444="Лікар-педіатр",IF(S448&gt;=Законод!$J$18,'01_Доходи'!S448-('01_Доходи'!S449+'01_Доходи'!S450+'01_Доходи'!S451+'01_Доходи'!S452+'01_Доходи'!S453+'01_Доходи'!S454),0),IF($B$444="Лікар-терапевт",IF('01_Доходи'!S448&gt;=Законод!$J$26,S448-Законод!$I$27,0),0)))</f>
        <v>0</v>
      </c>
      <c r="T455" s="943"/>
      <c r="U455" s="932" t="s">
        <v>423</v>
      </c>
      <c r="V455" s="933"/>
      <c r="W455" s="933"/>
      <c r="X455" s="933"/>
      <c r="Y455" s="934"/>
      <c r="Z455" s="196">
        <f ca="1">IF($B$444="Лікар загальної практики - сімейний лікар",IF(Z448&gt;=Законод!$J$22,'01_Доходи'!Z448-('01_Доходи'!Z449+'01_Доходи'!Z450+'01_Доходи'!Z451+'01_Доходи'!Z452+'01_Доходи'!Z453+'01_Доходи'!Z454),0),IF($B$444="Лікар-педіатр",IF(Z448&gt;=Законод!$J$18,'01_Доходи'!Z448-('01_Доходи'!Z449+'01_Доходи'!Z450+'01_Доходи'!Z451+'01_Доходи'!Z452+'01_Доходи'!Z453+'01_Доходи'!Z454),0),IF($B$444="Лікар-терапевт",IF('01_Доходи'!Z448&gt;=Законод!$J$26,Z448-Законод!$I$27,0),0)))</f>
        <v>0</v>
      </c>
      <c r="AA455" s="943"/>
      <c r="AB455" s="932" t="s">
        <v>423</v>
      </c>
      <c r="AC455" s="933"/>
      <c r="AD455" s="933"/>
      <c r="AE455" s="933"/>
      <c r="AF455" s="934"/>
      <c r="AG455" s="196">
        <f ca="1">IF($B$444="Лікар загальної практики - сімейний лікар",IF(AG448&gt;=Законод!$J$22,'01_Доходи'!AG448-('01_Доходи'!AG449+'01_Доходи'!AG450+'01_Доходи'!AG451+'01_Доходи'!AG452+'01_Доходи'!AG453+'01_Доходи'!AG454),0),IF($B$444="Лікар-педіатр",IF(AG448&gt;=Законод!$J$18,'01_Доходи'!AG448-('01_Доходи'!AG449+'01_Доходи'!AG450+'01_Доходи'!AG451+'01_Доходи'!AG452+'01_Доходи'!AG453+'01_Доходи'!AG454),0),IF($B$444="Лікар-терапевт",IF('01_Доходи'!AG448&gt;=Законод!$J$26,AG448-Законод!$I$27,0),0)))</f>
        <v>0</v>
      </c>
      <c r="AH455" s="943"/>
      <c r="AI455" s="215"/>
      <c r="AJ455" s="946"/>
      <c r="AK455" s="961"/>
      <c r="AL455" s="961"/>
      <c r="AM455" s="928"/>
      <c r="AN455" s="216">
        <f ca="1">IF(B444="Лікар загальної практики - сімейний лікар",L455*Законод!$C$9/4*Законод!$J$16,IF(B444="Лікар-педіатр",L455*Законод!$C$9/4*Законод!$J$16,IF(B444="Лікар-терапевт",L455*Законод!$C$9/4*Законод!$J$16,0)))</f>
        <v>0</v>
      </c>
      <c r="AO455" s="216">
        <f ca="1">IF(B444="Лікар загальної практики - сімейний лікар",S455*Законод!$C$9/4*Законод!$J$16,IF(B444="Лікар-педіатр",S455*Законод!$C$9/4*Законод!$J$16,IF(B444="Лікар-терапевт",S455*Законод!$C$9/4*Законод!$J$16,0)))</f>
        <v>0</v>
      </c>
      <c r="AP455" s="216">
        <f ca="1">IF(B444="Лікар загальної практики - сімейний лікар",S455*Законод!$C$9/4*Законод!$J$16,IF(B444="Лікар-педіатр",S455*Законод!$C$9/4*Законод!$J$16,IF(B444="Лікар-терапевт",S455*Законод!$C$9/4*Законод!$J$16,0)))</f>
        <v>0</v>
      </c>
      <c r="AQ455" s="216">
        <f ca="1">IF(B444="Лікар загальної практики - сімейний лікар",AG455*Законод!$C$9/4*Законод!$J$16,IF(B444="Лікар-педіатр",AG455*Законод!$C$9/4*Законод!$J$16,IF(B444="Лікар-терапевт",AG455*Законод!$C$9/4*Законод!$J$16,0)))</f>
        <v>0</v>
      </c>
      <c r="AR455" s="217">
        <f t="shared" si="74"/>
        <v>0</v>
      </c>
    </row>
    <row r="456" spans="1:44" s="247" customFormat="1" ht="23.45" hidden="1" customHeight="1" thickBot="1">
      <c r="A456" s="243"/>
      <c r="B456" s="244"/>
      <c r="C456" s="244"/>
      <c r="D456" s="244"/>
      <c r="E456" s="244"/>
      <c r="F456" s="245"/>
      <c r="G456" s="246"/>
      <c r="H456" s="246"/>
      <c r="L456" s="248"/>
      <c r="S456" s="248"/>
      <c r="Z456" s="248"/>
      <c r="AG456" s="248"/>
      <c r="AM456" s="249"/>
      <c r="AR456" s="250"/>
    </row>
    <row r="457" spans="1:44" s="191" customFormat="1" ht="24.6" hidden="1" customHeight="1">
      <c r="A457" s="194">
        <f>A444+1</f>
        <v>33</v>
      </c>
      <c r="B457" s="950"/>
      <c r="C457" s="953"/>
      <c r="D457" s="956"/>
      <c r="E457" s="938"/>
      <c r="F457" s="234" t="s">
        <v>659</v>
      </c>
      <c r="G457" s="196">
        <f>IF($B$457="Лікар-педіатр",G460*L457,IF($B$457="Лікар-терапевт","х",IF($B$457="Лікар загальної практики - сімейний лікар",G460*L457,0)))</f>
        <v>0</v>
      </c>
      <c r="H457" s="196">
        <f>IF($B$457="Лікар-педіатр",H460*L457,IF($B$457="Лікар-терапевт","х",IF($B$457="Лікар загальної практики - сімейний лікар",H460*L457,0)))</f>
        <v>0</v>
      </c>
      <c r="I457" s="196">
        <f>IF($B$457="Лікар-педіатр","x",IF($B$457="Лікар-терапевт",I460*L457,IF($B$457="Лікар загальної практики - сімейний лікар",I460*L457,0)))</f>
        <v>0</v>
      </c>
      <c r="J457" s="196">
        <f>IF($B$457="Лікар-педіатр","x",IF($B$457="Лікар-терапевт",J460*L457,IF($B$457="Лікар загальної практики - сімейний лікар",J460*L457,0)))</f>
        <v>0</v>
      </c>
      <c r="K457" s="196">
        <f>IF($B$457="Лікар-педіатр","x",IF($B$457="Лікар-терапевт",K460*L457,IF($B$457="Лікар загальної практики - сімейний лікар",K460*L457,0)))</f>
        <v>0</v>
      </c>
      <c r="L457" s="557"/>
      <c r="M457" s="941"/>
      <c r="N457" s="196">
        <f>IF($B$457="Лікар-педіатр",N460*S457,IF($B$457="Лікар-терапевт","х",IF($B$457="Лікар загальної практики - сімейний лікар",N460*S457,0)))</f>
        <v>0</v>
      </c>
      <c r="O457" s="196">
        <f>IF($B$457="Лікар-педіатр",O460*S457,IF($B$457="Лікар-терапевт","х",IF($B$457="Лікар загальної практики - сімейний лікар",O460*S457,0)))</f>
        <v>0</v>
      </c>
      <c r="P457" s="196">
        <f>IF($B$457="Лікар-педіатр","x",IF($B$457="Лікар-терапевт",P460*S457,IF($B$457="Лікар загальної практики - сімейний лікар",P460*S457,0)))</f>
        <v>0</v>
      </c>
      <c r="Q457" s="196">
        <f>IF($B$457="Лікар-педіатр","x",IF($B$457="Лікар-терапевт",Q460*S457,IF($B$457="Лікар загальної практики - сімейний лікар",Q460*S457,0)))</f>
        <v>0</v>
      </c>
      <c r="R457" s="196">
        <f>IF($B$457="Лікар-педіатр","x",IF($B$457="Лікар-терапевт",R460*S457,IF($B$457="Лікар загальної практики - сімейний лікар",R460*S457,0)))</f>
        <v>0</v>
      </c>
      <c r="S457" s="557"/>
      <c r="T457" s="941"/>
      <c r="U457" s="196">
        <f>IF($B$457="Лікар-педіатр",U460*Z457,IF($B$457="Лікар-терапевт","х",IF($B$457="Лікар загальної практики - сімейний лікар",U460*Z457,0)))</f>
        <v>0</v>
      </c>
      <c r="V457" s="196">
        <f>IF($B$457="Лікар-педіатр",V460*Z457,IF($B$457="Лікар-терапевт","х",IF($B$457="Лікар загальної практики - сімейний лікар",V460*Z457,0)))</f>
        <v>0</v>
      </c>
      <c r="W457" s="196">
        <f>IF($B$457="Лікар-педіатр","x",IF($B$457="Лікар-терапевт",W460*Z457,IF($B$457="Лікар загальної практики - сімейний лікар",W460*Z457,0)))</f>
        <v>0</v>
      </c>
      <c r="X457" s="196">
        <f>IF($B$457="Лікар-педіатр","x",IF($B$457="Лікар-терапевт",X460*Z457,IF($B$457="Лікар загальної практики - сімейний лікар",X460*Z457,0)))</f>
        <v>0</v>
      </c>
      <c r="Y457" s="196">
        <f>IF($B$457="Лікар-педіатр","x",IF($B$457="Лікар-терапевт",Y460*Z457,IF($B$457="Лікар загальної практики - сімейний лікар",Y460*Z457,0)))</f>
        <v>0</v>
      </c>
      <c r="Z457" s="557"/>
      <c r="AA457" s="941"/>
      <c r="AB457" s="196">
        <f>IF($B$457="Лікар-педіатр",AB460*AG457,IF($B$457="Лікар-терапевт","х",IF($B$457="Лікар загальної практики - сімейний лікар",AB460*AG457,0)))</f>
        <v>0</v>
      </c>
      <c r="AC457" s="196">
        <f>IF($B$457="Лікар-педіатр",AC460*AG457,IF($B$457="Лікар-терапевт","х",IF($B$457="Лікар загальної практики - сімейний лікар",AC460*AG457,0)))</f>
        <v>0</v>
      </c>
      <c r="AD457" s="196">
        <f>IF($B$457="Лікар-педіатр","x",IF($B$457="Лікар-терапевт",AD460*AG457,IF($B$457="Лікар загальної практики - сімейний лікар",AD460*AG457,0)))</f>
        <v>0</v>
      </c>
      <c r="AE457" s="196">
        <f>IF($B$457="Лікар-педіатр","x",IF($B$457="Лікар-терапевт",AE460*AG457,IF($B$457="Лікар загальної практики - сімейний лікар",AE460*AG457,0)))</f>
        <v>0</v>
      </c>
      <c r="AF457" s="196">
        <f>IF($B$457="Лікар-педіатр","x",IF($B$457="Лікар-терапевт",AF460*AG457,IF($B$457="Лікар загальної практики - сімейний лікар",AF460*AG457,0)))</f>
        <v>0</v>
      </c>
      <c r="AG457" s="557"/>
      <c r="AH457" s="941"/>
      <c r="AI457" s="540">
        <f>A457</f>
        <v>33</v>
      </c>
      <c r="AJ457" s="944">
        <f>B457</f>
        <v>0</v>
      </c>
      <c r="AK457" s="959">
        <f>C457</f>
        <v>0</v>
      </c>
      <c r="AL457" s="959">
        <f>D457</f>
        <v>0</v>
      </c>
      <c r="AM457" s="929" t="s">
        <v>79</v>
      </c>
      <c r="AN457" s="947">
        <f>SUM(AN462:AN468)</f>
        <v>0</v>
      </c>
      <c r="AO457" s="947">
        <f>SUM(AO462:AO468)</f>
        <v>0</v>
      </c>
      <c r="AP457" s="947">
        <f>SUM(AP462:AP468)</f>
        <v>0</v>
      </c>
      <c r="AQ457" s="947">
        <f>SUM(AQ462:AQ468)</f>
        <v>0</v>
      </c>
      <c r="AR457" s="962">
        <f>SUM(AN457:AQ461)</f>
        <v>0</v>
      </c>
    </row>
    <row r="458" spans="1:44" s="50" customFormat="1" ht="28.15" hidden="1" customHeight="1">
      <c r="A458" s="197"/>
      <c r="B458" s="951"/>
      <c r="C458" s="954"/>
      <c r="D458" s="957"/>
      <c r="E458" s="939"/>
      <c r="F458" s="234" t="s">
        <v>660</v>
      </c>
      <c r="G458" s="196">
        <f>IF($B$457="Лікар-педіатр",G460*L458,IF($B$457="Лікар-терапевт","х",IF($B$457="Лікар загальної практики - сімейний лікар",G460*L458,0)))</f>
        <v>0</v>
      </c>
      <c r="H458" s="196">
        <f>IF($B$457="Лікар-педіатр",H460*L458,IF($B$457="Лікар-терапевт","х",IF($B$457="Лікар загальної практики - сімейний лікар",H460*L458,0)))</f>
        <v>0</v>
      </c>
      <c r="I458" s="196">
        <f>IF($B$457="Лікар-педіатр","x",IF($B$457="Лікар-терапевт",I460*L458,IF($B$457="Лікар загальної практики - сімейний лікар",I460*L458,0)))</f>
        <v>0</v>
      </c>
      <c r="J458" s="196">
        <f>IF($B$457="Лікар-педіатр","x",IF($B$457="Лікар-терапевт",J460*L458,IF($B$457="Лікар загальної практики - сімейний лікар",J460*L458,0)))</f>
        <v>0</v>
      </c>
      <c r="K458" s="196">
        <f>IF($B$457="Лікар-педіатр","x",IF($B$457="Лікар-терапевт",K460*L458,IF($B$457="Лікар загальної практики - сімейний лікар",K460*L458,0)))</f>
        <v>0</v>
      </c>
      <c r="L458" s="557"/>
      <c r="M458" s="942"/>
      <c r="N458" s="196">
        <f>IF($B$457="Лікар-педіатр",N460*S458,IF($B$457="Лікар-терапевт","х",IF($B$457="Лікар загальної практики - сімейний лікар",N460*S458,0)))</f>
        <v>0</v>
      </c>
      <c r="O458" s="196">
        <f>IF($B$457="Лікар-педіатр",O460*S458,IF($B$457="Лікар-терапевт","х",IF($B$457="Лікар загальної практики - сімейний лікар",O460*S458,0)))</f>
        <v>0</v>
      </c>
      <c r="P458" s="196">
        <f>IF($B$457="Лікар-педіатр","x",IF($B$457="Лікар-терапевт",P460*S458,IF($B$457="Лікар загальної практики - сімейний лікар",P460*S458,0)))</f>
        <v>0</v>
      </c>
      <c r="Q458" s="196">
        <f>IF($B$457="Лікар-педіатр","x",IF($B$457="Лікар-терапевт",Q460*S458,IF($B$457="Лікар загальної практики - сімейний лікар",Q460*S458,0)))</f>
        <v>0</v>
      </c>
      <c r="R458" s="196">
        <f>IF($B$457="Лікар-педіатр","x",IF($B$457="Лікар-терапевт",R460*S458,IF($B$457="Лікар загальної практики - сімейний лікар",R460*S458,0)))</f>
        <v>0</v>
      </c>
      <c r="S458" s="557"/>
      <c r="T458" s="942"/>
      <c r="U458" s="196">
        <f>IF($B$457="Лікар-педіатр",U460*Z458,IF($B$457="Лікар-терапевт","х",IF($B$457="Лікар загальної практики - сімейний лікар",U460*Z458,0)))</f>
        <v>0</v>
      </c>
      <c r="V458" s="196">
        <f>IF($B$457="Лікар-педіатр",V460*Z458,IF($B$457="Лікар-терапевт","х",IF($B$457="Лікар загальної практики - сімейний лікар",V460*Z458,0)))</f>
        <v>0</v>
      </c>
      <c r="W458" s="196">
        <f>IF($B$457="Лікар-педіатр","x",IF($B$457="Лікар-терапевт",W460*Z458,IF($B$457="Лікар загальної практики - сімейний лікар",W460*Z458,0)))</f>
        <v>0</v>
      </c>
      <c r="X458" s="196">
        <f>IF($B$457="Лікар-педіатр","x",IF($B$457="Лікар-терапевт",X460*Z458,IF($B$457="Лікар загальної практики - сімейний лікар",X460*Z458,0)))</f>
        <v>0</v>
      </c>
      <c r="Y458" s="196">
        <f>IF($B$457="Лікар-педіатр","x",IF($B$457="Лікар-терапевт",Y460*Z458,IF($B$457="Лікар загальної практики - сімейний лікар",Y460*Z458,0)))</f>
        <v>0</v>
      </c>
      <c r="Z458" s="557"/>
      <c r="AA458" s="942"/>
      <c r="AB458" s="196">
        <f>IF($B$457="Лікар-педіатр",AB460*AG458,IF($B$457="Лікар-терапевт","х",IF($B$457="Лікар загальної практики - сімейний лікар",AB460*AG458,0)))</f>
        <v>0</v>
      </c>
      <c r="AC458" s="196">
        <f>IF($B$457="Лікар-педіатр",AC460*AG458,IF($B$457="Лікар-терапевт","х",IF($B$457="Лікар загальної практики - сімейний лікар",AC460*AG458,0)))</f>
        <v>0</v>
      </c>
      <c r="AD458" s="196">
        <f>IF($B$457="Лікар-педіатр","x",IF($B$457="Лікар-терапевт",AD460*AG458,IF($B$457="Лікар загальної практики - сімейний лікар",AD460*AG458,0)))</f>
        <v>0</v>
      </c>
      <c r="AE458" s="196">
        <f>IF($B$457="Лікар-педіатр","x",IF($B$457="Лікар-терапевт",AE460*AG458,IF($B$457="Лікар загальної практики - сімейний лікар",AE460*AG458,0)))</f>
        <v>0</v>
      </c>
      <c r="AF458" s="196">
        <f>IF($B$457="Лікар-педіатр","x",IF($B$457="Лікар-терапевт",AF460*AG458,IF($B$457="Лікар загальної практики - сімейний лікар",AF460*AG458,0)))</f>
        <v>0</v>
      </c>
      <c r="AG458" s="557"/>
      <c r="AH458" s="942"/>
      <c r="AI458" s="198"/>
      <c r="AJ458" s="945"/>
      <c r="AK458" s="960"/>
      <c r="AL458" s="960"/>
      <c r="AM458" s="930"/>
      <c r="AN458" s="948"/>
      <c r="AO458" s="948"/>
      <c r="AP458" s="948"/>
      <c r="AQ458" s="948"/>
      <c r="AR458" s="963"/>
    </row>
    <row r="459" spans="1:44" s="90" customFormat="1" ht="31.15" hidden="1" customHeight="1">
      <c r="A459" s="240"/>
      <c r="B459" s="951"/>
      <c r="C459" s="954"/>
      <c r="D459" s="957"/>
      <c r="E459" s="939"/>
      <c r="F459" s="241" t="s">
        <v>661</v>
      </c>
      <c r="G459" s="199">
        <f>IF(B457="Лікар загальної практики - сімейний лікар"," ",IF(B457="Лікар-педіатр"," ",IF(B457="Лікар-терапевт","х",0)))</f>
        <v>0</v>
      </c>
      <c r="H459" s="199">
        <f>IF(B457="Лікар загальної практики - сімейний лікар"," ",IF(B457="Лікар-педіатр"," ",IF(B457="Лікар-терапевт","х",0)))</f>
        <v>0</v>
      </c>
      <c r="I459" s="199">
        <f>IF(B457="Лікар загальної практики - сімейний лікар"," ",IF(B457="Лікар-педіатр","х",IF(B457="Лікар-терапевт"," ",0)))</f>
        <v>0</v>
      </c>
      <c r="J459" s="199">
        <f>IF(B457="Лікар загальної практики - сімейний лікар"," ",IF(B457="Лікар-педіатр","х",IF(B457="Лікар-терапевт"," ",0)))</f>
        <v>0</v>
      </c>
      <c r="K459" s="199">
        <f>IF(B457="Лікар загальної практики - сімейний лікар"," ",IF(B457="Лікар-педіатр","х",IF(B457="Лікар-терапевт"," ",0)))</f>
        <v>0</v>
      </c>
      <c r="L459" s="200">
        <f>SUM(G459:K459)</f>
        <v>0</v>
      </c>
      <c r="M459" s="942"/>
      <c r="N459" s="199">
        <f>IF(B457="Лікар загальної практики - сімейний лікар"," ",IF(B457="Лікар-педіатр"," ",IF(B457="Лікар-терапевт","х",0)))</f>
        <v>0</v>
      </c>
      <c r="O459" s="199">
        <f>IF(B457="Лікар загальної практики - сімейний лікар"," ",IF(B457="Лікар-педіатр"," ",IF(B457="Лікар-терапевт","х",0)))</f>
        <v>0</v>
      </c>
      <c r="P459" s="199">
        <f>IF(B457="Лікар загальної практики - сімейний лікар"," ",IF(B457="Лікар-педіатр","х",IF(B457="Лікар-терапевт"," ",0)))</f>
        <v>0</v>
      </c>
      <c r="Q459" s="199">
        <f>IF(B457="Лікар загальної практики - сімейний лікар"," ",IF(B457="Лікар-педіатр","х",IF(B457="Лікар-терапевт"," ",0)))</f>
        <v>0</v>
      </c>
      <c r="R459" s="199">
        <f>IF(B457="Лікар загальної практики - сімейний лікар"," ",IF(B457="Лікар-педіатр","х",IF(B457="Лікар-терапевт"," ",0)))</f>
        <v>0</v>
      </c>
      <c r="S459" s="200">
        <f>SUM(N459:R459)</f>
        <v>0</v>
      </c>
      <c r="T459" s="942"/>
      <c r="U459" s="199">
        <f>IF(B457="Лікар загальної практики - сімейний лікар"," ",IF(B457="Лікар-педіатр"," ",IF(B457="Лікар-терапевт","х",0)))</f>
        <v>0</v>
      </c>
      <c r="V459" s="199">
        <f>IF(B457="Лікар загальної практики - сімейний лікар"," ",IF(B457="Лікар-педіатр"," ",IF(B457="Лікар-терапевт","х",0)))</f>
        <v>0</v>
      </c>
      <c r="W459" s="199">
        <f>IF(B457="Лікар загальної практики - сімейний лікар"," ",IF(B457="Лікар-педіатр","х",IF(B457="Лікар-терапевт"," ",0)))</f>
        <v>0</v>
      </c>
      <c r="X459" s="199">
        <f>IF(B457="Лікар загальної практики - сімейний лікар"," ",IF(B457="Лікар-педіатр","х",IF(B457="Лікар-терапевт"," ",0)))</f>
        <v>0</v>
      </c>
      <c r="Y459" s="199">
        <f>IF(B457="Лікар загальної практики - сімейний лікар"," ",IF(B457="Лікар-педіатр","х",IF(B457="Лікар-терапевт"," ",0)))</f>
        <v>0</v>
      </c>
      <c r="Z459" s="200">
        <f>SUM(U459:Y459)</f>
        <v>0</v>
      </c>
      <c r="AA459" s="942"/>
      <c r="AB459" s="199">
        <f>IF(B457="Лікар загальної практики - сімейний лікар"," ",IF(B457="Лікар-педіатр"," ",IF(B457="Лікар-терапевт","х",0)))</f>
        <v>0</v>
      </c>
      <c r="AC459" s="199">
        <f>IF(B457="Лікар загальної практики - сімейний лікар"," ",IF(B457="Лікар-педіатр"," ",IF(B457="Лікар-терапевт","х",0)))</f>
        <v>0</v>
      </c>
      <c r="AD459" s="199">
        <f>IF(B457="Лікар загальної практики - сімейний лікар"," ",IF(B457="Лікар-педіатр","х",IF(B457="Лікар-терапевт"," ",0)))</f>
        <v>0</v>
      </c>
      <c r="AE459" s="199">
        <f>IF(B457="Лікар загальної практики - сімейний лікар"," ",IF(B457="Лікар-педіатр","х",IF(B457="Лікар-терапевт"," ",0)))</f>
        <v>0</v>
      </c>
      <c r="AF459" s="199">
        <f>IF(B457="Лікар загальної практики - сімейний лікар"," ",IF(B457="Лікар-педіатр","х",IF(B457="Лікар-терапевт"," ",0)))</f>
        <v>0</v>
      </c>
      <c r="AG459" s="200">
        <f>SUM(AB459:AF459)</f>
        <v>0</v>
      </c>
      <c r="AH459" s="942"/>
      <c r="AI459" s="242"/>
      <c r="AJ459" s="945"/>
      <c r="AK459" s="960"/>
      <c r="AL459" s="960"/>
      <c r="AM459" s="930"/>
      <c r="AN459" s="948"/>
      <c r="AO459" s="948"/>
      <c r="AP459" s="948"/>
      <c r="AQ459" s="948"/>
      <c r="AR459" s="963"/>
    </row>
    <row r="460" spans="1:44" s="50" customFormat="1" ht="31.9" hidden="1" customHeight="1" thickBot="1">
      <c r="A460" s="197"/>
      <c r="B460" s="951"/>
      <c r="C460" s="954"/>
      <c r="D460" s="957"/>
      <c r="E460" s="939"/>
      <c r="F460" s="236" t="s">
        <v>426</v>
      </c>
      <c r="G460" s="203">
        <f>IF($B$457="Лікар-педіатр",G459/L459,IF($B$457="Лікар-терапевт","х",IF($B$457="Лікар загальної практики - сімейний лікар",G459/L459,0)))</f>
        <v>0</v>
      </c>
      <c r="H460" s="203">
        <f>IF($B$457="Лікар-педіатр",H459/L459,IF($B$457="Лікар-терапевт","х",IF($B$457="Лікар загальної практики - сімейний лікар",H459/L459,0)))</f>
        <v>0</v>
      </c>
      <c r="I460" s="203">
        <f>IF($B$457="Лікар-педіатр","x",IF($B$457="Лікар-терапевт",I459/L459,IF($B$457="Лікар загальної практики - сімейний лікар",I459/L459,0)))</f>
        <v>0</v>
      </c>
      <c r="J460" s="203">
        <f>IF($B$457="Лікар-педіатр","x",IF($B$457="Лікар-терапевт",J459/L459,IF($B$457="Лікар загальної практики - сімейний лікар",J459/L459,0)))</f>
        <v>0</v>
      </c>
      <c r="K460" s="203">
        <f>IF($B$457="Лікар-педіатр","x",IF($B$457="Лікар-терапевт",K459/L459,IF($B$457="Лікар загальної практики - сімейний лікар",K459/L459,0)))</f>
        <v>0</v>
      </c>
      <c r="L460" s="203">
        <f>SUM(G460:K460)</f>
        <v>0</v>
      </c>
      <c r="M460" s="942"/>
      <c r="N460" s="203">
        <f>IF($B$457="Лікар-педіатр",N459/S459,IF($B$457="Лікар-терапевт","х",IF($B$457="Лікар загальної практики - сімейний лікар",N459/S459,0)))</f>
        <v>0</v>
      </c>
      <c r="O460" s="203">
        <f>IF($B$457="Лікар-педіатр",O459/S459,IF($B$457="Лікар-терапевт","х",IF($B$457="Лікар загальної практики - сімейний лікар",O459/S459,0)))</f>
        <v>0</v>
      </c>
      <c r="P460" s="203">
        <f>IF($B$457="Лікар-педіатр","x",IF($B$457="Лікар-терапевт",P459/S459,IF($B$457="Лікар загальної практики - сімейний лікар",P459/S459,0)))</f>
        <v>0</v>
      </c>
      <c r="Q460" s="203">
        <f>IF($B$457="Лікар-педіатр","x",IF($B$457="Лікар-терапевт",Q459/S459,IF($B$457="Лікар загальної практики - сімейний лікар",Q459/S459,0)))</f>
        <v>0</v>
      </c>
      <c r="R460" s="203">
        <f>IF($B$457="Лікар-педіатр","x",IF($B$457="Лікар-терапевт",R459/S459,IF($B$457="Лікар загальної практики - сімейний лікар",R459/S459,0)))</f>
        <v>0</v>
      </c>
      <c r="S460" s="203">
        <f>SUM(N460:R460)</f>
        <v>0</v>
      </c>
      <c r="T460" s="942"/>
      <c r="U460" s="203">
        <f>IF($B$457="Лікар-педіатр",U459/Z459,IF($B$457="Лікар-терапевт","х",IF($B$457="Лікар загальної практики - сімейний лікар",U459/Z459,0)))</f>
        <v>0</v>
      </c>
      <c r="V460" s="203">
        <f>IF($B$457="Лікар-педіатр",V459/Z459,IF($B$457="Лікар-терапевт","х",IF($B$457="Лікар загальної практики - сімейний лікар",V459/Z459,0)))</f>
        <v>0</v>
      </c>
      <c r="W460" s="203">
        <f>IF($B$457="Лікар-педіатр","x",IF($B$457="Лікар-терапевт",W459/Z459,IF($B$457="Лікар загальної практики - сімейний лікар",W459/Z459,0)))</f>
        <v>0</v>
      </c>
      <c r="X460" s="203">
        <f>IF($B$457="Лікар-педіатр","x",IF($B$457="Лікар-терапевт",X459/Z459,IF($B$457="Лікар загальної практики - сімейний лікар",X459/Z459,0)))</f>
        <v>0</v>
      </c>
      <c r="Y460" s="203">
        <f>IF($B$457="Лікар-педіатр","x",IF($B$457="Лікар-терапевт",Y459/Z459,IF($B$457="Лікар загальної практики - сімейний лікар",Y459/Z459,0)))</f>
        <v>0</v>
      </c>
      <c r="Z460" s="203">
        <f>SUM(U460:Y460)</f>
        <v>0</v>
      </c>
      <c r="AA460" s="942"/>
      <c r="AB460" s="203">
        <f>IF($B$457="Лікар-педіатр",AB459/AG459,IF($B$457="Лікар-терапевт","х",IF($B$457="Лікар загальної практики - сімейний лікар",AB459/AG459,0)))</f>
        <v>0</v>
      </c>
      <c r="AC460" s="203">
        <f>IF($B$457="Лікар-педіатр",AC459/AG459,IF($B$457="Лікар-терапевт","х",IF($B$457="Лікар загальної практики - сімейний лікар",AC459/AG459,0)))</f>
        <v>0</v>
      </c>
      <c r="AD460" s="203">
        <f>IF($B$457="Лікар-педіатр","x",IF($B$457="Лікар-терапевт",AD459/AG459,IF($B$457="Лікар загальної практики - сімейний лікар",AD459/AG459,0)))</f>
        <v>0</v>
      </c>
      <c r="AE460" s="203">
        <f>IF($B$457="Лікар-педіатр","x",IF($B$457="Лікар-терапевт",AE459/AG459,IF($B$457="Лікар загальної практики - сімейний лікар",AE459/AG459,0)))</f>
        <v>0</v>
      </c>
      <c r="AF460" s="203">
        <f>IF($B$457="Лікар-педіатр","x",IF($B$457="Лікар-терапевт",AF459/AG459,IF($B$457="Лікар загальної практики - сімейний лікар",AF459/AG459,0)))</f>
        <v>0</v>
      </c>
      <c r="AG460" s="203">
        <f>SUM(AB460:AF460)</f>
        <v>0</v>
      </c>
      <c r="AH460" s="942"/>
      <c r="AI460" s="201"/>
      <c r="AJ460" s="945"/>
      <c r="AK460" s="960"/>
      <c r="AL460" s="960"/>
      <c r="AM460" s="930"/>
      <c r="AN460" s="948"/>
      <c r="AO460" s="948"/>
      <c r="AP460" s="948"/>
      <c r="AQ460" s="948"/>
      <c r="AR460" s="963"/>
    </row>
    <row r="461" spans="1:44" s="50" customFormat="1" ht="45" hidden="1" customHeight="1" thickBot="1">
      <c r="A461" s="197"/>
      <c r="B461" s="951"/>
      <c r="C461" s="954"/>
      <c r="D461" s="957"/>
      <c r="E461" s="939"/>
      <c r="F461" s="204" t="s">
        <v>662</v>
      </c>
      <c r="G461" s="205">
        <f>IF($B$457="Лікар загальної практики - сімейний лікар",AVERAGE(G457:G459),IF($B$457="Лікар-педіатр",AVERAGE(G457:G459),IF($B$457="Лікар-терапевт","х",0)))</f>
        <v>0</v>
      </c>
      <c r="H461" s="205">
        <f>IF($B$457="Лікар загальної практики - сімейний лікар",AVERAGE(H457:H459),IF($B$457="Лікар-педіатр",AVERAGE(H457:H459),IF($B$457="Лікар-терапевт","х",0)))</f>
        <v>0</v>
      </c>
      <c r="I461" s="205">
        <f>IF($B$457="Лікар загальної практики - сімейний лікар",AVERAGE(I457:I459),IF($B$457="Лікар-педіатр","x",IF($B$457="Лікар-терапевт",AVERAGE(I457:I459),0)))</f>
        <v>0</v>
      </c>
      <c r="J461" s="205">
        <f>IF($B$457="Лікар загальної практики - сімейний лікар",AVERAGE(J457:J459),IF($B$457="Лікар-педіатр","x",IF($B$457="Лікар-терапевт",AVERAGE(J457:J459),0)))</f>
        <v>0</v>
      </c>
      <c r="K461" s="205">
        <f>IF($B$457="Лікар загальної практики - сімейний лікар",AVERAGE(K457:K459),IF($B$457="Лікар-педіатр","x",IF($B$457="Лікар-терапевт",AVERAGE(K457:K459),0)))</f>
        <v>0</v>
      </c>
      <c r="L461" s="206">
        <f>SUM(G461:K461)</f>
        <v>0</v>
      </c>
      <c r="M461" s="942"/>
      <c r="N461" s="205">
        <f>IF($B$457="Лікар загальної практики - сімейний лікар",AVERAGE(N457:N459),IF($B$457="Лікар-педіатр",AVERAGE(N457:N459),IF($B$457="Лікар-терапевт","х",0)))</f>
        <v>0</v>
      </c>
      <c r="O461" s="205">
        <f>IF($B$457="Лікар загальної практики - сімейний лікар",AVERAGE(O457:O459),IF($B$457="Лікар-педіатр",AVERAGE(O457:O459),IF($B$457="Лікар-терапевт","х",0)))</f>
        <v>0</v>
      </c>
      <c r="P461" s="205">
        <f>IF($B$457="Лікар загальної практики - сімейний лікар",AVERAGE(P457:P459),IF($B$457="Лікар-педіатр","x",IF($B$457="Лікар-терапевт",AVERAGE(P457:P459),0)))</f>
        <v>0</v>
      </c>
      <c r="Q461" s="205">
        <f>IF($B$457="Лікар загальної практики - сімейний лікар",AVERAGE(Q457:Q459),IF($B$457="Лікар-педіатр","x",IF($B$457="Лікар-терапевт",AVERAGE(Q457:Q459),0)))</f>
        <v>0</v>
      </c>
      <c r="R461" s="205">
        <f>IF($B$457="Лікар загальної практики - сімейний лікар",AVERAGE(R457:R459),IF($B$457="Лікар-педіатр","x",IF($B$457="Лікар-терапевт",AVERAGE(R457:R459),0)))</f>
        <v>0</v>
      </c>
      <c r="S461" s="206">
        <f>SUM(N461:R461)</f>
        <v>0</v>
      </c>
      <c r="T461" s="942"/>
      <c r="U461" s="205">
        <f>IF($B$457="Лікар загальної практики - сімейний лікар",AVERAGE(U457:U459),IF($B$457="Лікар-педіатр",AVERAGE(U457:U459),IF($B$457="Лікар-терапевт","х",0)))</f>
        <v>0</v>
      </c>
      <c r="V461" s="205">
        <f>IF($B$457="Лікар загальної практики - сімейний лікар",AVERAGE(V457:V459),IF($B$457="Лікар-педіатр",AVERAGE(V457:V459),IF($B$457="Лікар-терапевт","х",0)))</f>
        <v>0</v>
      </c>
      <c r="W461" s="205">
        <f>IF($B$457="Лікар загальної практики - сімейний лікар",AVERAGE(W457:W459),IF($B$457="Лікар-педіатр","x",IF($B$457="Лікар-терапевт",AVERAGE(W457:W459),0)))</f>
        <v>0</v>
      </c>
      <c r="X461" s="205">
        <f>IF($B$457="Лікар загальної практики - сімейний лікар",AVERAGE(X457:X459),IF($B$457="Лікар-педіатр","x",IF($B$457="Лікар-терапевт",AVERAGE(X457:X459),0)))</f>
        <v>0</v>
      </c>
      <c r="Y461" s="205">
        <f>IF($B$457="Лікар загальної практики - сімейний лікар",AVERAGE(Y457:Y459),IF($B$457="Лікар-педіатр","x",IF($B$457="Лікар-терапевт",AVERAGE(Y457:Y459),0)))</f>
        <v>0</v>
      </c>
      <c r="Z461" s="206">
        <f>SUM(U461:Y461)</f>
        <v>0</v>
      </c>
      <c r="AA461" s="942"/>
      <c r="AB461" s="205">
        <f>IF($B$457="Лікар загальної практики - сімейний лікар",AVERAGE(AB457:AB459),IF($B$457="Лікар-педіатр",AVERAGE(AB457:AB459),IF($B$457="Лікар-терапевт","х",0)))</f>
        <v>0</v>
      </c>
      <c r="AC461" s="205">
        <f>IF($B$457="Лікар загальної практики - сімейний лікар",AVERAGE(AC457:AC459),IF($B$457="Лікар-педіатр",AVERAGE(AC457:AC459),IF($B$457="Лікар-терапевт","х",0)))</f>
        <v>0</v>
      </c>
      <c r="AD461" s="205">
        <f>IF($B$457="Лікар загальної практики - сімейний лікар",AVERAGE(AD457:AD459),IF($B$457="Лікар-педіатр","x",IF($B$457="Лікар-терапевт",AVERAGE(AD457:AD459),0)))</f>
        <v>0</v>
      </c>
      <c r="AE461" s="205">
        <f>IF($B$457="Лікар загальної практики - сімейний лікар",AVERAGE(AE457:AE459),IF($B$457="Лікар-педіатр","x",IF($B$457="Лікар-терапевт",AVERAGE(AE457:AE459),0)))</f>
        <v>0</v>
      </c>
      <c r="AF461" s="205">
        <f>IF($B$457="Лікар загальної практики - сімейний лікар",AVERAGE(AF457:AF459),IF($B$457="Лікар-педіатр","x",IF($B$457="Лікар-терапевт",AVERAGE(AF457:AF459),0)))</f>
        <v>0</v>
      </c>
      <c r="AG461" s="206">
        <f>SUM(AB461:AF461)</f>
        <v>0</v>
      </c>
      <c r="AH461" s="942"/>
      <c r="AI461" s="201"/>
      <c r="AJ461" s="945"/>
      <c r="AK461" s="960"/>
      <c r="AL461" s="960"/>
      <c r="AM461" s="931"/>
      <c r="AN461" s="949"/>
      <c r="AO461" s="949"/>
      <c r="AP461" s="949"/>
      <c r="AQ461" s="949"/>
      <c r="AR461" s="964"/>
    </row>
    <row r="462" spans="1:44" s="50" customFormat="1" ht="40.5" hidden="1">
      <c r="A462" s="197"/>
      <c r="B462" s="951"/>
      <c r="C462" s="954"/>
      <c r="D462" s="957"/>
      <c r="E462" s="939"/>
      <c r="F462" s="237" t="str">
        <f ca="1">IF(B457="Лікар-педіатр",Законод!$C$17,IF(B457="Лікар загальної практики - сімейний лікар",Законод!$C$21,IF(B457="Лікар-терапевт",Законод!$C$25,"х")))</f>
        <v>х</v>
      </c>
      <c r="G462" s="208">
        <f ca="1">IF($B$457="Лікар загальної практики - сімейний лікар",IF(L461&lt;=Законод!$C$22,G461,Законод!$C$22*'01_Доходи'!G460),IF($B$457="Лікар-педіатр",IF(L461&lt;=Законод!$C$18,G461,Законод!$C$18*'01_Доходи'!G460),IF($B$457="Лікар-терапевт","x",0)))</f>
        <v>0</v>
      </c>
      <c r="H462" s="208">
        <f ca="1">IF($B$457="Лікар загальної практики - сімейний лікар",IF(L461&lt;=Законод!$C$22,H461,Законод!$C$22*'01_Доходи'!H460),IF($B$457="Лікар-педіатр",IF(L461&lt;=Законод!$C$18,H461,Законод!$C$18*'01_Доходи'!H460),IF($B$457="Лікар-терапевт","x",0)))</f>
        <v>0</v>
      </c>
      <c r="I462" s="208">
        <f ca="1">IF($B$457="Лікар загальної практики - сімейний лікар",IF(L461&lt;=Законод!$C$22,I461,Законод!$C$22*'01_Доходи'!I460),IF($B$457="Лікар-педіатр","x",IF($B$457="Лікар-терапевт",IF(L461&lt;=Законод!$C$26,I461,Законод!$C$26*'01_Доходи'!I460),0)))</f>
        <v>0</v>
      </c>
      <c r="J462" s="208">
        <f ca="1">IF($B$457="Лікар загальної практики - сімейний лікар",IF(L461&lt;=Законод!$C$22,J461,Законод!$C$22*'01_Доходи'!J460),IF($B$457="Лікар-педіатр","x",IF($B$457="Лікар-терапевт",IF(L461&lt;=Законод!$C$26,J461,Законод!$C$26*'01_Доходи'!J460),0)))</f>
        <v>0</v>
      </c>
      <c r="K462" s="208">
        <f ca="1">IF($B$457="Лікар загальної практики - сімейний лікар",IF(L461&lt;=Законод!$C$22,K461,Законод!$C$22*'01_Доходи'!K460),IF($B$457="Лікар-педіатр","x",IF($B$457="Лікар-терапевт",IF(L461&lt;=Законод!$C$26,K461,Законод!$C$26*'01_Доходи'!K460),0)))</f>
        <v>0</v>
      </c>
      <c r="L462" s="209">
        <f ca="1">SUM(G462:K462)</f>
        <v>0</v>
      </c>
      <c r="M462" s="942"/>
      <c r="N462" s="208">
        <f ca="1">IF($B$457="Лікар загальної практики - сімейний лікар",IF(S461&lt;=Законод!$C$22,N461,Законод!$C$22*'01_Доходи'!N460),IF($B$457="Лікар-педіатр",IF(S461&lt;=Законод!$C$18,N461,Законод!$C$18*'01_Доходи'!N460),IF($B$457="Лікар-терапевт","x",0)))</f>
        <v>0</v>
      </c>
      <c r="O462" s="208">
        <f ca="1">IF($B$457="Лікар загальної практики - сімейний лікар",IF(S461&lt;=Законод!$C$22,O461,Законод!$C$22*'01_Доходи'!O460),IF($B$457="Лікар-педіатр",IF(S461&lt;=Законод!$C$18,O461,Законод!$C$18*'01_Доходи'!O460),IF($B$457="Лікар-терапевт","x",0)))</f>
        <v>0</v>
      </c>
      <c r="P462" s="208">
        <f ca="1">IF($B$457="Лікар загальної практики - сімейний лікар",IF(S461&lt;=Законод!$C$22,P461,Законод!$C$22*'01_Доходи'!P460),IF($B$457="Лікар-педіатр","x",IF($B$457="Лікар-терапевт",IF(S461&lt;=Законод!$C$26,P461,Законод!$C$26*'01_Доходи'!P460),0)))</f>
        <v>0</v>
      </c>
      <c r="Q462" s="208">
        <f ca="1">IF($B$457="Лікар загальної практики - сімейний лікар",IF(S461&lt;=Законод!$C$22,Q461,Законод!$C$22*'01_Доходи'!Q460),IF($B$457="Лікар-педіатр","x",IF($B$457="Лікар-терапевт",IF(S461&lt;=Законод!$C$26,Q461,Законод!$C$26*'01_Доходи'!Q460),0)))</f>
        <v>0</v>
      </c>
      <c r="R462" s="208">
        <f ca="1">IF($B$457="Лікар загальної практики - сімейний лікар",IF(S461&lt;=Законод!$C$22,R461,Законод!$C$22*'01_Доходи'!R460),IF($B$457="Лікар-педіатр","x",IF($B$457="Лікар-терапевт",IF(S461&lt;=Законод!$C$26,R461,Законод!$C$26*'01_Доходи'!R460),0)))</f>
        <v>0</v>
      </c>
      <c r="S462" s="209">
        <f ca="1">SUM(N462:R462)</f>
        <v>0</v>
      </c>
      <c r="T462" s="942"/>
      <c r="U462" s="208">
        <f ca="1">IF($B$457="Лікар загальної практики - сімейний лікар",IF(Z461&lt;=Законод!$C$22,U461,Законод!$C$22*'01_Доходи'!U460),IF($B$457="Лікар-педіатр",IF(Z461&lt;=Законод!$C$18,U461,Законод!$C$18*'01_Доходи'!U460),IF($B$457="Лікар-терапевт","x",0)))</f>
        <v>0</v>
      </c>
      <c r="V462" s="208">
        <f ca="1">IF($B$457="Лікар загальної практики - сімейний лікар",IF(Z461&lt;=Законод!$C$22,V461,Законод!$C$22*'01_Доходи'!V460),IF($B$457="Лікар-педіатр",IF(Z461&lt;=Законод!$C$18,V461,Законод!$C$18*'01_Доходи'!V460),IF($B$457="Лікар-терапевт","x",0)))</f>
        <v>0</v>
      </c>
      <c r="W462" s="208">
        <f ca="1">IF($B$457="Лікар загальної практики - сімейний лікар",IF(Z461&lt;=Законод!$C$22,W461,Законод!$C$22*'01_Доходи'!W460),IF($B$457="Лікар-педіатр","x",IF($B$457="Лікар-терапевт",IF(Z461&lt;=Законод!$C$26,W461,Законод!$C$26*'01_Доходи'!W460),0)))</f>
        <v>0</v>
      </c>
      <c r="X462" s="208">
        <f ca="1">IF($B$457="Лікар загальної практики - сімейний лікар",IF(Z461&lt;=Законод!$C$22,X461,Законод!$C$22*'01_Доходи'!X460),IF($B$457="Лікар-педіатр","x",IF($B$457="Лікар-терапевт",IF(Z461&lt;=Законод!$C$26,X461,Законод!$C$26*'01_Доходи'!X460),0)))</f>
        <v>0</v>
      </c>
      <c r="Y462" s="208">
        <f ca="1">IF($B$457="Лікар загальної практики - сімейний лікар",IF(Z461&lt;=Законод!$C$22,Y461,Законод!$C$22*'01_Доходи'!Y460),IF($B$457="Лікар-педіатр","x",IF($B$457="Лікар-терапевт",IF(Z461&lt;=Законод!$C$26,Y461,Законод!$C$26*'01_Доходи'!Y460),0)))</f>
        <v>0</v>
      </c>
      <c r="Z462" s="209">
        <f ca="1">SUM(U462:Y462)</f>
        <v>0</v>
      </c>
      <c r="AA462" s="942"/>
      <c r="AB462" s="208">
        <f ca="1">IF($B$457="Лікар загальної практики - сімейний лікар",IF(AG461&lt;=Законод!$C$22,AB461,Законод!$C$22*'01_Доходи'!AB460),IF($B$457="Лікар-педіатр",IF(AG461&lt;=Законод!$C$18,AB461,Законод!$C$18*'01_Доходи'!AB460),IF($B$457="Лікар-терапевт","x",0)))</f>
        <v>0</v>
      </c>
      <c r="AC462" s="208">
        <f ca="1">IF($B$457="Лікар загальної практики - сімейний лікар",IF(AG461&lt;=Законод!$C$22,AC461,Законод!$C$22*'01_Доходи'!AC460),IF($B$457="Лікар-педіатр",IF(AG461&lt;=Законод!$C$18,AC461,Законод!$C$18*'01_Доходи'!AC460),IF($B$457="Лікар-терапевт","x",0)))</f>
        <v>0</v>
      </c>
      <c r="AD462" s="208">
        <f ca="1">IF($B$457="Лікар загальної практики - сімейний лікар",IF(AG461&lt;=Законод!$C$22,AD461,Законод!$C$22*'01_Доходи'!AD460),IF($B$457="Лікар-педіатр","x",IF($B$457="Лікар-терапевт",IF(AG461&lt;=Законод!$C$26,AD461,Законод!$C$26*'01_Доходи'!AD460),0)))</f>
        <v>0</v>
      </c>
      <c r="AE462" s="208">
        <f ca="1">IF($B$457="Лікар загальної практики - сімейний лікар",IF(AG461&lt;=Законод!$C$22,AE461,Законод!$C$22*'01_Доходи'!AE460),IF($B$457="Лікар-педіатр","x",IF($B$457="Лікар-терапевт",IF(AG461&lt;=Законод!$C$26,AE461,Законод!$C$26*'01_Доходи'!AE460),0)))</f>
        <v>0</v>
      </c>
      <c r="AF462" s="208">
        <f ca="1">IF($B$457="Лікар загальної практики - сімейний лікар",IF(AG461&lt;=Законод!$C$22,AF461,Законод!$C$22*'01_Доходи'!AF460),IF($B$457="Лікар-педіатр","x",IF($B$457="Лікар-терапевт",IF(AG461&lt;=Законод!$C$26,AF461,Законод!$C$26*'01_Доходи'!AF460),0)))</f>
        <v>0</v>
      </c>
      <c r="AG462" s="209">
        <f ca="1">SUM(AB462:AF462)</f>
        <v>0</v>
      </c>
      <c r="AH462" s="942"/>
      <c r="AI462" s="201"/>
      <c r="AJ462" s="945"/>
      <c r="AK462" s="960"/>
      <c r="AL462" s="960"/>
      <c r="AM462" s="348" t="s">
        <v>451</v>
      </c>
      <c r="AN462" s="210">
        <f ca="1">IF(B457="Лікар загальної практики - сімейний лікар",G462*Законод!$C$11+'01_Доходи'!H462*Законод!$D$11+'01_Доходи'!I462*Законод!$E$11+'01_Доходи'!J462*Законод!$F$11+'01_Доходи'!K462*Законод!$G$11,IF(B457="Лікар-педіатр",G462*Законод!$C$11+'01_Доходи'!H462*Законод!$D$11,IF(B457="Лікар-терапевт",'01_Доходи'!I462*Законод!$E$11+'01_Доходи'!J462*Законод!$F$11+'01_Доходи'!K462*Законод!$G$11,0)))</f>
        <v>0</v>
      </c>
      <c r="AO462" s="210">
        <f ca="1">IF(B457="Лікар загальної практики - сімейний лікар",N462*Законод!$C$11+'01_Доходи'!O462*Законод!$D$11+'01_Доходи'!P462*Законод!$E$11+'01_Доходи'!Q462*Законод!$F$11+'01_Доходи'!R462*Законод!$G$11,IF(B457="Лікар-педіатр",N462*Законод!$C$11+'01_Доходи'!O462*Законод!$D$11,IF(B457="Лікар-терапевт",'01_Доходи'!P462*Законод!$E$11+'01_Доходи'!Q462*Законод!$F$11+'01_Доходи'!R462*Законод!$G$11,0)))</f>
        <v>0</v>
      </c>
      <c r="AP462" s="210">
        <f ca="1">IF(B457="Лікар загальної практики - сімейний лікар",U462*Законод!$C$11+'01_Доходи'!V462*Законод!$D$11+'01_Доходи'!W462*Законод!$E$11+'01_Доходи'!X462*Законод!$F$11+'01_Доходи'!Y462*Законод!$G$11,IF(B457="Лікар-педіатр",U462*Законод!$C$11+'01_Доходи'!V462*Законод!$D$11,IF(B457="Лікар-терапевт",'01_Доходи'!W462*Законод!$E$11+'01_Доходи'!X462*Законод!$F$11+'01_Доходи'!Y462*Законод!$G$11,0)))</f>
        <v>0</v>
      </c>
      <c r="AQ462" s="210">
        <f ca="1">IF(B457="Лікар загальної практики - сімейний лікар",AB462*Законод!$C$11+'01_Доходи'!AC462*Законод!$D$11+'01_Доходи'!AD462*Законод!$E$11+'01_Доходи'!AE462*Законод!$F$11+'01_Доходи'!AF462*Законод!$G$11,IF(B457="Лікар-педіатр",AB462*Законод!$C$11+'01_Доходи'!AC462*Законод!$D$11,IF(B457="Лікар-терапевт",'01_Доходи'!AD462*Законод!$E$11+'01_Доходи'!AE462*Законод!$F$11+'01_Доходи'!AF462*Законод!$G$11,0)))</f>
        <v>0</v>
      </c>
      <c r="AR462" s="211">
        <f t="shared" ref="AR462:AR468" si="75">SUM(AN462:AQ462)</f>
        <v>0</v>
      </c>
    </row>
    <row r="463" spans="1:44" s="50" customFormat="1" ht="31.9" hidden="1" customHeight="1">
      <c r="A463" s="197"/>
      <c r="B463" s="951"/>
      <c r="C463" s="954"/>
      <c r="D463" s="957"/>
      <c r="E463" s="939"/>
      <c r="F463" s="238" t="str">
        <f ca="1">IF(B457="Лікар-педіатр",Законод!$E$17,IF(B457="Лікар загальної практики - сімейний лікар",Законод!$E$21,IF(B457="Лікар-терапевт",Законод!$E$25,"х")))</f>
        <v>х</v>
      </c>
      <c r="G463" s="935" t="s">
        <v>423</v>
      </c>
      <c r="H463" s="936"/>
      <c r="I463" s="936"/>
      <c r="J463" s="936"/>
      <c r="K463" s="937"/>
      <c r="L463" s="196">
        <f ca="1">IF($B$457="Лікар загальної практики - сімейний лікар",IF(L461&lt;Законод!$C$22,0,(IF(AND(L461&gt;=Законод!$E$22,L461&lt;=Законод!$E$23),L461-Законод!$C$22,IF('01_Доходи'!L461&gt;=Законод!$F$22,Законод!$E$24,0)))),IF($B$457="Лікар-педіатр",IF(L461&lt;Законод!$C$18,0,(IF(AND(L461&gt;=Законод!$E$18,L461&lt;=Законод!$E$19),L461-Законод!$C$18,IF('01_Доходи'!L461&gt;=Законод!$F$18,Законод!$E$20,0)))),IF($B$457="Лікар-терапевт",IF(L461&lt;Законод!$C$26,0,(IF(AND(L461&gt;=Законод!$E$26,L461&lt;=Законод!$E$27),L461-Законод!$C$26,IF('01_Доходи'!L461&gt;=Законод!$F$26,Законод!$E$28,0)))),0)))</f>
        <v>0</v>
      </c>
      <c r="M463" s="942"/>
      <c r="N463" s="935" t="s">
        <v>423</v>
      </c>
      <c r="O463" s="936"/>
      <c r="P463" s="936"/>
      <c r="Q463" s="936"/>
      <c r="R463" s="937"/>
      <c r="S463" s="196">
        <f ca="1">IF($B$457="Лікар загальної практики - сімейний лікар",IF(S461&lt;Законод!$C$22,0,(IF(AND(S461&gt;=Законод!$E$22,S461&lt;=Законод!$E$23),S461-Законод!$C$22,IF('01_Доходи'!S461&gt;=Законод!$F$22,Законод!$E$24,0)))),IF($B$457="Лікар-педіатр",IF(S461&lt;Законод!$C$18,0,(IF(AND(S461&gt;=Законод!$E$18,S461&lt;=Законод!$E$19),S461-Законод!$C$18,IF('01_Доходи'!S461&gt;=Законод!$F$18,Законод!$E$20,0)))),IF($B$457="Лікар-терапевт",IF(S461&lt;Законод!$C$26,0,(IF(AND(S461&gt;=Законод!$E$26,S461&lt;=Законод!$E$27),S461-Законод!$C$26,IF('01_Доходи'!S461&gt;=Законод!$F$26,Законод!$E$28,0)))),0)))</f>
        <v>0</v>
      </c>
      <c r="T463" s="942"/>
      <c r="U463" s="935" t="s">
        <v>423</v>
      </c>
      <c r="V463" s="936"/>
      <c r="W463" s="936"/>
      <c r="X463" s="936"/>
      <c r="Y463" s="937"/>
      <c r="Z463" s="196">
        <f ca="1">IF($B$457="Лікар загальної практики - сімейний лікар",IF(Z461&lt;Законод!$C$22,0,(IF(AND(Z461&gt;=Законод!$E$22,Z461&lt;=Законод!$E$23),Z461-Законод!$C$22,IF('01_Доходи'!Z461&gt;=Законод!$F$22,Законод!$E$24,0)))),IF($B$457="Лікар-педіатр",IF(Z461&lt;Законод!$C$18,0,(IF(AND(Z461&gt;=Законод!$E$18,Z461&lt;=Законод!$E$19),Z461-Законод!$C$18,IF('01_Доходи'!Z461&gt;=Законод!$F$18,Законод!$E$20,0)))),IF($B$457="Лікар-терапевт",IF(Z461&lt;Законод!$C$26,0,(IF(AND(Z461&gt;=Законод!$E$26,Z461&lt;=Законод!$E$27),Z461-Законод!$C$26,IF('01_Доходи'!Z461&gt;=Законод!$F$26,Законод!$E$28,0)))),0)))</f>
        <v>0</v>
      </c>
      <c r="AA463" s="942"/>
      <c r="AB463" s="935" t="s">
        <v>423</v>
      </c>
      <c r="AC463" s="936"/>
      <c r="AD463" s="936"/>
      <c r="AE463" s="936"/>
      <c r="AF463" s="937"/>
      <c r="AG463" s="196">
        <f ca="1">IF($B$457="Лікар загальної практики - сімейний лікар",IF(AG461&lt;Законод!$C$22,0,(IF(AND(AG461&gt;=Законод!$E$22,AG461&lt;=Законод!$E$23),AG461-Законод!$C$22,IF('01_Доходи'!AG461&gt;=Законод!$F$22,Законод!$E$24,0)))),IF($B$457="Лікар-педіатр",IF(AG461&lt;Законод!$C$18,0,(IF(AND(AG461&gt;=Законод!$E$18,AG461&lt;=Законод!$E$19),AG461-Законод!$C$18,IF('01_Доходи'!AG461&gt;=Законод!$F$18,Законод!$E$20,0)))),IF($B$457="Лікар-терапевт",IF(AG461&lt;Законод!$C$26,0,(IF(AND(AG461&gt;=Законод!$E$26,AG461&lt;=Законод!$E$27),AG461-Законод!$C$26,IF('01_Доходи'!AG461&gt;=Законод!$F$26,Законод!$E$28,0)))),0)))</f>
        <v>0</v>
      </c>
      <c r="AH463" s="942"/>
      <c r="AI463" s="201"/>
      <c r="AJ463" s="945"/>
      <c r="AK463" s="960"/>
      <c r="AL463" s="960"/>
      <c r="AM463" s="926" t="s">
        <v>452</v>
      </c>
      <c r="AN463" s="210">
        <f ca="1">IF(B457="Лікар загальної практики - сімейний лікар",L463*Законод!$C$9/4*Законод!$E$16,IF(B457="Лікар-педіатр",L463*Законод!$C$9/4*Законод!$E$16,IF(B457="Лікар-терапевт",L463*Законод!$C$9/4*Законод!$E$16,0)))</f>
        <v>0</v>
      </c>
      <c r="AO463" s="210">
        <f ca="1">IF(B457="Лікар загальної практики - сімейний лікар",S463*Законод!$C$9/4*Законод!$E$16,IF(B457="Лікар-педіатр",S463*Законод!$C$9/4*Законод!$E$16,IF(B457="Лікар-терапевт",S463*Законод!$C$9/4*Законод!$E$16,0)))</f>
        <v>0</v>
      </c>
      <c r="AP463" s="210">
        <f ca="1">IF(B457="Лікар загальної практики - сімейний лікар",Z463*Законод!$C$9/4*Законод!$E$16,IF(B457="Лікар-педіатр",Z463*Законод!$C$9/4*Законод!$E$16,IF(B457="Лікар-терапевт",Z463*Законод!$C$9/4*Законод!$E$16,0)))</f>
        <v>0</v>
      </c>
      <c r="AQ463" s="210">
        <f ca="1">IF(B457="Лікар загальної практики - сімейний лікар",AG463*Законод!$C$9/4*Законод!$E$16,IF(B457="Лікар-педіатр",AG463*Законод!$C$9/4*Законод!$E$16,IF(B457="Лікар-терапевт",AG463*Законод!$C$9/4*Законод!$E$16,0)))</f>
        <v>0</v>
      </c>
      <c r="AR463" s="211">
        <f t="shared" si="75"/>
        <v>0</v>
      </c>
    </row>
    <row r="464" spans="1:44" s="50" customFormat="1" ht="31.9" hidden="1" customHeight="1">
      <c r="A464" s="197"/>
      <c r="B464" s="951"/>
      <c r="C464" s="954"/>
      <c r="D464" s="957"/>
      <c r="E464" s="939"/>
      <c r="F464" s="238" t="str">
        <f ca="1">IF(B457="Лікар-педіатр",Законод!$F$17,IF(B457="Лікар загальної практики - сімейний лікар",Законод!$F$21,IF(B457="Лікар-терапевт",Законод!$F$25,"х")))</f>
        <v>х</v>
      </c>
      <c r="G464" s="935" t="s">
        <v>423</v>
      </c>
      <c r="H464" s="936"/>
      <c r="I464" s="936"/>
      <c r="J464" s="936"/>
      <c r="K464" s="937"/>
      <c r="L464" s="196">
        <f ca="1">IF($B$457="Лікар загальної практики - сімейний лікар",IF(L461&lt;Законод!$C$22,0,(IF(AND(L461&gt;=Законод!$F$22,L461&lt;=Законод!$F$23),L461-Законод!$E$23,IF('01_Доходи'!L461&gt;=Законод!$G$22,Законод!$F$24,0)))),IF($B$457="Лікар-педіатр",IF(L461&lt;Законод!$C$18,0,(IF(AND(L461&gt;=Законод!$F$18,L461&lt;=Законод!$F$19),L461-Законод!$E$19,IF('01_Доходи'!L461&gt;=Законод!$G$18,Законод!$F$20,0)))),IF($B$457="Лікар-терапевт",IF(L461&lt;Законод!$C$26,0,(IF(AND(L461&gt;=Законод!$F$26,L461&lt;=Законод!$F$27),L461-Законод!$E$27,IF('01_Доходи'!L461&gt;=Законод!$G$26,Законод!$F$28,0)))),0)))</f>
        <v>0</v>
      </c>
      <c r="M464" s="942"/>
      <c r="N464" s="935" t="s">
        <v>423</v>
      </c>
      <c r="O464" s="936"/>
      <c r="P464" s="936"/>
      <c r="Q464" s="936"/>
      <c r="R464" s="937"/>
      <c r="S464" s="196">
        <f ca="1">IF($B$457="Лікар загальної практики - сімейний лікар",IF(S461&lt;Законод!$C$22,0,(IF(AND(S461&gt;=Законод!$F$22,S461&lt;=Законод!$F$23),S461-Законод!$E$23,IF('01_Доходи'!S461&gt;=Законод!$G$22,Законод!$F$24,0)))),IF($B$457="Лікар-педіатр",IF(S461&lt;Законод!$C$18,0,(IF(AND(S461&gt;=Законод!$F$18,S461&lt;=Законод!$F$19),S461-Законод!$E$19,IF('01_Доходи'!S461&gt;=Законод!$G$18,Законод!$F$20,0)))),IF($B$457="Лікар-терапевт",IF(S461&lt;Законод!$C$26,0,(IF(AND(S461&gt;=Законод!$F$26,S461&lt;=Законод!$F$27),S461-Законод!$E$27,IF('01_Доходи'!S461&gt;=Законод!$G$26,Законод!$F$28,0)))),0)))</f>
        <v>0</v>
      </c>
      <c r="T464" s="942"/>
      <c r="U464" s="935" t="s">
        <v>423</v>
      </c>
      <c r="V464" s="936"/>
      <c r="W464" s="936"/>
      <c r="X464" s="936"/>
      <c r="Y464" s="937"/>
      <c r="Z464" s="196">
        <f ca="1">IF($B$457="Лікар загальної практики - сімейний лікар",IF(Z461&lt;Законод!$C$22,0,(IF(AND(Z461&gt;=Законод!$F$22,Z461&lt;=Законод!$F$23),Z461-Законод!$E$23,IF('01_Доходи'!Z461&gt;=Законод!$G$22,Законод!$F$24,0)))),IF($B$457="Лікар-педіатр",IF(Z461&lt;Законод!$C$18,0,(IF(AND(Z461&gt;=Законод!$F$18,Z461&lt;=Законод!$F$19),Z461-Законод!$E$19,IF('01_Доходи'!Z461&gt;=Законод!$G$18,Законод!$F$20,0)))),IF($B$457="Лікар-терапевт",IF(Z461&lt;Законод!$C$26,0,(IF(AND(Z461&gt;=Законод!$F$26,Z461&lt;=Законод!$F$27),Z461-Законод!$E$27,IF('01_Доходи'!Z461&gt;=Законод!$G$26,Законод!$F$28,0)))),0)))</f>
        <v>0</v>
      </c>
      <c r="AA464" s="942"/>
      <c r="AB464" s="935" t="s">
        <v>423</v>
      </c>
      <c r="AC464" s="936"/>
      <c r="AD464" s="936"/>
      <c r="AE464" s="936"/>
      <c r="AF464" s="937"/>
      <c r="AG464" s="196">
        <f ca="1">IF($B$457="Лікар загальної практики - сімейний лікар",IF(AG461&lt;Законод!$C$22,0,(IF(AND(AG461&gt;=Законод!$F$22,AG461&lt;=Законод!$F$23),AG461-Законод!$E$23,IF('01_Доходи'!AG461&gt;=Законод!$G$22,Законод!$F$24,0)))),IF($B$457="Лікар-педіатр",IF(AG461&lt;Законод!$C$18,0,(IF(AND(AG461&gt;=Законод!$F$18,AG461&lt;=Законод!$F$19),AG461-Законод!$E$19,IF('01_Доходи'!AG461&gt;=Законод!$G$18,Законод!$F$20,0)))),IF($B$457="Лікар-терапевт",IF(AG461&lt;Законод!$C$26,0,(IF(AND(AG461&gt;=Законод!$F$26,AG461&lt;=Законод!$F$27),AG461-Законод!$E$27,IF('01_Доходи'!AG461&gt;=Законод!$G$26,Законод!$F$28,0)))),0)))</f>
        <v>0</v>
      </c>
      <c r="AH464" s="942"/>
      <c r="AI464" s="201"/>
      <c r="AJ464" s="945"/>
      <c r="AK464" s="960"/>
      <c r="AL464" s="960"/>
      <c r="AM464" s="927"/>
      <c r="AN464" s="210">
        <f ca="1">IF(B457="Лікар загальної практики - сімейний лікар",L464*Законод!$C$9/4*Законод!$F$16,IF(B457="Лікар-педіатр",L464*Законод!$C$9/4*Законод!$F$16,IF(B457="Лікар-терапевт",L464*Законод!$C$9/4*Законод!$F$16,0)))</f>
        <v>0</v>
      </c>
      <c r="AO464" s="210">
        <f ca="1">IF(B457="Лікар загальної практики - сімейний лікар",S464*Законод!$C$9/4*Законод!$F$16,IF(B457="Лікар-педіатр",S464*Законод!$C$9/4*Законод!$F$16,IF(B457="Лікар-терапевт",S464*Законод!$C$9/4*Законод!$F$16,0)))</f>
        <v>0</v>
      </c>
      <c r="AP464" s="210">
        <f ca="1">IF(B457="Лікар загальної практики - сімейний лікар",Z464*Законод!$C$9/4*Законод!$F$16,IF(B457="Лікар-педіатр",Z464*Законод!$C$9/4*Законод!$F$16,IF(B457="Лікар-терапевт",Z464*Законод!$C$9/4*Законод!$F$16,0)))</f>
        <v>0</v>
      </c>
      <c r="AQ464" s="210">
        <f ca="1">IF(B457="Лікар загальної практики - сімейний лікар",AG464*Законод!$C$9/4*Законод!$F$16,IF(B457="Лікар-педіатр",AG464*Законод!$C$9/4*Законод!$F$16,IF(B457="Лікар-терапевт",AG464*Законод!$C$9/4*Законод!$F$16,0)))</f>
        <v>0</v>
      </c>
      <c r="AR464" s="211">
        <f t="shared" si="75"/>
        <v>0</v>
      </c>
    </row>
    <row r="465" spans="1:44" s="50" customFormat="1" ht="31.9" hidden="1" customHeight="1">
      <c r="A465" s="197"/>
      <c r="B465" s="951"/>
      <c r="C465" s="954"/>
      <c r="D465" s="957"/>
      <c r="E465" s="939"/>
      <c r="F465" s="238" t="str">
        <f ca="1">IF(B457="Лікар-педіатр",Законод!$G$17,IF(B457="Лікар загальної практики - сімейний лікар",Законод!$G$21,IF(B457="Лікар-терапевт",Законод!$G$25,"х")))</f>
        <v>х</v>
      </c>
      <c r="G465" s="935" t="s">
        <v>423</v>
      </c>
      <c r="H465" s="936"/>
      <c r="I465" s="936"/>
      <c r="J465" s="936"/>
      <c r="K465" s="937"/>
      <c r="L465" s="196">
        <f ca="1">IF($B$457="Лікар загальної практики - сімейний лікар",IF(L461&lt;Законод!$C$22,0,(IF(AND(L461&gt;=Законод!$G$22,L461&lt;=Законод!$G$23),L461-Законод!$F$23,IF('01_Доходи'!L461&gt;=Законод!$H$22,Законод!$G$24,0)))),IF($B$457="Лікар-педіатр",IF(L461&lt;Законод!$C$18,0,(IF(AND(L461&gt;=Законод!$G$18,L461&lt;=Законод!$G$19),L461-Законод!$F$19,IF('01_Доходи'!L461&gt;=Законод!$H$18,Законод!$G$20,0)))),IF($B$457="Лікар-терапевт",IF(L461&lt;Законод!$C$26,0,(IF(AND(L461&gt;=Законод!$G$26,L461&lt;=Законод!$G$27),L461-Законод!$F$27,IF('01_Доходи'!L461&gt;=Законод!$H$26,Законод!$G$28,0)))),0)))</f>
        <v>0</v>
      </c>
      <c r="M465" s="942"/>
      <c r="N465" s="935" t="s">
        <v>423</v>
      </c>
      <c r="O465" s="936"/>
      <c r="P465" s="936"/>
      <c r="Q465" s="936"/>
      <c r="R465" s="937"/>
      <c r="S465" s="196">
        <f ca="1">IF($B$457="Лікар загальної практики - сімейний лікар",IF(S461&lt;Законод!$C$22,0,(IF(AND(S461&gt;=Законод!$G$22,S461&lt;=Законод!$G$23),S461-Законод!$F$23,IF('01_Доходи'!S461&gt;=Законод!$H$22,Законод!$G$24,0)))),IF($B$457="Лікар-педіатр",IF(S461&lt;Законод!$C$18,0,(IF(AND(S461&gt;=Законод!$G$18,S461&lt;=Законод!$G$19),S461-Законод!$F$19,IF('01_Доходи'!S461&gt;=Законод!$H$18,Законод!$G$20,0)))),IF($B$457="Лікар-терапевт",IF(S461&lt;Законод!$C$26,0,(IF(AND(S461&gt;=Законод!$G$26,S461&lt;=Законод!$G$27),S461-Законод!$F$27,IF('01_Доходи'!S461&gt;=Законод!$H$26,Законод!$G$28,0)))),0)))</f>
        <v>0</v>
      </c>
      <c r="T465" s="942"/>
      <c r="U465" s="935" t="s">
        <v>423</v>
      </c>
      <c r="V465" s="936"/>
      <c r="W465" s="936"/>
      <c r="X465" s="936"/>
      <c r="Y465" s="937"/>
      <c r="Z465" s="196">
        <f ca="1">IF($B$457="Лікар загальної практики - сімейний лікар",IF(Z461&lt;Законод!$C$22,0,(IF(AND(Z461&gt;=Законод!$G$22,Z461&lt;=Законод!$G$23),Z461-Законод!$F$23,IF('01_Доходи'!Z461&gt;=Законод!$H$22,Законод!$G$24,0)))),IF($B$457="Лікар-педіатр",IF(Z461&lt;Законод!$C$18,0,(IF(AND(Z461&gt;=Законод!$G$18,Z461&lt;=Законод!$G$19),Z461-Законод!$F$19,IF('01_Доходи'!Z461&gt;=Законод!$H$18,Законод!$G$20,0)))),IF($B$457="Лікар-терапевт",IF(Z461&lt;Законод!$C$26,0,(IF(AND(Z461&gt;=Законод!$G$26,Z461&lt;=Законод!$G$27),Z461-Законод!$F$27,IF('01_Доходи'!Z461&gt;=Законод!$H$26,Законод!$G$28,0)))),0)))</f>
        <v>0</v>
      </c>
      <c r="AA465" s="942"/>
      <c r="AB465" s="935" t="s">
        <v>423</v>
      </c>
      <c r="AC465" s="936"/>
      <c r="AD465" s="936"/>
      <c r="AE465" s="936"/>
      <c r="AF465" s="937"/>
      <c r="AG465" s="196">
        <f ca="1">IF($B$457="Лікар загальної практики - сімейний лікар",IF(AG461&lt;Законод!$C$22,0,(IF(AND(AG461&gt;=Законод!$G$22,AG461&lt;=Законод!$G$23),AG461-Законод!$F$23,IF('01_Доходи'!AG461&gt;=Законод!$H$22,Законод!$G$24,0)))),IF($B$457="Лікар-педіатр",IF(AG461&lt;Законод!$C$18,0,(IF(AND(AG461&gt;=Законод!$G$18,AG461&lt;=Законод!$G$19),AG461-Законод!$F$19,IF('01_Доходи'!AG461&gt;=Законод!$H$18,Законод!$G$20,0)))),IF($B$457="Лікар-терапевт",IF(AG461&lt;Законод!$C$26,0,(IF(AND(AG461&gt;=Законод!$G$26,AG461&lt;=Законод!$G$27),AG461-Законод!$F$27,IF('01_Доходи'!AG461&gt;=Законод!$H$26,Законод!$G$28,0)))),0)))</f>
        <v>0</v>
      </c>
      <c r="AH465" s="942"/>
      <c r="AI465" s="201"/>
      <c r="AJ465" s="945"/>
      <c r="AK465" s="960"/>
      <c r="AL465" s="960"/>
      <c r="AM465" s="927"/>
      <c r="AN465" s="210">
        <f ca="1">IF(B457="Лікар загальної практики - сімейний лікар",L465*Законод!$C$9/4*Законод!$G$16,IF(B457="Лікар-педіатр",L465*Законод!$C$9/4*Законод!$G$16,IF(B457="Лікар-терапевт",L465*Законод!$C$9/4*Законод!$G$16,0)))</f>
        <v>0</v>
      </c>
      <c r="AO465" s="210">
        <f ca="1">IF(B457="Лікар загальної практики - сімейний лікар",S465*Законод!$C$9/4*Законод!$G$16,IF(B457="Лікар-педіатр",S465*Законод!$C$9/4*Законод!$G$16,IF(B457="Лікар-терапевт",S465*Законод!$C$9/4*Законод!$G$16,0)))</f>
        <v>0</v>
      </c>
      <c r="AP465" s="210">
        <f ca="1">IF(B457="Лікар загальної практики - сімейний лікар",Z465*Законод!$C$9/4*Законод!$G$16,IF(B457="Лікар-педіатр",Z465*Законод!$C$9/4*Законод!$G$16,IF(B457="Лікар-терапевт",Z465*Законод!$C$9/4*Законод!$G$16,0)))</f>
        <v>0</v>
      </c>
      <c r="AQ465" s="210">
        <f ca="1">IF(B457="Лікар загальної практики - сімейний лікар",AG465*Законод!$C$9/4*Законод!$G$16,IF(B457="Лікар-педіатр",AG465*Законод!$C$9/4*Законод!$G$16,IF(B457="Лікар-терапевт",AG465*Законод!$C$9/4*Законод!$G$16,0)))</f>
        <v>0</v>
      </c>
      <c r="AR465" s="211">
        <f t="shared" si="75"/>
        <v>0</v>
      </c>
    </row>
    <row r="466" spans="1:44" s="50" customFormat="1" ht="31.9" hidden="1" customHeight="1">
      <c r="A466" s="197"/>
      <c r="B466" s="951"/>
      <c r="C466" s="954"/>
      <c r="D466" s="957"/>
      <c r="E466" s="939"/>
      <c r="F466" s="238" t="str">
        <f ca="1">IF(B457="Лікар-педіатр",Законод!$H$17,IF(B457="Лікар загальної практики - сімейний лікар",Законод!$H$21,IF(B457="Лікар-терапевт",Законод!$H$25,"х")))</f>
        <v>х</v>
      </c>
      <c r="G466" s="935" t="s">
        <v>423</v>
      </c>
      <c r="H466" s="936"/>
      <c r="I466" s="936"/>
      <c r="J466" s="936"/>
      <c r="K466" s="937"/>
      <c r="L466" s="196">
        <f ca="1">IF($B$457="Лікар загальної практики - сімейний лікар",IF(L461&lt;Законод!$C$22,0,(IF(AND(L461&gt;=Законод!$H$22,L461&lt;=Законод!$H$23),L461-Законод!$G$23,IF('01_Доходи'!L461&gt;=Законод!$I$22,Законод!$H$24,0)))),IF($B$457="Лікар-педіатр",IF(L461&lt;Законод!$C$18,0,(IF(AND(L461&gt;=Законод!$H$18,L461&lt;=Законод!$H$19),L461-Законод!$G$19,IF('01_Доходи'!L461&gt;=Законод!$I$18,Законод!$H$20,0)))),IF($B$457="Лікар-терапевт",IF(L461&lt;Законод!$C$26,0,(IF(AND(L461&gt;=Законод!$H$26,L461&lt;=Законод!$H$27),L461-Законод!$G$27,IF(L461&gt;=Законод!$I$26,Законод!$H$28,0)))),0)))</f>
        <v>0</v>
      </c>
      <c r="M466" s="942"/>
      <c r="N466" s="935" t="s">
        <v>423</v>
      </c>
      <c r="O466" s="936"/>
      <c r="P466" s="936"/>
      <c r="Q466" s="936"/>
      <c r="R466" s="937"/>
      <c r="S466" s="196">
        <f ca="1">IF($B$457="Лікар загальної практики - сімейний лікар",IF(S461&lt;Законод!$C$22,0,(IF(AND(S461&gt;=Законод!$H$22,S461&lt;=Законод!$H$23),S461-Законод!$G$23,IF('01_Доходи'!S461&gt;=Законод!$I$22,Законод!$H$24,0)))),IF($B$457="Лікар-педіатр",IF(S461&lt;Законод!$C$18,0,(IF(AND(S461&gt;=Законод!$H$18,S461&lt;=Законод!$H$19),S461-Законод!$G$19,IF('01_Доходи'!S461&gt;=Законод!$I$18,Законод!$H$20,0)))),IF($B$457="Лікар-терапевт",IF(S461&lt;Законод!$C$26,0,(IF(AND(S461&gt;=Законод!$H$26,S461&lt;=Законод!$H$27),S461-Законод!$G$27,IF(S461&gt;=Законод!$I$26,Законод!$H$28,0)))),0)))</f>
        <v>0</v>
      </c>
      <c r="T466" s="942"/>
      <c r="U466" s="935" t="s">
        <v>423</v>
      </c>
      <c r="V466" s="936"/>
      <c r="W466" s="936"/>
      <c r="X466" s="936"/>
      <c r="Y466" s="937"/>
      <c r="Z466" s="196">
        <f ca="1">IF($B$457="Лікар загальної практики - сімейний лікар",IF(Z461&lt;Законод!$C$22,0,(IF(AND(Z461&gt;=Законод!$H$22,Z461&lt;=Законод!$H$23),Z461-Законод!$G$23,IF('01_Доходи'!Z461&gt;=Законод!$I$22,Законод!$H$24,0)))),IF($B$457="Лікар-педіатр",IF(Z461&lt;Законод!$C$18,0,(IF(AND(Z461&gt;=Законод!$H$18,Z461&lt;=Законод!$H$19),Z461-Законод!$G$19,IF('01_Доходи'!Z461&gt;=Законод!$I$18,Законод!$H$20,0)))),IF($B$457="Лікар-терапевт",IF(Z461&lt;Законод!$C$26,0,(IF(AND(Z461&gt;=Законод!$H$26,Z461&lt;=Законод!$H$27),Z461-Законод!$G$27,IF(Z461&gt;=Законод!$I$26,Законод!$H$28,0)))),0)))</f>
        <v>0</v>
      </c>
      <c r="AA466" s="942"/>
      <c r="AB466" s="935" t="s">
        <v>423</v>
      </c>
      <c r="AC466" s="936"/>
      <c r="AD466" s="936"/>
      <c r="AE466" s="936"/>
      <c r="AF466" s="937"/>
      <c r="AG466" s="196">
        <f ca="1">IF($B$457="Лікар загальної практики - сімейний лікар",IF(AG461&lt;Законод!$C$22,0,(IF(AND(AG461&gt;=Законод!$H$22,AG461&lt;=Законод!$H$23),AG461-Законод!$G$23,IF('01_Доходи'!AG461&gt;=Законод!$I$22,Законод!$H$24,0)))),IF($B$457="Лікар-педіатр",IF(AG461&lt;Законод!$C$18,0,(IF(AND(AG461&gt;=Законод!$H$18,AG461&lt;=Законод!$H$19),AG461-Законод!$G$19,IF('01_Доходи'!AG461&gt;=Законод!$I$18,Законод!$H$20,0)))),IF($B$457="Лікар-терапевт",IF(AG461&lt;Законод!$C$26,0,(IF(AND(AG461&gt;=Законод!$H$26,AG461&lt;=Законод!$H$27),AG461-Законод!$G$27,IF(AG461&gt;=Законод!$I$26,Законод!$H$28,0)))),0)))</f>
        <v>0</v>
      </c>
      <c r="AH466" s="942"/>
      <c r="AI466" s="201"/>
      <c r="AJ466" s="945"/>
      <c r="AK466" s="960"/>
      <c r="AL466" s="960"/>
      <c r="AM466" s="927"/>
      <c r="AN466" s="210">
        <f ca="1">IF(B457="Лікар загальної практики - сімейний лікар",L466*Законод!$C$9/4*Законод!$H$16,IF(B457="Лікар-педіатр",L466*Законод!$C$9/4*Законод!$H$16,IF(B457="Лікар-терапевт",L466*Законод!$C$9/4*Законод!$H$16,0)))</f>
        <v>0</v>
      </c>
      <c r="AO466" s="210">
        <f ca="1">IF(B457="Лікар загальної практики - сімейний лікар",S466*Законод!$C$9/4*Законод!$H$16,IF(B457="Лікар-педіатр",S466*Законод!$C$9/4*Законод!$H$16,IF(B457="Лікар-терапевт",S466*Законод!$C$9/4*Законод!$H$16,0)))</f>
        <v>0</v>
      </c>
      <c r="AP466" s="210">
        <f ca="1">IF(B457="Лікар загальної практики - сімейний лікар",Z466*Законод!$C$9/4*Законод!$H$16,IF(B457="Лікар-педіатр",Z466*Законод!$C$9/4*Законод!$H$16,IF(B457="Лікар-терапевт",Z466*Законод!$C$9/4*Законод!$H$16,0)))</f>
        <v>0</v>
      </c>
      <c r="AQ466" s="210">
        <f ca="1">IF(B457="Лікар загальної практики - сімейний лікар",AG466*Законод!$C$9/4*Законод!$H$16,IF(B457="Лікар-педіатр",AG466*Законод!$C$9/4*Законод!$H$16,IF(B457="Лікар-терапевт",AG466*Законод!$C$9/4*Законод!$H$16,0)))</f>
        <v>0</v>
      </c>
      <c r="AR466" s="211">
        <f t="shared" si="75"/>
        <v>0</v>
      </c>
    </row>
    <row r="467" spans="1:44" s="50" customFormat="1" ht="31.9" hidden="1" customHeight="1">
      <c r="A467" s="197"/>
      <c r="B467" s="951"/>
      <c r="C467" s="954"/>
      <c r="D467" s="957"/>
      <c r="E467" s="939"/>
      <c r="F467" s="238" t="str">
        <f ca="1">IF(B457="Лікар-педіатр",Законод!$I$17,IF(B457="Лікар загальної практики - сімейний лікар",Законод!$I$21,IF(B457="Лікар-терапевт",Законод!$I$25,"х")))</f>
        <v>х</v>
      </c>
      <c r="G467" s="935" t="s">
        <v>423</v>
      </c>
      <c r="H467" s="936"/>
      <c r="I467" s="936"/>
      <c r="J467" s="936"/>
      <c r="K467" s="937"/>
      <c r="L467" s="196">
        <f ca="1">IF($B$457="Лікар загальної практики - сімейний лікар",IF(L461&lt;Законод!$C$22,0,(IF(AND(L461&gt;=Законод!$I$22,L461&lt;=Законод!$I$23),L461-Законод!$H$23,IF('01_Доходи'!L461&gt;=Законод!$I$22,Законод!$I$24,0)))),IF($B$457="Лікар-педіатр",IF(L461&lt;Законод!$C$18,0,(IF(AND(L461&gt;=Законод!$I$18,L461&lt;=Законод!$I$19),L461-Законод!$H$19,IF('01_Доходи'!L461&gt;=Законод!$I$18,Законод!$H$20,0)))),IF($B$457="Лікар-терапевт",IF(L461&lt;Законод!$C$26,0,(IF(AND(L461&gt;=Законод!$I$26,L461&lt;=Законод!$I$27),L461-Законод!$H$27,IF('01_Доходи'!L461&gt;=Законод!$I$26,Законод!$H$28,0)))),0)))</f>
        <v>0</v>
      </c>
      <c r="M467" s="942"/>
      <c r="N467" s="935" t="s">
        <v>423</v>
      </c>
      <c r="O467" s="936"/>
      <c r="P467" s="936"/>
      <c r="Q467" s="936"/>
      <c r="R467" s="937"/>
      <c r="S467" s="196">
        <f ca="1">IF($B$457="Лікар загальної практики - сімейний лікар",IF(S461&lt;Законод!$C$22,0,(IF(AND(S461&gt;=Законод!$I$22,S461&lt;=Законод!$I$23),S461-Законод!$H$23,IF('01_Доходи'!S461&gt;=Законод!$I$22,Законод!$I$24,0)))),IF($B$457="Лікар-педіатр",IF(S461&lt;Законод!$C$18,0,(IF(AND(S461&gt;=Законод!$I$18,S461&lt;=Законод!$I$19),S461-Законод!$H$19,IF('01_Доходи'!S461&gt;=Законод!$I$18,Законод!$H$20,0)))),IF($B$457="Лікар-терапевт",IF(S461&lt;Законод!$C$26,0,(IF(AND(S461&gt;=Законод!$I$26,S461&lt;=Законод!$I$27),S461-Законод!$H$27,IF('01_Доходи'!S461&gt;=Законод!$I$26,Законод!$H$28,0)))),0)))</f>
        <v>0</v>
      </c>
      <c r="T467" s="942"/>
      <c r="U467" s="935" t="s">
        <v>423</v>
      </c>
      <c r="V467" s="936"/>
      <c r="W467" s="936"/>
      <c r="X467" s="936"/>
      <c r="Y467" s="937"/>
      <c r="Z467" s="196">
        <f ca="1">IF($B$457="Лікар загальної практики - сімейний лікар",IF(Z461&lt;Законод!$C$22,0,(IF(AND(Z461&gt;=Законод!$I$22,Z461&lt;=Законод!$I$23),Z461-Законод!$H$23,IF('01_Доходи'!Z461&gt;=Законод!$I$22,Законод!$I$24,0)))),IF($B$457="Лікар-педіатр",IF(Z461&lt;Законод!$C$18,0,(IF(AND(Z461&gt;=Законод!$I$18,Z461&lt;=Законод!$I$19),Z461-Законод!$H$19,IF('01_Доходи'!Z461&gt;=Законод!$I$18,Законод!$H$20,0)))),IF($B$457="Лікар-терапевт",IF(Z461&lt;Законод!$C$26,0,(IF(AND(Z461&gt;=Законод!$I$26,Z461&lt;=Законод!$I$27),Z461-Законод!$H$27,IF('01_Доходи'!Z461&gt;=Законод!$I$26,Законод!$H$28,0)))),0)))</f>
        <v>0</v>
      </c>
      <c r="AA467" s="942"/>
      <c r="AB467" s="935" t="s">
        <v>423</v>
      </c>
      <c r="AC467" s="936"/>
      <c r="AD467" s="936"/>
      <c r="AE467" s="936"/>
      <c r="AF467" s="937"/>
      <c r="AG467" s="196">
        <f ca="1">IF($B$457="Лікар загальної практики - сімейний лікар",IF(AG461&lt;Законод!$C$22,0,(IF(AND(AG461&gt;=Законод!$I$22,AG461&lt;=Законод!$I$23),AG461-Законод!$H$23,IF('01_Доходи'!AG461&gt;=Законод!$I$22,Законод!$I$24,0)))),IF($B$457="Лікар-педіатр",IF(AG461&lt;Законод!$C$18,0,(IF(AND(AG461&gt;=Законод!$I$18,AG461&lt;=Законод!$I$19),AG461-Законод!$H$19,IF('01_Доходи'!AG461&gt;=Законод!$I$18,Законод!$H$20,0)))),IF($B$457="Лікар-терапевт",IF(AG461&lt;Законод!$C$26,0,(IF(AND(AG461&gt;=Законод!$I$26,AG461&lt;=Законод!$I$27),AG461-Законод!$H$27,IF('01_Доходи'!AG461&gt;=Законод!$I$26,Законод!$H$28,0)))),0)))</f>
        <v>0</v>
      </c>
      <c r="AH467" s="942"/>
      <c r="AI467" s="201"/>
      <c r="AJ467" s="945"/>
      <c r="AK467" s="960"/>
      <c r="AL467" s="960"/>
      <c r="AM467" s="927"/>
      <c r="AN467" s="210">
        <f ca="1">IF(B457="Лікар загальної практики - сімейний лікар",L467*Законод!$C$9/4*Законод!$I$16,IF(B457="Лікар-педіатр",L467*Законод!$C$9/4*Законод!$I$16,IF(B457="Лікар-терапевт",L467*Законод!$C$9/4*Законод!$I$16,0)))</f>
        <v>0</v>
      </c>
      <c r="AO467" s="210">
        <f ca="1">IF(B457="Лікар загальної практики - сімейний лікар",S467*Законод!$C$9/4*Законод!$I$16,IF(B457="Лікар-педіатр",S467*Законод!$C$9/4*Законод!$I$16,IF(B457="Лікар-терапевт",S467*Законод!$C$9/4*Законод!$I$16,0)))</f>
        <v>0</v>
      </c>
      <c r="AP467" s="210">
        <f ca="1">IF(B457="Лікар загальної практики - сімейний лікар",Z467*Законод!$C$9/4*Законод!$I$16,IF(B457="Лікар-педіатр",Z467*Законод!$C$9/4*Законод!$I$16,IF(B457="Лікар-терапевт",Z467*Законод!$C$9/4*Законод!$I$16,0)))</f>
        <v>0</v>
      </c>
      <c r="AQ467" s="210">
        <f ca="1">IF(B457="Лікар загальної практики - сімейний лікар",AG467*Законод!$C$9/4*Законод!$I$16,IF(B457="Лікар-педіатр",AG467*Законод!$C$9/4*Законод!$I$16,IF(B457="Лікар-терапевт",AG467*Законод!$C$9/4*Законод!$I$16,0)))</f>
        <v>0</v>
      </c>
      <c r="AR467" s="211">
        <f t="shared" si="75"/>
        <v>0</v>
      </c>
    </row>
    <row r="468" spans="1:44" s="218" customFormat="1" ht="31.9" hidden="1" customHeight="1" thickBot="1">
      <c r="A468" s="213"/>
      <c r="B468" s="952"/>
      <c r="C468" s="955"/>
      <c r="D468" s="958"/>
      <c r="E468" s="940"/>
      <c r="F468" s="239" t="str">
        <f ca="1">IF(B457="Лікар-педіатр",Законод!$J$17,IF(B457="Лікар загальної практики - сімейний лікар",Законод!$J$21,IF(B457="Лікар-терапевт",Законод!$J$25,"х")))</f>
        <v>х</v>
      </c>
      <c r="G468" s="932" t="s">
        <v>423</v>
      </c>
      <c r="H468" s="933"/>
      <c r="I468" s="933"/>
      <c r="J468" s="933"/>
      <c r="K468" s="934"/>
      <c r="L468" s="196">
        <f ca="1">IF($B$457="Лікар загальної практики - сімейний лікар",IF(L461&gt;=Законод!$J$22,'01_Доходи'!L461-('01_Доходи'!L462+'01_Доходи'!L463+'01_Доходи'!L464+'01_Доходи'!L465+'01_Доходи'!L466+'01_Доходи'!L467),0),IF($B$457="Лікар-педіатр",IF(L461&gt;=Законод!$J$18,'01_Доходи'!L461-('01_Доходи'!L462+'01_Доходи'!L463+'01_Доходи'!L464+'01_Доходи'!L465+'01_Доходи'!L466+'01_Доходи'!L467),0),IF($B$457="Лікар-терапевт",IF('01_Доходи'!L461&gt;=Законод!$J$26,L461-Законод!$I$27,0),0)))</f>
        <v>0</v>
      </c>
      <c r="M468" s="943"/>
      <c r="N468" s="932" t="s">
        <v>423</v>
      </c>
      <c r="O468" s="933"/>
      <c r="P468" s="933"/>
      <c r="Q468" s="933"/>
      <c r="R468" s="934"/>
      <c r="S468" s="196">
        <f ca="1">IF($B$457="Лікар загальної практики - сімейний лікар",IF(S461&gt;=Законод!$J$22,'01_Доходи'!S461-('01_Доходи'!S462+'01_Доходи'!S463+'01_Доходи'!S464+'01_Доходи'!S465+'01_Доходи'!S466+'01_Доходи'!S467),0),IF($B$457="Лікар-педіатр",IF(S461&gt;=Законод!$J$18,'01_Доходи'!S461-('01_Доходи'!S462+'01_Доходи'!S463+'01_Доходи'!S464+'01_Доходи'!S465+'01_Доходи'!S466+'01_Доходи'!S467),0),IF($B$457="Лікар-терапевт",IF('01_Доходи'!S461&gt;=Законод!$J$26,S461-Законод!$I$27,0),0)))</f>
        <v>0</v>
      </c>
      <c r="T468" s="943"/>
      <c r="U468" s="932" t="s">
        <v>423</v>
      </c>
      <c r="V468" s="933"/>
      <c r="W468" s="933"/>
      <c r="X468" s="933"/>
      <c r="Y468" s="934"/>
      <c r="Z468" s="196">
        <f ca="1">IF($B$457="Лікар загальної практики - сімейний лікар",IF(Z461&gt;=Законод!$J$22,'01_Доходи'!Z461-('01_Доходи'!Z462+'01_Доходи'!Z463+'01_Доходи'!Z464+'01_Доходи'!Z465+'01_Доходи'!Z466+'01_Доходи'!Z467),0),IF($B$457="Лікар-педіатр",IF(Z461&gt;=Законод!$J$18,'01_Доходи'!Z461-('01_Доходи'!Z462+'01_Доходи'!Z463+'01_Доходи'!Z464+'01_Доходи'!Z465+'01_Доходи'!Z466+'01_Доходи'!Z467),0),IF($B$457="Лікар-терапевт",IF('01_Доходи'!Z461&gt;=Законод!$J$26,Z461-Законод!$I$27,0),0)))</f>
        <v>0</v>
      </c>
      <c r="AA468" s="943"/>
      <c r="AB468" s="932" t="s">
        <v>423</v>
      </c>
      <c r="AC468" s="933"/>
      <c r="AD468" s="933"/>
      <c r="AE468" s="933"/>
      <c r="AF468" s="934"/>
      <c r="AG468" s="196">
        <f ca="1">IF($B$457="Лікар загальної практики - сімейний лікар",IF(AG461&gt;=Законод!$J$22,'01_Доходи'!AG461-('01_Доходи'!AG462+'01_Доходи'!AG463+'01_Доходи'!AG464+'01_Доходи'!AG465+'01_Доходи'!AG466+'01_Доходи'!AG467),0),IF($B$457="Лікар-педіатр",IF(AG461&gt;=Законод!$J$18,'01_Доходи'!AG461-('01_Доходи'!AG462+'01_Доходи'!AG463+'01_Доходи'!AG464+'01_Доходи'!AG465+'01_Доходи'!AG466+'01_Доходи'!AG467),0),IF($B$457="Лікар-терапевт",IF('01_Доходи'!AG461&gt;=Законод!$J$26,AG461-Законод!$I$27,0),0)))</f>
        <v>0</v>
      </c>
      <c r="AH468" s="943"/>
      <c r="AI468" s="215"/>
      <c r="AJ468" s="946"/>
      <c r="AK468" s="961"/>
      <c r="AL468" s="961"/>
      <c r="AM468" s="928"/>
      <c r="AN468" s="216">
        <f ca="1">IF(B457="Лікар загальної практики - сімейний лікар",L468*Законод!$C$9/4*Законод!$J$16,IF(B457="Лікар-педіатр",L468*Законод!$C$9/4*Законод!$J$16,IF(B457="Лікар-терапевт",L468*Законод!$C$9/4*Законод!$J$16,0)))</f>
        <v>0</v>
      </c>
      <c r="AO468" s="216">
        <f ca="1">IF(B457="Лікар загальної практики - сімейний лікар",S468*Законод!$C$9/4*Законод!$J$16,IF(B457="Лікар-педіатр",S468*Законод!$C$9/4*Законод!$J$16,IF(B457="Лікар-терапевт",S468*Законод!$C$9/4*Законод!$J$16,0)))</f>
        <v>0</v>
      </c>
      <c r="AP468" s="216">
        <f ca="1">IF(B457="Лікар загальної практики - сімейний лікар",S468*Законод!$C$9/4*Законод!$J$16,IF(B457="Лікар-педіатр",S468*Законод!$C$9/4*Законод!$J$16,IF(B457="Лікар-терапевт",S468*Законод!$C$9/4*Законод!$J$16,0)))</f>
        <v>0</v>
      </c>
      <c r="AQ468" s="216">
        <f ca="1">IF(B457="Лікар загальної практики - сімейний лікар",AG468*Законод!$C$9/4*Законод!$J$16,IF(B457="Лікар-педіатр",AG468*Законод!$C$9/4*Законод!$J$16,IF(B457="Лікар-терапевт",AG468*Законод!$C$9/4*Законод!$J$16,0)))</f>
        <v>0</v>
      </c>
      <c r="AR468" s="217">
        <f t="shared" si="75"/>
        <v>0</v>
      </c>
    </row>
    <row r="469" spans="1:44" s="247" customFormat="1" ht="23.45" hidden="1" customHeight="1" thickBot="1">
      <c r="A469" s="243"/>
      <c r="B469" s="244"/>
      <c r="C469" s="244"/>
      <c r="D469" s="244"/>
      <c r="E469" s="244"/>
      <c r="F469" s="245"/>
      <c r="G469" s="246"/>
      <c r="H469" s="246"/>
      <c r="L469" s="248"/>
      <c r="S469" s="248"/>
      <c r="Z469" s="248"/>
      <c r="AG469" s="248"/>
      <c r="AM469" s="249"/>
      <c r="AR469" s="250"/>
    </row>
    <row r="470" spans="1:44" s="191" customFormat="1" ht="24.6" hidden="1" customHeight="1">
      <c r="A470" s="194">
        <f>A457+1</f>
        <v>34</v>
      </c>
      <c r="B470" s="950"/>
      <c r="C470" s="953"/>
      <c r="D470" s="956"/>
      <c r="E470" s="938"/>
      <c r="F470" s="234" t="s">
        <v>659</v>
      </c>
      <c r="G470" s="196">
        <f>IF($B$470="Лікар-педіатр",G473*L470,IF($B$470="Лікар-терапевт","х",IF($B$470="Лікар загальної практики - сімейний лікар",G473*L470,0)))</f>
        <v>0</v>
      </c>
      <c r="H470" s="196">
        <f>IF($B$470="Лікар-педіатр",H473*L470,IF($B$470="Лікар-терапевт","х",IF($B$470="Лікар загальної практики - сімейний лікар",H473*L470,0)))</f>
        <v>0</v>
      </c>
      <c r="I470" s="196">
        <f>IF($B$470="Лікар-педіатр","x",IF($B$470="Лікар-терапевт",I473*L470,IF($B$470="Лікар загальної практики - сімейний лікар",I473*L470,0)))</f>
        <v>0</v>
      </c>
      <c r="J470" s="196">
        <f>IF($B$470="Лікар-педіатр","x",IF($B$470="Лікар-терапевт",J473*L470,IF($B$470="Лікар загальної практики - сімейний лікар",J473*L470,0)))</f>
        <v>0</v>
      </c>
      <c r="K470" s="196">
        <f>IF($B$470="Лікар-педіатр","x",IF($B$470="Лікар-терапевт",K473*L470,IF($B$470="Лікар загальної практики - сімейний лікар",K473*L470,0)))</f>
        <v>0</v>
      </c>
      <c r="L470" s="557"/>
      <c r="M470" s="941"/>
      <c r="N470" s="196">
        <f>IF($B$470="Лікар-педіатр",N473*S470,IF($B$470="Лікар-терапевт","х",IF($B$470="Лікар загальної практики - сімейний лікар",N473*S470,0)))</f>
        <v>0</v>
      </c>
      <c r="O470" s="196">
        <f>IF($B$470="Лікар-педіатр",O473*S470,IF($B$470="Лікар-терапевт","х",IF($B$470="Лікар загальної практики - сімейний лікар",O473*S470,0)))</f>
        <v>0</v>
      </c>
      <c r="P470" s="196">
        <f>IF($B$470="Лікар-педіатр","x",IF($B$470="Лікар-терапевт",P473*S470,IF($B$470="Лікар загальної практики - сімейний лікар",P473*S470,0)))</f>
        <v>0</v>
      </c>
      <c r="Q470" s="196">
        <f>IF($B$470="Лікар-педіатр","x",IF($B$470="Лікар-терапевт",Q473*S470,IF($B$470="Лікар загальної практики - сімейний лікар",Q473*S470,0)))</f>
        <v>0</v>
      </c>
      <c r="R470" s="196">
        <f>IF($B$470="Лікар-педіатр","x",IF($B$470="Лікар-терапевт",R473*S470,IF($B$470="Лікар загальної практики - сімейний лікар",R473*S470,0)))</f>
        <v>0</v>
      </c>
      <c r="S470" s="557"/>
      <c r="T470" s="941"/>
      <c r="U470" s="196">
        <f>IF($B$470="Лікар-педіатр",U473*Z470,IF($B$470="Лікар-терапевт","х",IF($B$470="Лікар загальної практики - сімейний лікар",U473*Z470,0)))</f>
        <v>0</v>
      </c>
      <c r="V470" s="196">
        <f>IF($B$470="Лікар-педіатр",V473*Z470,IF($B$470="Лікар-терапевт","х",IF($B$470="Лікар загальної практики - сімейний лікар",V473*Z470,0)))</f>
        <v>0</v>
      </c>
      <c r="W470" s="196">
        <f>IF($B$470="Лікар-педіатр","x",IF($B$470="Лікар-терапевт",W473*Z470,IF($B$470="Лікар загальної практики - сімейний лікар",W473*Z470,0)))</f>
        <v>0</v>
      </c>
      <c r="X470" s="196">
        <f>IF($B$470="Лікар-педіатр","x",IF($B$470="Лікар-терапевт",X473*Z470,IF($B$470="Лікар загальної практики - сімейний лікар",X473*Z470,0)))</f>
        <v>0</v>
      </c>
      <c r="Y470" s="196">
        <f>IF($B$470="Лікар-педіатр","x",IF($B$470="Лікар-терапевт",Y473*Z470,IF($B$470="Лікар загальної практики - сімейний лікар",Y473*Z470,0)))</f>
        <v>0</v>
      </c>
      <c r="Z470" s="557"/>
      <c r="AA470" s="941"/>
      <c r="AB470" s="196">
        <f>IF($B$470="Лікар-педіатр",AB473*AG470,IF($B$470="Лікар-терапевт","х",IF($B$470="Лікар загальної практики - сімейний лікар",AB473*AG470,0)))</f>
        <v>0</v>
      </c>
      <c r="AC470" s="196">
        <f>IF($B$470="Лікар-педіатр",AC473*AG470,IF($B$470="Лікар-терапевт","х",IF($B$470="Лікар загальної практики - сімейний лікар",AC473*AG470,0)))</f>
        <v>0</v>
      </c>
      <c r="AD470" s="196">
        <f>IF($B$470="Лікар-педіатр","x",IF($B$470="Лікар-терапевт",AD473*AG470,IF($B$470="Лікар загальної практики - сімейний лікар",AD473*AG470,0)))</f>
        <v>0</v>
      </c>
      <c r="AE470" s="196">
        <f>IF($B$470="Лікар-педіатр","x",IF($B$470="Лікар-терапевт",AE473*AG470,IF($B$470="Лікар загальної практики - сімейний лікар",AE473*AG470,0)))</f>
        <v>0</v>
      </c>
      <c r="AF470" s="196">
        <f>IF($B$470="Лікар-педіатр","x",IF($B$470="Лікар-терапевт",AF473*AG470,IF($B$470="Лікар загальної практики - сімейний лікар",AF473*AG470,0)))</f>
        <v>0</v>
      </c>
      <c r="AG470" s="557"/>
      <c r="AH470" s="941"/>
      <c r="AI470" s="540">
        <f>A470</f>
        <v>34</v>
      </c>
      <c r="AJ470" s="944">
        <f>B470</f>
        <v>0</v>
      </c>
      <c r="AK470" s="959">
        <f>C470</f>
        <v>0</v>
      </c>
      <c r="AL470" s="959">
        <f>D470</f>
        <v>0</v>
      </c>
      <c r="AM470" s="929" t="s">
        <v>79</v>
      </c>
      <c r="AN470" s="947">
        <f>SUM(AN475:AN481)</f>
        <v>0</v>
      </c>
      <c r="AO470" s="947">
        <f>SUM(AO475:AO481)</f>
        <v>0</v>
      </c>
      <c r="AP470" s="947">
        <f>SUM(AP475:AP481)</f>
        <v>0</v>
      </c>
      <c r="AQ470" s="947">
        <f>SUM(AQ475:AQ481)</f>
        <v>0</v>
      </c>
      <c r="AR470" s="962">
        <f>SUM(AN470:AQ474)</f>
        <v>0</v>
      </c>
    </row>
    <row r="471" spans="1:44" s="50" customFormat="1" ht="28.15" hidden="1" customHeight="1">
      <c r="A471" s="197"/>
      <c r="B471" s="951"/>
      <c r="C471" s="954"/>
      <c r="D471" s="957"/>
      <c r="E471" s="939"/>
      <c r="F471" s="234" t="s">
        <v>660</v>
      </c>
      <c r="G471" s="196">
        <f>IF($B$470="Лікар-педіатр",G473*L471,IF($B$470="Лікар-терапевт","х",IF($B$470="Лікар загальної практики - сімейний лікар",G473*L471,0)))</f>
        <v>0</v>
      </c>
      <c r="H471" s="196">
        <f>IF($B$470="Лікар-педіатр",H473*L471,IF($B$470="Лікар-терапевт","х",IF($B$470="Лікар загальної практики - сімейний лікар",H473*L471,0)))</f>
        <v>0</v>
      </c>
      <c r="I471" s="196">
        <f>IF($B$470="Лікар-педіатр","x",IF($B$470="Лікар-терапевт",I473*L471,IF($B$470="Лікар загальної практики - сімейний лікар",I473*L471,0)))</f>
        <v>0</v>
      </c>
      <c r="J471" s="196">
        <f>IF($B$470="Лікар-педіатр","x",IF($B$470="Лікар-терапевт",J473*L471,IF($B$470="Лікар загальної практики - сімейний лікар",J473*L471,0)))</f>
        <v>0</v>
      </c>
      <c r="K471" s="196">
        <f>IF($B$470="Лікар-педіатр","x",IF($B$470="Лікар-терапевт",K473*L471,IF($B$470="Лікар загальної практики - сімейний лікар",K473*L471,0)))</f>
        <v>0</v>
      </c>
      <c r="L471" s="557"/>
      <c r="M471" s="942"/>
      <c r="N471" s="196">
        <f>IF($B$470="Лікар-педіатр",N473*S471,IF($B$470="Лікар-терапевт","х",IF($B$470="Лікар загальної практики - сімейний лікар",N473*S471,0)))</f>
        <v>0</v>
      </c>
      <c r="O471" s="196">
        <f>IF($B$470="Лікар-педіатр",O473*S471,IF($B$470="Лікар-терапевт","х",IF($B$470="Лікар загальної практики - сімейний лікар",O473*S471,0)))</f>
        <v>0</v>
      </c>
      <c r="P471" s="196">
        <f>IF($B$470="Лікар-педіатр","x",IF($B$470="Лікар-терапевт",P473*S471,IF($B$470="Лікар загальної практики - сімейний лікар",P473*S471,0)))</f>
        <v>0</v>
      </c>
      <c r="Q471" s="196">
        <f>IF($B$470="Лікар-педіатр","x",IF($B$470="Лікар-терапевт",Q473*S471,IF($B$470="Лікар загальної практики - сімейний лікар",Q473*S471,0)))</f>
        <v>0</v>
      </c>
      <c r="R471" s="196">
        <f>IF($B$470="Лікар-педіатр","x",IF($B$470="Лікар-терапевт",R473*S471,IF($B$470="Лікар загальної практики - сімейний лікар",R473*S471,0)))</f>
        <v>0</v>
      </c>
      <c r="S471" s="557"/>
      <c r="T471" s="942"/>
      <c r="U471" s="196">
        <f>IF($B$470="Лікар-педіатр",U473*Z471,IF($B$470="Лікар-терапевт","х",IF($B$470="Лікар загальної практики - сімейний лікар",U473*Z471,0)))</f>
        <v>0</v>
      </c>
      <c r="V471" s="196">
        <f>IF($B$470="Лікар-педіатр",V473*Z471,IF($B$470="Лікар-терапевт","х",IF($B$470="Лікар загальної практики - сімейний лікар",V473*Z471,0)))</f>
        <v>0</v>
      </c>
      <c r="W471" s="196">
        <f>IF($B$470="Лікар-педіатр","x",IF($B$470="Лікар-терапевт",W473*Z471,IF($B$470="Лікар загальної практики - сімейний лікар",W473*Z471,0)))</f>
        <v>0</v>
      </c>
      <c r="X471" s="196">
        <f>IF($B$470="Лікар-педіатр","x",IF($B$470="Лікар-терапевт",X473*Z471,IF($B$470="Лікар загальної практики - сімейний лікар",X473*Z471,0)))</f>
        <v>0</v>
      </c>
      <c r="Y471" s="196">
        <f>IF($B$470="Лікар-педіатр","x",IF($B$470="Лікар-терапевт",Y473*Z471,IF($B$470="Лікар загальної практики - сімейний лікар",Y473*Z471,0)))</f>
        <v>0</v>
      </c>
      <c r="Z471" s="557"/>
      <c r="AA471" s="942"/>
      <c r="AB471" s="196">
        <f>IF($B$470="Лікар-педіатр",AB473*AG471,IF($B$470="Лікар-терапевт","х",IF($B$470="Лікар загальної практики - сімейний лікар",AB473*AG471,0)))</f>
        <v>0</v>
      </c>
      <c r="AC471" s="196">
        <f>IF($B$470="Лікар-педіатр",AC473*AG471,IF($B$470="Лікар-терапевт","х",IF($B$470="Лікар загальної практики - сімейний лікар",AC473*AG471,0)))</f>
        <v>0</v>
      </c>
      <c r="AD471" s="196">
        <f>IF($B$470="Лікар-педіатр","x",IF($B$470="Лікар-терапевт",AD473*AG471,IF($B$470="Лікар загальної практики - сімейний лікар",AD473*AG471,0)))</f>
        <v>0</v>
      </c>
      <c r="AE471" s="196">
        <f>IF($B$470="Лікар-педіатр","x",IF($B$470="Лікар-терапевт",AE473*AG471,IF($B$470="Лікар загальної практики - сімейний лікар",AE473*AG471,0)))</f>
        <v>0</v>
      </c>
      <c r="AF471" s="196">
        <f>IF($B$470="Лікар-педіатр","x",IF($B$470="Лікар-терапевт",AF473*AG471,IF($B$470="Лікар загальної практики - сімейний лікар",AF473*AG471,0)))</f>
        <v>0</v>
      </c>
      <c r="AG471" s="557"/>
      <c r="AH471" s="942"/>
      <c r="AI471" s="198"/>
      <c r="AJ471" s="945"/>
      <c r="AK471" s="960"/>
      <c r="AL471" s="960"/>
      <c r="AM471" s="930"/>
      <c r="AN471" s="948"/>
      <c r="AO471" s="948"/>
      <c r="AP471" s="948"/>
      <c r="AQ471" s="948"/>
      <c r="AR471" s="963"/>
    </row>
    <row r="472" spans="1:44" s="90" customFormat="1" ht="31.15" hidden="1" customHeight="1">
      <c r="A472" s="240"/>
      <c r="B472" s="951"/>
      <c r="C472" s="954"/>
      <c r="D472" s="957"/>
      <c r="E472" s="939"/>
      <c r="F472" s="241" t="s">
        <v>661</v>
      </c>
      <c r="G472" s="199">
        <f>IF(B470="Лікар загальної практики - сімейний лікар"," ",IF(B470="Лікар-педіатр"," ",IF(B470="Лікар-терапевт","х",0)))</f>
        <v>0</v>
      </c>
      <c r="H472" s="199">
        <f>IF(B470="Лікар загальної практики - сімейний лікар"," ",IF(B470="Лікар-педіатр"," ",IF(B470="Лікар-терапевт","х",0)))</f>
        <v>0</v>
      </c>
      <c r="I472" s="199">
        <f>IF(B470="Лікар загальної практики - сімейний лікар"," ",IF(B470="Лікар-педіатр","х",IF(B470="Лікар-терапевт"," ",0)))</f>
        <v>0</v>
      </c>
      <c r="J472" s="199">
        <f>IF(B470="Лікар загальної практики - сімейний лікар"," ",IF(B470="Лікар-педіатр","х",IF(B470="Лікар-терапевт"," ",0)))</f>
        <v>0</v>
      </c>
      <c r="K472" s="199">
        <f>IF(B470="Лікар загальної практики - сімейний лікар"," ",IF(B470="Лікар-педіатр","х",IF(B470="Лікар-терапевт"," ",0)))</f>
        <v>0</v>
      </c>
      <c r="L472" s="200">
        <f>SUM(G472:K472)</f>
        <v>0</v>
      </c>
      <c r="M472" s="942"/>
      <c r="N472" s="199">
        <f>IF(B470="Лікар загальної практики - сімейний лікар"," ",IF(B470="Лікар-педіатр"," ",IF(B470="Лікар-терапевт","х",0)))</f>
        <v>0</v>
      </c>
      <c r="O472" s="199">
        <f>IF(B470="Лікар загальної практики - сімейний лікар"," ",IF(B470="Лікар-педіатр"," ",IF(B470="Лікар-терапевт","х",0)))</f>
        <v>0</v>
      </c>
      <c r="P472" s="199">
        <f>IF(B470="Лікар загальної практики - сімейний лікар"," ",IF(B470="Лікар-педіатр","х",IF(B470="Лікар-терапевт"," ",0)))</f>
        <v>0</v>
      </c>
      <c r="Q472" s="199">
        <f>IF(B470="Лікар загальної практики - сімейний лікар"," ",IF(B470="Лікар-педіатр","х",IF(B470="Лікар-терапевт"," ",0)))</f>
        <v>0</v>
      </c>
      <c r="R472" s="199">
        <f>IF(B470="Лікар загальної практики - сімейний лікар"," ",IF(B470="Лікар-педіатр","х",IF(B470="Лікар-терапевт"," ",0)))</f>
        <v>0</v>
      </c>
      <c r="S472" s="200">
        <f>SUM(N472:R472)</f>
        <v>0</v>
      </c>
      <c r="T472" s="942"/>
      <c r="U472" s="199">
        <f>IF(B470="Лікар загальної практики - сімейний лікар"," ",IF(B470="Лікар-педіатр"," ",IF(B470="Лікар-терапевт","х",0)))</f>
        <v>0</v>
      </c>
      <c r="V472" s="199">
        <f>IF(B470="Лікар загальної практики - сімейний лікар"," ",IF(B470="Лікар-педіатр"," ",IF(B470="Лікар-терапевт","х",0)))</f>
        <v>0</v>
      </c>
      <c r="W472" s="199">
        <f>IF(B470="Лікар загальної практики - сімейний лікар"," ",IF(B470="Лікар-педіатр","х",IF(B470="Лікар-терапевт"," ",0)))</f>
        <v>0</v>
      </c>
      <c r="X472" s="199">
        <f>IF(B470="Лікар загальної практики - сімейний лікар"," ",IF(B470="Лікар-педіатр","х",IF(B470="Лікар-терапевт"," ",0)))</f>
        <v>0</v>
      </c>
      <c r="Y472" s="199">
        <f>IF(B470="Лікар загальної практики - сімейний лікар"," ",IF(B470="Лікар-педіатр","х",IF(B470="Лікар-терапевт"," ",0)))</f>
        <v>0</v>
      </c>
      <c r="Z472" s="200">
        <f>SUM(U472:Y472)</f>
        <v>0</v>
      </c>
      <c r="AA472" s="942"/>
      <c r="AB472" s="199">
        <f>IF(B470="Лікар загальної практики - сімейний лікар"," ",IF(B470="Лікар-педіатр"," ",IF(B470="Лікар-терапевт","х",0)))</f>
        <v>0</v>
      </c>
      <c r="AC472" s="199">
        <f>IF(B470="Лікар загальної практики - сімейний лікар"," ",IF(B470="Лікар-педіатр"," ",IF(B470="Лікар-терапевт","х",0)))</f>
        <v>0</v>
      </c>
      <c r="AD472" s="199">
        <f>IF(B470="Лікар загальної практики - сімейний лікар"," ",IF(B470="Лікар-педіатр","х",IF(B470="Лікар-терапевт"," ",0)))</f>
        <v>0</v>
      </c>
      <c r="AE472" s="199">
        <f>IF(B470="Лікар загальної практики - сімейний лікар"," ",IF(B470="Лікар-педіатр","х",IF(B470="Лікар-терапевт"," ",0)))</f>
        <v>0</v>
      </c>
      <c r="AF472" s="199">
        <f>IF(B470="Лікар загальної практики - сімейний лікар"," ",IF(B470="Лікар-педіатр","х",IF(B470="Лікар-терапевт"," ",0)))</f>
        <v>0</v>
      </c>
      <c r="AG472" s="200">
        <f>SUM(AB472:AF472)</f>
        <v>0</v>
      </c>
      <c r="AH472" s="942"/>
      <c r="AI472" s="242"/>
      <c r="AJ472" s="945"/>
      <c r="AK472" s="960"/>
      <c r="AL472" s="960"/>
      <c r="AM472" s="930"/>
      <c r="AN472" s="948"/>
      <c r="AO472" s="948"/>
      <c r="AP472" s="948"/>
      <c r="AQ472" s="948"/>
      <c r="AR472" s="963"/>
    </row>
    <row r="473" spans="1:44" s="50" customFormat="1" ht="31.9" hidden="1" customHeight="1" thickBot="1">
      <c r="A473" s="197"/>
      <c r="B473" s="951"/>
      <c r="C473" s="954"/>
      <c r="D473" s="957"/>
      <c r="E473" s="939"/>
      <c r="F473" s="236" t="s">
        <v>426</v>
      </c>
      <c r="G473" s="203">
        <f>IF($B$470="Лікар-педіатр",G472/L472,IF($B$470="Лікар-терапевт","х",IF($B$470="Лікар загальної практики - сімейний лікар",G472/L472,0)))</f>
        <v>0</v>
      </c>
      <c r="H473" s="203">
        <f>IF($B$470="Лікар-педіатр",H472/L472,IF($B$470="Лікар-терапевт","х",IF($B$470="Лікар загальної практики - сімейний лікар",H472/L472,0)))</f>
        <v>0</v>
      </c>
      <c r="I473" s="203">
        <f>IF($B$470="Лікар-педіатр","x",IF($B$470="Лікар-терапевт",I472/L472,IF($B$470="Лікар загальної практики - сімейний лікар",I472/L472,0)))</f>
        <v>0</v>
      </c>
      <c r="J473" s="203">
        <f>IF($B$470="Лікар-педіатр","x",IF($B$470="Лікар-терапевт",J472/L472,IF($B$470="Лікар загальної практики - сімейний лікар",J472/L472,0)))</f>
        <v>0</v>
      </c>
      <c r="K473" s="203">
        <f>IF($B$470="Лікар-педіатр","x",IF($B$470="Лікар-терапевт",K472/L472,IF($B$470="Лікар загальної практики - сімейний лікар",K472/L472,0)))</f>
        <v>0</v>
      </c>
      <c r="L473" s="203">
        <f>SUM(G473:K473)</f>
        <v>0</v>
      </c>
      <c r="M473" s="942"/>
      <c r="N473" s="203">
        <f>IF($B$470="Лікар-педіатр",N472/S472,IF($B$470="Лікар-терапевт","х",IF($B$470="Лікар загальної практики - сімейний лікар",N472/S472,0)))</f>
        <v>0</v>
      </c>
      <c r="O473" s="203">
        <f>IF($B$470="Лікар-педіатр",O472/S472,IF($B$470="Лікар-терапевт","х",IF($B$470="Лікар загальної практики - сімейний лікар",O472/S472,0)))</f>
        <v>0</v>
      </c>
      <c r="P473" s="203">
        <f>IF($B$470="Лікар-педіатр","x",IF($B$470="Лікар-терапевт",P472/S472,IF($B$470="Лікар загальної практики - сімейний лікар",P472/S472,0)))</f>
        <v>0</v>
      </c>
      <c r="Q473" s="203">
        <f>IF($B$470="Лікар-педіатр","x",IF($B$470="Лікар-терапевт",Q472/S472,IF($B$470="Лікар загальної практики - сімейний лікар",Q472/S472,0)))</f>
        <v>0</v>
      </c>
      <c r="R473" s="203">
        <f>IF($B$470="Лікар-педіатр","x",IF($B$470="Лікар-терапевт",R472/S472,IF($B$470="Лікар загальної практики - сімейний лікар",R472/S472,0)))</f>
        <v>0</v>
      </c>
      <c r="S473" s="203">
        <f>SUM(N473:R473)</f>
        <v>0</v>
      </c>
      <c r="T473" s="942"/>
      <c r="U473" s="203">
        <f>IF($B$470="Лікар-педіатр",U472/Z472,IF($B$470="Лікар-терапевт","х",IF($B$470="Лікар загальної практики - сімейний лікар",U472/Z472,0)))</f>
        <v>0</v>
      </c>
      <c r="V473" s="203">
        <f>IF($B$470="Лікар-педіатр",V472/Z472,IF($B$470="Лікар-терапевт","х",IF($B$470="Лікар загальної практики - сімейний лікар",V472/Z472,0)))</f>
        <v>0</v>
      </c>
      <c r="W473" s="203">
        <f>IF($B$470="Лікар-педіатр","x",IF($B$470="Лікар-терапевт",W472/Z472,IF($B$470="Лікар загальної практики - сімейний лікар",W472/Z472,0)))</f>
        <v>0</v>
      </c>
      <c r="X473" s="203">
        <f>IF($B$470="Лікар-педіатр","x",IF($B$470="Лікар-терапевт",X472/Z472,IF($B$470="Лікар загальної практики - сімейний лікар",X472/Z472,0)))</f>
        <v>0</v>
      </c>
      <c r="Y473" s="203">
        <f>IF($B$470="Лікар-педіатр","x",IF($B$470="Лікар-терапевт",Y472/Z472,IF($B$470="Лікар загальної практики - сімейний лікар",Y472/Z472,0)))</f>
        <v>0</v>
      </c>
      <c r="Z473" s="203">
        <f>SUM(U473:Y473)</f>
        <v>0</v>
      </c>
      <c r="AA473" s="942"/>
      <c r="AB473" s="203">
        <f>IF($B$470="Лікар-педіатр",AB472/AG472,IF($B$470="Лікар-терапевт","х",IF($B$470="Лікар загальної практики - сімейний лікар",AB472/AG472,0)))</f>
        <v>0</v>
      </c>
      <c r="AC473" s="203">
        <f>IF($B$470="Лікар-педіатр",AC472/AG472,IF($B$470="Лікар-терапевт","х",IF($B$470="Лікар загальної практики - сімейний лікар",AC472/AG472,0)))</f>
        <v>0</v>
      </c>
      <c r="AD473" s="203">
        <f>IF($B$470="Лікар-педіатр","x",IF($B$470="Лікар-терапевт",AD472/AG472,IF($B$470="Лікар загальної практики - сімейний лікар",AD472/AG472,0)))</f>
        <v>0</v>
      </c>
      <c r="AE473" s="203">
        <f>IF($B$470="Лікар-педіатр","x",IF($B$470="Лікар-терапевт",AE472/AG472,IF($B$470="Лікар загальної практики - сімейний лікар",AE472/AG472,0)))</f>
        <v>0</v>
      </c>
      <c r="AF473" s="203">
        <f>IF($B$470="Лікар-педіатр","x",IF($B$470="Лікар-терапевт",AF472/AG472,IF($B$470="Лікар загальної практики - сімейний лікар",AF472/AG472,0)))</f>
        <v>0</v>
      </c>
      <c r="AG473" s="203">
        <f>SUM(AB473:AF473)</f>
        <v>0</v>
      </c>
      <c r="AH473" s="942"/>
      <c r="AI473" s="201"/>
      <c r="AJ473" s="945"/>
      <c r="AK473" s="960"/>
      <c r="AL473" s="960"/>
      <c r="AM473" s="930"/>
      <c r="AN473" s="948"/>
      <c r="AO473" s="948"/>
      <c r="AP473" s="948"/>
      <c r="AQ473" s="948"/>
      <c r="AR473" s="963"/>
    </row>
    <row r="474" spans="1:44" s="50" customFormat="1" ht="45" hidden="1" customHeight="1" thickBot="1">
      <c r="A474" s="197"/>
      <c r="B474" s="951"/>
      <c r="C474" s="954"/>
      <c r="D474" s="957"/>
      <c r="E474" s="939"/>
      <c r="F474" s="204" t="s">
        <v>662</v>
      </c>
      <c r="G474" s="205">
        <f>IF($B$470="Лікар загальної практики - сімейний лікар",AVERAGE(G470:G472),IF($B$470="Лікар-педіатр",AVERAGE(G470:G472),IF($B$470="Лікар-терапевт","х",0)))</f>
        <v>0</v>
      </c>
      <c r="H474" s="205">
        <f>IF($B$470="Лікар загальної практики - сімейний лікар",AVERAGE(H470:H472),IF($B$470="Лікар-педіатр",AVERAGE(H470:H472),IF($B$470="Лікар-терапевт","х",0)))</f>
        <v>0</v>
      </c>
      <c r="I474" s="205">
        <f>IF($B$470="Лікар загальної практики - сімейний лікар",AVERAGE(I470:I472),IF($B$470="Лікар-педіатр","x",IF($B$470="Лікар-терапевт",AVERAGE(I470:I472),0)))</f>
        <v>0</v>
      </c>
      <c r="J474" s="205">
        <f>IF($B$470="Лікар загальної практики - сімейний лікар",AVERAGE(J470:J472),IF($B$470="Лікар-педіатр","x",IF($B$470="Лікар-терапевт",AVERAGE(J470:J472),0)))</f>
        <v>0</v>
      </c>
      <c r="K474" s="205">
        <f>IF($B$470="Лікар загальної практики - сімейний лікар",AVERAGE(K470:K472),IF($B$470="Лікар-педіатр","x",IF($B$470="Лікар-терапевт",AVERAGE(K470:K472),0)))</f>
        <v>0</v>
      </c>
      <c r="L474" s="206">
        <f>SUM(G474:K474)</f>
        <v>0</v>
      </c>
      <c r="M474" s="942"/>
      <c r="N474" s="205">
        <f>IF($B$470="Лікар загальної практики - сімейний лікар",AVERAGE(N470:N472),IF($B$470="Лікар-педіатр",AVERAGE(N470:N472),IF($B$470="Лікар-терапевт","х",0)))</f>
        <v>0</v>
      </c>
      <c r="O474" s="205">
        <f>IF($B$470="Лікар загальної практики - сімейний лікар",AVERAGE(O470:O472),IF($B$470="Лікар-педіатр",AVERAGE(O470:O472),IF($B$470="Лікар-терапевт","х",0)))</f>
        <v>0</v>
      </c>
      <c r="P474" s="205">
        <f>IF($B$470="Лікар загальної практики - сімейний лікар",AVERAGE(P470:P472),IF($B$470="Лікар-педіатр","x",IF($B$470="Лікар-терапевт",AVERAGE(P470:P472),0)))</f>
        <v>0</v>
      </c>
      <c r="Q474" s="205">
        <f>IF($B$470="Лікар загальної практики - сімейний лікар",AVERAGE(Q470:Q472),IF($B$470="Лікар-педіатр","x",IF($B$470="Лікар-терапевт",AVERAGE(Q470:Q472),0)))</f>
        <v>0</v>
      </c>
      <c r="R474" s="205">
        <f>IF($B$470="Лікар загальної практики - сімейний лікар",AVERAGE(R470:R472),IF($B$470="Лікар-педіатр","x",IF($B$470="Лікар-терапевт",AVERAGE(R470:R472),0)))</f>
        <v>0</v>
      </c>
      <c r="S474" s="206">
        <f>SUM(N474:R474)</f>
        <v>0</v>
      </c>
      <c r="T474" s="942"/>
      <c r="U474" s="205">
        <f>IF($B$470="Лікар загальної практики - сімейний лікар",AVERAGE(U470:U472),IF($B$470="Лікар-педіатр",AVERAGE(U470:U472),IF($B$470="Лікар-терапевт","х",0)))</f>
        <v>0</v>
      </c>
      <c r="V474" s="205">
        <f>IF($B$470="Лікар загальної практики - сімейний лікар",AVERAGE(V470:V472),IF($B$470="Лікар-педіатр",AVERAGE(V470:V472),IF($B$470="Лікар-терапевт","х",0)))</f>
        <v>0</v>
      </c>
      <c r="W474" s="205">
        <f>IF($B$470="Лікар загальної практики - сімейний лікар",AVERAGE(W470:W472),IF($B$470="Лікар-педіатр","x",IF($B$470="Лікар-терапевт",AVERAGE(W470:W472),0)))</f>
        <v>0</v>
      </c>
      <c r="X474" s="205">
        <f>IF($B$470="Лікар загальної практики - сімейний лікар",AVERAGE(X470:X472),IF($B$470="Лікар-педіатр","x",IF($B$470="Лікар-терапевт",AVERAGE(X470:X472),0)))</f>
        <v>0</v>
      </c>
      <c r="Y474" s="205">
        <f>IF($B$470="Лікар загальної практики - сімейний лікар",AVERAGE(Y470:Y472),IF($B$470="Лікар-педіатр","x",IF($B$470="Лікар-терапевт",AVERAGE(Y470:Y472),0)))</f>
        <v>0</v>
      </c>
      <c r="Z474" s="206">
        <f>SUM(U474:Y474)</f>
        <v>0</v>
      </c>
      <c r="AA474" s="942"/>
      <c r="AB474" s="205">
        <f>IF($B$470="Лікар загальної практики - сімейний лікар",AVERAGE(AB470:AB472),IF($B$470="Лікар-педіатр",AVERAGE(AB470:AB472),IF($B$470="Лікар-терапевт","х",0)))</f>
        <v>0</v>
      </c>
      <c r="AC474" s="205">
        <f>IF($B$470="Лікар загальної практики - сімейний лікар",AVERAGE(AC470:AC472),IF($B$470="Лікар-педіатр",AVERAGE(AC470:AC472),IF($B$470="Лікар-терапевт","х",0)))</f>
        <v>0</v>
      </c>
      <c r="AD474" s="205">
        <f>IF($B$470="Лікар загальної практики - сімейний лікар",AVERAGE(AD470:AD472),IF($B$470="Лікар-педіатр","x",IF($B$470="Лікар-терапевт",AVERAGE(AD470:AD472),0)))</f>
        <v>0</v>
      </c>
      <c r="AE474" s="205">
        <f>IF($B$470="Лікар загальної практики - сімейний лікар",AVERAGE(AE470:AE472),IF($B$470="Лікар-педіатр","x",IF($B$470="Лікар-терапевт",AVERAGE(AE470:AE472),0)))</f>
        <v>0</v>
      </c>
      <c r="AF474" s="205">
        <f>IF($B$470="Лікар загальної практики - сімейний лікар",AVERAGE(AF470:AF472),IF($B$470="Лікар-педіатр","x",IF($B$470="Лікар-терапевт",AVERAGE(AF470:AF472),0)))</f>
        <v>0</v>
      </c>
      <c r="AG474" s="206">
        <f>SUM(AB474:AF474)</f>
        <v>0</v>
      </c>
      <c r="AH474" s="942"/>
      <c r="AI474" s="201"/>
      <c r="AJ474" s="945"/>
      <c r="AK474" s="960"/>
      <c r="AL474" s="960"/>
      <c r="AM474" s="931"/>
      <c r="AN474" s="949"/>
      <c r="AO474" s="949"/>
      <c r="AP474" s="949"/>
      <c r="AQ474" s="949"/>
      <c r="AR474" s="964"/>
    </row>
    <row r="475" spans="1:44" s="50" customFormat="1" ht="40.5" hidden="1">
      <c r="A475" s="197"/>
      <c r="B475" s="951"/>
      <c r="C475" s="954"/>
      <c r="D475" s="957"/>
      <c r="E475" s="939"/>
      <c r="F475" s="237" t="str">
        <f ca="1">IF(B470="Лікар-педіатр",Законод!$C$17,IF(B470="Лікар загальної практики - сімейний лікар",Законод!$C$21,IF(B470="Лікар-терапевт",Законод!$C$25,"х")))</f>
        <v>х</v>
      </c>
      <c r="G475" s="208">
        <f ca="1">IF($B$470="Лікар загальної практики - сімейний лікар",IF(L474&lt;=Законод!$C$22,G474,Законод!$C$22*'01_Доходи'!G473),IF($B$470="Лікар-педіатр",IF(L474&lt;=Законод!$C$18,G474,Законод!$C$18*'01_Доходи'!G473),IF($B$470="Лікар-терапевт","x",0)))</f>
        <v>0</v>
      </c>
      <c r="H475" s="208">
        <f ca="1">IF($B$470="Лікар загальної практики - сімейний лікар",IF(L474&lt;=Законод!$C$22,H474,Законод!$C$22*'01_Доходи'!H473),IF($B$470="Лікар-педіатр",IF(L474&lt;=Законод!$C$18,H474,Законод!$C$18*'01_Доходи'!H473),IF($B$470="Лікар-терапевт","x",0)))</f>
        <v>0</v>
      </c>
      <c r="I475" s="208">
        <f ca="1">IF($B$470="Лікар загальної практики - сімейний лікар",IF(L474&lt;=Законод!$C$22,I474,Законод!$C$22*'01_Доходи'!I473),IF($B$470="Лікар-педіатр","x",IF($B$470="Лікар-терапевт",IF(L474&lt;=Законод!$C$26,I474,Законод!$C$26*'01_Доходи'!I473),0)))</f>
        <v>0</v>
      </c>
      <c r="J475" s="208">
        <f ca="1">IF($B$470="Лікар загальної практики - сімейний лікар",IF(L474&lt;=Законод!$C$22,J474,Законод!$C$22*'01_Доходи'!J473),IF($B$470="Лікар-педіатр","x",IF($B$470="Лікар-терапевт",IF(L474&lt;=Законод!$C$26,J474,Законод!$C$26*'01_Доходи'!J473),0)))</f>
        <v>0</v>
      </c>
      <c r="K475" s="208">
        <f ca="1">IF($B$470="Лікар загальної практики - сімейний лікар",IF(L474&lt;=Законод!$C$22,K474,Законод!$C$22*'01_Доходи'!K473),IF($B$470="Лікар-педіатр","x",IF($B$470="Лікар-терапевт",IF(L474&lt;=Законод!$C$26,K474,Законод!$C$26*'01_Доходи'!K473),0)))</f>
        <v>0</v>
      </c>
      <c r="L475" s="209">
        <f ca="1">SUM(G475:K475)</f>
        <v>0</v>
      </c>
      <c r="M475" s="942"/>
      <c r="N475" s="208">
        <f ca="1">IF($B$470="Лікар загальної практики - сімейний лікар",IF(S474&lt;=Законод!$C$22,N474,Законод!$C$22*'01_Доходи'!N473),IF($B$470="Лікар-педіатр",IF(S474&lt;=Законод!$C$18,N474,Законод!$C$18*'01_Доходи'!N473),IF($B$470="Лікар-терапевт","x",0)))</f>
        <v>0</v>
      </c>
      <c r="O475" s="208">
        <f ca="1">IF($B$470="Лікар загальної практики - сімейний лікар",IF(S474&lt;=Законод!$C$22,O474,Законод!$C$22*'01_Доходи'!O473),IF($B$470="Лікар-педіатр",IF(S474&lt;=Законод!$C$18,O474,Законод!$C$18*'01_Доходи'!O473),IF($B$470="Лікар-терапевт","x",0)))</f>
        <v>0</v>
      </c>
      <c r="P475" s="208">
        <f ca="1">IF($B$470="Лікар загальної практики - сімейний лікар",IF(S474&lt;=Законод!$C$22,P474,Законод!$C$22*'01_Доходи'!P473),IF($B$470="Лікар-педіатр","x",IF($B$470="Лікар-терапевт",IF(S474&lt;=Законод!$C$26,P474,Законод!$C$26*'01_Доходи'!P473),0)))</f>
        <v>0</v>
      </c>
      <c r="Q475" s="208">
        <f ca="1">IF($B$470="Лікар загальної практики - сімейний лікар",IF(S474&lt;=Законод!$C$22,Q474,Законод!$C$22*'01_Доходи'!Q473),IF($B$470="Лікар-педіатр","x",IF($B$470="Лікар-терапевт",IF(S474&lt;=Законод!$C$26,Q474,Законод!$C$26*'01_Доходи'!Q473),0)))</f>
        <v>0</v>
      </c>
      <c r="R475" s="208">
        <f ca="1">IF($B$470="Лікар загальної практики - сімейний лікар",IF(S474&lt;=Законод!$C$22,R474,Законод!$C$22*'01_Доходи'!R473),IF($B$470="Лікар-педіатр","x",IF($B$470="Лікар-терапевт",IF(S474&lt;=Законод!$C$26,R474,Законод!$C$26*'01_Доходи'!R473),0)))</f>
        <v>0</v>
      </c>
      <c r="S475" s="209">
        <f ca="1">SUM(N475:R475)</f>
        <v>0</v>
      </c>
      <c r="T475" s="942"/>
      <c r="U475" s="208">
        <f ca="1">IF($B$470="Лікар загальної практики - сімейний лікар",IF(Z474&lt;=Законод!$C$22,U474,Законод!$C$22*'01_Доходи'!U473),IF($B$470="Лікар-педіатр",IF(Z474&lt;=Законод!$C$18,U474,Законод!$C$18*'01_Доходи'!U473),IF($B$470="Лікар-терапевт","x",0)))</f>
        <v>0</v>
      </c>
      <c r="V475" s="208">
        <f ca="1">IF($B$470="Лікар загальної практики - сімейний лікар",IF(Z474&lt;=Законод!$C$22,V474,Законод!$C$22*'01_Доходи'!V473),IF($B$470="Лікар-педіатр",IF(Z474&lt;=Законод!$C$18,V474,Законод!$C$18*'01_Доходи'!V473),IF($B$470="Лікар-терапевт","x",0)))</f>
        <v>0</v>
      </c>
      <c r="W475" s="208">
        <f ca="1">IF($B$470="Лікар загальної практики - сімейний лікар",IF(Z474&lt;=Законод!$C$22,W474,Законод!$C$22*'01_Доходи'!W473),IF($B$470="Лікар-педіатр","x",IF($B$470="Лікар-терапевт",IF(Z474&lt;=Законод!$C$26,W474,Законод!$C$26*'01_Доходи'!W473),0)))</f>
        <v>0</v>
      </c>
      <c r="X475" s="208">
        <f ca="1">IF($B$470="Лікар загальної практики - сімейний лікар",IF(Z474&lt;=Законод!$C$22,X474,Законод!$C$22*'01_Доходи'!X473),IF($B$470="Лікар-педіатр","x",IF($B$470="Лікар-терапевт",IF(Z474&lt;=Законод!$C$26,X474,Законод!$C$26*'01_Доходи'!X473),0)))</f>
        <v>0</v>
      </c>
      <c r="Y475" s="208">
        <f ca="1">IF($B$470="Лікар загальної практики - сімейний лікар",IF(Z474&lt;=Законод!$C$22,Y474,Законод!$C$22*'01_Доходи'!Y473),IF($B$470="Лікар-педіатр","x",IF($B$470="Лікар-терапевт",IF(Z474&lt;=Законод!$C$26,Y474,Законод!$C$26*'01_Доходи'!Y473),0)))</f>
        <v>0</v>
      </c>
      <c r="Z475" s="209">
        <f ca="1">SUM(U475:Y475)</f>
        <v>0</v>
      </c>
      <c r="AA475" s="942"/>
      <c r="AB475" s="208">
        <f ca="1">IF($B$470="Лікар загальної практики - сімейний лікар",IF(AG474&lt;=Законод!$C$22,AB474,Законод!$C$22*'01_Доходи'!AB473),IF($B$470="Лікар-педіатр",IF(AG474&lt;=Законод!$C$18,AB474,Законод!$C$18*'01_Доходи'!AB473),IF($B$470="Лікар-терапевт","x",0)))</f>
        <v>0</v>
      </c>
      <c r="AC475" s="208">
        <f ca="1">IF($B$470="Лікар загальної практики - сімейний лікар",IF(AG474&lt;=Законод!$C$22,AC474,Законод!$C$22*'01_Доходи'!AC473),IF($B$470="Лікар-педіатр",IF(AG474&lt;=Законод!$C$18,AC474,Законод!$C$18*'01_Доходи'!AC473),IF($B$470="Лікар-терапевт","x",0)))</f>
        <v>0</v>
      </c>
      <c r="AD475" s="208">
        <f ca="1">IF($B$470="Лікар загальної практики - сімейний лікар",IF(AG474&lt;=Законод!$C$22,AD474,Законод!$C$22*'01_Доходи'!AD473),IF($B$470="Лікар-педіатр","x",IF($B$470="Лікар-терапевт",IF(AG474&lt;=Законод!$C$26,AD474,Законод!$C$26*'01_Доходи'!AD473),0)))</f>
        <v>0</v>
      </c>
      <c r="AE475" s="208">
        <f ca="1">IF($B$470="Лікар загальної практики - сімейний лікар",IF(AG474&lt;=Законод!$C$22,AE474,Законод!$C$22*'01_Доходи'!AE473),IF($B$470="Лікар-педіатр","x",IF($B$470="Лікар-терапевт",IF(AG474&lt;=Законод!$C$26,AE474,Законод!$C$26*'01_Доходи'!AE473),0)))</f>
        <v>0</v>
      </c>
      <c r="AF475" s="208">
        <f ca="1">IF($B$470="Лікар загальної практики - сімейний лікар",IF(AG474&lt;=Законод!$C$22,AF474,Законод!$C$22*'01_Доходи'!AF473),IF($B$470="Лікар-педіатр","x",IF($B$470="Лікар-терапевт",IF(AG474&lt;=Законод!$C$26,AF474,Законод!$C$26*'01_Доходи'!AF473),0)))</f>
        <v>0</v>
      </c>
      <c r="AG475" s="209">
        <f ca="1">SUM(AB475:AF475)</f>
        <v>0</v>
      </c>
      <c r="AH475" s="942"/>
      <c r="AI475" s="201"/>
      <c r="AJ475" s="945"/>
      <c r="AK475" s="960"/>
      <c r="AL475" s="960"/>
      <c r="AM475" s="348" t="s">
        <v>451</v>
      </c>
      <c r="AN475" s="210">
        <f ca="1">IF(B470="Лікар загальної практики - сімейний лікар",G475*Законод!$C$11+'01_Доходи'!H475*Законод!$D$11+'01_Доходи'!I475*Законод!$E$11+'01_Доходи'!J475*Законод!$F$11+'01_Доходи'!K475*Законод!$G$11,IF(B470="Лікар-педіатр",G475*Законод!$C$11+'01_Доходи'!H475*Законод!$D$11,IF(B470="Лікар-терапевт",'01_Доходи'!I475*Законод!$E$11+'01_Доходи'!J475*Законод!$F$11+'01_Доходи'!K475*Законод!$G$11,0)))</f>
        <v>0</v>
      </c>
      <c r="AO475" s="210">
        <f ca="1">IF(B470="Лікар загальної практики - сімейний лікар",N475*Законод!$C$11+'01_Доходи'!O475*Законод!$D$11+'01_Доходи'!P475*Законод!$E$11+'01_Доходи'!Q475*Законод!$F$11+'01_Доходи'!R475*Законод!$G$11,IF(B470="Лікар-педіатр",N475*Законод!$C$11+'01_Доходи'!O475*Законод!$D$11,IF(B470="Лікар-терапевт",'01_Доходи'!P475*Законод!$E$11+'01_Доходи'!Q475*Законод!$F$11+'01_Доходи'!R475*Законод!$G$11,0)))</f>
        <v>0</v>
      </c>
      <c r="AP475" s="210">
        <f ca="1">IF(B470="Лікар загальної практики - сімейний лікар",U475*Законод!$C$11+'01_Доходи'!V475*Законод!$D$11+'01_Доходи'!W475*Законод!$E$11+'01_Доходи'!X475*Законод!$F$11+'01_Доходи'!Y475*Законод!$G$11,IF(B470="Лікар-педіатр",U475*Законод!$C$11+'01_Доходи'!V475*Законод!$D$11,IF(B470="Лікар-терапевт",'01_Доходи'!W475*Законод!$E$11+'01_Доходи'!X475*Законод!$F$11+'01_Доходи'!Y475*Законод!$G$11,0)))</f>
        <v>0</v>
      </c>
      <c r="AQ475" s="210">
        <f ca="1">IF(B470="Лікар загальної практики - сімейний лікар",AB475*Законод!$C$11+'01_Доходи'!AC475*Законод!$D$11+'01_Доходи'!AD475*Законод!$E$11+'01_Доходи'!AE475*Законод!$F$11+'01_Доходи'!AF475*Законод!$G$11,IF(B470="Лікар-педіатр",AB475*Законод!$C$11+'01_Доходи'!AC475*Законод!$D$11,IF(B470="Лікар-терапевт",'01_Доходи'!AD475*Законод!$E$11+'01_Доходи'!AE475*Законод!$F$11+'01_Доходи'!AF475*Законод!$G$11,0)))</f>
        <v>0</v>
      </c>
      <c r="AR475" s="211">
        <f t="shared" ref="AR475:AR481" si="76">SUM(AN475:AQ475)</f>
        <v>0</v>
      </c>
    </row>
    <row r="476" spans="1:44" s="50" customFormat="1" ht="31.9" hidden="1" customHeight="1">
      <c r="A476" s="197"/>
      <c r="B476" s="951"/>
      <c r="C476" s="954"/>
      <c r="D476" s="957"/>
      <c r="E476" s="939"/>
      <c r="F476" s="238" t="str">
        <f ca="1">IF(B470="Лікар-педіатр",Законод!$E$17,IF(B470="Лікар загальної практики - сімейний лікар",Законод!$E$21,IF(B470="Лікар-терапевт",Законод!$E$25,"х")))</f>
        <v>х</v>
      </c>
      <c r="G476" s="935" t="s">
        <v>423</v>
      </c>
      <c r="H476" s="936"/>
      <c r="I476" s="936"/>
      <c r="J476" s="936"/>
      <c r="K476" s="937"/>
      <c r="L476" s="196">
        <f ca="1">IF($B$470="Лікар загальної практики - сімейний лікар",IF(L474&lt;Законод!$C$22,0,(IF(AND(L474&gt;=Законод!$E$22,L474&lt;=Законод!$E$23),L474-Законод!$C$22,IF('01_Доходи'!L474&gt;=Законод!$F$22,Законод!$E$24,0)))),IF($B$470="Лікар-педіатр",IF(L474&lt;Законод!$C$18,0,(IF(AND(L474&gt;=Законод!$E$18,L474&lt;=Законод!$E$19),L474-Законод!$C$18,IF('01_Доходи'!L474&gt;=Законод!$F$18,Законод!$E$20,0)))),IF($B$470="Лікар-терапевт",IF(L474&lt;Законод!$C$26,0,(IF(AND(L474&gt;=Законод!$E$26,L474&lt;=Законод!$E$27),L474-Законод!$C$26,IF('01_Доходи'!L474&gt;=Законод!$F$26,Законод!$E$28,0)))),0)))</f>
        <v>0</v>
      </c>
      <c r="M476" s="942"/>
      <c r="N476" s="935" t="s">
        <v>423</v>
      </c>
      <c r="O476" s="936"/>
      <c r="P476" s="936"/>
      <c r="Q476" s="936"/>
      <c r="R476" s="937"/>
      <c r="S476" s="196">
        <f ca="1">IF($B$470="Лікар загальної практики - сімейний лікар",IF(S474&lt;Законод!$C$22,0,(IF(AND(S474&gt;=Законод!$E$22,S474&lt;=Законод!$E$23),S474-Законод!$C$22,IF('01_Доходи'!S474&gt;=Законод!$F$22,Законод!$E$24,0)))),IF($B$470="Лікар-педіатр",IF(S474&lt;Законод!$C$18,0,(IF(AND(S474&gt;=Законод!$E$18,S474&lt;=Законод!$E$19),S474-Законод!$C$18,IF('01_Доходи'!S474&gt;=Законод!$F$18,Законод!$E$20,0)))),IF($B$470="Лікар-терапевт",IF(S474&lt;Законод!$C$26,0,(IF(AND(S474&gt;=Законод!$E$26,S474&lt;=Законод!$E$27),S474-Законод!$C$26,IF('01_Доходи'!S474&gt;=Законод!$F$26,Законод!$E$28,0)))),0)))</f>
        <v>0</v>
      </c>
      <c r="T476" s="942"/>
      <c r="U476" s="935" t="s">
        <v>423</v>
      </c>
      <c r="V476" s="936"/>
      <c r="W476" s="936"/>
      <c r="X476" s="936"/>
      <c r="Y476" s="937"/>
      <c r="Z476" s="196">
        <f ca="1">IF($B$470="Лікар загальної практики - сімейний лікар",IF(Z474&lt;Законод!$C$22,0,(IF(AND(Z474&gt;=Законод!$E$22,Z474&lt;=Законод!$E$23),Z474-Законод!$C$22,IF('01_Доходи'!Z474&gt;=Законод!$F$22,Законод!$E$24,0)))),IF($B$470="Лікар-педіатр",IF(Z474&lt;Законод!$C$18,0,(IF(AND(Z474&gt;=Законод!$E$18,Z474&lt;=Законод!$E$19),Z474-Законод!$C$18,IF('01_Доходи'!Z474&gt;=Законод!$F$18,Законод!$E$20,0)))),IF($B$470="Лікар-терапевт",IF(Z474&lt;Законод!$C$26,0,(IF(AND(Z474&gt;=Законод!$E$26,Z474&lt;=Законод!$E$27),Z474-Законод!$C$26,IF('01_Доходи'!Z474&gt;=Законод!$F$26,Законод!$E$28,0)))),0)))</f>
        <v>0</v>
      </c>
      <c r="AA476" s="942"/>
      <c r="AB476" s="935" t="s">
        <v>423</v>
      </c>
      <c r="AC476" s="936"/>
      <c r="AD476" s="936"/>
      <c r="AE476" s="936"/>
      <c r="AF476" s="937"/>
      <c r="AG476" s="196">
        <f ca="1">IF($B$470="Лікар загальної практики - сімейний лікар",IF(AG474&lt;Законод!$C$22,0,(IF(AND(AG474&gt;=Законод!$E$22,AG474&lt;=Законод!$E$23),AG474-Законод!$C$22,IF('01_Доходи'!AG474&gt;=Законод!$F$22,Законод!$E$24,0)))),IF($B$470="Лікар-педіатр",IF(AG474&lt;Законод!$C$18,0,(IF(AND(AG474&gt;=Законод!$E$18,AG474&lt;=Законод!$E$19),AG474-Законод!$C$18,IF('01_Доходи'!AG474&gt;=Законод!$F$18,Законод!$E$20,0)))),IF($B$470="Лікар-терапевт",IF(AG474&lt;Законод!$C$26,0,(IF(AND(AG474&gt;=Законод!$E$26,AG474&lt;=Законод!$E$27),AG474-Законод!$C$26,IF('01_Доходи'!AG474&gt;=Законод!$F$26,Законод!$E$28,0)))),0)))</f>
        <v>0</v>
      </c>
      <c r="AH476" s="942"/>
      <c r="AI476" s="201"/>
      <c r="AJ476" s="945"/>
      <c r="AK476" s="960"/>
      <c r="AL476" s="960"/>
      <c r="AM476" s="926" t="s">
        <v>452</v>
      </c>
      <c r="AN476" s="210">
        <f ca="1">IF(B470="Лікар загальної практики - сімейний лікар",L476*Законод!$C$9/4*Законод!$E$16,IF(B470="Лікар-педіатр",L476*Законод!$C$9/4*Законод!$E$16,IF(B470="Лікар-терапевт",L476*Законод!$C$9/4*Законод!$E$16,0)))</f>
        <v>0</v>
      </c>
      <c r="AO476" s="210">
        <f ca="1">IF(B470="Лікар загальної практики - сімейний лікар",S476*Законод!$C$9/4*Законод!$E$16,IF(B470="Лікар-педіатр",S476*Законод!$C$9/4*Законод!$E$16,IF(B470="Лікар-терапевт",S476*Законод!$C$9/4*Законод!$E$16,0)))</f>
        <v>0</v>
      </c>
      <c r="AP476" s="210">
        <f ca="1">IF(B470="Лікар загальної практики - сімейний лікар",Z476*Законод!$C$9/4*Законод!$E$16,IF(B470="Лікар-педіатр",Z476*Законод!$C$9/4*Законод!$E$16,IF(B470="Лікар-терапевт",Z476*Законод!$C$9/4*Законод!$E$16,0)))</f>
        <v>0</v>
      </c>
      <c r="AQ476" s="210">
        <f ca="1">IF(B470="Лікар загальної практики - сімейний лікар",AG476*Законод!$C$9/4*Законод!$E$16,IF(B470="Лікар-педіатр",AG476*Законод!$C$9/4*Законод!$E$16,IF(B470="Лікар-терапевт",AG476*Законод!$C$9/4*Законод!$E$16,0)))</f>
        <v>0</v>
      </c>
      <c r="AR476" s="211">
        <f t="shared" si="76"/>
        <v>0</v>
      </c>
    </row>
    <row r="477" spans="1:44" s="50" customFormat="1" ht="31.9" hidden="1" customHeight="1">
      <c r="A477" s="197"/>
      <c r="B477" s="951"/>
      <c r="C477" s="954"/>
      <c r="D477" s="957"/>
      <c r="E477" s="939"/>
      <c r="F477" s="238" t="str">
        <f ca="1">IF(B470="Лікар-педіатр",Законод!$F$17,IF(B470="Лікар загальної практики - сімейний лікар",Законод!$F$21,IF(B470="Лікар-терапевт",Законод!$F$25,"х")))</f>
        <v>х</v>
      </c>
      <c r="G477" s="935" t="s">
        <v>423</v>
      </c>
      <c r="H477" s="936"/>
      <c r="I477" s="936"/>
      <c r="J477" s="936"/>
      <c r="K477" s="937"/>
      <c r="L477" s="196">
        <f ca="1">IF($B$470="Лікар загальної практики - сімейний лікар",IF(L474&lt;Законод!$C$22,0,(IF(AND(L474&gt;=Законод!$F$22,L474&lt;=Законод!$F$23),L474-Законод!$E$23,IF('01_Доходи'!L474&gt;=Законод!$G$22,Законод!$F$24,0)))),IF($B$470="Лікар-педіатр",IF(L474&lt;Законод!$C$18,0,(IF(AND(L474&gt;=Законод!$F$18,L474&lt;=Законод!$F$19),L474-Законод!$E$19,IF('01_Доходи'!L474&gt;=Законод!$G$18,Законод!$F$20,0)))),IF($B$470="Лікар-терапевт",IF(L474&lt;Законод!$C$26,0,(IF(AND(L474&gt;=Законод!$F$26,L474&lt;=Законод!$F$27),L474-Законод!$E$27,IF('01_Доходи'!L474&gt;=Законод!$G$26,Законод!$F$28,0)))),0)))</f>
        <v>0</v>
      </c>
      <c r="M477" s="942"/>
      <c r="N477" s="935" t="s">
        <v>423</v>
      </c>
      <c r="O477" s="936"/>
      <c r="P477" s="936"/>
      <c r="Q477" s="936"/>
      <c r="R477" s="937"/>
      <c r="S477" s="196">
        <f ca="1">IF($B$470="Лікар загальної практики - сімейний лікар",IF(S474&lt;Законод!$C$22,0,(IF(AND(S474&gt;=Законод!$F$22,S474&lt;=Законод!$F$23),S474-Законод!$E$23,IF('01_Доходи'!S474&gt;=Законод!$G$22,Законод!$F$24,0)))),IF($B$470="Лікар-педіатр",IF(S474&lt;Законод!$C$18,0,(IF(AND(S474&gt;=Законод!$F$18,S474&lt;=Законод!$F$19),S474-Законод!$E$19,IF('01_Доходи'!S474&gt;=Законод!$G$18,Законод!$F$20,0)))),IF($B$470="Лікар-терапевт",IF(S474&lt;Законод!$C$26,0,(IF(AND(S474&gt;=Законод!$F$26,S474&lt;=Законод!$F$27),S474-Законод!$E$27,IF('01_Доходи'!S474&gt;=Законод!$G$26,Законод!$F$28,0)))),0)))</f>
        <v>0</v>
      </c>
      <c r="T477" s="942"/>
      <c r="U477" s="935" t="s">
        <v>423</v>
      </c>
      <c r="V477" s="936"/>
      <c r="W477" s="936"/>
      <c r="X477" s="936"/>
      <c r="Y477" s="937"/>
      <c r="Z477" s="196">
        <f ca="1">IF($B$470="Лікар загальної практики - сімейний лікар",IF(Z474&lt;Законод!$C$22,0,(IF(AND(Z474&gt;=Законод!$F$22,Z474&lt;=Законод!$F$23),Z474-Законод!$E$23,IF('01_Доходи'!Z474&gt;=Законод!$G$22,Законод!$F$24,0)))),IF($B$470="Лікар-педіатр",IF(Z474&lt;Законод!$C$18,0,(IF(AND(Z474&gt;=Законод!$F$18,Z474&lt;=Законод!$F$19),Z474-Законод!$E$19,IF('01_Доходи'!Z474&gt;=Законод!$G$18,Законод!$F$20,0)))),IF($B$470="Лікар-терапевт",IF(Z474&lt;Законод!$C$26,0,(IF(AND(Z474&gt;=Законод!$F$26,Z474&lt;=Законод!$F$27),Z474-Законод!$E$27,IF('01_Доходи'!Z474&gt;=Законод!$G$26,Законод!$F$28,0)))),0)))</f>
        <v>0</v>
      </c>
      <c r="AA477" s="942"/>
      <c r="AB477" s="935" t="s">
        <v>423</v>
      </c>
      <c r="AC477" s="936"/>
      <c r="AD477" s="936"/>
      <c r="AE477" s="936"/>
      <c r="AF477" s="937"/>
      <c r="AG477" s="196">
        <f ca="1">IF($B$470="Лікар загальної практики - сімейний лікар",IF(AG474&lt;Законод!$C$22,0,(IF(AND(AG474&gt;=Законод!$F$22,AG474&lt;=Законод!$F$23),AG474-Законод!$E$23,IF('01_Доходи'!AG474&gt;=Законод!$G$22,Законод!$F$24,0)))),IF($B$470="Лікар-педіатр",IF(AG474&lt;Законод!$C$18,0,(IF(AND(AG474&gt;=Законод!$F$18,AG474&lt;=Законод!$F$19),AG474-Законод!$E$19,IF('01_Доходи'!AG474&gt;=Законод!$G$18,Законод!$F$20,0)))),IF($B$470="Лікар-терапевт",IF(AG474&lt;Законод!$C$26,0,(IF(AND(AG474&gt;=Законод!$F$26,AG474&lt;=Законод!$F$27),AG474-Законод!$E$27,IF('01_Доходи'!AG474&gt;=Законод!$G$26,Законод!$F$28,0)))),0)))</f>
        <v>0</v>
      </c>
      <c r="AH477" s="942"/>
      <c r="AI477" s="201"/>
      <c r="AJ477" s="945"/>
      <c r="AK477" s="960"/>
      <c r="AL477" s="960"/>
      <c r="AM477" s="927"/>
      <c r="AN477" s="210">
        <f ca="1">IF(B470="Лікар загальної практики - сімейний лікар",L477*Законод!$C$9/4*Законод!$F$16,IF(B470="Лікар-педіатр",L477*Законод!$C$9/4*Законод!$F$16,IF(B470="Лікар-терапевт",L477*Законод!$C$9/4*Законод!$F$16,0)))</f>
        <v>0</v>
      </c>
      <c r="AO477" s="210">
        <f ca="1">IF(B470="Лікар загальної практики - сімейний лікар",S477*Законод!$C$9/4*Законод!$F$16,IF(B470="Лікар-педіатр",S477*Законод!$C$9/4*Законод!$F$16,IF(B470="Лікар-терапевт",S477*Законод!$C$9/4*Законод!$F$16,0)))</f>
        <v>0</v>
      </c>
      <c r="AP477" s="210">
        <f ca="1">IF(B470="Лікар загальної практики - сімейний лікар",Z477*Законод!$C$9/4*Законод!$F$16,IF(B470="Лікар-педіатр",Z477*Законод!$C$9/4*Законод!$F$16,IF(B470="Лікар-терапевт",Z477*Законод!$C$9/4*Законод!$F$16,0)))</f>
        <v>0</v>
      </c>
      <c r="AQ477" s="210">
        <f ca="1">IF(B470="Лікар загальної практики - сімейний лікар",AG477*Законод!$C$9/4*Законод!$F$16,IF(B470="Лікар-педіатр",AG477*Законод!$C$9/4*Законод!$F$16,IF(B470="Лікар-терапевт",AG477*Законод!$C$9/4*Законод!$F$16,0)))</f>
        <v>0</v>
      </c>
      <c r="AR477" s="211">
        <f t="shared" si="76"/>
        <v>0</v>
      </c>
    </row>
    <row r="478" spans="1:44" s="50" customFormat="1" ht="31.9" hidden="1" customHeight="1">
      <c r="A478" s="197"/>
      <c r="B478" s="951"/>
      <c r="C478" s="954"/>
      <c r="D478" s="957"/>
      <c r="E478" s="939"/>
      <c r="F478" s="238" t="str">
        <f ca="1">IF(B470="Лікар-педіатр",Законод!$G$17,IF(B470="Лікар загальної практики - сімейний лікар",Законод!$G$21,IF(B470="Лікар-терапевт",Законод!$G$25,"х")))</f>
        <v>х</v>
      </c>
      <c r="G478" s="935" t="s">
        <v>423</v>
      </c>
      <c r="H478" s="936"/>
      <c r="I478" s="936"/>
      <c r="J478" s="936"/>
      <c r="K478" s="937"/>
      <c r="L478" s="196">
        <f ca="1">IF($B$470="Лікар загальної практики - сімейний лікар",IF(L474&lt;Законод!$C$22,0,(IF(AND(L474&gt;=Законод!$G$22,L474&lt;=Законод!$G$23),L474-Законод!$F$23,IF('01_Доходи'!L474&gt;=Законод!$H$22,Законод!$G$24,0)))),IF($B$470="Лікар-педіатр",IF(L474&lt;Законод!$C$18,0,(IF(AND(L474&gt;=Законод!$G$18,L474&lt;=Законод!$G$19),L474-Законод!$F$19,IF('01_Доходи'!L474&gt;=Законод!$H$18,Законод!$G$20,0)))),IF($B$470="Лікар-терапевт",IF(L474&lt;Законод!$C$26,0,(IF(AND(L474&gt;=Законод!$G$26,L474&lt;=Законод!$G$27),L474-Законод!$F$27,IF('01_Доходи'!L474&gt;=Законод!$H$26,Законод!$G$28,0)))),0)))</f>
        <v>0</v>
      </c>
      <c r="M478" s="942"/>
      <c r="N478" s="935" t="s">
        <v>423</v>
      </c>
      <c r="O478" s="936"/>
      <c r="P478" s="936"/>
      <c r="Q478" s="936"/>
      <c r="R478" s="937"/>
      <c r="S478" s="196">
        <f ca="1">IF($B$470="Лікар загальної практики - сімейний лікар",IF(S474&lt;Законод!$C$22,0,(IF(AND(S474&gt;=Законод!$G$22,S474&lt;=Законод!$G$23),S474-Законод!$F$23,IF('01_Доходи'!S474&gt;=Законод!$H$22,Законод!$G$24,0)))),IF($B$470="Лікар-педіатр",IF(S474&lt;Законод!$C$18,0,(IF(AND(S474&gt;=Законод!$G$18,S474&lt;=Законод!$G$19),S474-Законод!$F$19,IF('01_Доходи'!S474&gt;=Законод!$H$18,Законод!$G$20,0)))),IF($B$470="Лікар-терапевт",IF(S474&lt;Законод!$C$26,0,(IF(AND(S474&gt;=Законод!$G$26,S474&lt;=Законод!$G$27),S474-Законод!$F$27,IF('01_Доходи'!S474&gt;=Законод!$H$26,Законод!$G$28,0)))),0)))</f>
        <v>0</v>
      </c>
      <c r="T478" s="942"/>
      <c r="U478" s="935" t="s">
        <v>423</v>
      </c>
      <c r="V478" s="936"/>
      <c r="W478" s="936"/>
      <c r="X478" s="936"/>
      <c r="Y478" s="937"/>
      <c r="Z478" s="196">
        <f ca="1">IF($B$470="Лікар загальної практики - сімейний лікар",IF(Z474&lt;Законод!$C$22,0,(IF(AND(Z474&gt;=Законод!$G$22,Z474&lt;=Законод!$G$23),Z474-Законод!$F$23,IF('01_Доходи'!Z474&gt;=Законод!$H$22,Законод!$G$24,0)))),IF($B$470="Лікар-педіатр",IF(Z474&lt;Законод!$C$18,0,(IF(AND(Z474&gt;=Законод!$G$18,Z474&lt;=Законод!$G$19),Z474-Законод!$F$19,IF('01_Доходи'!Z474&gt;=Законод!$H$18,Законод!$G$20,0)))),IF($B$470="Лікар-терапевт",IF(Z474&lt;Законод!$C$26,0,(IF(AND(Z474&gt;=Законод!$G$26,Z474&lt;=Законод!$G$27),Z474-Законод!$F$27,IF('01_Доходи'!Z474&gt;=Законод!$H$26,Законод!$G$28,0)))),0)))</f>
        <v>0</v>
      </c>
      <c r="AA478" s="942"/>
      <c r="AB478" s="935" t="s">
        <v>423</v>
      </c>
      <c r="AC478" s="936"/>
      <c r="AD478" s="936"/>
      <c r="AE478" s="936"/>
      <c r="AF478" s="937"/>
      <c r="AG478" s="196">
        <f ca="1">IF($B$470="Лікар загальної практики - сімейний лікар",IF(AG474&lt;Законод!$C$22,0,(IF(AND(AG474&gt;=Законод!$G$22,AG474&lt;=Законод!$G$23),AG474-Законод!$F$23,IF('01_Доходи'!AG474&gt;=Законод!$H$22,Законод!$G$24,0)))),IF($B$470="Лікар-педіатр",IF(AG474&lt;Законод!$C$18,0,(IF(AND(AG474&gt;=Законод!$G$18,AG474&lt;=Законод!$G$19),AG474-Законод!$F$19,IF('01_Доходи'!AG474&gt;=Законод!$H$18,Законод!$G$20,0)))),IF($B$470="Лікар-терапевт",IF(AG474&lt;Законод!$C$26,0,(IF(AND(AG474&gt;=Законод!$G$26,AG474&lt;=Законод!$G$27),AG474-Законод!$F$27,IF('01_Доходи'!AG474&gt;=Законод!$H$26,Законод!$G$28,0)))),0)))</f>
        <v>0</v>
      </c>
      <c r="AH478" s="942"/>
      <c r="AI478" s="201"/>
      <c r="AJ478" s="945"/>
      <c r="AK478" s="960"/>
      <c r="AL478" s="960"/>
      <c r="AM478" s="927"/>
      <c r="AN478" s="210">
        <f ca="1">IF(B470="Лікар загальної практики - сімейний лікар",L478*Законод!$C$9/4*Законод!$G$16,IF(B470="Лікар-педіатр",L478*Законод!$C$9/4*Законод!$G$16,IF(B470="Лікар-терапевт",L478*Законод!$C$9/4*Законод!$G$16,0)))</f>
        <v>0</v>
      </c>
      <c r="AO478" s="210">
        <f ca="1">IF(B470="Лікар загальної практики - сімейний лікар",S478*Законод!$C$9/4*Законод!$G$16,IF(B470="Лікар-педіатр",S478*Законод!$C$9/4*Законод!$G$16,IF(B470="Лікар-терапевт",S478*Законод!$C$9/4*Законод!$G$16,0)))</f>
        <v>0</v>
      </c>
      <c r="AP478" s="210">
        <f ca="1">IF(B470="Лікар загальної практики - сімейний лікар",Z478*Законод!$C$9/4*Законод!$G$16,IF(B470="Лікар-педіатр",Z478*Законод!$C$9/4*Законод!$G$16,IF(B470="Лікар-терапевт",Z478*Законод!$C$9/4*Законод!$G$16,0)))</f>
        <v>0</v>
      </c>
      <c r="AQ478" s="210">
        <f ca="1">IF(B470="Лікар загальної практики - сімейний лікар",AG478*Законод!$C$9/4*Законод!$G$16,IF(B470="Лікар-педіатр",AG478*Законод!$C$9/4*Законод!$G$16,IF(B470="Лікар-терапевт",AG478*Законод!$C$9/4*Законод!$G$16,0)))</f>
        <v>0</v>
      </c>
      <c r="AR478" s="211">
        <f t="shared" si="76"/>
        <v>0</v>
      </c>
    </row>
    <row r="479" spans="1:44" s="50" customFormat="1" ht="31.9" hidden="1" customHeight="1">
      <c r="A479" s="197"/>
      <c r="B479" s="951"/>
      <c r="C479" s="954"/>
      <c r="D479" s="957"/>
      <c r="E479" s="939"/>
      <c r="F479" s="238" t="str">
        <f ca="1">IF(B470="Лікар-педіатр",Законод!$H$17,IF(B470="Лікар загальної практики - сімейний лікар",Законод!$H$21,IF(B470="Лікар-терапевт",Законод!$H$25,"х")))</f>
        <v>х</v>
      </c>
      <c r="G479" s="935" t="s">
        <v>423</v>
      </c>
      <c r="H479" s="936"/>
      <c r="I479" s="936"/>
      <c r="J479" s="936"/>
      <c r="K479" s="937"/>
      <c r="L479" s="196">
        <f ca="1">IF($B$470="Лікар загальної практики - сімейний лікар",IF(L474&lt;Законод!$C$22,0,(IF(AND(L474&gt;=Законод!$H$22,L474&lt;=Законод!$H$23),L474-Законод!$G$23,IF('01_Доходи'!L474&gt;=Законод!$I$22,Законод!$H$24,0)))),IF($B$470="Лікар-педіатр",IF(L474&lt;Законод!$C$18,0,(IF(AND(L474&gt;=Законод!$H$18,L474&lt;=Законод!$H$19),L474-Законод!$G$19,IF('01_Доходи'!L474&gt;=Законод!$I$18,Законод!$H$20,0)))),IF($B$470="Лікар-терапевт",IF(L474&lt;Законод!$C$26,0,(IF(AND(L474&gt;=Законод!$H$26,L474&lt;=Законод!$H$27),L474-Законод!$G$27,IF(L474&gt;=Законод!$I$26,Законод!$H$28,0)))),0)))</f>
        <v>0</v>
      </c>
      <c r="M479" s="942"/>
      <c r="N479" s="935" t="s">
        <v>423</v>
      </c>
      <c r="O479" s="936"/>
      <c r="P479" s="936"/>
      <c r="Q479" s="936"/>
      <c r="R479" s="937"/>
      <c r="S479" s="196">
        <f ca="1">IF($B$470="Лікар загальної практики - сімейний лікар",IF(S474&lt;Законод!$C$22,0,(IF(AND(S474&gt;=Законод!$H$22,S474&lt;=Законод!$H$23),S474-Законод!$G$23,IF('01_Доходи'!S474&gt;=Законод!$I$22,Законод!$H$24,0)))),IF($B$470="Лікар-педіатр",IF(S474&lt;Законод!$C$18,0,(IF(AND(S474&gt;=Законод!$H$18,S474&lt;=Законод!$H$19),S474-Законод!$G$19,IF('01_Доходи'!S474&gt;=Законод!$I$18,Законод!$H$20,0)))),IF($B$470="Лікар-терапевт",IF(S474&lt;Законод!$C$26,0,(IF(AND(S474&gt;=Законод!$H$26,S474&lt;=Законод!$H$27),S474-Законод!$G$27,IF(S474&gt;=Законод!$I$26,Законод!$H$28,0)))),0)))</f>
        <v>0</v>
      </c>
      <c r="T479" s="942"/>
      <c r="U479" s="935" t="s">
        <v>423</v>
      </c>
      <c r="V479" s="936"/>
      <c r="W479" s="936"/>
      <c r="X479" s="936"/>
      <c r="Y479" s="937"/>
      <c r="Z479" s="196">
        <f ca="1">IF($B$470="Лікар загальної практики - сімейний лікар",IF(Z474&lt;Законод!$C$22,0,(IF(AND(Z474&gt;=Законод!$H$22,Z474&lt;=Законод!$H$23),Z474-Законод!$G$23,IF('01_Доходи'!Z474&gt;=Законод!$I$22,Законод!$H$24,0)))),IF($B$470="Лікар-педіатр",IF(Z474&lt;Законод!$C$18,0,(IF(AND(Z474&gt;=Законод!$H$18,Z474&lt;=Законод!$H$19),Z474-Законод!$G$19,IF('01_Доходи'!Z474&gt;=Законод!$I$18,Законод!$H$20,0)))),IF($B$470="Лікар-терапевт",IF(Z474&lt;Законод!$C$26,0,(IF(AND(Z474&gt;=Законод!$H$26,Z474&lt;=Законод!$H$27),Z474-Законод!$G$27,IF(Z474&gt;=Законод!$I$26,Законод!$H$28,0)))),0)))</f>
        <v>0</v>
      </c>
      <c r="AA479" s="942"/>
      <c r="AB479" s="935" t="s">
        <v>423</v>
      </c>
      <c r="AC479" s="936"/>
      <c r="AD479" s="936"/>
      <c r="AE479" s="936"/>
      <c r="AF479" s="937"/>
      <c r="AG479" s="196">
        <f ca="1">IF($B$470="Лікар загальної практики - сімейний лікар",IF(AG474&lt;Законод!$C$22,0,(IF(AND(AG474&gt;=Законод!$H$22,AG474&lt;=Законод!$H$23),AG474-Законод!$G$23,IF('01_Доходи'!AG474&gt;=Законод!$I$22,Законод!$H$24,0)))),IF($B$470="Лікар-педіатр",IF(AG474&lt;Законод!$C$18,0,(IF(AND(AG474&gt;=Законод!$H$18,AG474&lt;=Законод!$H$19),AG474-Законод!$G$19,IF('01_Доходи'!AG474&gt;=Законод!$I$18,Законод!$H$20,0)))),IF($B$470="Лікар-терапевт",IF(AG474&lt;Законод!$C$26,0,(IF(AND(AG474&gt;=Законод!$H$26,AG474&lt;=Законод!$H$27),AG474-Законод!$G$27,IF(AG474&gt;=Законод!$I$26,Законод!$H$28,0)))),0)))</f>
        <v>0</v>
      </c>
      <c r="AH479" s="942"/>
      <c r="AI479" s="201"/>
      <c r="AJ479" s="945"/>
      <c r="AK479" s="960"/>
      <c r="AL479" s="960"/>
      <c r="AM479" s="927"/>
      <c r="AN479" s="210">
        <f ca="1">IF(B470="Лікар загальної практики - сімейний лікар",L479*Законод!$C$9/4*Законод!$H$16,IF(B470="Лікар-педіатр",L479*Законод!$C$9/4*Законод!$H$16,IF(B470="Лікар-терапевт",L479*Законод!$C$9/4*Законод!$H$16,0)))</f>
        <v>0</v>
      </c>
      <c r="AO479" s="210">
        <f ca="1">IF(B470="Лікар загальної практики - сімейний лікар",S479*Законод!$C$9/4*Законод!$H$16,IF(B470="Лікар-педіатр",S479*Законод!$C$9/4*Законод!$H$16,IF(B470="Лікар-терапевт",S479*Законод!$C$9/4*Законод!$H$16,0)))</f>
        <v>0</v>
      </c>
      <c r="AP479" s="210">
        <f ca="1">IF(B470="Лікар загальної практики - сімейний лікар",Z479*Законод!$C$9/4*Законод!$H$16,IF(B470="Лікар-педіатр",Z479*Законод!$C$9/4*Законод!$H$16,IF(B470="Лікар-терапевт",Z479*Законод!$C$9/4*Законод!$H$16,0)))</f>
        <v>0</v>
      </c>
      <c r="AQ479" s="210">
        <f ca="1">IF(B470="Лікар загальної практики - сімейний лікар",AG479*Законод!$C$9/4*Законод!$H$16,IF(B470="Лікар-педіатр",AG479*Законод!$C$9/4*Законод!$H$16,IF(B470="Лікар-терапевт",AG479*Законод!$C$9/4*Законод!$H$16,0)))</f>
        <v>0</v>
      </c>
      <c r="AR479" s="211">
        <f t="shared" si="76"/>
        <v>0</v>
      </c>
    </row>
    <row r="480" spans="1:44" s="50" customFormat="1" ht="31.9" hidden="1" customHeight="1">
      <c r="A480" s="197"/>
      <c r="B480" s="951"/>
      <c r="C480" s="954"/>
      <c r="D480" s="957"/>
      <c r="E480" s="939"/>
      <c r="F480" s="238" t="str">
        <f ca="1">IF(B470="Лікар-педіатр",Законод!$I$17,IF(B470="Лікар загальної практики - сімейний лікар",Законод!$I$21,IF(B470="Лікар-терапевт",Законод!$I$25,"х")))</f>
        <v>х</v>
      </c>
      <c r="G480" s="935" t="s">
        <v>423</v>
      </c>
      <c r="H480" s="936"/>
      <c r="I480" s="936"/>
      <c r="J480" s="936"/>
      <c r="K480" s="937"/>
      <c r="L480" s="196">
        <f ca="1">IF($B$470="Лікар загальної практики - сімейний лікар",IF(L474&lt;Законод!$C$22,0,(IF(AND(L474&gt;=Законод!$I$22,L474&lt;=Законод!$I$23),L474-Законод!$H$23,IF('01_Доходи'!L474&gt;=Законод!$I$22,Законод!$I$24,0)))),IF($B$470="Лікар-педіатр",IF(L474&lt;Законод!$C$18,0,(IF(AND(L474&gt;=Законод!$I$18,L474&lt;=Законод!$I$19),L474-Законод!$H$19,IF('01_Доходи'!L474&gt;=Законод!$I$18,Законод!$H$20,0)))),IF($B$470="Лікар-терапевт",IF(L474&lt;Законод!$C$26,0,(IF(AND(L474&gt;=Законод!$I$26,L474&lt;=Законод!$I$27),L474-Законод!$H$27,IF('01_Доходи'!L474&gt;=Законод!$I$26,Законод!$H$28,0)))),0)))</f>
        <v>0</v>
      </c>
      <c r="M480" s="942"/>
      <c r="N480" s="935" t="s">
        <v>423</v>
      </c>
      <c r="O480" s="936"/>
      <c r="P480" s="936"/>
      <c r="Q480" s="936"/>
      <c r="R480" s="937"/>
      <c r="S480" s="196">
        <f ca="1">IF($B$470="Лікар загальної практики - сімейний лікар",IF(S474&lt;Законод!$C$22,0,(IF(AND(S474&gt;=Законод!$I$22,S474&lt;=Законод!$I$23),S474-Законод!$H$23,IF('01_Доходи'!S474&gt;=Законод!$I$22,Законод!$I$24,0)))),IF($B$470="Лікар-педіатр",IF(S474&lt;Законод!$C$18,0,(IF(AND(S474&gt;=Законод!$I$18,S474&lt;=Законод!$I$19),S474-Законод!$H$19,IF('01_Доходи'!S474&gt;=Законод!$I$18,Законод!$H$20,0)))),IF($B$470="Лікар-терапевт",IF(S474&lt;Законод!$C$26,0,(IF(AND(S474&gt;=Законод!$I$26,S474&lt;=Законод!$I$27),S474-Законод!$H$27,IF('01_Доходи'!S474&gt;=Законод!$I$26,Законод!$H$28,0)))),0)))</f>
        <v>0</v>
      </c>
      <c r="T480" s="942"/>
      <c r="U480" s="935" t="s">
        <v>423</v>
      </c>
      <c r="V480" s="936"/>
      <c r="W480" s="936"/>
      <c r="X480" s="936"/>
      <c r="Y480" s="937"/>
      <c r="Z480" s="196">
        <f ca="1">IF($B$470="Лікар загальної практики - сімейний лікар",IF(Z474&lt;Законод!$C$22,0,(IF(AND(Z474&gt;=Законод!$I$22,Z474&lt;=Законод!$I$23),Z474-Законод!$H$23,IF('01_Доходи'!Z474&gt;=Законод!$I$22,Законод!$I$24,0)))),IF($B$470="Лікар-педіатр",IF(Z474&lt;Законод!$C$18,0,(IF(AND(Z474&gt;=Законод!$I$18,Z474&lt;=Законод!$I$19),Z474-Законод!$H$19,IF('01_Доходи'!Z474&gt;=Законод!$I$18,Законод!$H$20,0)))),IF($B$470="Лікар-терапевт",IF(Z474&lt;Законод!$C$26,0,(IF(AND(Z474&gt;=Законод!$I$26,Z474&lt;=Законод!$I$27),Z474-Законод!$H$27,IF('01_Доходи'!Z474&gt;=Законод!$I$26,Законод!$H$28,0)))),0)))</f>
        <v>0</v>
      </c>
      <c r="AA480" s="942"/>
      <c r="AB480" s="935" t="s">
        <v>423</v>
      </c>
      <c r="AC480" s="936"/>
      <c r="AD480" s="936"/>
      <c r="AE480" s="936"/>
      <c r="AF480" s="937"/>
      <c r="AG480" s="196">
        <f ca="1">IF($B$470="Лікар загальної практики - сімейний лікар",IF(AG474&lt;Законод!$C$22,0,(IF(AND(AG474&gt;=Законод!$I$22,AG474&lt;=Законод!$I$23),AG474-Законод!$H$23,IF('01_Доходи'!AG474&gt;=Законод!$I$22,Законод!$I$24,0)))),IF($B$470="Лікар-педіатр",IF(AG474&lt;Законод!$C$18,0,(IF(AND(AG474&gt;=Законод!$I$18,AG474&lt;=Законод!$I$19),AG474-Законод!$H$19,IF('01_Доходи'!AG474&gt;=Законод!$I$18,Законод!$H$20,0)))),IF($B$470="Лікар-терапевт",IF(AG474&lt;Законод!$C$26,0,(IF(AND(AG474&gt;=Законод!$I$26,AG474&lt;=Законод!$I$27),AG474-Законод!$H$27,IF('01_Доходи'!AG474&gt;=Законод!$I$26,Законод!$H$28,0)))),0)))</f>
        <v>0</v>
      </c>
      <c r="AH480" s="942"/>
      <c r="AI480" s="201"/>
      <c r="AJ480" s="945"/>
      <c r="AK480" s="960"/>
      <c r="AL480" s="960"/>
      <c r="AM480" s="927"/>
      <c r="AN480" s="210">
        <f ca="1">IF(B470="Лікар загальної практики - сімейний лікар",L480*Законод!$C$9/4*Законод!$I$16,IF(B470="Лікар-педіатр",L480*Законод!$C$9/4*Законод!$I$16,IF(B470="Лікар-терапевт",L480*Законод!$C$9/4*Законод!$I$16,0)))</f>
        <v>0</v>
      </c>
      <c r="AO480" s="210">
        <f ca="1">IF(B470="Лікар загальної практики - сімейний лікар",S480*Законод!$C$9/4*Законод!$I$16,IF(B470="Лікар-педіатр",S480*Законод!$C$9/4*Законод!$I$16,IF(B470="Лікар-терапевт",S480*Законод!$C$9/4*Законод!$I$16,0)))</f>
        <v>0</v>
      </c>
      <c r="AP480" s="210">
        <f ca="1">IF(B470="Лікар загальної практики - сімейний лікар",Z480*Законод!$C$9/4*Законод!$I$16,IF(B470="Лікар-педіатр",Z480*Законод!$C$9/4*Законод!$I$16,IF(B470="Лікар-терапевт",Z480*Законод!$C$9/4*Законод!$I$16,0)))</f>
        <v>0</v>
      </c>
      <c r="AQ480" s="210">
        <f ca="1">IF(B470="Лікар загальної практики - сімейний лікар",AG480*Законод!$C$9/4*Законод!$I$16,IF(B470="Лікар-педіатр",AG480*Законод!$C$9/4*Законод!$I$16,IF(B470="Лікар-терапевт",AG480*Законод!$C$9/4*Законод!$I$16,0)))</f>
        <v>0</v>
      </c>
      <c r="AR480" s="211">
        <f t="shared" si="76"/>
        <v>0</v>
      </c>
    </row>
    <row r="481" spans="1:44" s="218" customFormat="1" ht="31.9" hidden="1" customHeight="1" thickBot="1">
      <c r="A481" s="213"/>
      <c r="B481" s="952"/>
      <c r="C481" s="955"/>
      <c r="D481" s="958"/>
      <c r="E481" s="940"/>
      <c r="F481" s="239" t="str">
        <f ca="1">IF(B470="Лікар-педіатр",Законод!$J$17,IF(B470="Лікар загальної практики - сімейний лікар",Законод!$J$21,IF(B470="Лікар-терапевт",Законод!$J$25,"х")))</f>
        <v>х</v>
      </c>
      <c r="G481" s="932" t="s">
        <v>423</v>
      </c>
      <c r="H481" s="933"/>
      <c r="I481" s="933"/>
      <c r="J481" s="933"/>
      <c r="K481" s="934"/>
      <c r="L481" s="196">
        <f ca="1">IF($B$470="Лікар загальної практики - сімейний лікар",IF(L474&gt;=Законод!$J$22,'01_Доходи'!L474-('01_Доходи'!L475+'01_Доходи'!L476+'01_Доходи'!L477+'01_Доходи'!L478+'01_Доходи'!L479+'01_Доходи'!L480),0),IF($B$470="Лікар-педіатр",IF(L474&gt;=Законод!$J$18,'01_Доходи'!L474-('01_Доходи'!L475+'01_Доходи'!L476+'01_Доходи'!L477+'01_Доходи'!L478+'01_Доходи'!L479+'01_Доходи'!L480),0),IF($B$470="Лікар-терапевт",IF('01_Доходи'!L474&gt;=Законод!$J$26,L474-Законод!$I$27,0),0)))</f>
        <v>0</v>
      </c>
      <c r="M481" s="943"/>
      <c r="N481" s="932" t="s">
        <v>423</v>
      </c>
      <c r="O481" s="933"/>
      <c r="P481" s="933"/>
      <c r="Q481" s="933"/>
      <c r="R481" s="934"/>
      <c r="S481" s="196">
        <f ca="1">IF($B$470="Лікар загальної практики - сімейний лікар",IF(S474&gt;=Законод!$J$22,'01_Доходи'!S474-('01_Доходи'!S475+'01_Доходи'!S476+'01_Доходи'!S477+'01_Доходи'!S478+'01_Доходи'!S479+'01_Доходи'!S480),0),IF($B$470="Лікар-педіатр",IF(S474&gt;=Законод!$J$18,'01_Доходи'!S474-('01_Доходи'!S475+'01_Доходи'!S476+'01_Доходи'!S477+'01_Доходи'!S478+'01_Доходи'!S479+'01_Доходи'!S480),0),IF($B$470="Лікар-терапевт",IF('01_Доходи'!S474&gt;=Законод!$J$26,S474-Законод!$I$27,0),0)))</f>
        <v>0</v>
      </c>
      <c r="T481" s="943"/>
      <c r="U481" s="932" t="s">
        <v>423</v>
      </c>
      <c r="V481" s="933"/>
      <c r="W481" s="933"/>
      <c r="X481" s="933"/>
      <c r="Y481" s="934"/>
      <c r="Z481" s="196">
        <f ca="1">IF($B$470="Лікар загальної практики - сімейний лікар",IF(Z474&gt;=Законод!$J$22,'01_Доходи'!Z474-('01_Доходи'!Z475+'01_Доходи'!Z476+'01_Доходи'!Z477+'01_Доходи'!Z478+'01_Доходи'!Z479+'01_Доходи'!Z480),0),IF($B$470="Лікар-педіатр",IF(Z474&gt;=Законод!$J$18,'01_Доходи'!Z474-('01_Доходи'!Z475+'01_Доходи'!Z476+'01_Доходи'!Z477+'01_Доходи'!Z478+'01_Доходи'!Z479+'01_Доходи'!Z480),0),IF($B$470="Лікар-терапевт",IF('01_Доходи'!Z474&gt;=Законод!$J$26,Z474-Законод!$I$27,0),0)))</f>
        <v>0</v>
      </c>
      <c r="AA481" s="943"/>
      <c r="AB481" s="932" t="s">
        <v>423</v>
      </c>
      <c r="AC481" s="933"/>
      <c r="AD481" s="933"/>
      <c r="AE481" s="933"/>
      <c r="AF481" s="934"/>
      <c r="AG481" s="196">
        <f ca="1">IF($B$470="Лікар загальної практики - сімейний лікар",IF(AG474&gt;=Законод!$J$22,'01_Доходи'!AG474-('01_Доходи'!AG475+'01_Доходи'!AG476+'01_Доходи'!AG477+'01_Доходи'!AG478+'01_Доходи'!AG479+'01_Доходи'!AG480),0),IF($B$470="Лікар-педіатр",IF(AG474&gt;=Законод!$J$18,'01_Доходи'!AG474-('01_Доходи'!AG475+'01_Доходи'!AG476+'01_Доходи'!AG477+'01_Доходи'!AG478+'01_Доходи'!AG479+'01_Доходи'!AG480),0),IF($B$470="Лікар-терапевт",IF('01_Доходи'!AG474&gt;=Законод!$J$26,AG474-Законод!$I$27,0),0)))</f>
        <v>0</v>
      </c>
      <c r="AH481" s="943"/>
      <c r="AI481" s="215"/>
      <c r="AJ481" s="946"/>
      <c r="AK481" s="961"/>
      <c r="AL481" s="961"/>
      <c r="AM481" s="928"/>
      <c r="AN481" s="216">
        <f ca="1">IF(B470="Лікар загальної практики - сімейний лікар",L481*Законод!$C$9/4*Законод!$J$16,IF(B470="Лікар-педіатр",L481*Законод!$C$9/4*Законод!$J$16,IF(B470="Лікар-терапевт",L481*Законод!$C$9/4*Законод!$J$16,0)))</f>
        <v>0</v>
      </c>
      <c r="AO481" s="216">
        <f ca="1">IF(B470="Лікар загальної практики - сімейний лікар",S481*Законод!$C$9/4*Законод!$J$16,IF(B470="Лікар-педіатр",S481*Законод!$C$9/4*Законод!$J$16,IF(B470="Лікар-терапевт",S481*Законод!$C$9/4*Законод!$J$16,0)))</f>
        <v>0</v>
      </c>
      <c r="AP481" s="216">
        <f ca="1">IF(B470="Лікар загальної практики - сімейний лікар",S481*Законод!$C$9/4*Законод!$J$16,IF(B470="Лікар-педіатр",S481*Законод!$C$9/4*Законод!$J$16,IF(B470="Лікар-терапевт",S481*Законод!$C$9/4*Законод!$J$16,0)))</f>
        <v>0</v>
      </c>
      <c r="AQ481" s="216">
        <f ca="1">IF(B470="Лікар загальної практики - сімейний лікар",AG481*Законод!$C$9/4*Законод!$J$16,IF(B470="Лікар-педіатр",AG481*Законод!$C$9/4*Законод!$J$16,IF(B470="Лікар-терапевт",AG481*Законод!$C$9/4*Законод!$J$16,0)))</f>
        <v>0</v>
      </c>
      <c r="AR481" s="217">
        <f t="shared" si="76"/>
        <v>0</v>
      </c>
    </row>
    <row r="482" spans="1:44" s="247" customFormat="1" ht="23.45" hidden="1" customHeight="1" thickBot="1">
      <c r="A482" s="243"/>
      <c r="B482" s="244"/>
      <c r="C482" s="244"/>
      <c r="D482" s="244"/>
      <c r="E482" s="244"/>
      <c r="F482" s="245"/>
      <c r="G482" s="246"/>
      <c r="H482" s="246"/>
      <c r="L482" s="248"/>
      <c r="S482" s="248"/>
      <c r="Z482" s="248"/>
      <c r="AG482" s="248"/>
      <c r="AM482" s="249"/>
      <c r="AR482" s="250"/>
    </row>
    <row r="483" spans="1:44" s="191" customFormat="1" ht="24.6" hidden="1" customHeight="1">
      <c r="A483" s="194">
        <f>A470+1</f>
        <v>35</v>
      </c>
      <c r="B483" s="950"/>
      <c r="C483" s="953"/>
      <c r="D483" s="956"/>
      <c r="E483" s="938"/>
      <c r="F483" s="234" t="s">
        <v>659</v>
      </c>
      <c r="G483" s="196">
        <f>IF($B$483="Лікар-педіатр",G486*L483,IF($B$483="Лікар-терапевт","х",IF($B$483="Лікар загальної практики - сімейний лікар",G486*L483,0)))</f>
        <v>0</v>
      </c>
      <c r="H483" s="196">
        <f>IF($B$483="Лікар-педіатр",H486*L483,IF($B$483="Лікар-терапевт","х",IF($B$483="Лікар загальної практики - сімейний лікар",H486*L483,0)))</f>
        <v>0</v>
      </c>
      <c r="I483" s="196">
        <f>IF($B$483="Лікар-педіатр","x",IF($B$483="Лікар-терапевт",I486*L483,IF($B$483="Лікар загальної практики - сімейний лікар",I486*L483,0)))</f>
        <v>0</v>
      </c>
      <c r="J483" s="196">
        <f>IF($B$483="Лікар-педіатр","x",IF($B$483="Лікар-терапевт",J486*L483,IF($B$483="Лікар загальної практики - сімейний лікар",J486*L483,0)))</f>
        <v>0</v>
      </c>
      <c r="K483" s="196">
        <f>IF($B$483="Лікар-педіатр","x",IF($B$483="Лікар-терапевт",K486*L483,IF($B$483="Лікар загальної практики - сімейний лікар",K486*L483,0)))</f>
        <v>0</v>
      </c>
      <c r="L483" s="557"/>
      <c r="M483" s="941"/>
      <c r="N483" s="196">
        <f>IF($B$483="Лікар-педіатр",N486*S483,IF($B$483="Лікар-терапевт","х",IF($B$483="Лікар загальної практики - сімейний лікар",N486*S483,0)))</f>
        <v>0</v>
      </c>
      <c r="O483" s="196">
        <f>IF($B$483="Лікар-педіатр",O486*S483,IF($B$483="Лікар-терапевт","х",IF($B$483="Лікар загальної практики - сімейний лікар",O486*S483,0)))</f>
        <v>0</v>
      </c>
      <c r="P483" s="196">
        <f>IF($B$483="Лікар-педіатр","x",IF($B$483="Лікар-терапевт",P486*S483,IF($B$483="Лікар загальної практики - сімейний лікар",P486*S483,0)))</f>
        <v>0</v>
      </c>
      <c r="Q483" s="196">
        <f>IF($B$483="Лікар-педіатр","x",IF($B$483="Лікар-терапевт",Q486*S483,IF($B$483="Лікар загальної практики - сімейний лікар",Q486*S483,0)))</f>
        <v>0</v>
      </c>
      <c r="R483" s="196">
        <f>IF($B$483="Лікар-педіатр","x",IF($B$483="Лікар-терапевт",R486*S483,IF($B$483="Лікар загальної практики - сімейний лікар",R486*S483,0)))</f>
        <v>0</v>
      </c>
      <c r="S483" s="557"/>
      <c r="T483" s="941"/>
      <c r="U483" s="196">
        <f>IF($B$483="Лікар-педіатр",U486*Z483,IF($B$483="Лікар-терапевт","х",IF($B$483="Лікар загальної практики - сімейний лікар",U486*Z483,0)))</f>
        <v>0</v>
      </c>
      <c r="V483" s="196">
        <f>IF($B$483="Лікар-педіатр",V486*Z483,IF($B$483="Лікар-терапевт","х",IF($B$483="Лікар загальної практики - сімейний лікар",V486*Z483,0)))</f>
        <v>0</v>
      </c>
      <c r="W483" s="196">
        <f>IF($B$483="Лікар-педіатр","x",IF($B$483="Лікар-терапевт",W486*Z483,IF($B$483="Лікар загальної практики - сімейний лікар",W486*Z483,0)))</f>
        <v>0</v>
      </c>
      <c r="X483" s="196">
        <f>IF($B$483="Лікар-педіатр","x",IF($B$483="Лікар-терапевт",X486*Z483,IF($B$483="Лікар загальної практики - сімейний лікар",X486*Z483,0)))</f>
        <v>0</v>
      </c>
      <c r="Y483" s="196">
        <f>IF($B$483="Лікар-педіатр","x",IF($B$483="Лікар-терапевт",Y486*Z483,IF($B$483="Лікар загальної практики - сімейний лікар",Y486*Z483,0)))</f>
        <v>0</v>
      </c>
      <c r="Z483" s="557"/>
      <c r="AA483" s="941"/>
      <c r="AB483" s="196">
        <f>IF($B$483="Лікар-педіатр",AB486*AG483,IF($B$483="Лікар-терапевт","х",IF($B$483="Лікар загальної практики - сімейний лікар",AB486*AG483,0)))</f>
        <v>0</v>
      </c>
      <c r="AC483" s="196">
        <f>IF($B$483="Лікар-педіатр",AC486*AG483,IF($B$483="Лікар-терапевт","х",IF($B$483="Лікар загальної практики - сімейний лікар",AC486*AG483,0)))</f>
        <v>0</v>
      </c>
      <c r="AD483" s="196">
        <f>IF($B$483="Лікар-педіатр","x",IF($B$483="Лікар-терапевт",AD486*AG483,IF($B$483="Лікар загальної практики - сімейний лікар",AD486*AG483,0)))</f>
        <v>0</v>
      </c>
      <c r="AE483" s="196">
        <f>IF($B$483="Лікар-педіатр","x",IF($B$483="Лікар-терапевт",AE486*AG483,IF($B$483="Лікар загальної практики - сімейний лікар",AE486*AG483,0)))</f>
        <v>0</v>
      </c>
      <c r="AF483" s="196">
        <f>IF($B$483="Лікар-педіатр","x",IF($B$483="Лікар-терапевт",AF486*AG483,IF($B$483="Лікар загальної практики - сімейний лікар",AF486*AG483,0)))</f>
        <v>0</v>
      </c>
      <c r="AG483" s="557"/>
      <c r="AH483" s="941"/>
      <c r="AI483" s="540">
        <f>A483</f>
        <v>35</v>
      </c>
      <c r="AJ483" s="944">
        <f>B483</f>
        <v>0</v>
      </c>
      <c r="AK483" s="959">
        <f>C483</f>
        <v>0</v>
      </c>
      <c r="AL483" s="959">
        <f>D483</f>
        <v>0</v>
      </c>
      <c r="AM483" s="929" t="s">
        <v>79</v>
      </c>
      <c r="AN483" s="947">
        <f>SUM(AN488:AN494)</f>
        <v>0</v>
      </c>
      <c r="AO483" s="947">
        <f>SUM(AO488:AO494)</f>
        <v>0</v>
      </c>
      <c r="AP483" s="947">
        <f>SUM(AP488:AP494)</f>
        <v>0</v>
      </c>
      <c r="AQ483" s="947">
        <f>SUM(AQ488:AQ494)</f>
        <v>0</v>
      </c>
      <c r="AR483" s="962">
        <f>SUM(AN483:AQ487)</f>
        <v>0</v>
      </c>
    </row>
    <row r="484" spans="1:44" s="50" customFormat="1" ht="28.15" hidden="1" customHeight="1">
      <c r="A484" s="197"/>
      <c r="B484" s="951"/>
      <c r="C484" s="954"/>
      <c r="D484" s="957"/>
      <c r="E484" s="939"/>
      <c r="F484" s="234" t="s">
        <v>660</v>
      </c>
      <c r="G484" s="196">
        <f>IF($B$483="Лікар-педіатр",G486*L484,IF($B$483="Лікар-терапевт","х",IF($B$483="Лікар загальної практики - сімейний лікар",G486*L484,0)))</f>
        <v>0</v>
      </c>
      <c r="H484" s="196">
        <f>IF($B$483="Лікар-педіатр",H486*L484,IF($B$483="Лікар-терапевт","х",IF($B$483="Лікар загальної практики - сімейний лікар",H486*L484,0)))</f>
        <v>0</v>
      </c>
      <c r="I484" s="196">
        <f>IF($B$483="Лікар-педіатр","x",IF($B$483="Лікар-терапевт",I486*L484,IF($B$483="Лікар загальної практики - сімейний лікар",I486*L484,0)))</f>
        <v>0</v>
      </c>
      <c r="J484" s="196">
        <f>IF($B$483="Лікар-педіатр","x",IF($B$483="Лікар-терапевт",J486*L484,IF($B$483="Лікар загальної практики - сімейний лікар",J486*L484,0)))</f>
        <v>0</v>
      </c>
      <c r="K484" s="196">
        <f>IF($B$483="Лікар-педіатр","x",IF($B$483="Лікар-терапевт",K486*L484,IF($B$483="Лікар загальної практики - сімейний лікар",K486*L484,0)))</f>
        <v>0</v>
      </c>
      <c r="L484" s="557"/>
      <c r="M484" s="942"/>
      <c r="N484" s="196">
        <f>IF($B$483="Лікар-педіатр",N486*S484,IF($B$483="Лікар-терапевт","х",IF($B$483="Лікар загальної практики - сімейний лікар",N486*S484,0)))</f>
        <v>0</v>
      </c>
      <c r="O484" s="196">
        <f>IF($B$483="Лікар-педіатр",O486*S484,IF($B$483="Лікар-терапевт","х",IF($B$483="Лікар загальної практики - сімейний лікар",O486*S484,0)))</f>
        <v>0</v>
      </c>
      <c r="P484" s="196">
        <f>IF($B$483="Лікар-педіатр","x",IF($B$483="Лікар-терапевт",P486*S484,IF($B$483="Лікар загальної практики - сімейний лікар",P486*S484,0)))</f>
        <v>0</v>
      </c>
      <c r="Q484" s="196">
        <f>IF($B$483="Лікар-педіатр","x",IF($B$483="Лікар-терапевт",Q486*S484,IF($B$483="Лікар загальної практики - сімейний лікар",Q486*S484,0)))</f>
        <v>0</v>
      </c>
      <c r="R484" s="196">
        <f>IF($B$483="Лікар-педіатр","x",IF($B$483="Лікар-терапевт",R486*S484,IF($B$483="Лікар загальної практики - сімейний лікар",R486*S484,0)))</f>
        <v>0</v>
      </c>
      <c r="S484" s="557"/>
      <c r="T484" s="942"/>
      <c r="U484" s="196">
        <f>IF($B$483="Лікар-педіатр",U486*Z484,IF($B$483="Лікар-терапевт","х",IF($B$483="Лікар загальної практики - сімейний лікар",U486*Z484,0)))</f>
        <v>0</v>
      </c>
      <c r="V484" s="196">
        <f>IF($B$483="Лікар-педіатр",V486*Z484,IF($B$483="Лікар-терапевт","х",IF($B$483="Лікар загальної практики - сімейний лікар",V486*Z484,0)))</f>
        <v>0</v>
      </c>
      <c r="W484" s="196">
        <f>IF($B$483="Лікар-педіатр","x",IF($B$483="Лікар-терапевт",W486*Z484,IF($B$483="Лікар загальної практики - сімейний лікар",W486*Z484,0)))</f>
        <v>0</v>
      </c>
      <c r="X484" s="196">
        <f>IF($B$483="Лікар-педіатр","x",IF($B$483="Лікар-терапевт",X486*Z484,IF($B$483="Лікар загальної практики - сімейний лікар",X486*Z484,0)))</f>
        <v>0</v>
      </c>
      <c r="Y484" s="196">
        <f>IF($B$483="Лікар-педіатр","x",IF($B$483="Лікар-терапевт",Y486*Z484,IF($B$483="Лікар загальної практики - сімейний лікар",Y486*Z484,0)))</f>
        <v>0</v>
      </c>
      <c r="Z484" s="557"/>
      <c r="AA484" s="942"/>
      <c r="AB484" s="196">
        <f>IF($B$483="Лікар-педіатр",AB486*AG484,IF($B$483="Лікар-терапевт","х",IF($B$483="Лікар загальної практики - сімейний лікар",AB486*AG484,0)))</f>
        <v>0</v>
      </c>
      <c r="AC484" s="196">
        <f>IF($B$483="Лікар-педіатр",AC486*AG484,IF($B$483="Лікар-терапевт","х",IF($B$483="Лікар загальної практики - сімейний лікар",AC486*AG484,0)))</f>
        <v>0</v>
      </c>
      <c r="AD484" s="196">
        <f>IF($B$483="Лікар-педіатр","x",IF($B$483="Лікар-терапевт",AD486*AG484,IF($B$483="Лікар загальної практики - сімейний лікар",AD486*AG484,0)))</f>
        <v>0</v>
      </c>
      <c r="AE484" s="196">
        <f>IF($B$483="Лікар-педіатр","x",IF($B$483="Лікар-терапевт",AE486*AG484,IF($B$483="Лікар загальної практики - сімейний лікар",AE486*AG484,0)))</f>
        <v>0</v>
      </c>
      <c r="AF484" s="196">
        <f>IF($B$483="Лікар-педіатр","x",IF($B$483="Лікар-терапевт",AF486*AG484,IF($B$483="Лікар загальної практики - сімейний лікар",AF486*AG484,0)))</f>
        <v>0</v>
      </c>
      <c r="AG484" s="557"/>
      <c r="AH484" s="942"/>
      <c r="AI484" s="198"/>
      <c r="AJ484" s="945"/>
      <c r="AK484" s="960"/>
      <c r="AL484" s="960"/>
      <c r="AM484" s="930"/>
      <c r="AN484" s="948"/>
      <c r="AO484" s="948"/>
      <c r="AP484" s="948"/>
      <c r="AQ484" s="948"/>
      <c r="AR484" s="963"/>
    </row>
    <row r="485" spans="1:44" s="90" customFormat="1" ht="31.15" hidden="1" customHeight="1">
      <c r="A485" s="240"/>
      <c r="B485" s="951"/>
      <c r="C485" s="954"/>
      <c r="D485" s="957"/>
      <c r="E485" s="939"/>
      <c r="F485" s="241" t="s">
        <v>661</v>
      </c>
      <c r="G485" s="199">
        <f>IF(B483="Лікар загальної практики - сімейний лікар"," ",IF(B483="Лікар-педіатр"," ",IF(B483="Лікар-терапевт","х",0)))</f>
        <v>0</v>
      </c>
      <c r="H485" s="199">
        <f>IF(B483="Лікар загальної практики - сімейний лікар"," ",IF(B483="Лікар-педіатр"," ",IF(B483="Лікар-терапевт","х",0)))</f>
        <v>0</v>
      </c>
      <c r="I485" s="199">
        <f>IF(B483="Лікар загальної практики - сімейний лікар"," ",IF(B483="Лікар-педіатр","х",IF(B483="Лікар-терапевт"," ",0)))</f>
        <v>0</v>
      </c>
      <c r="J485" s="199">
        <f>IF(B483="Лікар загальної практики - сімейний лікар"," ",IF(B483="Лікар-педіатр","х",IF(B483="Лікар-терапевт"," ",0)))</f>
        <v>0</v>
      </c>
      <c r="K485" s="199">
        <f>IF(B483="Лікар загальної практики - сімейний лікар"," ",IF(B483="Лікар-педіатр","х",IF(B483="Лікар-терапевт"," ",0)))</f>
        <v>0</v>
      </c>
      <c r="L485" s="200">
        <f>SUM(G485:K485)</f>
        <v>0</v>
      </c>
      <c r="M485" s="942"/>
      <c r="N485" s="199">
        <f>IF(B483="Лікар загальної практики - сімейний лікар"," ",IF(B483="Лікар-педіатр"," ",IF(B483="Лікар-терапевт","х",0)))</f>
        <v>0</v>
      </c>
      <c r="O485" s="199">
        <f>IF(B483="Лікар загальної практики - сімейний лікар"," ",IF(B483="Лікар-педіатр"," ",IF(B483="Лікар-терапевт","х",0)))</f>
        <v>0</v>
      </c>
      <c r="P485" s="199">
        <f>IF(B483="Лікар загальної практики - сімейний лікар"," ",IF(B483="Лікар-педіатр","х",IF(B483="Лікар-терапевт"," ",0)))</f>
        <v>0</v>
      </c>
      <c r="Q485" s="199">
        <f>IF(B483="Лікар загальної практики - сімейний лікар"," ",IF(B483="Лікар-педіатр","х",IF(B483="Лікар-терапевт"," ",0)))</f>
        <v>0</v>
      </c>
      <c r="R485" s="199">
        <f>IF(B483="Лікар загальної практики - сімейний лікар"," ",IF(B483="Лікар-педіатр","х",IF(B483="Лікар-терапевт"," ",0)))</f>
        <v>0</v>
      </c>
      <c r="S485" s="200">
        <f>SUM(N485:R485)</f>
        <v>0</v>
      </c>
      <c r="T485" s="942"/>
      <c r="U485" s="199">
        <f>IF(B483="Лікар загальної практики - сімейний лікар"," ",IF(B483="Лікар-педіатр"," ",IF(B483="Лікар-терапевт","х",0)))</f>
        <v>0</v>
      </c>
      <c r="V485" s="199">
        <f>IF(B483="Лікар загальної практики - сімейний лікар"," ",IF(B483="Лікар-педіатр"," ",IF(B483="Лікар-терапевт","х",0)))</f>
        <v>0</v>
      </c>
      <c r="W485" s="199">
        <f>IF(B483="Лікар загальної практики - сімейний лікар"," ",IF(B483="Лікар-педіатр","х",IF(B483="Лікар-терапевт"," ",0)))</f>
        <v>0</v>
      </c>
      <c r="X485" s="199">
        <f>IF(B483="Лікар загальної практики - сімейний лікар"," ",IF(B483="Лікар-педіатр","х",IF(B483="Лікар-терапевт"," ",0)))</f>
        <v>0</v>
      </c>
      <c r="Y485" s="199">
        <f>IF(B483="Лікар загальної практики - сімейний лікар"," ",IF(B483="Лікар-педіатр","х",IF(B483="Лікар-терапевт"," ",0)))</f>
        <v>0</v>
      </c>
      <c r="Z485" s="200">
        <f>SUM(U485:Y485)</f>
        <v>0</v>
      </c>
      <c r="AA485" s="942"/>
      <c r="AB485" s="199">
        <f>IF(B483="Лікар загальної практики - сімейний лікар"," ",IF(B483="Лікар-педіатр"," ",IF(B483="Лікар-терапевт","х",0)))</f>
        <v>0</v>
      </c>
      <c r="AC485" s="199">
        <f>IF(B483="Лікар загальної практики - сімейний лікар"," ",IF(B483="Лікар-педіатр"," ",IF(B483="Лікар-терапевт","х",0)))</f>
        <v>0</v>
      </c>
      <c r="AD485" s="199">
        <f>IF(B483="Лікар загальної практики - сімейний лікар"," ",IF(B483="Лікар-педіатр","х",IF(B483="Лікар-терапевт"," ",0)))</f>
        <v>0</v>
      </c>
      <c r="AE485" s="199">
        <f>IF(B483="Лікар загальної практики - сімейний лікар"," ",IF(B483="Лікар-педіатр","х",IF(B483="Лікар-терапевт"," ",0)))</f>
        <v>0</v>
      </c>
      <c r="AF485" s="199">
        <f>IF(B483="Лікар загальної практики - сімейний лікар"," ",IF(B483="Лікар-педіатр","х",IF(B483="Лікар-терапевт"," ",0)))</f>
        <v>0</v>
      </c>
      <c r="AG485" s="200">
        <f>SUM(AB485:AF485)</f>
        <v>0</v>
      </c>
      <c r="AH485" s="942"/>
      <c r="AI485" s="242"/>
      <c r="AJ485" s="945"/>
      <c r="AK485" s="960"/>
      <c r="AL485" s="960"/>
      <c r="AM485" s="930"/>
      <c r="AN485" s="948"/>
      <c r="AO485" s="948"/>
      <c r="AP485" s="948"/>
      <c r="AQ485" s="948"/>
      <c r="AR485" s="963"/>
    </row>
    <row r="486" spans="1:44" s="50" customFormat="1" ht="31.9" hidden="1" customHeight="1" thickBot="1">
      <c r="A486" s="197"/>
      <c r="B486" s="951"/>
      <c r="C486" s="954"/>
      <c r="D486" s="957"/>
      <c r="E486" s="939"/>
      <c r="F486" s="236" t="s">
        <v>426</v>
      </c>
      <c r="G486" s="203">
        <f>IF($B$483="Лікар-педіатр",G485/L485,IF($B$483="Лікар-терапевт","х",IF($B$483="Лікар загальної практики - сімейний лікар",G485/L485,0)))</f>
        <v>0</v>
      </c>
      <c r="H486" s="203">
        <f>IF($B$483="Лікар-педіатр",H485/L485,IF($B$483="Лікар-терапевт","х",IF($B$483="Лікар загальної практики - сімейний лікар",H485/L485,0)))</f>
        <v>0</v>
      </c>
      <c r="I486" s="203">
        <f>IF($B$483="Лікар-педіатр","x",IF($B$483="Лікар-терапевт",I485/L485,IF($B$483="Лікар загальної практики - сімейний лікар",I485/L485,0)))</f>
        <v>0</v>
      </c>
      <c r="J486" s="203">
        <f>IF($B$483="Лікар-педіатр","x",IF($B$483="Лікар-терапевт",J485/L485,IF($B$483="Лікар загальної практики - сімейний лікар",J485/L485,0)))</f>
        <v>0</v>
      </c>
      <c r="K486" s="203">
        <f>IF($B$483="Лікар-педіатр","x",IF($B$483="Лікар-терапевт",K485/L485,IF($B$483="Лікар загальної практики - сімейний лікар",K485/L485,0)))</f>
        <v>0</v>
      </c>
      <c r="L486" s="203">
        <f>SUM(G486:K486)</f>
        <v>0</v>
      </c>
      <c r="M486" s="942"/>
      <c r="N486" s="203">
        <f>IF($B$483="Лікар-педіатр",N485/S485,IF($B$483="Лікар-терапевт","х",IF($B$483="Лікар загальної практики - сімейний лікар",N485/S485,0)))</f>
        <v>0</v>
      </c>
      <c r="O486" s="203">
        <f>IF($B$483="Лікар-педіатр",O485/S485,IF($B$483="Лікар-терапевт","х",IF($B$483="Лікар загальної практики - сімейний лікар",O485/S485,0)))</f>
        <v>0</v>
      </c>
      <c r="P486" s="203">
        <f>IF($B$483="Лікар-педіатр","x",IF($B$483="Лікар-терапевт",P485/S485,IF($B$483="Лікар загальної практики - сімейний лікар",P485/S485,0)))</f>
        <v>0</v>
      </c>
      <c r="Q486" s="203">
        <f>IF($B$483="Лікар-педіатр","x",IF($B$483="Лікар-терапевт",Q485/S485,IF($B$483="Лікар загальної практики - сімейний лікар",Q485/S485,0)))</f>
        <v>0</v>
      </c>
      <c r="R486" s="203">
        <f>IF($B$483="Лікар-педіатр","x",IF($B$483="Лікар-терапевт",R485/S485,IF($B$483="Лікар загальної практики - сімейний лікар",R485/S485,0)))</f>
        <v>0</v>
      </c>
      <c r="S486" s="203">
        <f>SUM(N486:R486)</f>
        <v>0</v>
      </c>
      <c r="T486" s="942"/>
      <c r="U486" s="203">
        <f>IF($B$483="Лікар-педіатр",U485/Z485,IF($B$483="Лікар-терапевт","х",IF($B$483="Лікар загальної практики - сімейний лікар",U485/Z485,0)))</f>
        <v>0</v>
      </c>
      <c r="V486" s="203">
        <f>IF($B$483="Лікар-педіатр",V485/Z485,IF($B$483="Лікар-терапевт","х",IF($B$483="Лікар загальної практики - сімейний лікар",V485/Z485,0)))</f>
        <v>0</v>
      </c>
      <c r="W486" s="203">
        <f>IF($B$483="Лікар-педіатр","x",IF($B$483="Лікар-терапевт",W485/Z485,IF($B$483="Лікар загальної практики - сімейний лікар",W485/Z485,0)))</f>
        <v>0</v>
      </c>
      <c r="X486" s="203">
        <f>IF($B$483="Лікар-педіатр","x",IF($B$483="Лікар-терапевт",X485/Z485,IF($B$483="Лікар загальної практики - сімейний лікар",X485/Z485,0)))</f>
        <v>0</v>
      </c>
      <c r="Y486" s="203">
        <f>IF($B$483="Лікар-педіатр","x",IF($B$483="Лікар-терапевт",Y485/Z485,IF($B$483="Лікар загальної практики - сімейний лікар",Y485/Z485,0)))</f>
        <v>0</v>
      </c>
      <c r="Z486" s="203">
        <f>SUM(U486:Y486)</f>
        <v>0</v>
      </c>
      <c r="AA486" s="942"/>
      <c r="AB486" s="203">
        <f>IF($B$483="Лікар-педіатр",AB485/AG485,IF($B$483="Лікар-терапевт","х",IF($B$483="Лікар загальної практики - сімейний лікар",AB485/AG485,0)))</f>
        <v>0</v>
      </c>
      <c r="AC486" s="203">
        <f>IF($B$483="Лікар-педіатр",AC485/AG485,IF($B$483="Лікар-терапевт","х",IF($B$483="Лікар загальної практики - сімейний лікар",AC485/AG485,0)))</f>
        <v>0</v>
      </c>
      <c r="AD486" s="203">
        <f>IF($B$483="Лікар-педіатр","x",IF($B$483="Лікар-терапевт",AD485/AG485,IF($B$483="Лікар загальної практики - сімейний лікар",AD485/AG485,0)))</f>
        <v>0</v>
      </c>
      <c r="AE486" s="203">
        <f>IF($B$483="Лікар-педіатр","x",IF($B$483="Лікар-терапевт",AE485/AG485,IF($B$483="Лікар загальної практики - сімейний лікар",AE485/AG485,0)))</f>
        <v>0</v>
      </c>
      <c r="AF486" s="203">
        <f>IF($B$483="Лікар-педіатр","x",IF($B$483="Лікар-терапевт",AF485/AG485,IF($B$483="Лікар загальної практики - сімейний лікар",AF485/AG485,0)))</f>
        <v>0</v>
      </c>
      <c r="AG486" s="203">
        <f>SUM(AB486:AF486)</f>
        <v>0</v>
      </c>
      <c r="AH486" s="942"/>
      <c r="AI486" s="201"/>
      <c r="AJ486" s="945"/>
      <c r="AK486" s="960"/>
      <c r="AL486" s="960"/>
      <c r="AM486" s="930"/>
      <c r="AN486" s="948"/>
      <c r="AO486" s="948"/>
      <c r="AP486" s="948"/>
      <c r="AQ486" s="948"/>
      <c r="AR486" s="963"/>
    </row>
    <row r="487" spans="1:44" s="50" customFormat="1" ht="45" hidden="1" customHeight="1" thickBot="1">
      <c r="A487" s="197"/>
      <c r="B487" s="951"/>
      <c r="C487" s="954"/>
      <c r="D487" s="957"/>
      <c r="E487" s="939"/>
      <c r="F487" s="204" t="s">
        <v>662</v>
      </c>
      <c r="G487" s="205">
        <f>IF($B$483="Лікар загальної практики - сімейний лікар",AVERAGE(G483:G485),IF($B$483="Лікар-педіатр",AVERAGE(G483:G485),IF($B$483="Лікар-терапевт","х",0)))</f>
        <v>0</v>
      </c>
      <c r="H487" s="205">
        <f>IF($B$483="Лікар загальної практики - сімейний лікар",AVERAGE(H483:H485),IF($B$483="Лікар-педіатр",AVERAGE(H483:H485),IF($B$483="Лікар-терапевт","х",0)))</f>
        <v>0</v>
      </c>
      <c r="I487" s="205">
        <f>IF($B$483="Лікар загальної практики - сімейний лікар",AVERAGE(I483:I485),IF($B$483="Лікар-педіатр","x",IF($B$483="Лікар-терапевт",AVERAGE(I483:I485),0)))</f>
        <v>0</v>
      </c>
      <c r="J487" s="205">
        <f>IF($B$483="Лікар загальної практики - сімейний лікар",AVERAGE(J483:J485),IF($B$483="Лікар-педіатр","x",IF($B$483="Лікар-терапевт",AVERAGE(J483:J485),0)))</f>
        <v>0</v>
      </c>
      <c r="K487" s="205">
        <f>IF($B$483="Лікар загальної практики - сімейний лікар",AVERAGE(K483:K485),IF($B$483="Лікар-педіатр","x",IF($B$483="Лікар-терапевт",AVERAGE(K483:K485),0)))</f>
        <v>0</v>
      </c>
      <c r="L487" s="206">
        <f>SUM(G487:K487)</f>
        <v>0</v>
      </c>
      <c r="M487" s="942"/>
      <c r="N487" s="205">
        <f>IF($B$483="Лікар загальної практики - сімейний лікар",AVERAGE(N483:N485),IF($B$483="Лікар-педіатр",AVERAGE(N483:N485),IF($B$483="Лікар-терапевт","х",0)))</f>
        <v>0</v>
      </c>
      <c r="O487" s="205">
        <f>IF($B$483="Лікар загальної практики - сімейний лікар",AVERAGE(O483:O485),IF($B$483="Лікар-педіатр",AVERAGE(O483:O485),IF($B$483="Лікар-терапевт","х",0)))</f>
        <v>0</v>
      </c>
      <c r="P487" s="205">
        <f>IF($B$483="Лікар загальної практики - сімейний лікар",AVERAGE(P483:P485),IF($B$483="Лікар-педіатр","x",IF($B$483="Лікар-терапевт",AVERAGE(P483:P485),0)))</f>
        <v>0</v>
      </c>
      <c r="Q487" s="205">
        <f>IF($B$483="Лікар загальної практики - сімейний лікар",AVERAGE(Q483:Q485),IF($B$483="Лікар-педіатр","x",IF($B$483="Лікар-терапевт",AVERAGE(Q483:Q485),0)))</f>
        <v>0</v>
      </c>
      <c r="R487" s="205">
        <f>IF($B$483="Лікар загальної практики - сімейний лікар",AVERAGE(R483:R485),IF($B$483="Лікар-педіатр","x",IF($B$483="Лікар-терапевт",AVERAGE(R483:R485),0)))</f>
        <v>0</v>
      </c>
      <c r="S487" s="206">
        <f>SUM(N487:R487)</f>
        <v>0</v>
      </c>
      <c r="T487" s="942"/>
      <c r="U487" s="205">
        <f>IF($B$483="Лікар загальної практики - сімейний лікар",AVERAGE(U483:U485),IF($B$483="Лікар-педіатр",AVERAGE(U483:U485),IF($B$483="Лікар-терапевт","х",0)))</f>
        <v>0</v>
      </c>
      <c r="V487" s="205">
        <f>IF($B$483="Лікар загальної практики - сімейний лікар",AVERAGE(V483:V485),IF($B$483="Лікар-педіатр",AVERAGE(V483:V485),IF($B$483="Лікар-терапевт","х",0)))</f>
        <v>0</v>
      </c>
      <c r="W487" s="205">
        <f>IF($B$483="Лікар загальної практики - сімейний лікар",AVERAGE(W483:W485),IF($B$483="Лікар-педіатр","x",IF($B$483="Лікар-терапевт",AVERAGE(W483:W485),0)))</f>
        <v>0</v>
      </c>
      <c r="X487" s="205">
        <f>IF($B$483="Лікар загальної практики - сімейний лікар",AVERAGE(X483:X485),IF($B$483="Лікар-педіатр","x",IF($B$483="Лікар-терапевт",AVERAGE(X483:X485),0)))</f>
        <v>0</v>
      </c>
      <c r="Y487" s="205">
        <f>IF($B$483="Лікар загальної практики - сімейний лікар",AVERAGE(Y483:Y485),IF($B$483="Лікар-педіатр","x",IF($B$483="Лікар-терапевт",AVERAGE(Y483:Y485),0)))</f>
        <v>0</v>
      </c>
      <c r="Z487" s="206">
        <f>SUM(U487:Y487)</f>
        <v>0</v>
      </c>
      <c r="AA487" s="942"/>
      <c r="AB487" s="205">
        <f>IF($B$483="Лікар загальної практики - сімейний лікар",AVERAGE(AB483:AB485),IF($B$483="Лікар-педіатр",AVERAGE(AB483:AB485),IF($B$483="Лікар-терапевт","х",0)))</f>
        <v>0</v>
      </c>
      <c r="AC487" s="205">
        <f>IF($B$483="Лікар загальної практики - сімейний лікар",AVERAGE(AC483:AC485),IF($B$483="Лікар-педіатр",AVERAGE(AC483:AC485),IF($B$483="Лікар-терапевт","х",0)))</f>
        <v>0</v>
      </c>
      <c r="AD487" s="205">
        <f>IF($B$483="Лікар загальної практики - сімейний лікар",AVERAGE(AD483:AD485),IF($B$483="Лікар-педіатр","x",IF($B$483="Лікар-терапевт",AVERAGE(AD483:AD485),0)))</f>
        <v>0</v>
      </c>
      <c r="AE487" s="205">
        <f>IF($B$483="Лікар загальної практики - сімейний лікар",AVERAGE(AE483:AE485),IF($B$483="Лікар-педіатр","x",IF($B$483="Лікар-терапевт",AVERAGE(AE483:AE485),0)))</f>
        <v>0</v>
      </c>
      <c r="AF487" s="205">
        <f>IF($B$483="Лікар загальної практики - сімейний лікар",AVERAGE(AF483:AF485),IF($B$483="Лікар-педіатр","x",IF($B$483="Лікар-терапевт",AVERAGE(AF483:AF485),0)))</f>
        <v>0</v>
      </c>
      <c r="AG487" s="206">
        <f>SUM(AB487:AF487)</f>
        <v>0</v>
      </c>
      <c r="AH487" s="942"/>
      <c r="AI487" s="201"/>
      <c r="AJ487" s="945"/>
      <c r="AK487" s="960"/>
      <c r="AL487" s="960"/>
      <c r="AM487" s="931"/>
      <c r="AN487" s="949"/>
      <c r="AO487" s="949"/>
      <c r="AP487" s="949"/>
      <c r="AQ487" s="949"/>
      <c r="AR487" s="964"/>
    </row>
    <row r="488" spans="1:44" s="50" customFormat="1" ht="40.5" hidden="1">
      <c r="A488" s="197"/>
      <c r="B488" s="951"/>
      <c r="C488" s="954"/>
      <c r="D488" s="957"/>
      <c r="E488" s="939"/>
      <c r="F488" s="237" t="str">
        <f ca="1">IF(B483="Лікар-педіатр",Законод!$C$17,IF(B483="Лікар загальної практики - сімейний лікар",Законод!$C$21,IF(B483="Лікар-терапевт",Законод!$C$25,"х")))</f>
        <v>х</v>
      </c>
      <c r="G488" s="208">
        <f ca="1">IF($B$483="Лікар загальної практики - сімейний лікар",IF(L487&lt;=Законод!$C$22,G487,Законод!$C$22*'01_Доходи'!G486),IF($B$483="Лікар-педіатр",IF(L487&lt;=Законод!$C$18,G487,Законод!$C$18*'01_Доходи'!G486),IF($B$483="Лікар-терапевт","x",0)))</f>
        <v>0</v>
      </c>
      <c r="H488" s="208">
        <f ca="1">IF($B$483="Лікар загальної практики - сімейний лікар",IF(L487&lt;=Законод!$C$22,H487,Законод!$C$22*'01_Доходи'!H486),IF($B$483="Лікар-педіатр",IF(L487&lt;=Законод!$C$18,H487,Законод!$C$18*'01_Доходи'!H486),IF($B$483="Лікар-терапевт","x",0)))</f>
        <v>0</v>
      </c>
      <c r="I488" s="208">
        <f ca="1">IF($B$483="Лікар загальної практики - сімейний лікар",IF(L487&lt;=Законод!$C$22,I487,Законод!$C$22*'01_Доходи'!I486),IF($B$483="Лікар-педіатр","x",IF($B$483="Лікар-терапевт",IF(L487&lt;=Законод!$C$26,I487,Законод!$C$26*'01_Доходи'!I486),0)))</f>
        <v>0</v>
      </c>
      <c r="J488" s="208">
        <f ca="1">IF($B$483="Лікар загальної практики - сімейний лікар",IF(L487&lt;=Законод!$C$22,J487,Законод!$C$22*'01_Доходи'!J486),IF($B$483="Лікар-педіатр","x",IF($B$483="Лікар-терапевт",IF(L487&lt;=Законод!$C$26,J487,Законод!$C$26*'01_Доходи'!J486),0)))</f>
        <v>0</v>
      </c>
      <c r="K488" s="208">
        <f ca="1">IF($B$483="Лікар загальної практики - сімейний лікар",IF(L487&lt;=Законод!$C$22,K487,Законод!$C$22*'01_Доходи'!K486),IF($B$483="Лікар-педіатр","x",IF($B$483="Лікар-терапевт",IF(L487&lt;=Законод!$C$26,K487,Законод!$C$26*'01_Доходи'!K486),0)))</f>
        <v>0</v>
      </c>
      <c r="L488" s="209">
        <f ca="1">SUM(G488:K488)</f>
        <v>0</v>
      </c>
      <c r="M488" s="942"/>
      <c r="N488" s="208">
        <f ca="1">IF($B$483="Лікар загальної практики - сімейний лікар",IF(S487&lt;=Законод!$C$22,N487,Законод!$C$22*'01_Доходи'!N486),IF($B$483="Лікар-педіатр",IF(S487&lt;=Законод!$C$18,N487,Законод!$C$18*'01_Доходи'!N486),IF($B$483="Лікар-терапевт","x",0)))</f>
        <v>0</v>
      </c>
      <c r="O488" s="208">
        <f ca="1">IF($B$483="Лікар загальної практики - сімейний лікар",IF(S487&lt;=Законод!$C$22,O487,Законод!$C$22*'01_Доходи'!O486),IF($B$483="Лікар-педіатр",IF(S487&lt;=Законод!$C$18,O487,Законод!$C$18*'01_Доходи'!O486),IF($B$483="Лікар-терапевт","x",0)))</f>
        <v>0</v>
      </c>
      <c r="P488" s="208">
        <f ca="1">IF($B$483="Лікар загальної практики - сімейний лікар",IF(S487&lt;=Законод!$C$22,P487,Законод!$C$22*'01_Доходи'!P486),IF($B$483="Лікар-педіатр","x",IF($B$483="Лікар-терапевт",IF(S487&lt;=Законод!$C$26,P487,Законод!$C$26*'01_Доходи'!P486),0)))</f>
        <v>0</v>
      </c>
      <c r="Q488" s="208">
        <f ca="1">IF($B$483="Лікар загальної практики - сімейний лікар",IF(S487&lt;=Законод!$C$22,Q487,Законод!$C$22*'01_Доходи'!Q486),IF($B$483="Лікар-педіатр","x",IF($B$483="Лікар-терапевт",IF(S487&lt;=Законод!$C$26,Q487,Законод!$C$26*'01_Доходи'!Q486),0)))</f>
        <v>0</v>
      </c>
      <c r="R488" s="208">
        <f ca="1">IF($B$483="Лікар загальної практики - сімейний лікар",IF(S487&lt;=Законод!$C$22,R487,Законод!$C$22*'01_Доходи'!R486),IF($B$483="Лікар-педіатр","x",IF($B$483="Лікар-терапевт",IF(S487&lt;=Законод!$C$26,R487,Законод!$C$26*'01_Доходи'!R486),0)))</f>
        <v>0</v>
      </c>
      <c r="S488" s="209">
        <f ca="1">SUM(N488:R488)</f>
        <v>0</v>
      </c>
      <c r="T488" s="942"/>
      <c r="U488" s="208">
        <f ca="1">IF($B$483="Лікар загальної практики - сімейний лікар",IF(Z487&lt;=Законод!$C$22,U487,Законод!$C$22*'01_Доходи'!U486),IF($B$483="Лікар-педіатр",IF(Z487&lt;=Законод!$C$18,U487,Законод!$C$18*'01_Доходи'!U486),IF($B$483="Лікар-терапевт","x",0)))</f>
        <v>0</v>
      </c>
      <c r="V488" s="208">
        <f ca="1">IF($B$483="Лікар загальної практики - сімейний лікар",IF(Z487&lt;=Законод!$C$22,V487,Законод!$C$22*'01_Доходи'!V486),IF($B$483="Лікар-педіатр",IF(Z487&lt;=Законод!$C$18,V487,Законод!$C$18*'01_Доходи'!V486),IF($B$483="Лікар-терапевт","x",0)))</f>
        <v>0</v>
      </c>
      <c r="W488" s="208">
        <f ca="1">IF($B$483="Лікар загальної практики - сімейний лікар",IF(Z487&lt;=Законод!$C$22,W487,Законод!$C$22*'01_Доходи'!W486),IF($B$483="Лікар-педіатр","x",IF($B$483="Лікар-терапевт",IF(Z487&lt;=Законод!$C$26,W487,Законод!$C$26*'01_Доходи'!W486),0)))</f>
        <v>0</v>
      </c>
      <c r="X488" s="208">
        <f ca="1">IF($B$483="Лікар загальної практики - сімейний лікар",IF(Z487&lt;=Законод!$C$22,X487,Законод!$C$22*'01_Доходи'!X486),IF($B$483="Лікар-педіатр","x",IF($B$483="Лікар-терапевт",IF(Z487&lt;=Законод!$C$26,X487,Законод!$C$26*'01_Доходи'!X486),0)))</f>
        <v>0</v>
      </c>
      <c r="Y488" s="208">
        <f ca="1">IF($B$483="Лікар загальної практики - сімейний лікар",IF(Z487&lt;=Законод!$C$22,Y487,Законод!$C$22*'01_Доходи'!Y486),IF($B$483="Лікар-педіатр","x",IF($B$483="Лікар-терапевт",IF(Z487&lt;=Законод!$C$26,Y487,Законод!$C$26*'01_Доходи'!Y486),0)))</f>
        <v>0</v>
      </c>
      <c r="Z488" s="209">
        <f ca="1">SUM(U488:Y488)</f>
        <v>0</v>
      </c>
      <c r="AA488" s="942"/>
      <c r="AB488" s="208">
        <f ca="1">IF($B$483="Лікар загальної практики - сімейний лікар",IF(AG487&lt;=Законод!$C$22,AB487,Законод!$C$22*'01_Доходи'!AB486),IF($B$483="Лікар-педіатр",IF(AG487&lt;=Законод!$C$18,AB487,Законод!$C$18*'01_Доходи'!AB486),IF($B$483="Лікар-терапевт","x",0)))</f>
        <v>0</v>
      </c>
      <c r="AC488" s="208">
        <f ca="1">IF($B$483="Лікар загальної практики - сімейний лікар",IF(AG487&lt;=Законод!$C$22,AC487,Законод!$C$22*'01_Доходи'!AC486),IF($B$483="Лікар-педіатр",IF(AG487&lt;=Законод!$C$18,AC487,Законод!$C$18*'01_Доходи'!AC486),IF($B$483="Лікар-терапевт","x",0)))</f>
        <v>0</v>
      </c>
      <c r="AD488" s="208">
        <f ca="1">IF($B$483="Лікар загальної практики - сімейний лікар",IF(AG487&lt;=Законод!$C$22,AD487,Законод!$C$22*'01_Доходи'!AD486),IF($B$483="Лікар-педіатр","x",IF($B$483="Лікар-терапевт",IF(AG487&lt;=Законод!$C$26,AD487,Законод!$C$26*'01_Доходи'!AD486),0)))</f>
        <v>0</v>
      </c>
      <c r="AE488" s="208">
        <f ca="1">IF($B$483="Лікар загальної практики - сімейний лікар",IF(AG487&lt;=Законод!$C$22,AE487,Законод!$C$22*'01_Доходи'!AE486),IF($B$483="Лікар-педіатр","x",IF($B$483="Лікар-терапевт",IF(AG487&lt;=Законод!$C$26,AE487,Законод!$C$26*'01_Доходи'!AE486),0)))</f>
        <v>0</v>
      </c>
      <c r="AF488" s="208">
        <f ca="1">IF($B$483="Лікар загальної практики - сімейний лікар",IF(AG487&lt;=Законод!$C$22,AF487,Законод!$C$22*'01_Доходи'!AF486),IF($B$483="Лікар-педіатр","x",IF($B$483="Лікар-терапевт",IF(AG487&lt;=Законод!$C$26,AF487,Законод!$C$26*'01_Доходи'!AF486),0)))</f>
        <v>0</v>
      </c>
      <c r="AG488" s="209">
        <f ca="1">SUM(AB488:AF488)</f>
        <v>0</v>
      </c>
      <c r="AH488" s="942"/>
      <c r="AI488" s="201"/>
      <c r="AJ488" s="945"/>
      <c r="AK488" s="960"/>
      <c r="AL488" s="960"/>
      <c r="AM488" s="348" t="s">
        <v>451</v>
      </c>
      <c r="AN488" s="210">
        <f ca="1">IF(B483="Лікар загальної практики - сімейний лікар",G488*Законод!$C$11+'01_Доходи'!H488*Законод!$D$11+'01_Доходи'!I488*Законод!$E$11+'01_Доходи'!J488*Законод!$F$11+'01_Доходи'!K488*Законод!$G$11,IF(B483="Лікар-педіатр",G488*Законод!$C$11+'01_Доходи'!H488*Законод!$D$11,IF(B483="Лікар-терапевт",'01_Доходи'!I488*Законод!$E$11+'01_Доходи'!J488*Законод!$F$11+'01_Доходи'!K488*Законод!$G$11,0)))</f>
        <v>0</v>
      </c>
      <c r="AO488" s="210">
        <f ca="1">IF(B483="Лікар загальної практики - сімейний лікар",N488*Законод!$C$11+'01_Доходи'!O488*Законод!$D$11+'01_Доходи'!P488*Законод!$E$11+'01_Доходи'!Q488*Законод!$F$11+'01_Доходи'!R488*Законод!$G$11,IF(B483="Лікар-педіатр",N488*Законод!$C$11+'01_Доходи'!O488*Законод!$D$11,IF(B483="Лікар-терапевт",'01_Доходи'!P488*Законод!$E$11+'01_Доходи'!Q488*Законод!$F$11+'01_Доходи'!R488*Законод!$G$11,0)))</f>
        <v>0</v>
      </c>
      <c r="AP488" s="210">
        <f ca="1">IF(B483="Лікар загальної практики - сімейний лікар",U488*Законод!$C$11+'01_Доходи'!V488*Законод!$D$11+'01_Доходи'!W488*Законод!$E$11+'01_Доходи'!X488*Законод!$F$11+'01_Доходи'!Y488*Законод!$G$11,IF(B483="Лікар-педіатр",U488*Законод!$C$11+'01_Доходи'!V488*Законод!$D$11,IF(B483="Лікар-терапевт",'01_Доходи'!W488*Законод!$E$11+'01_Доходи'!X488*Законод!$F$11+'01_Доходи'!Y488*Законод!$G$11,0)))</f>
        <v>0</v>
      </c>
      <c r="AQ488" s="210">
        <f ca="1">IF(B483="Лікар загальної практики - сімейний лікар",AB488*Законод!$C$11+'01_Доходи'!AC488*Законод!$D$11+'01_Доходи'!AD488*Законод!$E$11+'01_Доходи'!AE488*Законод!$F$11+'01_Доходи'!AF488*Законод!$G$11,IF(B483="Лікар-педіатр",AB488*Законод!$C$11+'01_Доходи'!AC488*Законод!$D$11,IF(B483="Лікар-терапевт",'01_Доходи'!AD488*Законод!$E$11+'01_Доходи'!AE488*Законод!$F$11+'01_Доходи'!AF488*Законод!$G$11,0)))</f>
        <v>0</v>
      </c>
      <c r="AR488" s="211">
        <f t="shared" ref="AR488:AR494" si="77">SUM(AN488:AQ488)</f>
        <v>0</v>
      </c>
    </row>
    <row r="489" spans="1:44" s="50" customFormat="1" ht="31.9" hidden="1" customHeight="1">
      <c r="A489" s="197"/>
      <c r="B489" s="951"/>
      <c r="C489" s="954"/>
      <c r="D489" s="957"/>
      <c r="E489" s="939"/>
      <c r="F489" s="238" t="str">
        <f ca="1">IF(B483="Лікар-педіатр",Законод!$E$17,IF(B483="Лікар загальної практики - сімейний лікар",Законод!$E$21,IF(B483="Лікар-терапевт",Законод!$E$25,"х")))</f>
        <v>х</v>
      </c>
      <c r="G489" s="935" t="s">
        <v>423</v>
      </c>
      <c r="H489" s="936"/>
      <c r="I489" s="936"/>
      <c r="J489" s="936"/>
      <c r="K489" s="937"/>
      <c r="L489" s="196">
        <f ca="1">IF($B$483="Лікар загальної практики - сімейний лікар",IF(L487&lt;Законод!$C$22,0,(IF(AND(L487&gt;=Законод!$E$22,L487&lt;=Законод!$E$23),L487-Законод!$C$22,IF('01_Доходи'!L487&gt;=Законод!$F$22,Законод!$E$24,0)))),IF($B$483="Лікар-педіатр",IF(L487&lt;Законод!$C$18,0,(IF(AND(L487&gt;=Законод!$E$18,L487&lt;=Законод!$E$19),L487-Законод!$C$18,IF('01_Доходи'!L487&gt;=Законод!$F$18,Законод!$E$20,0)))),IF($B$483="Лікар-терапевт",IF(L487&lt;Законод!$C$26,0,(IF(AND(L487&gt;=Законод!$E$26,L487&lt;=Законод!$E$27),L487-Законод!$C$26,IF('01_Доходи'!L487&gt;=Законод!$F$26,Законод!$E$28,0)))),0)))</f>
        <v>0</v>
      </c>
      <c r="M489" s="942"/>
      <c r="N489" s="935" t="s">
        <v>423</v>
      </c>
      <c r="O489" s="936"/>
      <c r="P489" s="936"/>
      <c r="Q489" s="936"/>
      <c r="R489" s="937"/>
      <c r="S489" s="196">
        <f ca="1">IF($B$483="Лікар загальної практики - сімейний лікар",IF(S487&lt;Законод!$C$22,0,(IF(AND(S487&gt;=Законод!$E$22,S487&lt;=Законод!$E$23),S487-Законод!$C$22,IF('01_Доходи'!S487&gt;=Законод!$F$22,Законод!$E$24,0)))),IF($B$483="Лікар-педіатр",IF(S487&lt;Законод!$C$18,0,(IF(AND(S487&gt;=Законод!$E$18,S487&lt;=Законод!$E$19),S487-Законод!$C$18,IF('01_Доходи'!S487&gt;=Законод!$F$18,Законод!$E$20,0)))),IF($B$483="Лікар-терапевт",IF(S487&lt;Законод!$C$26,0,(IF(AND(S487&gt;=Законод!$E$26,S487&lt;=Законод!$E$27),S487-Законод!$C$26,IF('01_Доходи'!S487&gt;=Законод!$F$26,Законод!$E$28,0)))),0)))</f>
        <v>0</v>
      </c>
      <c r="T489" s="942"/>
      <c r="U489" s="935" t="s">
        <v>423</v>
      </c>
      <c r="V489" s="936"/>
      <c r="W489" s="936"/>
      <c r="X489" s="936"/>
      <c r="Y489" s="937"/>
      <c r="Z489" s="196">
        <f ca="1">IF($B$483="Лікар загальної практики - сімейний лікар",IF(Z487&lt;Законод!$C$22,0,(IF(AND(Z487&gt;=Законод!$E$22,Z487&lt;=Законод!$E$23),Z487-Законод!$C$22,IF('01_Доходи'!Z487&gt;=Законод!$F$22,Законод!$E$24,0)))),IF($B$483="Лікар-педіатр",IF(Z487&lt;Законод!$C$18,0,(IF(AND(Z487&gt;=Законод!$E$18,Z487&lt;=Законод!$E$19),Z487-Законод!$C$18,IF('01_Доходи'!Z487&gt;=Законод!$F$18,Законод!$E$20,0)))),IF($B$483="Лікар-терапевт",IF(Z487&lt;Законод!$C$26,0,(IF(AND(Z487&gt;=Законод!$E$26,Z487&lt;=Законод!$E$27),Z487-Законод!$C$26,IF('01_Доходи'!Z487&gt;=Законод!$F$26,Законод!$E$28,0)))),0)))</f>
        <v>0</v>
      </c>
      <c r="AA489" s="942"/>
      <c r="AB489" s="935" t="s">
        <v>423</v>
      </c>
      <c r="AC489" s="936"/>
      <c r="AD489" s="936"/>
      <c r="AE489" s="936"/>
      <c r="AF489" s="937"/>
      <c r="AG489" s="196">
        <f ca="1">IF($B$483="Лікар загальної практики - сімейний лікар",IF(AG487&lt;Законод!$C$22,0,(IF(AND(AG487&gt;=Законод!$E$22,AG487&lt;=Законод!$E$23),AG487-Законод!$C$22,IF('01_Доходи'!AG487&gt;=Законод!$F$22,Законод!$E$24,0)))),IF($B$483="Лікар-педіатр",IF(AG487&lt;Законод!$C$18,0,(IF(AND(AG487&gt;=Законод!$E$18,AG487&lt;=Законод!$E$19),AG487-Законод!$C$18,IF('01_Доходи'!AG487&gt;=Законод!$F$18,Законод!$E$20,0)))),IF($B$483="Лікар-терапевт",IF(AG487&lt;Законод!$C$26,0,(IF(AND(AG487&gt;=Законод!$E$26,AG487&lt;=Законод!$E$27),AG487-Законод!$C$26,IF('01_Доходи'!AG487&gt;=Законод!$F$26,Законод!$E$28,0)))),0)))</f>
        <v>0</v>
      </c>
      <c r="AH489" s="942"/>
      <c r="AI489" s="201"/>
      <c r="AJ489" s="945"/>
      <c r="AK489" s="960"/>
      <c r="AL489" s="960"/>
      <c r="AM489" s="926" t="s">
        <v>452</v>
      </c>
      <c r="AN489" s="210">
        <f ca="1">IF(B483="Лікар загальної практики - сімейний лікар",L489*Законод!$C$9/4*Законод!$E$16,IF(B483="Лікар-педіатр",L489*Законод!$C$9/4*Законод!$E$16,IF(B483="Лікар-терапевт",L489*Законод!$C$9/4*Законод!$E$16,0)))</f>
        <v>0</v>
      </c>
      <c r="AO489" s="210">
        <f ca="1">IF(B483="Лікар загальної практики - сімейний лікар",S489*Законод!$C$9/4*Законод!$E$16,IF(B483="Лікар-педіатр",S489*Законод!$C$9/4*Законод!$E$16,IF(B483="Лікар-терапевт",S489*Законод!$C$9/4*Законод!$E$16,0)))</f>
        <v>0</v>
      </c>
      <c r="AP489" s="210">
        <f ca="1">IF(B483="Лікар загальної практики - сімейний лікар",Z489*Законод!$C$9/4*Законод!$E$16,IF(B483="Лікар-педіатр",Z489*Законод!$C$9/4*Законод!$E$16,IF(B483="Лікар-терапевт",Z489*Законод!$C$9/4*Законод!$E$16,0)))</f>
        <v>0</v>
      </c>
      <c r="AQ489" s="210">
        <f ca="1">IF(B483="Лікар загальної практики - сімейний лікар",AG489*Законод!$C$9/4*Законод!$E$16,IF(B483="Лікар-педіатр",AG489*Законод!$C$9/4*Законод!$E$16,IF(B483="Лікар-терапевт",AG489*Законод!$C$9/4*Законод!$E$16,0)))</f>
        <v>0</v>
      </c>
      <c r="AR489" s="211">
        <f t="shared" si="77"/>
        <v>0</v>
      </c>
    </row>
    <row r="490" spans="1:44" s="50" customFormat="1" ht="31.9" hidden="1" customHeight="1">
      <c r="A490" s="197"/>
      <c r="B490" s="951"/>
      <c r="C490" s="954"/>
      <c r="D490" s="957"/>
      <c r="E490" s="939"/>
      <c r="F490" s="238" t="str">
        <f ca="1">IF(B483="Лікар-педіатр",Законод!$F$17,IF(B483="Лікар загальної практики - сімейний лікар",Законод!$F$21,IF(B483="Лікар-терапевт",Законод!$F$25,"х")))</f>
        <v>х</v>
      </c>
      <c r="G490" s="935" t="s">
        <v>423</v>
      </c>
      <c r="H490" s="936"/>
      <c r="I490" s="936"/>
      <c r="J490" s="936"/>
      <c r="K490" s="937"/>
      <c r="L490" s="196">
        <f ca="1">IF($B$483="Лікар загальної практики - сімейний лікар",IF(L487&lt;Законод!$C$22,0,(IF(AND(L487&gt;=Законод!$F$22,L487&lt;=Законод!$F$23),L487-Законод!$E$23,IF('01_Доходи'!L487&gt;=Законод!$G$22,Законод!$F$24,0)))),IF($B$483="Лікар-педіатр",IF(L487&lt;Законод!$C$18,0,(IF(AND(L487&gt;=Законод!$F$18,L487&lt;=Законод!$F$19),L487-Законод!$E$19,IF('01_Доходи'!L487&gt;=Законод!$G$18,Законод!$F$20,0)))),IF($B$483="Лікар-терапевт",IF(L487&lt;Законод!$C$26,0,(IF(AND(L487&gt;=Законод!$F$26,L487&lt;=Законод!$F$27),L487-Законод!$E$27,IF('01_Доходи'!L487&gt;=Законод!$G$26,Законод!$F$28,0)))),0)))</f>
        <v>0</v>
      </c>
      <c r="M490" s="942"/>
      <c r="N490" s="935" t="s">
        <v>423</v>
      </c>
      <c r="O490" s="936"/>
      <c r="P490" s="936"/>
      <c r="Q490" s="936"/>
      <c r="R490" s="937"/>
      <c r="S490" s="196">
        <f ca="1">IF($B$483="Лікар загальної практики - сімейний лікар",IF(S487&lt;Законод!$C$22,0,(IF(AND(S487&gt;=Законод!$F$22,S487&lt;=Законод!$F$23),S487-Законод!$E$23,IF('01_Доходи'!S487&gt;=Законод!$G$22,Законод!$F$24,0)))),IF($B$483="Лікар-педіатр",IF(S487&lt;Законод!$C$18,0,(IF(AND(S487&gt;=Законод!$F$18,S487&lt;=Законод!$F$19),S487-Законод!$E$19,IF('01_Доходи'!S487&gt;=Законод!$G$18,Законод!$F$20,0)))),IF($B$483="Лікар-терапевт",IF(S487&lt;Законод!$C$26,0,(IF(AND(S487&gt;=Законод!$F$26,S487&lt;=Законод!$F$27),S487-Законод!$E$27,IF('01_Доходи'!S487&gt;=Законод!$G$26,Законод!$F$28,0)))),0)))</f>
        <v>0</v>
      </c>
      <c r="T490" s="942"/>
      <c r="U490" s="935" t="s">
        <v>423</v>
      </c>
      <c r="V490" s="936"/>
      <c r="W490" s="936"/>
      <c r="X490" s="936"/>
      <c r="Y490" s="937"/>
      <c r="Z490" s="196">
        <f ca="1">IF($B$483="Лікар загальної практики - сімейний лікар",IF(Z487&lt;Законод!$C$22,0,(IF(AND(Z487&gt;=Законод!$F$22,Z487&lt;=Законод!$F$23),Z487-Законод!$E$23,IF('01_Доходи'!Z487&gt;=Законод!$G$22,Законод!$F$24,0)))),IF($B$483="Лікар-педіатр",IF(Z487&lt;Законод!$C$18,0,(IF(AND(Z487&gt;=Законод!$F$18,Z487&lt;=Законод!$F$19),Z487-Законод!$E$19,IF('01_Доходи'!Z487&gt;=Законод!$G$18,Законод!$F$20,0)))),IF($B$483="Лікар-терапевт",IF(Z487&lt;Законод!$C$26,0,(IF(AND(Z487&gt;=Законод!$F$26,Z487&lt;=Законод!$F$27),Z487-Законод!$E$27,IF('01_Доходи'!Z487&gt;=Законод!$G$26,Законод!$F$28,0)))),0)))</f>
        <v>0</v>
      </c>
      <c r="AA490" s="942"/>
      <c r="AB490" s="935" t="s">
        <v>423</v>
      </c>
      <c r="AC490" s="936"/>
      <c r="AD490" s="936"/>
      <c r="AE490" s="936"/>
      <c r="AF490" s="937"/>
      <c r="AG490" s="196">
        <f ca="1">IF($B$483="Лікар загальної практики - сімейний лікар",IF(AG487&lt;Законод!$C$22,0,(IF(AND(AG487&gt;=Законод!$F$22,AG487&lt;=Законод!$F$23),AG487-Законод!$E$23,IF('01_Доходи'!AG487&gt;=Законод!$G$22,Законод!$F$24,0)))),IF($B$483="Лікар-педіатр",IF(AG487&lt;Законод!$C$18,0,(IF(AND(AG487&gt;=Законод!$F$18,AG487&lt;=Законод!$F$19),AG487-Законод!$E$19,IF('01_Доходи'!AG487&gt;=Законод!$G$18,Законод!$F$20,0)))),IF($B$483="Лікар-терапевт",IF(AG487&lt;Законод!$C$26,0,(IF(AND(AG487&gt;=Законод!$F$26,AG487&lt;=Законод!$F$27),AG487-Законод!$E$27,IF('01_Доходи'!AG487&gt;=Законод!$G$26,Законод!$F$28,0)))),0)))</f>
        <v>0</v>
      </c>
      <c r="AH490" s="942"/>
      <c r="AI490" s="201"/>
      <c r="AJ490" s="945"/>
      <c r="AK490" s="960"/>
      <c r="AL490" s="960"/>
      <c r="AM490" s="927"/>
      <c r="AN490" s="210">
        <f ca="1">IF(B483="Лікар загальної практики - сімейний лікар",L490*Законод!$C$9/4*Законод!$F$16,IF(B483="Лікар-педіатр",L490*Законод!$C$9/4*Законод!$F$16,IF(B483="Лікар-терапевт",L490*Законод!$C$9/4*Законод!$F$16,0)))</f>
        <v>0</v>
      </c>
      <c r="AO490" s="210">
        <f ca="1">IF(B483="Лікар загальної практики - сімейний лікар",S490*Законод!$C$9/4*Законод!$F$16,IF(B483="Лікар-педіатр",S490*Законод!$C$9/4*Законод!$F$16,IF(B483="Лікар-терапевт",S490*Законод!$C$9/4*Законод!$F$16,0)))</f>
        <v>0</v>
      </c>
      <c r="AP490" s="210">
        <f ca="1">IF(B483="Лікар загальної практики - сімейний лікар",Z490*Законод!$C$9/4*Законод!$F$16,IF(B483="Лікар-педіатр",Z490*Законод!$C$9/4*Законод!$F$16,IF(B483="Лікар-терапевт",Z490*Законод!$C$9/4*Законод!$F$16,0)))</f>
        <v>0</v>
      </c>
      <c r="AQ490" s="210">
        <f ca="1">IF(B483="Лікар загальної практики - сімейний лікар",AG490*Законод!$C$9/4*Законод!$F$16,IF(B483="Лікар-педіатр",AG490*Законод!$C$9/4*Законод!$F$16,IF(B483="Лікар-терапевт",AG490*Законод!$C$9/4*Законод!$F$16,0)))</f>
        <v>0</v>
      </c>
      <c r="AR490" s="211">
        <f t="shared" si="77"/>
        <v>0</v>
      </c>
    </row>
    <row r="491" spans="1:44" s="50" customFormat="1" ht="31.9" hidden="1" customHeight="1">
      <c r="A491" s="197"/>
      <c r="B491" s="951"/>
      <c r="C491" s="954"/>
      <c r="D491" s="957"/>
      <c r="E491" s="939"/>
      <c r="F491" s="238" t="str">
        <f ca="1">IF(B483="Лікар-педіатр",Законод!$G$17,IF(B483="Лікар загальної практики - сімейний лікар",Законод!$G$21,IF(B483="Лікар-терапевт",Законод!$G$25,"х")))</f>
        <v>х</v>
      </c>
      <c r="G491" s="935" t="s">
        <v>423</v>
      </c>
      <c r="H491" s="936"/>
      <c r="I491" s="936"/>
      <c r="J491" s="936"/>
      <c r="K491" s="937"/>
      <c r="L491" s="196">
        <f ca="1">IF($B$483="Лікар загальної практики - сімейний лікар",IF(L487&lt;Законод!$C$22,0,(IF(AND(L487&gt;=Законод!$G$22,L487&lt;=Законод!$G$23),L487-Законод!$F$23,IF('01_Доходи'!L487&gt;=Законод!$H$22,Законод!$G$24,0)))),IF($B$483="Лікар-педіатр",IF(L487&lt;Законод!$C$18,0,(IF(AND(L487&gt;=Законод!$G$18,L487&lt;=Законод!$G$19),L487-Законод!$F$19,IF('01_Доходи'!L487&gt;=Законод!$H$18,Законод!$G$20,0)))),IF($B$483="Лікар-терапевт",IF(L487&lt;Законод!$C$26,0,(IF(AND(L487&gt;=Законод!$G$26,L487&lt;=Законод!$G$27),L487-Законод!$F$27,IF('01_Доходи'!L487&gt;=Законод!$H$26,Законод!$G$28,0)))),0)))</f>
        <v>0</v>
      </c>
      <c r="M491" s="942"/>
      <c r="N491" s="935" t="s">
        <v>423</v>
      </c>
      <c r="O491" s="936"/>
      <c r="P491" s="936"/>
      <c r="Q491" s="936"/>
      <c r="R491" s="937"/>
      <c r="S491" s="196">
        <f ca="1">IF($B$483="Лікар загальної практики - сімейний лікар",IF(S487&lt;Законод!$C$22,0,(IF(AND(S487&gt;=Законод!$G$22,S487&lt;=Законод!$G$23),S487-Законод!$F$23,IF('01_Доходи'!S487&gt;=Законод!$H$22,Законод!$G$24,0)))),IF($B$483="Лікар-педіатр",IF(S487&lt;Законод!$C$18,0,(IF(AND(S487&gt;=Законод!$G$18,S487&lt;=Законод!$G$19),S487-Законод!$F$19,IF('01_Доходи'!S487&gt;=Законод!$H$18,Законод!$G$20,0)))),IF($B$483="Лікар-терапевт",IF(S487&lt;Законод!$C$26,0,(IF(AND(S487&gt;=Законод!$G$26,S487&lt;=Законод!$G$27),S487-Законод!$F$27,IF('01_Доходи'!S487&gt;=Законод!$H$26,Законод!$G$28,0)))),0)))</f>
        <v>0</v>
      </c>
      <c r="T491" s="942"/>
      <c r="U491" s="935" t="s">
        <v>423</v>
      </c>
      <c r="V491" s="936"/>
      <c r="W491" s="936"/>
      <c r="X491" s="936"/>
      <c r="Y491" s="937"/>
      <c r="Z491" s="196">
        <f ca="1">IF($B$483="Лікар загальної практики - сімейний лікар",IF(Z487&lt;Законод!$C$22,0,(IF(AND(Z487&gt;=Законод!$G$22,Z487&lt;=Законод!$G$23),Z487-Законод!$F$23,IF('01_Доходи'!Z487&gt;=Законод!$H$22,Законод!$G$24,0)))),IF($B$483="Лікар-педіатр",IF(Z487&lt;Законод!$C$18,0,(IF(AND(Z487&gt;=Законод!$G$18,Z487&lt;=Законод!$G$19),Z487-Законод!$F$19,IF('01_Доходи'!Z487&gt;=Законод!$H$18,Законод!$G$20,0)))),IF($B$483="Лікар-терапевт",IF(Z487&lt;Законод!$C$26,0,(IF(AND(Z487&gt;=Законод!$G$26,Z487&lt;=Законод!$G$27),Z487-Законод!$F$27,IF('01_Доходи'!Z487&gt;=Законод!$H$26,Законод!$G$28,0)))),0)))</f>
        <v>0</v>
      </c>
      <c r="AA491" s="942"/>
      <c r="AB491" s="935" t="s">
        <v>423</v>
      </c>
      <c r="AC491" s="936"/>
      <c r="AD491" s="936"/>
      <c r="AE491" s="936"/>
      <c r="AF491" s="937"/>
      <c r="AG491" s="196">
        <f ca="1">IF($B$483="Лікар загальної практики - сімейний лікар",IF(AG487&lt;Законод!$C$22,0,(IF(AND(AG487&gt;=Законод!$G$22,AG487&lt;=Законод!$G$23),AG487-Законод!$F$23,IF('01_Доходи'!AG487&gt;=Законод!$H$22,Законод!$G$24,0)))),IF($B$483="Лікар-педіатр",IF(AG487&lt;Законод!$C$18,0,(IF(AND(AG487&gt;=Законод!$G$18,AG487&lt;=Законод!$G$19),AG487-Законод!$F$19,IF('01_Доходи'!AG487&gt;=Законод!$H$18,Законод!$G$20,0)))),IF($B$483="Лікар-терапевт",IF(AG487&lt;Законод!$C$26,0,(IF(AND(AG487&gt;=Законод!$G$26,AG487&lt;=Законод!$G$27),AG487-Законод!$F$27,IF('01_Доходи'!AG487&gt;=Законод!$H$26,Законод!$G$28,0)))),0)))</f>
        <v>0</v>
      </c>
      <c r="AH491" s="942"/>
      <c r="AI491" s="201"/>
      <c r="AJ491" s="945"/>
      <c r="AK491" s="960"/>
      <c r="AL491" s="960"/>
      <c r="AM491" s="927"/>
      <c r="AN491" s="210">
        <f ca="1">IF(B483="Лікар загальної практики - сімейний лікар",L491*Законод!$C$9/4*Законод!$G$16,IF(B483="Лікар-педіатр",L491*Законод!$C$9/4*Законод!$G$16,IF(B483="Лікар-терапевт",L491*Законод!$C$9/4*Законод!$G$16,0)))</f>
        <v>0</v>
      </c>
      <c r="AO491" s="210">
        <f ca="1">IF(B483="Лікар загальної практики - сімейний лікар",S491*Законод!$C$9/4*Законод!$G$16,IF(B483="Лікар-педіатр",S491*Законод!$C$9/4*Законод!$G$16,IF(B483="Лікар-терапевт",S491*Законод!$C$9/4*Законод!$G$16,0)))</f>
        <v>0</v>
      </c>
      <c r="AP491" s="210">
        <f ca="1">IF(B483="Лікар загальної практики - сімейний лікар",Z491*Законод!$C$9/4*Законод!$G$16,IF(B483="Лікар-педіатр",Z491*Законод!$C$9/4*Законод!$G$16,IF(B483="Лікар-терапевт",Z491*Законод!$C$9/4*Законод!$G$16,0)))</f>
        <v>0</v>
      </c>
      <c r="AQ491" s="210">
        <f ca="1">IF(B483="Лікар загальної практики - сімейний лікар",AG491*Законод!$C$9/4*Законод!$G$16,IF(B483="Лікар-педіатр",AG491*Законод!$C$9/4*Законод!$G$16,IF(B483="Лікар-терапевт",AG491*Законод!$C$9/4*Законод!$G$16,0)))</f>
        <v>0</v>
      </c>
      <c r="AR491" s="211">
        <f t="shared" si="77"/>
        <v>0</v>
      </c>
    </row>
    <row r="492" spans="1:44" s="50" customFormat="1" ht="31.9" hidden="1" customHeight="1">
      <c r="A492" s="197"/>
      <c r="B492" s="951"/>
      <c r="C492" s="954"/>
      <c r="D492" s="957"/>
      <c r="E492" s="939"/>
      <c r="F492" s="238" t="str">
        <f ca="1">IF(B483="Лікар-педіатр",Законод!$H$17,IF(B483="Лікар загальної практики - сімейний лікар",Законод!$H$21,IF(B483="Лікар-терапевт",Законод!$H$25,"х")))</f>
        <v>х</v>
      </c>
      <c r="G492" s="935" t="s">
        <v>423</v>
      </c>
      <c r="H492" s="936"/>
      <c r="I492" s="936"/>
      <c r="J492" s="936"/>
      <c r="K492" s="937"/>
      <c r="L492" s="196">
        <f ca="1">IF($B$483="Лікар загальної практики - сімейний лікар",IF(L487&lt;Законод!$C$22,0,(IF(AND(L487&gt;=Законод!$H$22,L487&lt;=Законод!$H$23),L487-Законод!$G$23,IF('01_Доходи'!L487&gt;=Законод!$I$22,Законод!$H$24,0)))),IF($B$483="Лікар-педіатр",IF(L487&lt;Законод!$C$18,0,(IF(AND(L487&gt;=Законод!$H$18,L487&lt;=Законод!$H$19),L487-Законод!$G$19,IF('01_Доходи'!L487&gt;=Законод!$I$18,Законод!$H$20,0)))),IF($B$483="Лікар-терапевт",IF(L487&lt;Законод!$C$26,0,(IF(AND(L487&gt;=Законод!$H$26,L487&lt;=Законод!$H$27),L487-Законод!$G$27,IF(L487&gt;=Законод!$I$26,Законод!$H$28,0)))),0)))</f>
        <v>0</v>
      </c>
      <c r="M492" s="942"/>
      <c r="N492" s="935" t="s">
        <v>423</v>
      </c>
      <c r="O492" s="936"/>
      <c r="P492" s="936"/>
      <c r="Q492" s="936"/>
      <c r="R492" s="937"/>
      <c r="S492" s="196">
        <f ca="1">IF($B$483="Лікар загальної практики - сімейний лікар",IF(S487&lt;Законод!$C$22,0,(IF(AND(S487&gt;=Законод!$H$22,S487&lt;=Законод!$H$23),S487-Законод!$G$23,IF('01_Доходи'!S487&gt;=Законод!$I$22,Законод!$H$24,0)))),IF($B$483="Лікар-педіатр",IF(S487&lt;Законод!$C$18,0,(IF(AND(S487&gt;=Законод!$H$18,S487&lt;=Законод!$H$19),S487-Законод!$G$19,IF('01_Доходи'!S487&gt;=Законод!$I$18,Законод!$H$20,0)))),IF($B$483="Лікар-терапевт",IF(S487&lt;Законод!$C$26,0,(IF(AND(S487&gt;=Законод!$H$26,S487&lt;=Законод!$H$27),S487-Законод!$G$27,IF(S487&gt;=Законод!$I$26,Законод!$H$28,0)))),0)))</f>
        <v>0</v>
      </c>
      <c r="T492" s="942"/>
      <c r="U492" s="935" t="s">
        <v>423</v>
      </c>
      <c r="V492" s="936"/>
      <c r="W492" s="936"/>
      <c r="X492" s="936"/>
      <c r="Y492" s="937"/>
      <c r="Z492" s="196">
        <f ca="1">IF($B$483="Лікар загальної практики - сімейний лікар",IF(Z487&lt;Законод!$C$22,0,(IF(AND(Z487&gt;=Законод!$H$22,Z487&lt;=Законод!$H$23),Z487-Законод!$G$23,IF('01_Доходи'!Z487&gt;=Законод!$I$22,Законод!$H$24,0)))),IF($B$483="Лікар-педіатр",IF(Z487&lt;Законод!$C$18,0,(IF(AND(Z487&gt;=Законод!$H$18,Z487&lt;=Законод!$H$19),Z487-Законод!$G$19,IF('01_Доходи'!Z487&gt;=Законод!$I$18,Законод!$H$20,0)))),IF($B$483="Лікар-терапевт",IF(Z487&lt;Законод!$C$26,0,(IF(AND(Z487&gt;=Законод!$H$26,Z487&lt;=Законод!$H$27),Z487-Законод!$G$27,IF(Z487&gt;=Законод!$I$26,Законод!$H$28,0)))),0)))</f>
        <v>0</v>
      </c>
      <c r="AA492" s="942"/>
      <c r="AB492" s="935" t="s">
        <v>423</v>
      </c>
      <c r="AC492" s="936"/>
      <c r="AD492" s="936"/>
      <c r="AE492" s="936"/>
      <c r="AF492" s="937"/>
      <c r="AG492" s="196">
        <f ca="1">IF($B$483="Лікар загальної практики - сімейний лікар",IF(AG487&lt;Законод!$C$22,0,(IF(AND(AG487&gt;=Законод!$H$22,AG487&lt;=Законод!$H$23),AG487-Законод!$G$23,IF('01_Доходи'!AG487&gt;=Законод!$I$22,Законод!$H$24,0)))),IF($B$483="Лікар-педіатр",IF(AG487&lt;Законод!$C$18,0,(IF(AND(AG487&gt;=Законод!$H$18,AG487&lt;=Законод!$H$19),AG487-Законод!$G$19,IF('01_Доходи'!AG487&gt;=Законод!$I$18,Законод!$H$20,0)))),IF($B$483="Лікар-терапевт",IF(AG487&lt;Законод!$C$26,0,(IF(AND(AG487&gt;=Законод!$H$26,AG487&lt;=Законод!$H$27),AG487-Законод!$G$27,IF(AG487&gt;=Законод!$I$26,Законод!$H$28,0)))),0)))</f>
        <v>0</v>
      </c>
      <c r="AH492" s="942"/>
      <c r="AI492" s="201"/>
      <c r="AJ492" s="945"/>
      <c r="AK492" s="960"/>
      <c r="AL492" s="960"/>
      <c r="AM492" s="927"/>
      <c r="AN492" s="210">
        <f ca="1">IF(B483="Лікар загальної практики - сімейний лікар",L492*Законод!$C$9/4*Законод!$H$16,IF(B483="Лікар-педіатр",L492*Законод!$C$9/4*Законод!$H$16,IF(B483="Лікар-терапевт",L492*Законод!$C$9/4*Законод!$H$16,0)))</f>
        <v>0</v>
      </c>
      <c r="AO492" s="210">
        <f ca="1">IF(B483="Лікар загальної практики - сімейний лікар",S492*Законод!$C$9/4*Законод!$H$16,IF(B483="Лікар-педіатр",S492*Законод!$C$9/4*Законод!$H$16,IF(B483="Лікар-терапевт",S492*Законод!$C$9/4*Законод!$H$16,0)))</f>
        <v>0</v>
      </c>
      <c r="AP492" s="210">
        <f ca="1">IF(B483="Лікар загальної практики - сімейний лікар",Z492*Законод!$C$9/4*Законод!$H$16,IF(B483="Лікар-педіатр",Z492*Законод!$C$9/4*Законод!$H$16,IF(B483="Лікар-терапевт",Z492*Законод!$C$9/4*Законод!$H$16,0)))</f>
        <v>0</v>
      </c>
      <c r="AQ492" s="210">
        <f ca="1">IF(B483="Лікар загальної практики - сімейний лікар",AG492*Законод!$C$9/4*Законод!$H$16,IF(B483="Лікар-педіатр",AG492*Законод!$C$9/4*Законод!$H$16,IF(B483="Лікар-терапевт",AG492*Законод!$C$9/4*Законод!$H$16,0)))</f>
        <v>0</v>
      </c>
      <c r="AR492" s="211">
        <f t="shared" si="77"/>
        <v>0</v>
      </c>
    </row>
    <row r="493" spans="1:44" s="50" customFormat="1" ht="31.9" hidden="1" customHeight="1">
      <c r="A493" s="197"/>
      <c r="B493" s="951"/>
      <c r="C493" s="954"/>
      <c r="D493" s="957"/>
      <c r="E493" s="939"/>
      <c r="F493" s="238" t="str">
        <f ca="1">IF(B483="Лікар-педіатр",Законод!$I$17,IF(B483="Лікар загальної практики - сімейний лікар",Законод!$I$21,IF(B483="Лікар-терапевт",Законод!$I$25,"х")))</f>
        <v>х</v>
      </c>
      <c r="G493" s="935" t="s">
        <v>423</v>
      </c>
      <c r="H493" s="936"/>
      <c r="I493" s="936"/>
      <c r="J493" s="936"/>
      <c r="K493" s="937"/>
      <c r="L493" s="196">
        <f ca="1">IF($B$483="Лікар загальної практики - сімейний лікар",IF(L487&lt;Законод!$C$22,0,(IF(AND(L487&gt;=Законод!$I$22,L487&lt;=Законод!$I$23),L487-Законод!$H$23,IF('01_Доходи'!L487&gt;=Законод!$I$22,Законод!$I$24,0)))),IF($B$483="Лікар-педіатр",IF(L487&lt;Законод!$C$18,0,(IF(AND(L487&gt;=Законод!$I$18,L487&lt;=Законод!$I$19),L487-Законод!$H$19,IF('01_Доходи'!L487&gt;=Законод!$I$18,Законод!$H$20,0)))),IF($B$483="Лікар-терапевт",IF(L487&lt;Законод!$C$26,0,(IF(AND(L487&gt;=Законод!$I$26,L487&lt;=Законод!$I$27),L487-Законод!$H$27,IF('01_Доходи'!L487&gt;=Законод!$I$26,Законод!$H$28,0)))),0)))</f>
        <v>0</v>
      </c>
      <c r="M493" s="942"/>
      <c r="N493" s="935" t="s">
        <v>423</v>
      </c>
      <c r="O493" s="936"/>
      <c r="P493" s="936"/>
      <c r="Q493" s="936"/>
      <c r="R493" s="937"/>
      <c r="S493" s="196">
        <f ca="1">IF($B$483="Лікар загальної практики - сімейний лікар",IF(S487&lt;Законод!$C$22,0,(IF(AND(S487&gt;=Законод!$I$22,S487&lt;=Законод!$I$23),S487-Законод!$H$23,IF('01_Доходи'!S487&gt;=Законод!$I$22,Законод!$I$24,0)))),IF($B$483="Лікар-педіатр",IF(S487&lt;Законод!$C$18,0,(IF(AND(S487&gt;=Законод!$I$18,S487&lt;=Законод!$I$19),S487-Законод!$H$19,IF('01_Доходи'!S487&gt;=Законод!$I$18,Законод!$H$20,0)))),IF($B$483="Лікар-терапевт",IF(S487&lt;Законод!$C$26,0,(IF(AND(S487&gt;=Законод!$I$26,S487&lt;=Законод!$I$27),S487-Законод!$H$27,IF('01_Доходи'!S487&gt;=Законод!$I$26,Законод!$H$28,0)))),0)))</f>
        <v>0</v>
      </c>
      <c r="T493" s="942"/>
      <c r="U493" s="935" t="s">
        <v>423</v>
      </c>
      <c r="V493" s="936"/>
      <c r="W493" s="936"/>
      <c r="X493" s="936"/>
      <c r="Y493" s="937"/>
      <c r="Z493" s="196">
        <f ca="1">IF($B$483="Лікар загальної практики - сімейний лікар",IF(Z487&lt;Законод!$C$22,0,(IF(AND(Z487&gt;=Законод!$I$22,Z487&lt;=Законод!$I$23),Z487-Законод!$H$23,IF('01_Доходи'!Z487&gt;=Законод!$I$22,Законод!$I$24,0)))),IF($B$483="Лікар-педіатр",IF(Z487&lt;Законод!$C$18,0,(IF(AND(Z487&gt;=Законод!$I$18,Z487&lt;=Законод!$I$19),Z487-Законод!$H$19,IF('01_Доходи'!Z487&gt;=Законод!$I$18,Законод!$H$20,0)))),IF($B$483="Лікар-терапевт",IF(Z487&lt;Законод!$C$26,0,(IF(AND(Z487&gt;=Законод!$I$26,Z487&lt;=Законод!$I$27),Z487-Законод!$H$27,IF('01_Доходи'!Z487&gt;=Законод!$I$26,Законод!$H$28,0)))),0)))</f>
        <v>0</v>
      </c>
      <c r="AA493" s="942"/>
      <c r="AB493" s="935" t="s">
        <v>423</v>
      </c>
      <c r="AC493" s="936"/>
      <c r="AD493" s="936"/>
      <c r="AE493" s="936"/>
      <c r="AF493" s="937"/>
      <c r="AG493" s="196">
        <f ca="1">IF($B$483="Лікар загальної практики - сімейний лікар",IF(AG487&lt;Законод!$C$22,0,(IF(AND(AG487&gt;=Законод!$I$22,AG487&lt;=Законод!$I$23),AG487-Законод!$H$23,IF('01_Доходи'!AG487&gt;=Законод!$I$22,Законод!$I$24,0)))),IF($B$483="Лікар-педіатр",IF(AG487&lt;Законод!$C$18,0,(IF(AND(AG487&gt;=Законод!$I$18,AG487&lt;=Законод!$I$19),AG487-Законод!$H$19,IF('01_Доходи'!AG487&gt;=Законод!$I$18,Законод!$H$20,0)))),IF($B$483="Лікар-терапевт",IF(AG487&lt;Законод!$C$26,0,(IF(AND(AG487&gt;=Законод!$I$26,AG487&lt;=Законод!$I$27),AG487-Законод!$H$27,IF('01_Доходи'!AG487&gt;=Законод!$I$26,Законод!$H$28,0)))),0)))</f>
        <v>0</v>
      </c>
      <c r="AH493" s="942"/>
      <c r="AI493" s="201"/>
      <c r="AJ493" s="945"/>
      <c r="AK493" s="960"/>
      <c r="AL493" s="960"/>
      <c r="AM493" s="927"/>
      <c r="AN493" s="210">
        <f ca="1">IF(B483="Лікар загальної практики - сімейний лікар",L493*Законод!$C$9/4*Законод!$I$16,IF(B483="Лікар-педіатр",L493*Законод!$C$9/4*Законод!$I$16,IF(B483="Лікар-терапевт",L493*Законод!$C$9/4*Законод!$I$16,0)))</f>
        <v>0</v>
      </c>
      <c r="AO493" s="210">
        <f ca="1">IF(B483="Лікар загальної практики - сімейний лікар",S493*Законод!$C$9/4*Законод!$I$16,IF(B483="Лікар-педіатр",S493*Законод!$C$9/4*Законод!$I$16,IF(B483="Лікар-терапевт",S493*Законод!$C$9/4*Законод!$I$16,0)))</f>
        <v>0</v>
      </c>
      <c r="AP493" s="210">
        <f ca="1">IF(B483="Лікар загальної практики - сімейний лікар",Z493*Законод!$C$9/4*Законод!$I$16,IF(B483="Лікар-педіатр",Z493*Законод!$C$9/4*Законод!$I$16,IF(B483="Лікар-терапевт",Z493*Законод!$C$9/4*Законод!$I$16,0)))</f>
        <v>0</v>
      </c>
      <c r="AQ493" s="210">
        <f ca="1">IF(B483="Лікар загальної практики - сімейний лікар",AG493*Законод!$C$9/4*Законод!$I$16,IF(B483="Лікар-педіатр",AG493*Законод!$C$9/4*Законод!$I$16,IF(B483="Лікар-терапевт",AG493*Законод!$C$9/4*Законод!$I$16,0)))</f>
        <v>0</v>
      </c>
      <c r="AR493" s="211">
        <f t="shared" si="77"/>
        <v>0</v>
      </c>
    </row>
    <row r="494" spans="1:44" s="218" customFormat="1" ht="31.9" hidden="1" customHeight="1" thickBot="1">
      <c r="A494" s="213"/>
      <c r="B494" s="952"/>
      <c r="C494" s="955"/>
      <c r="D494" s="958"/>
      <c r="E494" s="940"/>
      <c r="F494" s="239" t="str">
        <f ca="1">IF(B483="Лікар-педіатр",Законод!$J$17,IF(B483="Лікар загальної практики - сімейний лікар",Законод!$J$21,IF(B483="Лікар-терапевт",Законод!$J$25,"х")))</f>
        <v>х</v>
      </c>
      <c r="G494" s="932" t="s">
        <v>423</v>
      </c>
      <c r="H494" s="933"/>
      <c r="I494" s="933"/>
      <c r="J494" s="933"/>
      <c r="K494" s="934"/>
      <c r="L494" s="196">
        <f ca="1">IF($B$483="Лікар загальної практики - сімейний лікар",IF(L487&gt;=Законод!$J$22,'01_Доходи'!L487-('01_Доходи'!L488+'01_Доходи'!L489+'01_Доходи'!L490+'01_Доходи'!L491+'01_Доходи'!L492+'01_Доходи'!L493),0),IF($B$483="Лікар-педіатр",IF(L487&gt;=Законод!$J$18,'01_Доходи'!L487-('01_Доходи'!L488+'01_Доходи'!L489+'01_Доходи'!L490+'01_Доходи'!L491+'01_Доходи'!L492+'01_Доходи'!L493),0),IF($B$483="Лікар-терапевт",IF('01_Доходи'!L487&gt;=Законод!$J$26,L487-Законод!$I$27,0),0)))</f>
        <v>0</v>
      </c>
      <c r="M494" s="943"/>
      <c r="N494" s="932" t="s">
        <v>423</v>
      </c>
      <c r="O494" s="933"/>
      <c r="P494" s="933"/>
      <c r="Q494" s="933"/>
      <c r="R494" s="934"/>
      <c r="S494" s="196">
        <f ca="1">IF($B$483="Лікар загальної практики - сімейний лікар",IF(S487&gt;=Законод!$J$22,'01_Доходи'!S487-('01_Доходи'!S488+'01_Доходи'!S489+'01_Доходи'!S490+'01_Доходи'!S491+'01_Доходи'!S492+'01_Доходи'!S493),0),IF($B$483="Лікар-педіатр",IF(S487&gt;=Законод!$J$18,'01_Доходи'!S487-('01_Доходи'!S488+'01_Доходи'!S489+'01_Доходи'!S490+'01_Доходи'!S491+'01_Доходи'!S492+'01_Доходи'!S493),0),IF($B$483="Лікар-терапевт",IF('01_Доходи'!S487&gt;=Законод!$J$26,S487-Законод!$I$27,0),0)))</f>
        <v>0</v>
      </c>
      <c r="T494" s="943"/>
      <c r="U494" s="932" t="s">
        <v>423</v>
      </c>
      <c r="V494" s="933"/>
      <c r="W494" s="933"/>
      <c r="X494" s="933"/>
      <c r="Y494" s="934"/>
      <c r="Z494" s="196">
        <f ca="1">IF($B$483="Лікар загальної практики - сімейний лікар",IF(Z487&gt;=Законод!$J$22,'01_Доходи'!Z487-('01_Доходи'!Z488+'01_Доходи'!Z489+'01_Доходи'!Z490+'01_Доходи'!Z491+'01_Доходи'!Z492+'01_Доходи'!Z493),0),IF($B$483="Лікар-педіатр",IF(Z487&gt;=Законод!$J$18,'01_Доходи'!Z487-('01_Доходи'!Z488+'01_Доходи'!Z489+'01_Доходи'!Z490+'01_Доходи'!Z491+'01_Доходи'!Z492+'01_Доходи'!Z493),0),IF($B$483="Лікар-терапевт",IF('01_Доходи'!Z487&gt;=Законод!$J$26,Z487-Законод!$I$27,0),0)))</f>
        <v>0</v>
      </c>
      <c r="AA494" s="943"/>
      <c r="AB494" s="932" t="s">
        <v>423</v>
      </c>
      <c r="AC494" s="933"/>
      <c r="AD494" s="933"/>
      <c r="AE494" s="933"/>
      <c r="AF494" s="934"/>
      <c r="AG494" s="196">
        <f ca="1">IF($B$483="Лікар загальної практики - сімейний лікар",IF(AG487&gt;=Законод!$J$22,'01_Доходи'!AG487-('01_Доходи'!AG488+'01_Доходи'!AG489+'01_Доходи'!AG490+'01_Доходи'!AG491+'01_Доходи'!AG492+'01_Доходи'!AG493),0),IF($B$483="Лікар-педіатр",IF(AG487&gt;=Законод!$J$18,'01_Доходи'!AG487-('01_Доходи'!AG488+'01_Доходи'!AG489+'01_Доходи'!AG490+'01_Доходи'!AG491+'01_Доходи'!AG492+'01_Доходи'!AG493),0),IF($B$483="Лікар-терапевт",IF('01_Доходи'!AG487&gt;=Законод!$J$26,AG487-Законод!$I$27,0),0)))</f>
        <v>0</v>
      </c>
      <c r="AH494" s="943"/>
      <c r="AI494" s="215"/>
      <c r="AJ494" s="946"/>
      <c r="AK494" s="961"/>
      <c r="AL494" s="961"/>
      <c r="AM494" s="928"/>
      <c r="AN494" s="216">
        <f ca="1">IF(B483="Лікар загальної практики - сімейний лікар",L494*Законод!$C$9/4*Законод!$J$16,IF(B483="Лікар-педіатр",L494*Законод!$C$9/4*Законод!$J$16,IF(B483="Лікар-терапевт",L494*Законод!$C$9/4*Законод!$J$16,0)))</f>
        <v>0</v>
      </c>
      <c r="AO494" s="216">
        <f ca="1">IF(B483="Лікар загальної практики - сімейний лікар",S494*Законод!$C$9/4*Законод!$J$16,IF(B483="Лікар-педіатр",S494*Законод!$C$9/4*Законод!$J$16,IF(B483="Лікар-терапевт",S494*Законод!$C$9/4*Законод!$J$16,0)))</f>
        <v>0</v>
      </c>
      <c r="AP494" s="216">
        <f ca="1">IF(B483="Лікар загальної практики - сімейний лікар",S494*Законод!$C$9/4*Законод!$J$16,IF(B483="Лікар-педіатр",S494*Законод!$C$9/4*Законод!$J$16,IF(B483="Лікар-терапевт",S494*Законод!$C$9/4*Законод!$J$16,0)))</f>
        <v>0</v>
      </c>
      <c r="AQ494" s="216">
        <f ca="1">IF(B483="Лікар загальної практики - сімейний лікар",AG494*Законод!$C$9/4*Законод!$J$16,IF(B483="Лікар-педіатр",AG494*Законод!$C$9/4*Законод!$J$16,IF(B483="Лікар-терапевт",AG494*Законод!$C$9/4*Законод!$J$16,0)))</f>
        <v>0</v>
      </c>
      <c r="AR494" s="217">
        <f t="shared" si="77"/>
        <v>0</v>
      </c>
    </row>
    <row r="495" spans="1:44" s="247" customFormat="1" ht="23.45" hidden="1" customHeight="1" thickBot="1">
      <c r="A495" s="243"/>
      <c r="B495" s="244"/>
      <c r="C495" s="244"/>
      <c r="D495" s="244"/>
      <c r="E495" s="244"/>
      <c r="F495" s="245"/>
      <c r="G495" s="246"/>
      <c r="H495" s="246"/>
      <c r="L495" s="248"/>
      <c r="S495" s="248"/>
      <c r="Z495" s="248"/>
      <c r="AG495" s="248"/>
      <c r="AM495" s="249"/>
      <c r="AR495" s="250"/>
    </row>
    <row r="496" spans="1:44" s="191" customFormat="1" ht="24.6" hidden="1" customHeight="1">
      <c r="A496" s="194">
        <f>A483+1</f>
        <v>36</v>
      </c>
      <c r="B496" s="950"/>
      <c r="C496" s="953"/>
      <c r="D496" s="956"/>
      <c r="E496" s="938"/>
      <c r="F496" s="234" t="s">
        <v>659</v>
      </c>
      <c r="G496" s="196">
        <f>IF($B$496="Лікар-педіатр",G499*L496,IF($B$496="Лікар-терапевт","х",IF($B$496="Лікар загальної практики - сімейний лікар",G499*L496,0)))</f>
        <v>0</v>
      </c>
      <c r="H496" s="196">
        <f>IF($B$496="Лікар-педіатр",H499*L496,IF($B$496="Лікар-терапевт","х",IF($B$496="Лікар загальної практики - сімейний лікар",H499*L496,0)))</f>
        <v>0</v>
      </c>
      <c r="I496" s="196">
        <f>IF($B$496="Лікар-педіатр","x",IF($B$496="Лікар-терапевт",I499*L496,IF($B$496="Лікар загальної практики - сімейний лікар",I499*L496,0)))</f>
        <v>0</v>
      </c>
      <c r="J496" s="196">
        <f>IF($B$496="Лікар-педіатр","x",IF($B$496="Лікар-терапевт",J499*L496,IF($B$496="Лікар загальної практики - сімейний лікар",J499*L496,0)))</f>
        <v>0</v>
      </c>
      <c r="K496" s="196">
        <f>IF($B$496="Лікар-педіатр","x",IF($B$496="Лікар-терапевт",K499*L496,IF($B$496="Лікар загальної практики - сімейний лікар",K499*L496,0)))</f>
        <v>0</v>
      </c>
      <c r="L496" s="557"/>
      <c r="M496" s="941"/>
      <c r="N496" s="196">
        <f>IF($B$496="Лікар-педіатр",N499*S496,IF($B$496="Лікар-терапевт","х",IF($B$496="Лікар загальної практики - сімейний лікар",N499*S496,0)))</f>
        <v>0</v>
      </c>
      <c r="O496" s="196">
        <f>IF($B$496="Лікар-педіатр",O499*S496,IF($B$496="Лікар-терапевт","х",IF($B$496="Лікар загальної практики - сімейний лікар",O499*S496,0)))</f>
        <v>0</v>
      </c>
      <c r="P496" s="196">
        <f>IF($B$496="Лікар-педіатр","x",IF($B$496="Лікар-терапевт",P499*S496,IF($B$496="Лікар загальної практики - сімейний лікар",P499*S496,0)))</f>
        <v>0</v>
      </c>
      <c r="Q496" s="196">
        <f>IF($B$496="Лікар-педіатр","x",IF($B$496="Лікар-терапевт",Q499*S496,IF($B$496="Лікар загальної практики - сімейний лікар",Q499*S496,0)))</f>
        <v>0</v>
      </c>
      <c r="R496" s="196">
        <f>IF($B$496="Лікар-педіатр","x",IF($B$496="Лікар-терапевт",R499*S496,IF($B$496="Лікар загальної практики - сімейний лікар",R499*S496,0)))</f>
        <v>0</v>
      </c>
      <c r="S496" s="557"/>
      <c r="T496" s="941"/>
      <c r="U496" s="196">
        <f>IF($B$496="Лікар-педіатр",U499*Z496,IF($B$496="Лікар-терапевт","х",IF($B$496="Лікар загальної практики - сімейний лікар",U499*Z496,0)))</f>
        <v>0</v>
      </c>
      <c r="V496" s="196">
        <f>IF($B$496="Лікар-педіатр",V499*Z496,IF($B$496="Лікар-терапевт","х",IF($B$496="Лікар загальної практики - сімейний лікар",V499*Z496,0)))</f>
        <v>0</v>
      </c>
      <c r="W496" s="196">
        <f>IF($B$496="Лікар-педіатр","x",IF($B$496="Лікар-терапевт",W499*Z496,IF($B$496="Лікар загальної практики - сімейний лікар",W499*Z496,0)))</f>
        <v>0</v>
      </c>
      <c r="X496" s="196">
        <f>IF($B$496="Лікар-педіатр","x",IF($B$496="Лікар-терапевт",X499*Z496,IF($B$496="Лікар загальної практики - сімейний лікар",X499*Z496,0)))</f>
        <v>0</v>
      </c>
      <c r="Y496" s="196">
        <f>IF($B$496="Лікар-педіатр","x",IF($B$496="Лікар-терапевт",Y499*Z496,IF($B$496="Лікар загальної практики - сімейний лікар",Y499*Z496,0)))</f>
        <v>0</v>
      </c>
      <c r="Z496" s="557"/>
      <c r="AA496" s="941"/>
      <c r="AB496" s="196">
        <f>IF($B$496="Лікар-педіатр",AB499*AG496,IF($B$496="Лікар-терапевт","х",IF($B$496="Лікар загальної практики - сімейний лікар",AB499*AG496,0)))</f>
        <v>0</v>
      </c>
      <c r="AC496" s="196">
        <f>IF($B$496="Лікар-педіатр",AC499*AG496,IF($B$496="Лікар-терапевт","х",IF($B$496="Лікар загальної практики - сімейний лікар",AC499*AG496,0)))</f>
        <v>0</v>
      </c>
      <c r="AD496" s="196">
        <f>IF($B$496="Лікар-педіатр","x",IF($B$496="Лікар-терапевт",AD499*AG496,IF($B$496="Лікар загальної практики - сімейний лікар",AD499*AG496,0)))</f>
        <v>0</v>
      </c>
      <c r="AE496" s="196">
        <f>IF($B$496="Лікар-педіатр","x",IF($B$496="Лікар-терапевт",AE499*AG496,IF($B$496="Лікар загальної практики - сімейний лікар",AE499*AG496,0)))</f>
        <v>0</v>
      </c>
      <c r="AF496" s="196">
        <f>IF($B$496="Лікар-педіатр","x",IF($B$496="Лікар-терапевт",AF499*AG496,IF($B$496="Лікар загальної практики - сімейний лікар",AF499*AG496,0)))</f>
        <v>0</v>
      </c>
      <c r="AG496" s="557"/>
      <c r="AH496" s="941"/>
      <c r="AI496" s="540">
        <f>A496</f>
        <v>36</v>
      </c>
      <c r="AJ496" s="944">
        <f>B496</f>
        <v>0</v>
      </c>
      <c r="AK496" s="959">
        <f>C496</f>
        <v>0</v>
      </c>
      <c r="AL496" s="959">
        <f>D496</f>
        <v>0</v>
      </c>
      <c r="AM496" s="929" t="s">
        <v>79</v>
      </c>
      <c r="AN496" s="947">
        <f>SUM(AN501:AN507)</f>
        <v>0</v>
      </c>
      <c r="AO496" s="947">
        <f>SUM(AO501:AO507)</f>
        <v>0</v>
      </c>
      <c r="AP496" s="947">
        <f>SUM(AP501:AP507)</f>
        <v>0</v>
      </c>
      <c r="AQ496" s="947">
        <f>SUM(AQ501:AQ507)</f>
        <v>0</v>
      </c>
      <c r="AR496" s="962">
        <f>SUM(AN496:AQ500)</f>
        <v>0</v>
      </c>
    </row>
    <row r="497" spans="1:44" s="50" customFormat="1" ht="28.15" hidden="1" customHeight="1">
      <c r="A497" s="197"/>
      <c r="B497" s="951"/>
      <c r="C497" s="954"/>
      <c r="D497" s="957"/>
      <c r="E497" s="939"/>
      <c r="F497" s="234" t="s">
        <v>660</v>
      </c>
      <c r="G497" s="196">
        <f>IF($B$496="Лікар-педіатр",G499*L497,IF($B$496="Лікар-терапевт","х",IF($B$496="Лікар загальної практики - сімейний лікар",G499*L497,0)))</f>
        <v>0</v>
      </c>
      <c r="H497" s="196">
        <f>IF($B$496="Лікар-педіатр",H499*L497,IF($B$496="Лікар-терапевт","х",IF($B$496="Лікар загальної практики - сімейний лікар",H499*L497,0)))</f>
        <v>0</v>
      </c>
      <c r="I497" s="196">
        <f>IF($B$496="Лікар-педіатр","x",IF($B$496="Лікар-терапевт",I499*L497,IF($B$496="Лікар загальної практики - сімейний лікар",I499*L497,0)))</f>
        <v>0</v>
      </c>
      <c r="J497" s="196">
        <f>IF($B$496="Лікар-педіатр","x",IF($B$496="Лікар-терапевт",J499*L497,IF($B$496="Лікар загальної практики - сімейний лікар",J499*L497,0)))</f>
        <v>0</v>
      </c>
      <c r="K497" s="196">
        <f>IF($B$496="Лікар-педіатр","x",IF($B$496="Лікар-терапевт",K499*L497,IF($B$496="Лікар загальної практики - сімейний лікар",K499*L497,0)))</f>
        <v>0</v>
      </c>
      <c r="L497" s="557"/>
      <c r="M497" s="942"/>
      <c r="N497" s="196">
        <f>IF($B$496="Лікар-педіатр",N499*S497,IF($B$496="Лікар-терапевт","х",IF($B$496="Лікар загальної практики - сімейний лікар",N499*S497,0)))</f>
        <v>0</v>
      </c>
      <c r="O497" s="196">
        <f>IF($B$496="Лікар-педіатр",O499*S497,IF($B$496="Лікар-терапевт","х",IF($B$496="Лікар загальної практики - сімейний лікар",O499*S497,0)))</f>
        <v>0</v>
      </c>
      <c r="P497" s="196">
        <f>IF($B$496="Лікар-педіатр","x",IF($B$496="Лікар-терапевт",P499*S497,IF($B$496="Лікар загальної практики - сімейний лікар",P499*S497,0)))</f>
        <v>0</v>
      </c>
      <c r="Q497" s="196">
        <f>IF($B$496="Лікар-педіатр","x",IF($B$496="Лікар-терапевт",Q499*S497,IF($B$496="Лікар загальної практики - сімейний лікар",Q499*S497,0)))</f>
        <v>0</v>
      </c>
      <c r="R497" s="196">
        <f>IF($B$496="Лікар-педіатр","x",IF($B$496="Лікар-терапевт",R499*S497,IF($B$496="Лікар загальної практики - сімейний лікар",R499*S497,0)))</f>
        <v>0</v>
      </c>
      <c r="S497" s="557"/>
      <c r="T497" s="942"/>
      <c r="U497" s="196">
        <f>IF($B$496="Лікар-педіатр",U499*Z497,IF($B$496="Лікар-терапевт","х",IF($B$496="Лікар загальної практики - сімейний лікар",U499*Z497,0)))</f>
        <v>0</v>
      </c>
      <c r="V497" s="196">
        <f>IF($B$496="Лікар-педіатр",V499*Z497,IF($B$496="Лікар-терапевт","х",IF($B$496="Лікар загальної практики - сімейний лікар",V499*Z497,0)))</f>
        <v>0</v>
      </c>
      <c r="W497" s="196">
        <f>IF($B$496="Лікар-педіатр","x",IF($B$496="Лікар-терапевт",W499*Z497,IF($B$496="Лікар загальної практики - сімейний лікар",W499*Z497,0)))</f>
        <v>0</v>
      </c>
      <c r="X497" s="196">
        <f>IF($B$496="Лікар-педіатр","x",IF($B$496="Лікар-терапевт",X499*Z497,IF($B$496="Лікар загальної практики - сімейний лікар",X499*Z497,0)))</f>
        <v>0</v>
      </c>
      <c r="Y497" s="196">
        <f>IF($B$496="Лікар-педіатр","x",IF($B$496="Лікар-терапевт",Y499*Z497,IF($B$496="Лікар загальної практики - сімейний лікар",Y499*Z497,0)))</f>
        <v>0</v>
      </c>
      <c r="Z497" s="557"/>
      <c r="AA497" s="942"/>
      <c r="AB497" s="196">
        <f>IF($B$496="Лікар-педіатр",AB499*AG497,IF($B$496="Лікар-терапевт","х",IF($B$496="Лікар загальної практики - сімейний лікар",AB499*AG497,0)))</f>
        <v>0</v>
      </c>
      <c r="AC497" s="196">
        <f>IF($B$496="Лікар-педіатр",AC499*AG497,IF($B$496="Лікар-терапевт","х",IF($B$496="Лікар загальної практики - сімейний лікар",AC499*AG497,0)))</f>
        <v>0</v>
      </c>
      <c r="AD497" s="196">
        <f>IF($B$496="Лікар-педіатр","x",IF($B$496="Лікар-терапевт",AD499*AG497,IF($B$496="Лікар загальної практики - сімейний лікар",AD499*AG497,0)))</f>
        <v>0</v>
      </c>
      <c r="AE497" s="196">
        <f>IF($B$496="Лікар-педіатр","x",IF($B$496="Лікар-терапевт",AE499*AG497,IF($B$496="Лікар загальної практики - сімейний лікар",AE499*AG497,0)))</f>
        <v>0</v>
      </c>
      <c r="AF497" s="196">
        <f>IF($B$496="Лікар-педіатр","x",IF($B$496="Лікар-терапевт",AF499*AG497,IF($B$496="Лікар загальної практики - сімейний лікар",AF499*AG497,0)))</f>
        <v>0</v>
      </c>
      <c r="AG497" s="557"/>
      <c r="AH497" s="942"/>
      <c r="AI497" s="198"/>
      <c r="AJ497" s="945"/>
      <c r="AK497" s="960"/>
      <c r="AL497" s="960"/>
      <c r="AM497" s="930"/>
      <c r="AN497" s="948"/>
      <c r="AO497" s="948"/>
      <c r="AP497" s="948"/>
      <c r="AQ497" s="948"/>
      <c r="AR497" s="963"/>
    </row>
    <row r="498" spans="1:44" s="90" customFormat="1" ht="31.15" hidden="1" customHeight="1">
      <c r="A498" s="240"/>
      <c r="B498" s="951"/>
      <c r="C498" s="954"/>
      <c r="D498" s="957"/>
      <c r="E498" s="939"/>
      <c r="F498" s="241" t="s">
        <v>661</v>
      </c>
      <c r="G498" s="199">
        <f>IF(B496="Лікар загальної практики - сімейний лікар"," ",IF(B496="Лікар-педіатр"," ",IF(B496="Лікар-терапевт","х",0)))</f>
        <v>0</v>
      </c>
      <c r="H498" s="199">
        <f>IF(B496="Лікар загальної практики - сімейний лікар"," ",IF(B496="Лікар-педіатр"," ",IF(B496="Лікар-терапевт","х",0)))</f>
        <v>0</v>
      </c>
      <c r="I498" s="199">
        <f>IF(B496="Лікар загальної практики - сімейний лікар"," ",IF(B496="Лікар-педіатр","х",IF(B496="Лікар-терапевт"," ",0)))</f>
        <v>0</v>
      </c>
      <c r="J498" s="199">
        <f>IF(B496="Лікар загальної практики - сімейний лікар"," ",IF(B496="Лікар-педіатр","х",IF(B496="Лікар-терапевт"," ",0)))</f>
        <v>0</v>
      </c>
      <c r="K498" s="199">
        <f>IF(B496="Лікар загальної практики - сімейний лікар"," ",IF(B496="Лікар-педіатр","х",IF(B496="Лікар-терапевт"," ",0)))</f>
        <v>0</v>
      </c>
      <c r="L498" s="200">
        <f>SUM(G498:K498)</f>
        <v>0</v>
      </c>
      <c r="M498" s="942"/>
      <c r="N498" s="199">
        <f>IF(B496="Лікар загальної практики - сімейний лікар"," ",IF(B496="Лікар-педіатр"," ",IF(B496="Лікар-терапевт","х",0)))</f>
        <v>0</v>
      </c>
      <c r="O498" s="199">
        <f>IF(B496="Лікар загальної практики - сімейний лікар"," ",IF(B496="Лікар-педіатр"," ",IF(B496="Лікар-терапевт","х",0)))</f>
        <v>0</v>
      </c>
      <c r="P498" s="199">
        <f>IF(B496="Лікар загальної практики - сімейний лікар"," ",IF(B496="Лікар-педіатр","х",IF(B496="Лікар-терапевт"," ",0)))</f>
        <v>0</v>
      </c>
      <c r="Q498" s="199">
        <f>IF(B496="Лікар загальної практики - сімейний лікар"," ",IF(B496="Лікар-педіатр","х",IF(B496="Лікар-терапевт"," ",0)))</f>
        <v>0</v>
      </c>
      <c r="R498" s="199">
        <f>IF(B496="Лікар загальної практики - сімейний лікар"," ",IF(B496="Лікар-педіатр","х",IF(B496="Лікар-терапевт"," ",0)))</f>
        <v>0</v>
      </c>
      <c r="S498" s="200">
        <f>SUM(N498:R498)</f>
        <v>0</v>
      </c>
      <c r="T498" s="942"/>
      <c r="U498" s="199">
        <f>IF(B496="Лікар загальної практики - сімейний лікар"," ",IF(B496="Лікар-педіатр"," ",IF(B496="Лікар-терапевт","х",0)))</f>
        <v>0</v>
      </c>
      <c r="V498" s="199">
        <f>IF(B496="Лікар загальної практики - сімейний лікар"," ",IF(B496="Лікар-педіатр"," ",IF(B496="Лікар-терапевт","х",0)))</f>
        <v>0</v>
      </c>
      <c r="W498" s="199">
        <f>IF(B496="Лікар загальної практики - сімейний лікар"," ",IF(B496="Лікар-педіатр","х",IF(B496="Лікар-терапевт"," ",0)))</f>
        <v>0</v>
      </c>
      <c r="X498" s="199">
        <f>IF(B496="Лікар загальної практики - сімейний лікар"," ",IF(B496="Лікар-педіатр","х",IF(B496="Лікар-терапевт"," ",0)))</f>
        <v>0</v>
      </c>
      <c r="Y498" s="199">
        <f>IF(B496="Лікар загальної практики - сімейний лікар"," ",IF(B496="Лікар-педіатр","х",IF(B496="Лікар-терапевт"," ",0)))</f>
        <v>0</v>
      </c>
      <c r="Z498" s="200">
        <f>SUM(U498:Y498)</f>
        <v>0</v>
      </c>
      <c r="AA498" s="942"/>
      <c r="AB498" s="199">
        <f>IF(B496="Лікар загальної практики - сімейний лікар"," ",IF(B496="Лікар-педіатр"," ",IF(B496="Лікар-терапевт","х",0)))</f>
        <v>0</v>
      </c>
      <c r="AC498" s="199">
        <f>IF(B496="Лікар загальної практики - сімейний лікар"," ",IF(B496="Лікар-педіатр"," ",IF(B496="Лікар-терапевт","х",0)))</f>
        <v>0</v>
      </c>
      <c r="AD498" s="199">
        <f>IF(B496="Лікар загальної практики - сімейний лікар"," ",IF(B496="Лікар-педіатр","х",IF(B496="Лікар-терапевт"," ",0)))</f>
        <v>0</v>
      </c>
      <c r="AE498" s="199">
        <f>IF(B496="Лікар загальної практики - сімейний лікар"," ",IF(B496="Лікар-педіатр","х",IF(B496="Лікар-терапевт"," ",0)))</f>
        <v>0</v>
      </c>
      <c r="AF498" s="199">
        <f>IF(B496="Лікар загальної практики - сімейний лікар"," ",IF(B496="Лікар-педіатр","х",IF(B496="Лікар-терапевт"," ",0)))</f>
        <v>0</v>
      </c>
      <c r="AG498" s="200">
        <f>SUM(AB498:AF498)</f>
        <v>0</v>
      </c>
      <c r="AH498" s="942"/>
      <c r="AI498" s="242"/>
      <c r="AJ498" s="945"/>
      <c r="AK498" s="960"/>
      <c r="AL498" s="960"/>
      <c r="AM498" s="930"/>
      <c r="AN498" s="948"/>
      <c r="AO498" s="948"/>
      <c r="AP498" s="948"/>
      <c r="AQ498" s="948"/>
      <c r="AR498" s="963"/>
    </row>
    <row r="499" spans="1:44" s="50" customFormat="1" ht="31.9" hidden="1" customHeight="1" thickBot="1">
      <c r="A499" s="197"/>
      <c r="B499" s="951"/>
      <c r="C499" s="954"/>
      <c r="D499" s="957"/>
      <c r="E499" s="939"/>
      <c r="F499" s="236" t="s">
        <v>426</v>
      </c>
      <c r="G499" s="203">
        <f>IF($B$496="Лікар-педіатр",G498/L498,IF($B$496="Лікар-терапевт","х",IF($B$496="Лікар загальної практики - сімейний лікар",G498/L498,0)))</f>
        <v>0</v>
      </c>
      <c r="H499" s="203">
        <f>IF($B$496="Лікар-педіатр",H498/L498,IF($B$496="Лікар-терапевт","х",IF($B$496="Лікар загальної практики - сімейний лікар",H498/L498,0)))</f>
        <v>0</v>
      </c>
      <c r="I499" s="203">
        <f>IF($B$496="Лікар-педіатр","x",IF($B$496="Лікар-терапевт",I498/L498,IF($B$496="Лікар загальної практики - сімейний лікар",I498/L498,0)))</f>
        <v>0</v>
      </c>
      <c r="J499" s="203">
        <f>IF($B$496="Лікар-педіатр","x",IF($B$496="Лікар-терапевт",J498/L498,IF($B$496="Лікар загальної практики - сімейний лікар",J498/L498,0)))</f>
        <v>0</v>
      </c>
      <c r="K499" s="203">
        <f>IF($B$496="Лікар-педіатр","x",IF($B$496="Лікар-терапевт",K498/L498,IF($B$496="Лікар загальної практики - сімейний лікар",K498/L498,0)))</f>
        <v>0</v>
      </c>
      <c r="L499" s="203">
        <f>SUM(G499:K499)</f>
        <v>0</v>
      </c>
      <c r="M499" s="942"/>
      <c r="N499" s="203">
        <f>IF($B$496="Лікар-педіатр",N498/S498,IF($B$496="Лікар-терапевт","х",IF($B$496="Лікар загальної практики - сімейний лікар",N498/S498,0)))</f>
        <v>0</v>
      </c>
      <c r="O499" s="203">
        <f>IF($B$496="Лікар-педіатр",O498/S498,IF($B$496="Лікар-терапевт","х",IF($B$496="Лікар загальної практики - сімейний лікар",O498/S498,0)))</f>
        <v>0</v>
      </c>
      <c r="P499" s="203">
        <f>IF($B$496="Лікар-педіатр","x",IF($B$496="Лікар-терапевт",P498/S498,IF($B$496="Лікар загальної практики - сімейний лікар",P498/S498,0)))</f>
        <v>0</v>
      </c>
      <c r="Q499" s="203">
        <f>IF($B$496="Лікар-педіатр","x",IF($B$496="Лікар-терапевт",Q498/S498,IF($B$496="Лікар загальної практики - сімейний лікар",Q498/S498,0)))</f>
        <v>0</v>
      </c>
      <c r="R499" s="203">
        <f>IF($B$496="Лікар-педіатр","x",IF($B$496="Лікар-терапевт",R498/S498,IF($B$496="Лікар загальної практики - сімейний лікар",R498/S498,0)))</f>
        <v>0</v>
      </c>
      <c r="S499" s="203">
        <f>SUM(N499:R499)</f>
        <v>0</v>
      </c>
      <c r="T499" s="942"/>
      <c r="U499" s="203">
        <f>IF($B$496="Лікар-педіатр",U498/Z498,IF($B$496="Лікар-терапевт","х",IF($B$496="Лікар загальної практики - сімейний лікар",U498/Z498,0)))</f>
        <v>0</v>
      </c>
      <c r="V499" s="203">
        <f>IF($B$496="Лікар-педіатр",V498/Z498,IF($B$496="Лікар-терапевт","х",IF($B$496="Лікар загальної практики - сімейний лікар",V498/Z498,0)))</f>
        <v>0</v>
      </c>
      <c r="W499" s="203">
        <f>IF($B$496="Лікар-педіатр","x",IF($B$496="Лікар-терапевт",W498/Z498,IF($B$496="Лікар загальної практики - сімейний лікар",W498/Z498,0)))</f>
        <v>0</v>
      </c>
      <c r="X499" s="203">
        <f>IF($B$496="Лікар-педіатр","x",IF($B$496="Лікар-терапевт",X498/Z498,IF($B$496="Лікар загальної практики - сімейний лікар",X498/Z498,0)))</f>
        <v>0</v>
      </c>
      <c r="Y499" s="203">
        <f>IF($B$496="Лікар-педіатр","x",IF($B$496="Лікар-терапевт",Y498/Z498,IF($B$496="Лікар загальної практики - сімейний лікар",Y498/Z498,0)))</f>
        <v>0</v>
      </c>
      <c r="Z499" s="203">
        <f>SUM(U499:Y499)</f>
        <v>0</v>
      </c>
      <c r="AA499" s="942"/>
      <c r="AB499" s="203">
        <f>IF($B$496="Лікар-педіатр",AB498/AG498,IF($B$496="Лікар-терапевт","х",IF($B$496="Лікар загальної практики - сімейний лікар",AB498/AG498,0)))</f>
        <v>0</v>
      </c>
      <c r="AC499" s="203">
        <f>IF($B$496="Лікар-педіатр",AC498/AG498,IF($B$496="Лікар-терапевт","х",IF($B$496="Лікар загальної практики - сімейний лікар",AC498/AG498,0)))</f>
        <v>0</v>
      </c>
      <c r="AD499" s="203">
        <f>IF($B$496="Лікар-педіатр","x",IF($B$496="Лікар-терапевт",AD498/AG498,IF($B$496="Лікар загальної практики - сімейний лікар",AD498/AG498,0)))</f>
        <v>0</v>
      </c>
      <c r="AE499" s="203">
        <f>IF($B$496="Лікар-педіатр","x",IF($B$496="Лікар-терапевт",AE498/AG498,IF($B$496="Лікар загальної практики - сімейний лікар",AE498/AG498,0)))</f>
        <v>0</v>
      </c>
      <c r="AF499" s="203">
        <f>IF($B$496="Лікар-педіатр","x",IF($B$496="Лікар-терапевт",AF498/AG498,IF($B$496="Лікар загальної практики - сімейний лікар",AF498/AG498,0)))</f>
        <v>0</v>
      </c>
      <c r="AG499" s="203">
        <f>SUM(AB499:AF499)</f>
        <v>0</v>
      </c>
      <c r="AH499" s="942"/>
      <c r="AI499" s="201"/>
      <c r="AJ499" s="945"/>
      <c r="AK499" s="960"/>
      <c r="AL499" s="960"/>
      <c r="AM499" s="930"/>
      <c r="AN499" s="948"/>
      <c r="AO499" s="948"/>
      <c r="AP499" s="948"/>
      <c r="AQ499" s="948"/>
      <c r="AR499" s="963"/>
    </row>
    <row r="500" spans="1:44" s="50" customFormat="1" ht="45" hidden="1" customHeight="1" thickBot="1">
      <c r="A500" s="197"/>
      <c r="B500" s="951"/>
      <c r="C500" s="954"/>
      <c r="D500" s="957"/>
      <c r="E500" s="939"/>
      <c r="F500" s="204" t="s">
        <v>662</v>
      </c>
      <c r="G500" s="205">
        <f>IF($B$496="Лікар загальної практики - сімейний лікар",AVERAGE(G496:G498),IF($B$496="Лікар-педіатр",AVERAGE(G496:G498),IF($B$496="Лікар-терапевт","х",0)))</f>
        <v>0</v>
      </c>
      <c r="H500" s="205">
        <f>IF($B$496="Лікар загальної практики - сімейний лікар",AVERAGE(H496:H498),IF($B$496="Лікар-педіатр",AVERAGE(H496:H498),IF($B$496="Лікар-терапевт","х",0)))</f>
        <v>0</v>
      </c>
      <c r="I500" s="205">
        <f>IF($B$496="Лікар загальної практики - сімейний лікар",AVERAGE(I496:I498),IF($B$496="Лікар-педіатр","x",IF($B$496="Лікар-терапевт",AVERAGE(I496:I498),0)))</f>
        <v>0</v>
      </c>
      <c r="J500" s="205">
        <f>IF($B$496="Лікар загальної практики - сімейний лікар",AVERAGE(J496:J498),IF($B$496="Лікар-педіатр","x",IF($B$496="Лікар-терапевт",AVERAGE(J496:J498),0)))</f>
        <v>0</v>
      </c>
      <c r="K500" s="205">
        <f>IF($B$496="Лікар загальної практики - сімейний лікар",AVERAGE(K496:K498),IF($B$496="Лікар-педіатр","x",IF($B$496="Лікар-терапевт",AVERAGE(K496:K498),0)))</f>
        <v>0</v>
      </c>
      <c r="L500" s="206">
        <f>SUM(G500:K500)</f>
        <v>0</v>
      </c>
      <c r="M500" s="942"/>
      <c r="N500" s="205">
        <f>IF($B$496="Лікар загальної практики - сімейний лікар",AVERAGE(N496:N498),IF($B$496="Лікар-педіатр",AVERAGE(N496:N498),IF($B$496="Лікар-терапевт","х",0)))</f>
        <v>0</v>
      </c>
      <c r="O500" s="205">
        <f>IF($B$496="Лікар загальної практики - сімейний лікар",AVERAGE(O496:O498),IF($B$496="Лікар-педіатр",AVERAGE(O496:O498),IF($B$496="Лікар-терапевт","х",0)))</f>
        <v>0</v>
      </c>
      <c r="P500" s="205">
        <f>IF($B$496="Лікар загальної практики - сімейний лікар",AVERAGE(P496:P498),IF($B$496="Лікар-педіатр","x",IF($B$496="Лікар-терапевт",AVERAGE(P496:P498),0)))</f>
        <v>0</v>
      </c>
      <c r="Q500" s="205">
        <f>IF($B$496="Лікар загальної практики - сімейний лікар",AVERAGE(Q496:Q498),IF($B$496="Лікар-педіатр","x",IF($B$496="Лікар-терапевт",AVERAGE(Q496:Q498),0)))</f>
        <v>0</v>
      </c>
      <c r="R500" s="205">
        <f>IF($B$496="Лікар загальної практики - сімейний лікар",AVERAGE(R496:R498),IF($B$496="Лікар-педіатр","x",IF($B$496="Лікар-терапевт",AVERAGE(R496:R498),0)))</f>
        <v>0</v>
      </c>
      <c r="S500" s="206">
        <f>SUM(N500:R500)</f>
        <v>0</v>
      </c>
      <c r="T500" s="942"/>
      <c r="U500" s="205">
        <f>IF($B$496="Лікар загальної практики - сімейний лікар",AVERAGE(U496:U498),IF($B$496="Лікар-педіатр",AVERAGE(U496:U498),IF($B$496="Лікар-терапевт","х",0)))</f>
        <v>0</v>
      </c>
      <c r="V500" s="205">
        <f>IF($B$496="Лікар загальної практики - сімейний лікар",AVERAGE(V496:V498),IF($B$496="Лікар-педіатр",AVERAGE(V496:V498),IF($B$496="Лікар-терапевт","х",0)))</f>
        <v>0</v>
      </c>
      <c r="W500" s="205">
        <f>IF($B$496="Лікар загальної практики - сімейний лікар",AVERAGE(W496:W498),IF($B$496="Лікар-педіатр","x",IF($B$496="Лікар-терапевт",AVERAGE(W496:W498),0)))</f>
        <v>0</v>
      </c>
      <c r="X500" s="205">
        <f>IF($B$496="Лікар загальної практики - сімейний лікар",AVERAGE(X496:X498),IF($B$496="Лікар-педіатр","x",IF($B$496="Лікар-терапевт",AVERAGE(X496:X498),0)))</f>
        <v>0</v>
      </c>
      <c r="Y500" s="205">
        <f>IF($B$496="Лікар загальної практики - сімейний лікар",AVERAGE(Y496:Y498),IF($B$496="Лікар-педіатр","x",IF($B$496="Лікар-терапевт",AVERAGE(Y496:Y498),0)))</f>
        <v>0</v>
      </c>
      <c r="Z500" s="206">
        <f>SUM(U500:Y500)</f>
        <v>0</v>
      </c>
      <c r="AA500" s="942"/>
      <c r="AB500" s="205">
        <f>IF($B$496="Лікар загальної практики - сімейний лікар",AVERAGE(AB496:AB498),IF($B$496="Лікар-педіатр",AVERAGE(AB496:AB498),IF($B$496="Лікар-терапевт","х",0)))</f>
        <v>0</v>
      </c>
      <c r="AC500" s="205">
        <f>IF($B$496="Лікар загальної практики - сімейний лікар",AVERAGE(AC496:AC498),IF($B$496="Лікар-педіатр",AVERAGE(AC496:AC498),IF($B$496="Лікар-терапевт","х",0)))</f>
        <v>0</v>
      </c>
      <c r="AD500" s="205">
        <f>IF($B$496="Лікар загальної практики - сімейний лікар",AVERAGE(AD496:AD498),IF($B$496="Лікар-педіатр","x",IF($B$496="Лікар-терапевт",AVERAGE(AD496:AD498),0)))</f>
        <v>0</v>
      </c>
      <c r="AE500" s="205">
        <f>IF($B$496="Лікар загальної практики - сімейний лікар",AVERAGE(AE496:AE498),IF($B$496="Лікар-педіатр","x",IF($B$496="Лікар-терапевт",AVERAGE(AE496:AE498),0)))</f>
        <v>0</v>
      </c>
      <c r="AF500" s="205">
        <f>IF($B$496="Лікар загальної практики - сімейний лікар",AVERAGE(AF496:AF498),IF($B$496="Лікар-педіатр","x",IF($B$496="Лікар-терапевт",AVERAGE(AF496:AF498),0)))</f>
        <v>0</v>
      </c>
      <c r="AG500" s="206">
        <f>SUM(AB500:AF500)</f>
        <v>0</v>
      </c>
      <c r="AH500" s="942"/>
      <c r="AI500" s="201"/>
      <c r="AJ500" s="945"/>
      <c r="AK500" s="960"/>
      <c r="AL500" s="960"/>
      <c r="AM500" s="931"/>
      <c r="AN500" s="949"/>
      <c r="AO500" s="949"/>
      <c r="AP500" s="949"/>
      <c r="AQ500" s="949"/>
      <c r="AR500" s="964"/>
    </row>
    <row r="501" spans="1:44" s="50" customFormat="1" ht="40.5" hidden="1">
      <c r="A501" s="197"/>
      <c r="B501" s="951"/>
      <c r="C501" s="954"/>
      <c r="D501" s="957"/>
      <c r="E501" s="939"/>
      <c r="F501" s="237" t="str">
        <f ca="1">IF(B496="Лікар-педіатр",Законод!$C$17,IF(B496="Лікар загальної практики - сімейний лікар",Законод!$C$21,IF(B496="Лікар-терапевт",Законод!$C$25,"х")))</f>
        <v>х</v>
      </c>
      <c r="G501" s="208">
        <f ca="1">IF($B$496="Лікар загальної практики - сімейний лікар",IF(L500&lt;=Законод!$C$22,G500,Законод!$C$22*'01_Доходи'!G499),IF($B$496="Лікар-педіатр",IF(L500&lt;=Законод!$C$18,G500,Законод!$C$18*'01_Доходи'!G499),IF($B$496="Лікар-терапевт","x",0)))</f>
        <v>0</v>
      </c>
      <c r="H501" s="208">
        <f ca="1">IF($B$496="Лікар загальної практики - сімейний лікар",IF(L500&lt;=Законод!$C$22,H500,Законод!$C$22*'01_Доходи'!H499),IF($B$496="Лікар-педіатр",IF(L500&lt;=Законод!$C$18,H500,Законод!$C$18*'01_Доходи'!H499),IF($B$496="Лікар-терапевт","x",0)))</f>
        <v>0</v>
      </c>
      <c r="I501" s="208">
        <f ca="1">IF($B$496="Лікар загальної практики - сімейний лікар",IF(L500&lt;=Законод!$C$22,I500,Законод!$C$22*'01_Доходи'!I499),IF($B$496="Лікар-педіатр","x",IF($B$496="Лікар-терапевт",IF(L500&lt;=Законод!$C$26,I500,Законод!$C$26*'01_Доходи'!I499),0)))</f>
        <v>0</v>
      </c>
      <c r="J501" s="208">
        <f ca="1">IF($B$496="Лікар загальної практики - сімейний лікар",IF(L500&lt;=Законод!$C$22,J500,Законод!$C$22*'01_Доходи'!J499),IF($B$496="Лікар-педіатр","x",IF($B$496="Лікар-терапевт",IF(L500&lt;=Законод!$C$26,J500,Законод!$C$26*'01_Доходи'!J499),0)))</f>
        <v>0</v>
      </c>
      <c r="K501" s="208">
        <f ca="1">IF($B$496="Лікар загальної практики - сімейний лікар",IF(L500&lt;=Законод!$C$22,K500,Законод!$C$22*'01_Доходи'!K499),IF($B$496="Лікар-педіатр","x",IF($B$496="Лікар-терапевт",IF(L500&lt;=Законод!$C$26,K500,Законод!$C$26*'01_Доходи'!K499),0)))</f>
        <v>0</v>
      </c>
      <c r="L501" s="209">
        <f ca="1">SUM(G501:K501)</f>
        <v>0</v>
      </c>
      <c r="M501" s="942"/>
      <c r="N501" s="208">
        <f ca="1">IF($B$496="Лікар загальної практики - сімейний лікар",IF(S500&lt;=Законод!$C$22,N500,Законод!$C$22*'01_Доходи'!N499),IF($B$496="Лікар-педіатр",IF(S500&lt;=Законод!$C$18,N500,Законод!$C$18*'01_Доходи'!N499),IF($B$496="Лікар-терапевт","x",0)))</f>
        <v>0</v>
      </c>
      <c r="O501" s="208">
        <f ca="1">IF($B$496="Лікар загальної практики - сімейний лікар",IF(S500&lt;=Законод!$C$22,O500,Законод!$C$22*'01_Доходи'!O499),IF($B$496="Лікар-педіатр",IF(S500&lt;=Законод!$C$18,O500,Законод!$C$18*'01_Доходи'!O499),IF($B$496="Лікар-терапевт","x",0)))</f>
        <v>0</v>
      </c>
      <c r="P501" s="208">
        <f ca="1">IF($B$496="Лікар загальної практики - сімейний лікар",IF(S500&lt;=Законод!$C$22,P500,Законод!$C$22*'01_Доходи'!P499),IF($B$496="Лікар-педіатр","x",IF($B$496="Лікар-терапевт",IF(S500&lt;=Законод!$C$26,P500,Законод!$C$26*'01_Доходи'!P499),0)))</f>
        <v>0</v>
      </c>
      <c r="Q501" s="208">
        <f ca="1">IF($B$496="Лікар загальної практики - сімейний лікар",IF(S500&lt;=Законод!$C$22,Q500,Законод!$C$22*'01_Доходи'!Q499),IF($B$496="Лікар-педіатр","x",IF($B$496="Лікар-терапевт",IF(S500&lt;=Законод!$C$26,Q500,Законод!$C$26*'01_Доходи'!Q499),0)))</f>
        <v>0</v>
      </c>
      <c r="R501" s="208">
        <f ca="1">IF($B$496="Лікар загальної практики - сімейний лікар",IF(S500&lt;=Законод!$C$22,R500,Законод!$C$22*'01_Доходи'!R499),IF($B$496="Лікар-педіатр","x",IF($B$496="Лікар-терапевт",IF(S500&lt;=Законод!$C$26,R500,Законод!$C$26*'01_Доходи'!R499),0)))</f>
        <v>0</v>
      </c>
      <c r="S501" s="209">
        <f ca="1">SUM(N501:R501)</f>
        <v>0</v>
      </c>
      <c r="T501" s="942"/>
      <c r="U501" s="208">
        <f ca="1">IF($B$496="Лікар загальної практики - сімейний лікар",IF(Z500&lt;=Законод!$C$22,U500,Законод!$C$22*'01_Доходи'!U499),IF($B$496="Лікар-педіатр",IF(Z500&lt;=Законод!$C$18,U500,Законод!$C$18*'01_Доходи'!U499),IF($B$496="Лікар-терапевт","x",0)))</f>
        <v>0</v>
      </c>
      <c r="V501" s="208">
        <f ca="1">IF($B$496="Лікар загальної практики - сімейний лікар",IF(Z500&lt;=Законод!$C$22,V500,Законод!$C$22*'01_Доходи'!V499),IF($B$496="Лікар-педіатр",IF(Z500&lt;=Законод!$C$18,V500,Законод!$C$18*'01_Доходи'!V499),IF($B$496="Лікар-терапевт","x",0)))</f>
        <v>0</v>
      </c>
      <c r="W501" s="208">
        <f ca="1">IF($B$496="Лікар загальної практики - сімейний лікар",IF(Z500&lt;=Законод!$C$22,W500,Законод!$C$22*'01_Доходи'!W499),IF($B$496="Лікар-педіатр","x",IF($B$496="Лікар-терапевт",IF(Z500&lt;=Законод!$C$26,W500,Законод!$C$26*'01_Доходи'!W499),0)))</f>
        <v>0</v>
      </c>
      <c r="X501" s="208">
        <f ca="1">IF($B$496="Лікар загальної практики - сімейний лікар",IF(Z500&lt;=Законод!$C$22,X500,Законод!$C$22*'01_Доходи'!X499),IF($B$496="Лікар-педіатр","x",IF($B$496="Лікар-терапевт",IF(Z500&lt;=Законод!$C$26,X500,Законод!$C$26*'01_Доходи'!X499),0)))</f>
        <v>0</v>
      </c>
      <c r="Y501" s="208">
        <f ca="1">IF($B$496="Лікар загальної практики - сімейний лікар",IF(Z500&lt;=Законод!$C$22,Y500,Законод!$C$22*'01_Доходи'!Y499),IF($B$496="Лікар-педіатр","x",IF($B$496="Лікар-терапевт",IF(Z500&lt;=Законод!$C$26,Y500,Законод!$C$26*'01_Доходи'!Y499),0)))</f>
        <v>0</v>
      </c>
      <c r="Z501" s="209">
        <f ca="1">SUM(U501:Y501)</f>
        <v>0</v>
      </c>
      <c r="AA501" s="942"/>
      <c r="AB501" s="208">
        <f ca="1">IF($B$496="Лікар загальної практики - сімейний лікар",IF(AG500&lt;=Законод!$C$22,AB500,Законод!$C$22*'01_Доходи'!AB499),IF($B$496="Лікар-педіатр",IF(AG500&lt;=Законод!$C$18,AB500,Законод!$C$18*'01_Доходи'!AB499),IF($B$496="Лікар-терапевт","x",0)))</f>
        <v>0</v>
      </c>
      <c r="AC501" s="208">
        <f ca="1">IF($B$496="Лікар загальної практики - сімейний лікар",IF(AG500&lt;=Законод!$C$22,AC500,Законод!$C$22*'01_Доходи'!AC499),IF($B$496="Лікар-педіатр",IF(AG500&lt;=Законод!$C$18,AC500,Законод!$C$18*'01_Доходи'!AC499),IF($B$496="Лікар-терапевт","x",0)))</f>
        <v>0</v>
      </c>
      <c r="AD501" s="208">
        <f ca="1">IF($B$496="Лікар загальної практики - сімейний лікар",IF(AG500&lt;=Законод!$C$22,AD500,Законод!$C$22*'01_Доходи'!AD499),IF($B$496="Лікар-педіатр","x",IF($B$496="Лікар-терапевт",IF(AG500&lt;=Законод!$C$26,AD500,Законод!$C$26*'01_Доходи'!AD499),0)))</f>
        <v>0</v>
      </c>
      <c r="AE501" s="208">
        <f ca="1">IF($B$496="Лікар загальної практики - сімейний лікар",IF(AG500&lt;=Законод!$C$22,AE500,Законод!$C$22*'01_Доходи'!AE499),IF($B$496="Лікар-педіатр","x",IF($B$496="Лікар-терапевт",IF(AG500&lt;=Законод!$C$26,AE500,Законод!$C$26*'01_Доходи'!AE499),0)))</f>
        <v>0</v>
      </c>
      <c r="AF501" s="208">
        <f ca="1">IF($B$496="Лікар загальної практики - сімейний лікар",IF(AG500&lt;=Законод!$C$22,AF500,Законод!$C$22*'01_Доходи'!AF499),IF($B$496="Лікар-педіатр","x",IF($B$496="Лікар-терапевт",IF(AG500&lt;=Законод!$C$26,AF500,Законод!$C$26*'01_Доходи'!AF499),0)))</f>
        <v>0</v>
      </c>
      <c r="AG501" s="209">
        <f ca="1">SUM(AB501:AF501)</f>
        <v>0</v>
      </c>
      <c r="AH501" s="942"/>
      <c r="AI501" s="201"/>
      <c r="AJ501" s="945"/>
      <c r="AK501" s="960"/>
      <c r="AL501" s="960"/>
      <c r="AM501" s="348" t="s">
        <v>451</v>
      </c>
      <c r="AN501" s="210">
        <f ca="1">IF(B496="Лікар загальної практики - сімейний лікар",G501*Законод!$C$11+'01_Доходи'!H501*Законод!$D$11+'01_Доходи'!I501*Законод!$E$11+'01_Доходи'!J501*Законод!$F$11+'01_Доходи'!K501*Законод!$G$11,IF(B496="Лікар-педіатр",G501*Законод!$C$11+'01_Доходи'!H501*Законод!$D$11,IF(B496="Лікар-терапевт",'01_Доходи'!I501*Законод!$E$11+'01_Доходи'!J501*Законод!$F$11+'01_Доходи'!K501*Законод!$G$11,0)))</f>
        <v>0</v>
      </c>
      <c r="AO501" s="210">
        <f ca="1">IF(B496="Лікар загальної практики - сімейний лікар",N501*Законод!$C$11+'01_Доходи'!O501*Законод!$D$11+'01_Доходи'!P501*Законод!$E$11+'01_Доходи'!Q501*Законод!$F$11+'01_Доходи'!R501*Законод!$G$11,IF(B496="Лікар-педіатр",N501*Законод!$C$11+'01_Доходи'!O501*Законод!$D$11,IF(B496="Лікар-терапевт",'01_Доходи'!P501*Законод!$E$11+'01_Доходи'!Q501*Законод!$F$11+'01_Доходи'!R501*Законод!$G$11,0)))</f>
        <v>0</v>
      </c>
      <c r="AP501" s="210">
        <f ca="1">IF(B496="Лікар загальної практики - сімейний лікар",U501*Законод!$C$11+'01_Доходи'!V501*Законод!$D$11+'01_Доходи'!W501*Законод!$E$11+'01_Доходи'!X501*Законод!$F$11+'01_Доходи'!Y501*Законод!$G$11,IF(B496="Лікар-педіатр",U501*Законод!$C$11+'01_Доходи'!V501*Законод!$D$11,IF(B496="Лікар-терапевт",'01_Доходи'!W501*Законод!$E$11+'01_Доходи'!X501*Законод!$F$11+'01_Доходи'!Y501*Законод!$G$11,0)))</f>
        <v>0</v>
      </c>
      <c r="AQ501" s="210">
        <f ca="1">IF(B496="Лікар загальної практики - сімейний лікар",AB501*Законод!$C$11+'01_Доходи'!AC501*Законод!$D$11+'01_Доходи'!AD501*Законод!$E$11+'01_Доходи'!AE501*Законод!$F$11+'01_Доходи'!AF501*Законод!$G$11,IF(B496="Лікар-педіатр",AB501*Законод!$C$11+'01_Доходи'!AC501*Законод!$D$11,IF(B496="Лікар-терапевт",'01_Доходи'!AD501*Законод!$E$11+'01_Доходи'!AE501*Законод!$F$11+'01_Доходи'!AF501*Законод!$G$11,0)))</f>
        <v>0</v>
      </c>
      <c r="AR501" s="211">
        <f t="shared" ref="AR501:AR507" si="78">SUM(AN501:AQ501)</f>
        <v>0</v>
      </c>
    </row>
    <row r="502" spans="1:44" s="50" customFormat="1" ht="31.9" hidden="1" customHeight="1">
      <c r="A502" s="197"/>
      <c r="B502" s="951"/>
      <c r="C502" s="954"/>
      <c r="D502" s="957"/>
      <c r="E502" s="939"/>
      <c r="F502" s="238" t="str">
        <f ca="1">IF(B496="Лікар-педіатр",Законод!$E$17,IF(B496="Лікар загальної практики - сімейний лікар",Законод!$E$21,IF(B496="Лікар-терапевт",Законод!$E$25,"х")))</f>
        <v>х</v>
      </c>
      <c r="G502" s="935" t="s">
        <v>423</v>
      </c>
      <c r="H502" s="936"/>
      <c r="I502" s="936"/>
      <c r="J502" s="936"/>
      <c r="K502" s="937"/>
      <c r="L502" s="196">
        <f ca="1">IF($B$496="Лікар загальної практики - сімейний лікар",IF(L500&lt;Законод!$C$22,0,(IF(AND(L500&gt;=Законод!$E$22,L500&lt;=Законод!$E$23),L500-Законод!$C$22,IF('01_Доходи'!L500&gt;=Законод!$F$22,Законод!$E$24,0)))),IF($B$496="Лікар-педіатр",IF(L500&lt;Законод!$C$18,0,(IF(AND(L500&gt;=Законод!$E$18,L500&lt;=Законод!$E$19),L500-Законод!$C$18,IF('01_Доходи'!L500&gt;=Законод!$F$18,Законод!$E$20,0)))),IF($B$496="Лікар-терапевт",IF(L500&lt;Законод!$C$26,0,(IF(AND(L500&gt;=Законод!$E$26,L500&lt;=Законод!$E$27),L500-Законод!$C$26,IF('01_Доходи'!L500&gt;=Законод!$F$26,Законод!$E$28,0)))),0)))</f>
        <v>0</v>
      </c>
      <c r="M502" s="942"/>
      <c r="N502" s="935" t="s">
        <v>423</v>
      </c>
      <c r="O502" s="936"/>
      <c r="P502" s="936"/>
      <c r="Q502" s="936"/>
      <c r="R502" s="937"/>
      <c r="S502" s="196">
        <f ca="1">IF($B$496="Лікар загальної практики - сімейний лікар",IF(S500&lt;Законод!$C$22,0,(IF(AND(S500&gt;=Законод!$E$22,S500&lt;=Законод!$E$23),S500-Законод!$C$22,IF('01_Доходи'!S500&gt;=Законод!$F$22,Законод!$E$24,0)))),IF($B$496="Лікар-педіатр",IF(S500&lt;Законод!$C$18,0,(IF(AND(S500&gt;=Законод!$E$18,S500&lt;=Законод!$E$19),S500-Законод!$C$18,IF('01_Доходи'!S500&gt;=Законод!$F$18,Законод!$E$20,0)))),IF($B$496="Лікар-терапевт",IF(S500&lt;Законод!$C$26,0,(IF(AND(S500&gt;=Законод!$E$26,S500&lt;=Законод!$E$27),S500-Законод!$C$26,IF('01_Доходи'!S500&gt;=Законод!$F$26,Законод!$E$28,0)))),0)))</f>
        <v>0</v>
      </c>
      <c r="T502" s="942"/>
      <c r="U502" s="935" t="s">
        <v>423</v>
      </c>
      <c r="V502" s="936"/>
      <c r="W502" s="936"/>
      <c r="X502" s="936"/>
      <c r="Y502" s="937"/>
      <c r="Z502" s="196">
        <f ca="1">IF($B$496="Лікар загальної практики - сімейний лікар",IF(Z500&lt;Законод!$C$22,0,(IF(AND(Z500&gt;=Законод!$E$22,Z500&lt;=Законод!$E$23),Z500-Законод!$C$22,IF('01_Доходи'!Z500&gt;=Законод!$F$22,Законод!$E$24,0)))),IF($B$496="Лікар-педіатр",IF(Z500&lt;Законод!$C$18,0,(IF(AND(Z500&gt;=Законод!$E$18,Z500&lt;=Законод!$E$19),Z500-Законод!$C$18,IF('01_Доходи'!Z500&gt;=Законод!$F$18,Законод!$E$20,0)))),IF($B$496="Лікар-терапевт",IF(Z500&lt;Законод!$C$26,0,(IF(AND(Z500&gt;=Законод!$E$26,Z500&lt;=Законод!$E$27),Z500-Законод!$C$26,IF('01_Доходи'!Z500&gt;=Законод!$F$26,Законод!$E$28,0)))),0)))</f>
        <v>0</v>
      </c>
      <c r="AA502" s="942"/>
      <c r="AB502" s="935" t="s">
        <v>423</v>
      </c>
      <c r="AC502" s="936"/>
      <c r="AD502" s="936"/>
      <c r="AE502" s="936"/>
      <c r="AF502" s="937"/>
      <c r="AG502" s="196">
        <f ca="1">IF($B$496="Лікар загальної практики - сімейний лікар",IF(AG500&lt;Законод!$C$22,0,(IF(AND(AG500&gt;=Законод!$E$22,AG500&lt;=Законод!$E$23),AG500-Законод!$C$22,IF('01_Доходи'!AG500&gt;=Законод!$F$22,Законод!$E$24,0)))),IF($B$496="Лікар-педіатр",IF(AG500&lt;Законод!$C$18,0,(IF(AND(AG500&gt;=Законод!$E$18,AG500&lt;=Законод!$E$19),AG500-Законод!$C$18,IF('01_Доходи'!AG500&gt;=Законод!$F$18,Законод!$E$20,0)))),IF($B$496="Лікар-терапевт",IF(AG500&lt;Законод!$C$26,0,(IF(AND(AG500&gt;=Законод!$E$26,AG500&lt;=Законод!$E$27),AG500-Законод!$C$26,IF('01_Доходи'!AG500&gt;=Законод!$F$26,Законод!$E$28,0)))),0)))</f>
        <v>0</v>
      </c>
      <c r="AH502" s="942"/>
      <c r="AI502" s="201"/>
      <c r="AJ502" s="945"/>
      <c r="AK502" s="960"/>
      <c r="AL502" s="960"/>
      <c r="AM502" s="926" t="s">
        <v>452</v>
      </c>
      <c r="AN502" s="210">
        <f ca="1">IF(B496="Лікар загальної практики - сімейний лікар",L502*Законод!$C$9/4*Законод!$E$16,IF(B496="Лікар-педіатр",L502*Законод!$C$9/4*Законод!$E$16,IF(B496="Лікар-терапевт",L502*Законод!$C$9/4*Законод!$E$16,0)))</f>
        <v>0</v>
      </c>
      <c r="AO502" s="210">
        <f ca="1">IF(B496="Лікар загальної практики - сімейний лікар",S502*Законод!$C$9/4*Законод!$E$16,IF(B496="Лікар-педіатр",S502*Законод!$C$9/4*Законод!$E$16,IF(B496="Лікар-терапевт",S502*Законод!$C$9/4*Законод!$E$16,0)))</f>
        <v>0</v>
      </c>
      <c r="AP502" s="210">
        <f ca="1">IF(B496="Лікар загальної практики - сімейний лікар",Z502*Законод!$C$9/4*Законод!$E$16,IF(B496="Лікар-педіатр",Z502*Законод!$C$9/4*Законод!$E$16,IF(B496="Лікар-терапевт",Z502*Законод!$C$9/4*Законод!$E$16,0)))</f>
        <v>0</v>
      </c>
      <c r="AQ502" s="210">
        <f ca="1">IF(B496="Лікар загальної практики - сімейний лікар",AG502*Законод!$C$9/4*Законод!$E$16,IF(B496="Лікар-педіатр",AG502*Законод!$C$9/4*Законод!$E$16,IF(B496="Лікар-терапевт",AG502*Законод!$C$9/4*Законод!$E$16,0)))</f>
        <v>0</v>
      </c>
      <c r="AR502" s="211">
        <f t="shared" si="78"/>
        <v>0</v>
      </c>
    </row>
    <row r="503" spans="1:44" s="50" customFormat="1" ht="31.9" hidden="1" customHeight="1">
      <c r="A503" s="197"/>
      <c r="B503" s="951"/>
      <c r="C503" s="954"/>
      <c r="D503" s="957"/>
      <c r="E503" s="939"/>
      <c r="F503" s="238" t="str">
        <f ca="1">IF(B496="Лікар-педіатр",Законод!$F$17,IF(B496="Лікар загальної практики - сімейний лікар",Законод!$F$21,IF(B496="Лікар-терапевт",Законод!$F$25,"х")))</f>
        <v>х</v>
      </c>
      <c r="G503" s="935" t="s">
        <v>423</v>
      </c>
      <c r="H503" s="936"/>
      <c r="I503" s="936"/>
      <c r="J503" s="936"/>
      <c r="K503" s="937"/>
      <c r="L503" s="196">
        <f ca="1">IF($B$496="Лікар загальної практики - сімейний лікар",IF(L500&lt;Законод!$C$22,0,(IF(AND(L500&gt;=Законод!$F$22,L500&lt;=Законод!$F$23),L500-Законод!$E$23,IF('01_Доходи'!L500&gt;=Законод!$G$22,Законод!$F$24,0)))),IF($B$496="Лікар-педіатр",IF(L500&lt;Законод!$C$18,0,(IF(AND(L500&gt;=Законод!$F$18,L500&lt;=Законод!$F$19),L500-Законод!$E$19,IF('01_Доходи'!L500&gt;=Законод!$G$18,Законод!$F$20,0)))),IF($B$496="Лікар-терапевт",IF(L500&lt;Законод!$C$26,0,(IF(AND(L500&gt;=Законод!$F$26,L500&lt;=Законод!$F$27),L500-Законод!$E$27,IF('01_Доходи'!L500&gt;=Законод!$G$26,Законод!$F$28,0)))),0)))</f>
        <v>0</v>
      </c>
      <c r="M503" s="942"/>
      <c r="N503" s="935" t="s">
        <v>423</v>
      </c>
      <c r="O503" s="936"/>
      <c r="P503" s="936"/>
      <c r="Q503" s="936"/>
      <c r="R503" s="937"/>
      <c r="S503" s="196">
        <f ca="1">IF($B$496="Лікар загальної практики - сімейний лікар",IF(S500&lt;Законод!$C$22,0,(IF(AND(S500&gt;=Законод!$F$22,S500&lt;=Законод!$F$23),S500-Законод!$E$23,IF('01_Доходи'!S500&gt;=Законод!$G$22,Законод!$F$24,0)))),IF($B$496="Лікар-педіатр",IF(S500&lt;Законод!$C$18,0,(IF(AND(S500&gt;=Законод!$F$18,S500&lt;=Законод!$F$19),S500-Законод!$E$19,IF('01_Доходи'!S500&gt;=Законод!$G$18,Законод!$F$20,0)))),IF($B$496="Лікар-терапевт",IF(S500&lt;Законод!$C$26,0,(IF(AND(S500&gt;=Законод!$F$26,S500&lt;=Законод!$F$27),S500-Законод!$E$27,IF('01_Доходи'!S500&gt;=Законод!$G$26,Законод!$F$28,0)))),0)))</f>
        <v>0</v>
      </c>
      <c r="T503" s="942"/>
      <c r="U503" s="935" t="s">
        <v>423</v>
      </c>
      <c r="V503" s="936"/>
      <c r="W503" s="936"/>
      <c r="X503" s="936"/>
      <c r="Y503" s="937"/>
      <c r="Z503" s="196">
        <f ca="1">IF($B$496="Лікар загальної практики - сімейний лікар",IF(Z500&lt;Законод!$C$22,0,(IF(AND(Z500&gt;=Законод!$F$22,Z500&lt;=Законод!$F$23),Z500-Законод!$E$23,IF('01_Доходи'!Z500&gt;=Законод!$G$22,Законод!$F$24,0)))),IF($B$496="Лікар-педіатр",IF(Z500&lt;Законод!$C$18,0,(IF(AND(Z500&gt;=Законод!$F$18,Z500&lt;=Законод!$F$19),Z500-Законод!$E$19,IF('01_Доходи'!Z500&gt;=Законод!$G$18,Законод!$F$20,0)))),IF($B$496="Лікар-терапевт",IF(Z500&lt;Законод!$C$26,0,(IF(AND(Z500&gt;=Законод!$F$26,Z500&lt;=Законод!$F$27),Z500-Законод!$E$27,IF('01_Доходи'!Z500&gt;=Законод!$G$26,Законод!$F$28,0)))),0)))</f>
        <v>0</v>
      </c>
      <c r="AA503" s="942"/>
      <c r="AB503" s="935" t="s">
        <v>423</v>
      </c>
      <c r="AC503" s="936"/>
      <c r="AD503" s="936"/>
      <c r="AE503" s="936"/>
      <c r="AF503" s="937"/>
      <c r="AG503" s="196">
        <f ca="1">IF($B$496="Лікар загальної практики - сімейний лікар",IF(AG500&lt;Законод!$C$22,0,(IF(AND(AG500&gt;=Законод!$F$22,AG500&lt;=Законод!$F$23),AG500-Законод!$E$23,IF('01_Доходи'!AG500&gt;=Законод!$G$22,Законод!$F$24,0)))),IF($B$496="Лікар-педіатр",IF(AG500&lt;Законод!$C$18,0,(IF(AND(AG500&gt;=Законод!$F$18,AG500&lt;=Законод!$F$19),AG500-Законод!$E$19,IF('01_Доходи'!AG500&gt;=Законод!$G$18,Законод!$F$20,0)))),IF($B$496="Лікар-терапевт",IF(AG500&lt;Законод!$C$26,0,(IF(AND(AG500&gt;=Законод!$F$26,AG500&lt;=Законод!$F$27),AG500-Законод!$E$27,IF('01_Доходи'!AG500&gt;=Законод!$G$26,Законод!$F$28,0)))),0)))</f>
        <v>0</v>
      </c>
      <c r="AH503" s="942"/>
      <c r="AI503" s="201"/>
      <c r="AJ503" s="945"/>
      <c r="AK503" s="960"/>
      <c r="AL503" s="960"/>
      <c r="AM503" s="927"/>
      <c r="AN503" s="210">
        <f ca="1">IF(B496="Лікар загальної практики - сімейний лікар",L503*Законод!$C$9/4*Законод!$F$16,IF(B496="Лікар-педіатр",L503*Законод!$C$9/4*Законод!$F$16,IF(B496="Лікар-терапевт",L503*Законод!$C$9/4*Законод!$F$16,0)))</f>
        <v>0</v>
      </c>
      <c r="AO503" s="210">
        <f ca="1">IF(B496="Лікар загальної практики - сімейний лікар",S503*Законод!$C$9/4*Законод!$F$16,IF(B496="Лікар-педіатр",S503*Законод!$C$9/4*Законод!$F$16,IF(B496="Лікар-терапевт",S503*Законод!$C$9/4*Законод!$F$16,0)))</f>
        <v>0</v>
      </c>
      <c r="AP503" s="210">
        <f ca="1">IF(B496="Лікар загальної практики - сімейний лікар",Z503*Законод!$C$9/4*Законод!$F$16,IF(B496="Лікар-педіатр",Z503*Законод!$C$9/4*Законод!$F$16,IF(B496="Лікар-терапевт",Z503*Законод!$C$9/4*Законод!$F$16,0)))</f>
        <v>0</v>
      </c>
      <c r="AQ503" s="210">
        <f ca="1">IF(B496="Лікар загальної практики - сімейний лікар",AG503*Законод!$C$9/4*Законод!$F$16,IF(B496="Лікар-педіатр",AG503*Законод!$C$9/4*Законод!$F$16,IF(B496="Лікар-терапевт",AG503*Законод!$C$9/4*Законод!$F$16,0)))</f>
        <v>0</v>
      </c>
      <c r="AR503" s="211">
        <f t="shared" si="78"/>
        <v>0</v>
      </c>
    </row>
    <row r="504" spans="1:44" s="50" customFormat="1" ht="31.9" hidden="1" customHeight="1">
      <c r="A504" s="197"/>
      <c r="B504" s="951"/>
      <c r="C504" s="954"/>
      <c r="D504" s="957"/>
      <c r="E504" s="939"/>
      <c r="F504" s="238" t="str">
        <f ca="1">IF(B496="Лікар-педіатр",Законод!$G$17,IF(B496="Лікар загальної практики - сімейний лікар",Законод!$G$21,IF(B496="Лікар-терапевт",Законод!$G$25,"х")))</f>
        <v>х</v>
      </c>
      <c r="G504" s="935" t="s">
        <v>423</v>
      </c>
      <c r="H504" s="936"/>
      <c r="I504" s="936"/>
      <c r="J504" s="936"/>
      <c r="K504" s="937"/>
      <c r="L504" s="196">
        <f ca="1">IF($B$496="Лікар загальної практики - сімейний лікар",IF(L500&lt;Законод!$C$22,0,(IF(AND(L500&gt;=Законод!$G$22,L500&lt;=Законод!$G$23),L500-Законод!$F$23,IF('01_Доходи'!L500&gt;=Законод!$H$22,Законод!$G$24,0)))),IF($B$496="Лікар-педіатр",IF(L500&lt;Законод!$C$18,0,(IF(AND(L500&gt;=Законод!$G$18,L500&lt;=Законод!$G$19),L500-Законод!$F$19,IF('01_Доходи'!L500&gt;=Законод!$H$18,Законод!$G$20,0)))),IF($B$496="Лікар-терапевт",IF(L500&lt;Законод!$C$26,0,(IF(AND(L500&gt;=Законод!$G$26,L500&lt;=Законод!$G$27),L500-Законод!$F$27,IF('01_Доходи'!L500&gt;=Законод!$H$26,Законод!$G$28,0)))),0)))</f>
        <v>0</v>
      </c>
      <c r="M504" s="942"/>
      <c r="N504" s="935" t="s">
        <v>423</v>
      </c>
      <c r="O504" s="936"/>
      <c r="P504" s="936"/>
      <c r="Q504" s="936"/>
      <c r="R504" s="937"/>
      <c r="S504" s="196">
        <f ca="1">IF($B$496="Лікар загальної практики - сімейний лікар",IF(S500&lt;Законод!$C$22,0,(IF(AND(S500&gt;=Законод!$G$22,S500&lt;=Законод!$G$23),S500-Законод!$F$23,IF('01_Доходи'!S500&gt;=Законод!$H$22,Законод!$G$24,0)))),IF($B$496="Лікар-педіатр",IF(S500&lt;Законод!$C$18,0,(IF(AND(S500&gt;=Законод!$G$18,S500&lt;=Законод!$G$19),S500-Законод!$F$19,IF('01_Доходи'!S500&gt;=Законод!$H$18,Законод!$G$20,0)))),IF($B$496="Лікар-терапевт",IF(S500&lt;Законод!$C$26,0,(IF(AND(S500&gt;=Законод!$G$26,S500&lt;=Законод!$G$27),S500-Законод!$F$27,IF('01_Доходи'!S500&gt;=Законод!$H$26,Законод!$G$28,0)))),0)))</f>
        <v>0</v>
      </c>
      <c r="T504" s="942"/>
      <c r="U504" s="935" t="s">
        <v>423</v>
      </c>
      <c r="V504" s="936"/>
      <c r="W504" s="936"/>
      <c r="X504" s="936"/>
      <c r="Y504" s="937"/>
      <c r="Z504" s="196">
        <f ca="1">IF($B$496="Лікар загальної практики - сімейний лікар",IF(Z500&lt;Законод!$C$22,0,(IF(AND(Z500&gt;=Законод!$G$22,Z500&lt;=Законод!$G$23),Z500-Законод!$F$23,IF('01_Доходи'!Z500&gt;=Законод!$H$22,Законод!$G$24,0)))),IF($B$496="Лікар-педіатр",IF(Z500&lt;Законод!$C$18,0,(IF(AND(Z500&gt;=Законод!$G$18,Z500&lt;=Законод!$G$19),Z500-Законод!$F$19,IF('01_Доходи'!Z500&gt;=Законод!$H$18,Законод!$G$20,0)))),IF($B$496="Лікар-терапевт",IF(Z500&lt;Законод!$C$26,0,(IF(AND(Z500&gt;=Законод!$G$26,Z500&lt;=Законод!$G$27),Z500-Законод!$F$27,IF('01_Доходи'!Z500&gt;=Законод!$H$26,Законод!$G$28,0)))),0)))</f>
        <v>0</v>
      </c>
      <c r="AA504" s="942"/>
      <c r="AB504" s="935" t="s">
        <v>423</v>
      </c>
      <c r="AC504" s="936"/>
      <c r="AD504" s="936"/>
      <c r="AE504" s="936"/>
      <c r="AF504" s="937"/>
      <c r="AG504" s="196">
        <f ca="1">IF($B$496="Лікар загальної практики - сімейний лікар",IF(AG500&lt;Законод!$C$22,0,(IF(AND(AG500&gt;=Законод!$G$22,AG500&lt;=Законод!$G$23),AG500-Законод!$F$23,IF('01_Доходи'!AG500&gt;=Законод!$H$22,Законод!$G$24,0)))),IF($B$496="Лікар-педіатр",IF(AG500&lt;Законод!$C$18,0,(IF(AND(AG500&gt;=Законод!$G$18,AG500&lt;=Законод!$G$19),AG500-Законод!$F$19,IF('01_Доходи'!AG500&gt;=Законод!$H$18,Законод!$G$20,0)))),IF($B$496="Лікар-терапевт",IF(AG500&lt;Законод!$C$26,0,(IF(AND(AG500&gt;=Законод!$G$26,AG500&lt;=Законод!$G$27),AG500-Законод!$F$27,IF('01_Доходи'!AG500&gt;=Законод!$H$26,Законод!$G$28,0)))),0)))</f>
        <v>0</v>
      </c>
      <c r="AH504" s="942"/>
      <c r="AI504" s="201"/>
      <c r="AJ504" s="945"/>
      <c r="AK504" s="960"/>
      <c r="AL504" s="960"/>
      <c r="AM504" s="927"/>
      <c r="AN504" s="210">
        <f ca="1">IF(B496="Лікар загальної практики - сімейний лікар",L504*Законод!$C$9/4*Законод!$G$16,IF(B496="Лікар-педіатр",L504*Законод!$C$9/4*Законод!$G$16,IF(B496="Лікар-терапевт",L504*Законод!$C$9/4*Законод!$G$16,0)))</f>
        <v>0</v>
      </c>
      <c r="AO504" s="210">
        <f ca="1">IF(B496="Лікар загальної практики - сімейний лікар",S504*Законод!$C$9/4*Законод!$G$16,IF(B496="Лікар-педіатр",S504*Законод!$C$9/4*Законод!$G$16,IF(B496="Лікар-терапевт",S504*Законод!$C$9/4*Законод!$G$16,0)))</f>
        <v>0</v>
      </c>
      <c r="AP504" s="210">
        <f ca="1">IF(B496="Лікар загальної практики - сімейний лікар",Z504*Законод!$C$9/4*Законод!$G$16,IF(B496="Лікар-педіатр",Z504*Законод!$C$9/4*Законод!$G$16,IF(B496="Лікар-терапевт",Z504*Законод!$C$9/4*Законод!$G$16,0)))</f>
        <v>0</v>
      </c>
      <c r="AQ504" s="210">
        <f ca="1">IF(B496="Лікар загальної практики - сімейний лікар",AG504*Законод!$C$9/4*Законод!$G$16,IF(B496="Лікар-педіатр",AG504*Законод!$C$9/4*Законод!$G$16,IF(B496="Лікар-терапевт",AG504*Законод!$C$9/4*Законод!$G$16,0)))</f>
        <v>0</v>
      </c>
      <c r="AR504" s="211">
        <f t="shared" si="78"/>
        <v>0</v>
      </c>
    </row>
    <row r="505" spans="1:44" s="50" customFormat="1" ht="31.9" hidden="1" customHeight="1">
      <c r="A505" s="197"/>
      <c r="B505" s="951"/>
      <c r="C505" s="954"/>
      <c r="D505" s="957"/>
      <c r="E505" s="939"/>
      <c r="F505" s="238" t="str">
        <f ca="1">IF(B496="Лікар-педіатр",Законод!$H$17,IF(B496="Лікар загальної практики - сімейний лікар",Законод!$H$21,IF(B496="Лікар-терапевт",Законод!$H$25,"х")))</f>
        <v>х</v>
      </c>
      <c r="G505" s="935" t="s">
        <v>423</v>
      </c>
      <c r="H505" s="936"/>
      <c r="I505" s="936"/>
      <c r="J505" s="936"/>
      <c r="K505" s="937"/>
      <c r="L505" s="196">
        <f ca="1">IF($B$496="Лікар загальної практики - сімейний лікар",IF(L500&lt;Законод!$C$22,0,(IF(AND(L500&gt;=Законод!$H$22,L500&lt;=Законод!$H$23),L500-Законод!$G$23,IF('01_Доходи'!L500&gt;=Законод!$I$22,Законод!$H$24,0)))),IF($B$496="Лікар-педіатр",IF(L500&lt;Законод!$C$18,0,(IF(AND(L500&gt;=Законод!$H$18,L500&lt;=Законод!$H$19),L500-Законод!$G$19,IF('01_Доходи'!L500&gt;=Законод!$I$18,Законод!$H$20,0)))),IF($B$496="Лікар-терапевт",IF(L500&lt;Законод!$C$26,0,(IF(AND(L500&gt;=Законод!$H$26,L500&lt;=Законод!$H$27),L500-Законод!$G$27,IF(L500&gt;=Законод!$I$26,Законод!$H$28,0)))),0)))</f>
        <v>0</v>
      </c>
      <c r="M505" s="942"/>
      <c r="N505" s="935" t="s">
        <v>423</v>
      </c>
      <c r="O505" s="936"/>
      <c r="P505" s="936"/>
      <c r="Q505" s="936"/>
      <c r="R505" s="937"/>
      <c r="S505" s="196">
        <f ca="1">IF($B$496="Лікар загальної практики - сімейний лікар",IF(S500&lt;Законод!$C$22,0,(IF(AND(S500&gt;=Законод!$H$22,S500&lt;=Законод!$H$23),S500-Законод!$G$23,IF('01_Доходи'!S500&gt;=Законод!$I$22,Законод!$H$24,0)))),IF($B$496="Лікар-педіатр",IF(S500&lt;Законод!$C$18,0,(IF(AND(S500&gt;=Законод!$H$18,S500&lt;=Законод!$H$19),S500-Законод!$G$19,IF('01_Доходи'!S500&gt;=Законод!$I$18,Законод!$H$20,0)))),IF($B$496="Лікар-терапевт",IF(S500&lt;Законод!$C$26,0,(IF(AND(S500&gt;=Законод!$H$26,S500&lt;=Законод!$H$27),S500-Законод!$G$27,IF(S500&gt;=Законод!$I$26,Законод!$H$28,0)))),0)))</f>
        <v>0</v>
      </c>
      <c r="T505" s="942"/>
      <c r="U505" s="935" t="s">
        <v>423</v>
      </c>
      <c r="V505" s="936"/>
      <c r="W505" s="936"/>
      <c r="X505" s="936"/>
      <c r="Y505" s="937"/>
      <c r="Z505" s="196">
        <f ca="1">IF($B$496="Лікар загальної практики - сімейний лікар",IF(Z500&lt;Законод!$C$22,0,(IF(AND(Z500&gt;=Законод!$H$22,Z500&lt;=Законод!$H$23),Z500-Законод!$G$23,IF('01_Доходи'!Z500&gt;=Законод!$I$22,Законод!$H$24,0)))),IF($B$496="Лікар-педіатр",IF(Z500&lt;Законод!$C$18,0,(IF(AND(Z500&gt;=Законод!$H$18,Z500&lt;=Законод!$H$19),Z500-Законод!$G$19,IF('01_Доходи'!Z500&gt;=Законод!$I$18,Законод!$H$20,0)))),IF($B$496="Лікар-терапевт",IF(Z500&lt;Законод!$C$26,0,(IF(AND(Z500&gt;=Законод!$H$26,Z500&lt;=Законод!$H$27),Z500-Законод!$G$27,IF(Z500&gt;=Законод!$I$26,Законод!$H$28,0)))),0)))</f>
        <v>0</v>
      </c>
      <c r="AA505" s="942"/>
      <c r="AB505" s="935" t="s">
        <v>423</v>
      </c>
      <c r="AC505" s="936"/>
      <c r="AD505" s="936"/>
      <c r="AE505" s="936"/>
      <c r="AF505" s="937"/>
      <c r="AG505" s="196">
        <f ca="1">IF($B$496="Лікар загальної практики - сімейний лікар",IF(AG500&lt;Законод!$C$22,0,(IF(AND(AG500&gt;=Законод!$H$22,AG500&lt;=Законод!$H$23),AG500-Законод!$G$23,IF('01_Доходи'!AG500&gt;=Законод!$I$22,Законод!$H$24,0)))),IF($B$496="Лікар-педіатр",IF(AG500&lt;Законод!$C$18,0,(IF(AND(AG500&gt;=Законод!$H$18,AG500&lt;=Законод!$H$19),AG500-Законод!$G$19,IF('01_Доходи'!AG500&gt;=Законод!$I$18,Законод!$H$20,0)))),IF($B$496="Лікар-терапевт",IF(AG500&lt;Законод!$C$26,0,(IF(AND(AG500&gt;=Законод!$H$26,AG500&lt;=Законод!$H$27),AG500-Законод!$G$27,IF(AG500&gt;=Законод!$I$26,Законод!$H$28,0)))),0)))</f>
        <v>0</v>
      </c>
      <c r="AH505" s="942"/>
      <c r="AI505" s="201"/>
      <c r="AJ505" s="945"/>
      <c r="AK505" s="960"/>
      <c r="AL505" s="960"/>
      <c r="AM505" s="927"/>
      <c r="AN505" s="210">
        <f ca="1">IF(B496="Лікар загальної практики - сімейний лікар",L505*Законод!$C$9/4*Законод!$H$16,IF(B496="Лікар-педіатр",L505*Законод!$C$9/4*Законод!$H$16,IF(B496="Лікар-терапевт",L505*Законод!$C$9/4*Законод!$H$16,0)))</f>
        <v>0</v>
      </c>
      <c r="AO505" s="210">
        <f ca="1">IF(B496="Лікар загальної практики - сімейний лікар",S505*Законод!$C$9/4*Законод!$H$16,IF(B496="Лікар-педіатр",S505*Законод!$C$9/4*Законод!$H$16,IF(B496="Лікар-терапевт",S505*Законод!$C$9/4*Законод!$H$16,0)))</f>
        <v>0</v>
      </c>
      <c r="AP505" s="210">
        <f ca="1">IF(B496="Лікар загальної практики - сімейний лікар",Z505*Законод!$C$9/4*Законод!$H$16,IF(B496="Лікар-педіатр",Z505*Законод!$C$9/4*Законод!$H$16,IF(B496="Лікар-терапевт",Z505*Законод!$C$9/4*Законод!$H$16,0)))</f>
        <v>0</v>
      </c>
      <c r="AQ505" s="210">
        <f ca="1">IF(B496="Лікар загальної практики - сімейний лікар",AG505*Законод!$C$9/4*Законод!$H$16,IF(B496="Лікар-педіатр",AG505*Законод!$C$9/4*Законод!$H$16,IF(B496="Лікар-терапевт",AG505*Законод!$C$9/4*Законод!$H$16,0)))</f>
        <v>0</v>
      </c>
      <c r="AR505" s="211">
        <f t="shared" si="78"/>
        <v>0</v>
      </c>
    </row>
    <row r="506" spans="1:44" s="50" customFormat="1" ht="31.9" hidden="1" customHeight="1">
      <c r="A506" s="197"/>
      <c r="B506" s="951"/>
      <c r="C506" s="954"/>
      <c r="D506" s="957"/>
      <c r="E506" s="939"/>
      <c r="F506" s="238" t="str">
        <f ca="1">IF(B496="Лікар-педіатр",Законод!$I$17,IF(B496="Лікар загальної практики - сімейний лікар",Законод!$I$21,IF(B496="Лікар-терапевт",Законод!$I$25,"х")))</f>
        <v>х</v>
      </c>
      <c r="G506" s="935" t="s">
        <v>423</v>
      </c>
      <c r="H506" s="936"/>
      <c r="I506" s="936"/>
      <c r="J506" s="936"/>
      <c r="K506" s="937"/>
      <c r="L506" s="196">
        <f ca="1">IF($B$496="Лікар загальної практики - сімейний лікар",IF(L500&lt;Законод!$C$22,0,(IF(AND(L500&gt;=Законод!$I$22,L500&lt;=Законод!$I$23),L500-Законод!$H$23,IF('01_Доходи'!L500&gt;=Законод!$I$22,Законод!$I$24,0)))),IF($B$496="Лікар-педіатр",IF(L500&lt;Законод!$C$18,0,(IF(AND(L500&gt;=Законод!$I$18,L500&lt;=Законод!$I$19),L500-Законод!$H$19,IF('01_Доходи'!L500&gt;=Законод!$I$18,Законод!$H$20,0)))),IF($B$496="Лікар-терапевт",IF(L500&lt;Законод!$C$26,0,(IF(AND(L500&gt;=Законод!$I$26,L500&lt;=Законод!$I$27),L500-Законод!$H$27,IF('01_Доходи'!L500&gt;=Законод!$I$26,Законод!$H$28,0)))),0)))</f>
        <v>0</v>
      </c>
      <c r="M506" s="942"/>
      <c r="N506" s="935" t="s">
        <v>423</v>
      </c>
      <c r="O506" s="936"/>
      <c r="P506" s="936"/>
      <c r="Q506" s="936"/>
      <c r="R506" s="937"/>
      <c r="S506" s="196">
        <f ca="1">IF($B$496="Лікар загальної практики - сімейний лікар",IF(S500&lt;Законод!$C$22,0,(IF(AND(S500&gt;=Законод!$I$22,S500&lt;=Законод!$I$23),S500-Законод!$H$23,IF('01_Доходи'!S500&gt;=Законод!$I$22,Законод!$I$24,0)))),IF($B$496="Лікар-педіатр",IF(S500&lt;Законод!$C$18,0,(IF(AND(S500&gt;=Законод!$I$18,S500&lt;=Законод!$I$19),S500-Законод!$H$19,IF('01_Доходи'!S500&gt;=Законод!$I$18,Законод!$H$20,0)))),IF($B$496="Лікар-терапевт",IF(S500&lt;Законод!$C$26,0,(IF(AND(S500&gt;=Законод!$I$26,S500&lt;=Законод!$I$27),S500-Законод!$H$27,IF('01_Доходи'!S500&gt;=Законод!$I$26,Законод!$H$28,0)))),0)))</f>
        <v>0</v>
      </c>
      <c r="T506" s="942"/>
      <c r="U506" s="935" t="s">
        <v>423</v>
      </c>
      <c r="V506" s="936"/>
      <c r="W506" s="936"/>
      <c r="X506" s="936"/>
      <c r="Y506" s="937"/>
      <c r="Z506" s="196">
        <f ca="1">IF($B$496="Лікар загальної практики - сімейний лікар",IF(Z500&lt;Законод!$C$22,0,(IF(AND(Z500&gt;=Законод!$I$22,Z500&lt;=Законод!$I$23),Z500-Законод!$H$23,IF('01_Доходи'!Z500&gt;=Законод!$I$22,Законод!$I$24,0)))),IF($B$496="Лікар-педіатр",IF(Z500&lt;Законод!$C$18,0,(IF(AND(Z500&gt;=Законод!$I$18,Z500&lt;=Законод!$I$19),Z500-Законод!$H$19,IF('01_Доходи'!Z500&gt;=Законод!$I$18,Законод!$H$20,0)))),IF($B$496="Лікар-терапевт",IF(Z500&lt;Законод!$C$26,0,(IF(AND(Z500&gt;=Законод!$I$26,Z500&lt;=Законод!$I$27),Z500-Законод!$H$27,IF('01_Доходи'!Z500&gt;=Законод!$I$26,Законод!$H$28,0)))),0)))</f>
        <v>0</v>
      </c>
      <c r="AA506" s="942"/>
      <c r="AB506" s="935" t="s">
        <v>423</v>
      </c>
      <c r="AC506" s="936"/>
      <c r="AD506" s="936"/>
      <c r="AE506" s="936"/>
      <c r="AF506" s="937"/>
      <c r="AG506" s="196">
        <f ca="1">IF($B$496="Лікар загальної практики - сімейний лікар",IF(AG500&lt;Законод!$C$22,0,(IF(AND(AG500&gt;=Законод!$I$22,AG500&lt;=Законод!$I$23),AG500-Законод!$H$23,IF('01_Доходи'!AG500&gt;=Законод!$I$22,Законод!$I$24,0)))),IF($B$496="Лікар-педіатр",IF(AG500&lt;Законод!$C$18,0,(IF(AND(AG500&gt;=Законод!$I$18,AG500&lt;=Законод!$I$19),AG500-Законод!$H$19,IF('01_Доходи'!AG500&gt;=Законод!$I$18,Законод!$H$20,0)))),IF($B$496="Лікар-терапевт",IF(AG500&lt;Законод!$C$26,0,(IF(AND(AG500&gt;=Законод!$I$26,AG500&lt;=Законод!$I$27),AG500-Законод!$H$27,IF('01_Доходи'!AG500&gt;=Законод!$I$26,Законод!$H$28,0)))),0)))</f>
        <v>0</v>
      </c>
      <c r="AH506" s="942"/>
      <c r="AI506" s="201"/>
      <c r="AJ506" s="945"/>
      <c r="AK506" s="960"/>
      <c r="AL506" s="960"/>
      <c r="AM506" s="927"/>
      <c r="AN506" s="210">
        <f ca="1">IF(B496="Лікар загальної практики - сімейний лікар",L506*Законод!$C$9/4*Законод!$I$16,IF(B496="Лікар-педіатр",L506*Законод!$C$9/4*Законод!$I$16,IF(B496="Лікар-терапевт",L506*Законод!$C$9/4*Законод!$I$16,0)))</f>
        <v>0</v>
      </c>
      <c r="AO506" s="210">
        <f ca="1">IF(B496="Лікар загальної практики - сімейний лікар",S506*Законод!$C$9/4*Законод!$I$16,IF(B496="Лікар-педіатр",S506*Законод!$C$9/4*Законод!$I$16,IF(B496="Лікар-терапевт",S506*Законод!$C$9/4*Законод!$I$16,0)))</f>
        <v>0</v>
      </c>
      <c r="AP506" s="210">
        <f ca="1">IF(B496="Лікар загальної практики - сімейний лікар",Z506*Законод!$C$9/4*Законод!$I$16,IF(B496="Лікар-педіатр",Z506*Законод!$C$9/4*Законод!$I$16,IF(B496="Лікар-терапевт",Z506*Законод!$C$9/4*Законод!$I$16,0)))</f>
        <v>0</v>
      </c>
      <c r="AQ506" s="210">
        <f ca="1">IF(B496="Лікар загальної практики - сімейний лікар",AG506*Законод!$C$9/4*Законод!$I$16,IF(B496="Лікар-педіатр",AG506*Законод!$C$9/4*Законод!$I$16,IF(B496="Лікар-терапевт",AG506*Законод!$C$9/4*Законод!$I$16,0)))</f>
        <v>0</v>
      </c>
      <c r="AR506" s="211">
        <f t="shared" si="78"/>
        <v>0</v>
      </c>
    </row>
    <row r="507" spans="1:44" s="218" customFormat="1" ht="31.9" hidden="1" customHeight="1" thickBot="1">
      <c r="A507" s="213"/>
      <c r="B507" s="952"/>
      <c r="C507" s="955"/>
      <c r="D507" s="958"/>
      <c r="E507" s="940"/>
      <c r="F507" s="239" t="str">
        <f ca="1">IF(B496="Лікар-педіатр",Законод!$J$17,IF(B496="Лікар загальної практики - сімейний лікар",Законод!$J$21,IF(B496="Лікар-терапевт",Законод!$J$25,"х")))</f>
        <v>х</v>
      </c>
      <c r="G507" s="932" t="s">
        <v>423</v>
      </c>
      <c r="H507" s="933"/>
      <c r="I507" s="933"/>
      <c r="J507" s="933"/>
      <c r="K507" s="934"/>
      <c r="L507" s="196">
        <f ca="1">IF($B$496="Лікар загальної практики - сімейний лікар",IF(L500&gt;=Законод!$J$22,'01_Доходи'!L500-('01_Доходи'!L501+'01_Доходи'!L502+'01_Доходи'!L503+'01_Доходи'!L504+'01_Доходи'!L505+'01_Доходи'!L506),0),IF($B$496="Лікар-педіатр",IF(L500&gt;=Законод!$J$18,'01_Доходи'!L500-('01_Доходи'!L501+'01_Доходи'!L502+'01_Доходи'!L503+'01_Доходи'!L504+'01_Доходи'!L505+'01_Доходи'!L506),0),IF($B$496="Лікар-терапевт",IF('01_Доходи'!L500&gt;=Законод!$J$26,L500-Законод!$I$27,0),0)))</f>
        <v>0</v>
      </c>
      <c r="M507" s="943"/>
      <c r="N507" s="932" t="s">
        <v>423</v>
      </c>
      <c r="O507" s="933"/>
      <c r="P507" s="933"/>
      <c r="Q507" s="933"/>
      <c r="R507" s="934"/>
      <c r="S507" s="196">
        <f ca="1">IF($B$496="Лікар загальної практики - сімейний лікар",IF(S500&gt;=Законод!$J$22,'01_Доходи'!S500-('01_Доходи'!S501+'01_Доходи'!S502+'01_Доходи'!S503+'01_Доходи'!S504+'01_Доходи'!S505+'01_Доходи'!S506),0),IF($B$496="Лікар-педіатр",IF(S500&gt;=Законод!$J$18,'01_Доходи'!S500-('01_Доходи'!S501+'01_Доходи'!S502+'01_Доходи'!S503+'01_Доходи'!S504+'01_Доходи'!S505+'01_Доходи'!S506),0),IF($B$496="Лікар-терапевт",IF('01_Доходи'!S500&gt;=Законод!$J$26,S500-Законод!$I$27,0),0)))</f>
        <v>0</v>
      </c>
      <c r="T507" s="943"/>
      <c r="U507" s="932" t="s">
        <v>423</v>
      </c>
      <c r="V507" s="933"/>
      <c r="W507" s="933"/>
      <c r="X507" s="933"/>
      <c r="Y507" s="934"/>
      <c r="Z507" s="196">
        <f ca="1">IF($B$496="Лікар загальної практики - сімейний лікар",IF(Z500&gt;=Законод!$J$22,'01_Доходи'!Z500-('01_Доходи'!Z501+'01_Доходи'!Z502+'01_Доходи'!Z503+'01_Доходи'!Z504+'01_Доходи'!Z505+'01_Доходи'!Z506),0),IF($B$496="Лікар-педіатр",IF(Z500&gt;=Законод!$J$18,'01_Доходи'!Z500-('01_Доходи'!Z501+'01_Доходи'!Z502+'01_Доходи'!Z503+'01_Доходи'!Z504+'01_Доходи'!Z505+'01_Доходи'!Z506),0),IF($B$496="Лікар-терапевт",IF('01_Доходи'!Z500&gt;=Законод!$J$26,Z500-Законод!$I$27,0),0)))</f>
        <v>0</v>
      </c>
      <c r="AA507" s="943"/>
      <c r="AB507" s="932" t="s">
        <v>423</v>
      </c>
      <c r="AC507" s="933"/>
      <c r="AD507" s="933"/>
      <c r="AE507" s="933"/>
      <c r="AF507" s="934"/>
      <c r="AG507" s="196">
        <f ca="1">IF($B$496="Лікар загальної практики - сімейний лікар",IF(AG500&gt;=Законод!$J$22,'01_Доходи'!AG500-('01_Доходи'!AG501+'01_Доходи'!AG502+'01_Доходи'!AG503+'01_Доходи'!AG504+'01_Доходи'!AG505+'01_Доходи'!AG506),0),IF($B$496="Лікар-педіатр",IF(AG500&gt;=Законод!$J$18,'01_Доходи'!AG500-('01_Доходи'!AG501+'01_Доходи'!AG502+'01_Доходи'!AG503+'01_Доходи'!AG504+'01_Доходи'!AG505+'01_Доходи'!AG506),0),IF($B$496="Лікар-терапевт",IF('01_Доходи'!AG500&gt;=Законод!$J$26,AG500-Законод!$I$27,0),0)))</f>
        <v>0</v>
      </c>
      <c r="AH507" s="943"/>
      <c r="AI507" s="215"/>
      <c r="AJ507" s="946"/>
      <c r="AK507" s="961"/>
      <c r="AL507" s="961"/>
      <c r="AM507" s="928"/>
      <c r="AN507" s="216">
        <f ca="1">IF(B496="Лікар загальної практики - сімейний лікар",L507*Законод!$C$9/4*Законод!$J$16,IF(B496="Лікар-педіатр",L507*Законод!$C$9/4*Законод!$J$16,IF(B496="Лікар-терапевт",L507*Законод!$C$9/4*Законод!$J$16,0)))</f>
        <v>0</v>
      </c>
      <c r="AO507" s="216">
        <f ca="1">IF(B496="Лікар загальної практики - сімейний лікар",S507*Законод!$C$9/4*Законод!$J$16,IF(B496="Лікар-педіатр",S507*Законод!$C$9/4*Законод!$J$16,IF(B496="Лікар-терапевт",S507*Законод!$C$9/4*Законод!$J$16,0)))</f>
        <v>0</v>
      </c>
      <c r="AP507" s="216">
        <f ca="1">IF(B496="Лікар загальної практики - сімейний лікар",S507*Законод!$C$9/4*Законод!$J$16,IF(B496="Лікар-педіатр",S507*Законод!$C$9/4*Законод!$J$16,IF(B496="Лікар-терапевт",S507*Законод!$C$9/4*Законод!$J$16,0)))</f>
        <v>0</v>
      </c>
      <c r="AQ507" s="216">
        <f ca="1">IF(B496="Лікар загальної практики - сімейний лікар",AG507*Законод!$C$9/4*Законод!$J$16,IF(B496="Лікар-педіатр",AG507*Законод!$C$9/4*Законод!$J$16,IF(B496="Лікар-терапевт",AG507*Законод!$C$9/4*Законод!$J$16,0)))</f>
        <v>0</v>
      </c>
      <c r="AR507" s="217">
        <f t="shared" si="78"/>
        <v>0</v>
      </c>
    </row>
    <row r="508" spans="1:44" s="247" customFormat="1" ht="23.45" hidden="1" customHeight="1" thickBot="1">
      <c r="A508" s="243"/>
      <c r="B508" s="244"/>
      <c r="C508" s="244"/>
      <c r="D508" s="244"/>
      <c r="E508" s="244"/>
      <c r="F508" s="245"/>
      <c r="G508" s="246"/>
      <c r="H508" s="246"/>
      <c r="L508" s="248"/>
      <c r="S508" s="248"/>
      <c r="Z508" s="248"/>
      <c r="AG508" s="248"/>
      <c r="AM508" s="249"/>
      <c r="AR508" s="250"/>
    </row>
    <row r="509" spans="1:44" s="191" customFormat="1" ht="24.6" hidden="1" customHeight="1">
      <c r="A509" s="194">
        <f>A496+1</f>
        <v>37</v>
      </c>
      <c r="B509" s="950"/>
      <c r="C509" s="953"/>
      <c r="D509" s="956"/>
      <c r="E509" s="938"/>
      <c r="F509" s="234" t="s">
        <v>659</v>
      </c>
      <c r="G509" s="196">
        <f>IF($B$509="Лікар-педіатр",G512*L509,IF($B$509="Лікар-терапевт","х",IF($B$509="Лікар загальної практики - сімейний лікар",G512*L509,0)))</f>
        <v>0</v>
      </c>
      <c r="H509" s="196">
        <f>IF($B$509="Лікар-педіатр",H512*L509,IF($B$509="Лікар-терапевт","х",IF($B$509="Лікар загальної практики - сімейний лікар",H512*L509,0)))</f>
        <v>0</v>
      </c>
      <c r="I509" s="196">
        <f>IF($B$509="Лікар-педіатр","x",IF($B$509="Лікар-терапевт",I512*L509,IF($B$509="Лікар загальної практики - сімейний лікар",I512*L509,0)))</f>
        <v>0</v>
      </c>
      <c r="J509" s="196">
        <f>IF($B$509="Лікар-педіатр","x",IF($B$509="Лікар-терапевт",J512*L509,IF($B$509="Лікар загальної практики - сімейний лікар",J512*L509,0)))</f>
        <v>0</v>
      </c>
      <c r="K509" s="196">
        <f>IF($B$509="Лікар-педіатр","x",IF($B$509="Лікар-терапевт",K512*L509,IF($B$509="Лікар загальної практики - сімейний лікар",K512*L509,0)))</f>
        <v>0</v>
      </c>
      <c r="L509" s="557"/>
      <c r="M509" s="941"/>
      <c r="N509" s="196">
        <f>IF($B$509="Лікар-педіатр",N512*S509,IF($B$509="Лікар-терапевт","х",IF($B$509="Лікар загальної практики - сімейний лікар",N512*S509,0)))</f>
        <v>0</v>
      </c>
      <c r="O509" s="196">
        <f>IF($B$509="Лікар-педіатр",O512*S509,IF($B$509="Лікар-терапевт","х",IF($B$509="Лікар загальної практики - сімейний лікар",O512*S509,0)))</f>
        <v>0</v>
      </c>
      <c r="P509" s="196">
        <f>IF($B$509="Лікар-педіатр","x",IF($B$509="Лікар-терапевт",P512*S509,IF($B$509="Лікар загальної практики - сімейний лікар",P512*S509,0)))</f>
        <v>0</v>
      </c>
      <c r="Q509" s="196">
        <f>IF($B$509="Лікар-педіатр","x",IF($B$509="Лікар-терапевт",Q512*S509,IF($B$509="Лікар загальної практики - сімейний лікар",Q512*S509,0)))</f>
        <v>0</v>
      </c>
      <c r="R509" s="196">
        <f>IF($B$509="Лікар-педіатр","x",IF($B$509="Лікар-терапевт",R512*S509,IF($B$509="Лікар загальної практики - сімейний лікар",R512*S509,0)))</f>
        <v>0</v>
      </c>
      <c r="S509" s="557"/>
      <c r="T509" s="941"/>
      <c r="U509" s="196">
        <f>IF($B$509="Лікар-педіатр",U512*Z509,IF($B$509="Лікар-терапевт","х",IF($B$509="Лікар загальної практики - сімейний лікар",U512*Z509,0)))</f>
        <v>0</v>
      </c>
      <c r="V509" s="196">
        <f>IF($B$509="Лікар-педіатр",V512*Z509,IF($B$509="Лікар-терапевт","х",IF($B$509="Лікар загальної практики - сімейний лікар",V512*Z509,0)))</f>
        <v>0</v>
      </c>
      <c r="W509" s="196">
        <f>IF($B$509="Лікар-педіатр","x",IF($B$509="Лікар-терапевт",W512*Z509,IF($B$509="Лікар загальної практики - сімейний лікар",W512*Z509,0)))</f>
        <v>0</v>
      </c>
      <c r="X509" s="196">
        <f>IF($B$509="Лікар-педіатр","x",IF($B$509="Лікар-терапевт",X512*Z509,IF($B$509="Лікар загальної практики - сімейний лікар",X512*Z509,0)))</f>
        <v>0</v>
      </c>
      <c r="Y509" s="196">
        <f>IF($B$509="Лікар-педіатр","x",IF($B$509="Лікар-терапевт",Y512*Z509,IF($B$509="Лікар загальної практики - сімейний лікар",Y512*Z509,0)))</f>
        <v>0</v>
      </c>
      <c r="Z509" s="557"/>
      <c r="AA509" s="941"/>
      <c r="AB509" s="196">
        <f>IF($B$509="Лікар-педіатр",AB512*AG509,IF($B$509="Лікар-терапевт","х",IF($B$509="Лікар загальної практики - сімейний лікар",AB512*AG509,0)))</f>
        <v>0</v>
      </c>
      <c r="AC509" s="196">
        <f>IF($B$509="Лікар-педіатр",AC512*AG509,IF($B$509="Лікар-терапевт","х",IF($B$509="Лікар загальної практики - сімейний лікар",AC512*AG509,0)))</f>
        <v>0</v>
      </c>
      <c r="AD509" s="196">
        <f>IF($B$509="Лікар-педіатр","x",IF($B$509="Лікар-терапевт",AD512*AG509,IF($B$509="Лікар загальної практики - сімейний лікар",AD512*AG509,0)))</f>
        <v>0</v>
      </c>
      <c r="AE509" s="196">
        <f>IF($B$509="Лікар-педіатр","x",IF($B$509="Лікар-терапевт",AE512*AG509,IF($B$509="Лікар загальної практики - сімейний лікар",AE512*AG509,0)))</f>
        <v>0</v>
      </c>
      <c r="AF509" s="196">
        <f>IF($B$509="Лікар-педіатр","x",IF($B$509="Лікар-терапевт",AF512*AG509,IF($B$509="Лікар загальної практики - сімейний лікар",AF512*AG509,0)))</f>
        <v>0</v>
      </c>
      <c r="AG509" s="557"/>
      <c r="AH509" s="941"/>
      <c r="AI509" s="540">
        <f>A509</f>
        <v>37</v>
      </c>
      <c r="AJ509" s="944">
        <f>B509</f>
        <v>0</v>
      </c>
      <c r="AK509" s="959">
        <f>C509</f>
        <v>0</v>
      </c>
      <c r="AL509" s="959">
        <f>D509</f>
        <v>0</v>
      </c>
      <c r="AM509" s="929" t="s">
        <v>79</v>
      </c>
      <c r="AN509" s="947">
        <f>SUM(AN514:AN520)</f>
        <v>0</v>
      </c>
      <c r="AO509" s="947">
        <f>SUM(AO514:AO520)</f>
        <v>0</v>
      </c>
      <c r="AP509" s="947">
        <f>SUM(AP514:AP520)</f>
        <v>0</v>
      </c>
      <c r="AQ509" s="947">
        <f>SUM(AQ514:AQ520)</f>
        <v>0</v>
      </c>
      <c r="AR509" s="962">
        <f>SUM(AN509:AQ513)</f>
        <v>0</v>
      </c>
    </row>
    <row r="510" spans="1:44" s="50" customFormat="1" ht="28.15" hidden="1" customHeight="1">
      <c r="A510" s="197"/>
      <c r="B510" s="951"/>
      <c r="C510" s="954"/>
      <c r="D510" s="957"/>
      <c r="E510" s="939"/>
      <c r="F510" s="234" t="s">
        <v>660</v>
      </c>
      <c r="G510" s="196">
        <f>IF($B$509="Лікар-педіатр",G512*L510,IF($B$509="Лікар-терапевт","х",IF($B$509="Лікар загальної практики - сімейний лікар",G512*L510,0)))</f>
        <v>0</v>
      </c>
      <c r="H510" s="196">
        <f>IF($B$509="Лікар-педіатр",H512*L510,IF($B$509="Лікар-терапевт","х",IF($B$509="Лікар загальної практики - сімейний лікар",H512*L510,0)))</f>
        <v>0</v>
      </c>
      <c r="I510" s="196">
        <f>IF($B$509="Лікар-педіатр","x",IF($B$509="Лікар-терапевт",I512*L510,IF($B$509="Лікар загальної практики - сімейний лікар",I512*L510,0)))</f>
        <v>0</v>
      </c>
      <c r="J510" s="196">
        <f>IF($B$509="Лікар-педіатр","x",IF($B$509="Лікар-терапевт",J512*L510,IF($B$509="Лікар загальної практики - сімейний лікар",J512*L510,0)))</f>
        <v>0</v>
      </c>
      <c r="K510" s="196">
        <f>IF($B$509="Лікар-педіатр","x",IF($B$509="Лікар-терапевт",K512*L510,IF($B$509="Лікар загальної практики - сімейний лікар",K512*L510,0)))</f>
        <v>0</v>
      </c>
      <c r="L510" s="557"/>
      <c r="M510" s="942"/>
      <c r="N510" s="196">
        <f>IF($B$509="Лікар-педіатр",N512*S510,IF($B$509="Лікар-терапевт","х",IF($B$509="Лікар загальної практики - сімейний лікар",N512*S510,0)))</f>
        <v>0</v>
      </c>
      <c r="O510" s="196">
        <f>IF($B$509="Лікар-педіатр",O512*S510,IF($B$509="Лікар-терапевт","х",IF($B$509="Лікар загальної практики - сімейний лікар",O512*S510,0)))</f>
        <v>0</v>
      </c>
      <c r="P510" s="196">
        <f>IF($B$509="Лікар-педіатр","x",IF($B$509="Лікар-терапевт",P512*S510,IF($B$509="Лікар загальної практики - сімейний лікар",P512*S510,0)))</f>
        <v>0</v>
      </c>
      <c r="Q510" s="196">
        <f>IF($B$509="Лікар-педіатр","x",IF($B$509="Лікар-терапевт",Q512*S510,IF($B$509="Лікар загальної практики - сімейний лікар",Q512*S510,0)))</f>
        <v>0</v>
      </c>
      <c r="R510" s="196">
        <f>IF($B$509="Лікар-педіатр","x",IF($B$509="Лікар-терапевт",R512*S510,IF($B$509="Лікар загальної практики - сімейний лікар",R512*S510,0)))</f>
        <v>0</v>
      </c>
      <c r="S510" s="557"/>
      <c r="T510" s="942"/>
      <c r="U510" s="196">
        <f>IF($B$509="Лікар-педіатр",U512*Z510,IF($B$509="Лікар-терапевт","х",IF($B$509="Лікар загальної практики - сімейний лікар",U512*Z510,0)))</f>
        <v>0</v>
      </c>
      <c r="V510" s="196">
        <f>IF($B$509="Лікар-педіатр",V512*Z510,IF($B$509="Лікар-терапевт","х",IF($B$509="Лікар загальної практики - сімейний лікар",V512*Z510,0)))</f>
        <v>0</v>
      </c>
      <c r="W510" s="196">
        <f>IF($B$509="Лікар-педіатр","x",IF($B$509="Лікар-терапевт",W512*Z510,IF($B$509="Лікар загальної практики - сімейний лікар",W512*Z510,0)))</f>
        <v>0</v>
      </c>
      <c r="X510" s="196">
        <f>IF($B$509="Лікар-педіатр","x",IF($B$509="Лікар-терапевт",X512*Z510,IF($B$509="Лікар загальної практики - сімейний лікар",X512*Z510,0)))</f>
        <v>0</v>
      </c>
      <c r="Y510" s="196">
        <f>IF($B$509="Лікар-педіатр","x",IF($B$509="Лікар-терапевт",Y512*Z510,IF($B$509="Лікар загальної практики - сімейний лікар",Y512*Z510,0)))</f>
        <v>0</v>
      </c>
      <c r="Z510" s="557"/>
      <c r="AA510" s="942"/>
      <c r="AB510" s="196">
        <f>IF($B$509="Лікар-педіатр",AB512*AG510,IF($B$509="Лікар-терапевт","х",IF($B$509="Лікар загальної практики - сімейний лікар",AB512*AG510,0)))</f>
        <v>0</v>
      </c>
      <c r="AC510" s="196">
        <f>IF($B$509="Лікар-педіатр",AC512*AG510,IF($B$509="Лікар-терапевт","х",IF($B$509="Лікар загальної практики - сімейний лікар",AC512*AG510,0)))</f>
        <v>0</v>
      </c>
      <c r="AD510" s="196">
        <f>IF($B$509="Лікар-педіатр","x",IF($B$509="Лікар-терапевт",AD512*AG510,IF($B$509="Лікар загальної практики - сімейний лікар",AD512*AG510,0)))</f>
        <v>0</v>
      </c>
      <c r="AE510" s="196">
        <f>IF($B$509="Лікар-педіатр","x",IF($B$509="Лікар-терапевт",AE512*AG510,IF($B$509="Лікар загальної практики - сімейний лікар",AE512*AG510,0)))</f>
        <v>0</v>
      </c>
      <c r="AF510" s="196">
        <f>IF($B$509="Лікар-педіатр","x",IF($B$509="Лікар-терапевт",AF512*AG510,IF($B$509="Лікар загальної практики - сімейний лікар",AF512*AG510,0)))</f>
        <v>0</v>
      </c>
      <c r="AG510" s="557"/>
      <c r="AH510" s="942"/>
      <c r="AI510" s="198"/>
      <c r="AJ510" s="945"/>
      <c r="AK510" s="960"/>
      <c r="AL510" s="960"/>
      <c r="AM510" s="930"/>
      <c r="AN510" s="948"/>
      <c r="AO510" s="948"/>
      <c r="AP510" s="948"/>
      <c r="AQ510" s="948"/>
      <c r="AR510" s="963"/>
    </row>
    <row r="511" spans="1:44" s="90" customFormat="1" ht="31.15" hidden="1" customHeight="1">
      <c r="A511" s="240"/>
      <c r="B511" s="951"/>
      <c r="C511" s="954"/>
      <c r="D511" s="957"/>
      <c r="E511" s="939"/>
      <c r="F511" s="241" t="s">
        <v>661</v>
      </c>
      <c r="G511" s="199">
        <f>IF(B509="Лікар загальної практики - сімейний лікар"," ",IF(B509="Лікар-педіатр"," ",IF(B509="Лікар-терапевт","х",0)))</f>
        <v>0</v>
      </c>
      <c r="H511" s="199">
        <f>IF(B509="Лікар загальної практики - сімейний лікар"," ",IF(B509="Лікар-педіатр"," ",IF(B509="Лікар-терапевт","х",0)))</f>
        <v>0</v>
      </c>
      <c r="I511" s="199">
        <f>IF(B509="Лікар загальної практики - сімейний лікар"," ",IF(B509="Лікар-педіатр","х",IF(B509="Лікар-терапевт"," ",0)))</f>
        <v>0</v>
      </c>
      <c r="J511" s="199">
        <f>IF(B509="Лікар загальної практики - сімейний лікар"," ",IF(B509="Лікар-педіатр","х",IF(B509="Лікар-терапевт"," ",0)))</f>
        <v>0</v>
      </c>
      <c r="K511" s="199">
        <f>IF(B509="Лікар загальної практики - сімейний лікар"," ",IF(B509="Лікар-педіатр","х",IF(B509="Лікар-терапевт"," ",0)))</f>
        <v>0</v>
      </c>
      <c r="L511" s="200">
        <f>SUM(G511:K511)</f>
        <v>0</v>
      </c>
      <c r="M511" s="942"/>
      <c r="N511" s="199">
        <f>IF(B509="Лікар загальної практики - сімейний лікар"," ",IF(B509="Лікар-педіатр"," ",IF(B509="Лікар-терапевт","х",0)))</f>
        <v>0</v>
      </c>
      <c r="O511" s="199">
        <f>IF(B509="Лікар загальної практики - сімейний лікар"," ",IF(B509="Лікар-педіатр"," ",IF(B509="Лікар-терапевт","х",0)))</f>
        <v>0</v>
      </c>
      <c r="P511" s="199">
        <f>IF(B509="Лікар загальної практики - сімейний лікар"," ",IF(B509="Лікар-педіатр","х",IF(B509="Лікар-терапевт"," ",0)))</f>
        <v>0</v>
      </c>
      <c r="Q511" s="199">
        <f>IF(B509="Лікар загальної практики - сімейний лікар"," ",IF(B509="Лікар-педіатр","х",IF(B509="Лікар-терапевт"," ",0)))</f>
        <v>0</v>
      </c>
      <c r="R511" s="199">
        <f>IF(B509="Лікар загальної практики - сімейний лікар"," ",IF(B509="Лікар-педіатр","х",IF(B509="Лікар-терапевт"," ",0)))</f>
        <v>0</v>
      </c>
      <c r="S511" s="200">
        <f>SUM(N511:R511)</f>
        <v>0</v>
      </c>
      <c r="T511" s="942"/>
      <c r="U511" s="199">
        <f>IF(B509="Лікар загальної практики - сімейний лікар"," ",IF(B509="Лікар-педіатр"," ",IF(B509="Лікар-терапевт","х",0)))</f>
        <v>0</v>
      </c>
      <c r="V511" s="199">
        <f>IF(B509="Лікар загальної практики - сімейний лікар"," ",IF(B509="Лікар-педіатр"," ",IF(B509="Лікар-терапевт","х",0)))</f>
        <v>0</v>
      </c>
      <c r="W511" s="199">
        <f>IF(B509="Лікар загальної практики - сімейний лікар"," ",IF(B509="Лікар-педіатр","х",IF(B509="Лікар-терапевт"," ",0)))</f>
        <v>0</v>
      </c>
      <c r="X511" s="199">
        <f>IF(B509="Лікар загальної практики - сімейний лікар"," ",IF(B509="Лікар-педіатр","х",IF(B509="Лікар-терапевт"," ",0)))</f>
        <v>0</v>
      </c>
      <c r="Y511" s="199">
        <f>IF(B509="Лікар загальної практики - сімейний лікар"," ",IF(B509="Лікар-педіатр","х",IF(B509="Лікар-терапевт"," ",0)))</f>
        <v>0</v>
      </c>
      <c r="Z511" s="200">
        <f>SUM(U511:Y511)</f>
        <v>0</v>
      </c>
      <c r="AA511" s="942"/>
      <c r="AB511" s="199">
        <f>IF(B509="Лікар загальної практики - сімейний лікар"," ",IF(B509="Лікар-педіатр"," ",IF(B509="Лікар-терапевт","х",0)))</f>
        <v>0</v>
      </c>
      <c r="AC511" s="199">
        <f>IF(B509="Лікар загальної практики - сімейний лікар"," ",IF(B509="Лікар-педіатр"," ",IF(B509="Лікар-терапевт","х",0)))</f>
        <v>0</v>
      </c>
      <c r="AD511" s="199">
        <f>IF(B509="Лікар загальної практики - сімейний лікар"," ",IF(B509="Лікар-педіатр","х",IF(B509="Лікар-терапевт"," ",0)))</f>
        <v>0</v>
      </c>
      <c r="AE511" s="199">
        <f>IF(B509="Лікар загальної практики - сімейний лікар"," ",IF(B509="Лікар-педіатр","х",IF(B509="Лікар-терапевт"," ",0)))</f>
        <v>0</v>
      </c>
      <c r="AF511" s="199">
        <f>IF(B509="Лікар загальної практики - сімейний лікар"," ",IF(B509="Лікар-педіатр","х",IF(B509="Лікар-терапевт"," ",0)))</f>
        <v>0</v>
      </c>
      <c r="AG511" s="200">
        <f>SUM(AB511:AF511)</f>
        <v>0</v>
      </c>
      <c r="AH511" s="942"/>
      <c r="AI511" s="242"/>
      <c r="AJ511" s="945"/>
      <c r="AK511" s="960"/>
      <c r="AL511" s="960"/>
      <c r="AM511" s="930"/>
      <c r="AN511" s="948"/>
      <c r="AO511" s="948"/>
      <c r="AP511" s="948"/>
      <c r="AQ511" s="948"/>
      <c r="AR511" s="963"/>
    </row>
    <row r="512" spans="1:44" s="50" customFormat="1" ht="31.9" hidden="1" customHeight="1" thickBot="1">
      <c r="A512" s="197"/>
      <c r="B512" s="951"/>
      <c r="C512" s="954"/>
      <c r="D512" s="957"/>
      <c r="E512" s="939"/>
      <c r="F512" s="236" t="s">
        <v>426</v>
      </c>
      <c r="G512" s="203">
        <f>IF($B$509="Лікар-педіатр",G511/L511,IF($B$509="Лікар-терапевт","х",IF($B$509="Лікар загальної практики - сімейний лікар",G511/L511,0)))</f>
        <v>0</v>
      </c>
      <c r="H512" s="203">
        <f>IF($B$509="Лікар-педіатр",H511/L511,IF($B$509="Лікар-терапевт","х",IF($B$509="Лікар загальної практики - сімейний лікар",H511/L511,0)))</f>
        <v>0</v>
      </c>
      <c r="I512" s="203">
        <f>IF($B$509="Лікар-педіатр","x",IF($B$509="Лікар-терапевт",I511/L511,IF($B$509="Лікар загальної практики - сімейний лікар",I511/L511,0)))</f>
        <v>0</v>
      </c>
      <c r="J512" s="203">
        <f>IF($B$509="Лікар-педіатр","x",IF($B$509="Лікар-терапевт",J511/L511,IF($B$509="Лікар загальної практики - сімейний лікар",J511/L511,0)))</f>
        <v>0</v>
      </c>
      <c r="K512" s="203">
        <f>IF($B$509="Лікар-педіатр","x",IF($B$509="Лікар-терапевт",K511/L511,IF($B$509="Лікар загальної практики - сімейний лікар",K511/L511,0)))</f>
        <v>0</v>
      </c>
      <c r="L512" s="203">
        <f>SUM(G512:K512)</f>
        <v>0</v>
      </c>
      <c r="M512" s="942"/>
      <c r="N512" s="203">
        <f>IF($B$509="Лікар-педіатр",N511/S511,IF($B$509="Лікар-терапевт","х",IF($B$509="Лікар загальної практики - сімейний лікар",N511/S511,0)))</f>
        <v>0</v>
      </c>
      <c r="O512" s="203">
        <f>IF($B$509="Лікар-педіатр",O511/S511,IF($B$509="Лікар-терапевт","х",IF($B$509="Лікар загальної практики - сімейний лікар",O511/S511,0)))</f>
        <v>0</v>
      </c>
      <c r="P512" s="203">
        <f>IF($B$509="Лікар-педіатр","x",IF($B$509="Лікар-терапевт",P511/S511,IF($B$509="Лікар загальної практики - сімейний лікар",P511/S511,0)))</f>
        <v>0</v>
      </c>
      <c r="Q512" s="203">
        <f>IF($B$509="Лікар-педіатр","x",IF($B$509="Лікар-терапевт",Q511/S511,IF($B$509="Лікар загальної практики - сімейний лікар",Q511/S511,0)))</f>
        <v>0</v>
      </c>
      <c r="R512" s="203">
        <f>IF($B$509="Лікар-педіатр","x",IF($B$509="Лікар-терапевт",R511/S511,IF($B$509="Лікар загальної практики - сімейний лікар",R511/S511,0)))</f>
        <v>0</v>
      </c>
      <c r="S512" s="203">
        <f>SUM(N512:R512)</f>
        <v>0</v>
      </c>
      <c r="T512" s="942"/>
      <c r="U512" s="203">
        <f>IF($B$509="Лікар-педіатр",U511/Z511,IF($B$509="Лікар-терапевт","х",IF($B$509="Лікар загальної практики - сімейний лікар",U511/Z511,0)))</f>
        <v>0</v>
      </c>
      <c r="V512" s="203">
        <f>IF($B$509="Лікар-педіатр",V511/Z511,IF($B$509="Лікар-терапевт","х",IF($B$509="Лікар загальної практики - сімейний лікар",V511/Z511,0)))</f>
        <v>0</v>
      </c>
      <c r="W512" s="203">
        <f>IF($B$509="Лікар-педіатр","x",IF($B$509="Лікар-терапевт",W511/Z511,IF($B$509="Лікар загальної практики - сімейний лікар",W511/Z511,0)))</f>
        <v>0</v>
      </c>
      <c r="X512" s="203">
        <f>IF($B$509="Лікар-педіатр","x",IF($B$509="Лікар-терапевт",X511/Z511,IF($B$509="Лікар загальної практики - сімейний лікар",X511/Z511,0)))</f>
        <v>0</v>
      </c>
      <c r="Y512" s="203">
        <f>IF($B$509="Лікар-педіатр","x",IF($B$509="Лікар-терапевт",Y511/Z511,IF($B$509="Лікар загальної практики - сімейний лікар",Y511/Z511,0)))</f>
        <v>0</v>
      </c>
      <c r="Z512" s="203">
        <f>SUM(U512:Y512)</f>
        <v>0</v>
      </c>
      <c r="AA512" s="942"/>
      <c r="AB512" s="203">
        <f>IF($B$509="Лікар-педіатр",AB511/AG511,IF($B$509="Лікар-терапевт","х",IF($B$509="Лікар загальної практики - сімейний лікар",AB511/AG511,0)))</f>
        <v>0</v>
      </c>
      <c r="AC512" s="203">
        <f>IF($B$509="Лікар-педіатр",AC511/AG511,IF($B$509="Лікар-терапевт","х",IF($B$509="Лікар загальної практики - сімейний лікар",AC511/AG511,0)))</f>
        <v>0</v>
      </c>
      <c r="AD512" s="203">
        <f>IF($B$509="Лікар-педіатр","x",IF($B$509="Лікар-терапевт",AD511/AG511,IF($B$509="Лікар загальної практики - сімейний лікар",AD511/AG511,0)))</f>
        <v>0</v>
      </c>
      <c r="AE512" s="203">
        <f>IF($B$509="Лікар-педіатр","x",IF($B$509="Лікар-терапевт",AE511/AG511,IF($B$509="Лікар загальної практики - сімейний лікар",AE511/AG511,0)))</f>
        <v>0</v>
      </c>
      <c r="AF512" s="203">
        <f>IF($B$509="Лікар-педіатр","x",IF($B$509="Лікар-терапевт",AF511/AG511,IF($B$509="Лікар загальної практики - сімейний лікар",AF511/AG511,0)))</f>
        <v>0</v>
      </c>
      <c r="AG512" s="203">
        <f>SUM(AB512:AF512)</f>
        <v>0</v>
      </c>
      <c r="AH512" s="942"/>
      <c r="AI512" s="201"/>
      <c r="AJ512" s="945"/>
      <c r="AK512" s="960"/>
      <c r="AL512" s="960"/>
      <c r="AM512" s="930"/>
      <c r="AN512" s="948"/>
      <c r="AO512" s="948"/>
      <c r="AP512" s="948"/>
      <c r="AQ512" s="948"/>
      <c r="AR512" s="963"/>
    </row>
    <row r="513" spans="1:44" s="50" customFormat="1" ht="45" hidden="1" customHeight="1" thickBot="1">
      <c r="A513" s="197"/>
      <c r="B513" s="951"/>
      <c r="C513" s="954"/>
      <c r="D513" s="957"/>
      <c r="E513" s="939"/>
      <c r="F513" s="204" t="s">
        <v>662</v>
      </c>
      <c r="G513" s="205">
        <f>IF($B$509="Лікар загальної практики - сімейний лікар",AVERAGE(G509:G511),IF($B$509="Лікар-педіатр",AVERAGE(G509:G511),IF($B$509="Лікар-терапевт","х",0)))</f>
        <v>0</v>
      </c>
      <c r="H513" s="205">
        <f>IF($B$509="Лікар загальної практики - сімейний лікар",AVERAGE(H509:H511),IF($B$509="Лікар-педіатр",AVERAGE(H509:H511),IF($B$509="Лікар-терапевт","х",0)))</f>
        <v>0</v>
      </c>
      <c r="I513" s="205">
        <f>IF($B$509="Лікар загальної практики - сімейний лікар",AVERAGE(I509:I511),IF($B$509="Лікар-педіатр","x",IF($B$509="Лікар-терапевт",AVERAGE(I509:I511),0)))</f>
        <v>0</v>
      </c>
      <c r="J513" s="205">
        <f>IF($B$509="Лікар загальної практики - сімейний лікар",AVERAGE(J509:J511),IF($B$509="Лікар-педіатр","x",IF($B$509="Лікар-терапевт",AVERAGE(J509:J511),0)))</f>
        <v>0</v>
      </c>
      <c r="K513" s="205">
        <f>IF($B$509="Лікар загальної практики - сімейний лікар",AVERAGE(K509:K511),IF($B$509="Лікар-педіатр","x",IF($B$509="Лікар-терапевт",AVERAGE(K509:K511),0)))</f>
        <v>0</v>
      </c>
      <c r="L513" s="206">
        <f>SUM(G513:K513)</f>
        <v>0</v>
      </c>
      <c r="M513" s="942"/>
      <c r="N513" s="205">
        <f>IF($B$509="Лікар загальної практики - сімейний лікар",AVERAGE(N509:N511),IF($B$509="Лікар-педіатр",AVERAGE(N509:N511),IF($B$509="Лікар-терапевт","х",0)))</f>
        <v>0</v>
      </c>
      <c r="O513" s="205">
        <f>IF($B$509="Лікар загальної практики - сімейний лікар",AVERAGE(O509:O511),IF($B$509="Лікар-педіатр",AVERAGE(O509:O511),IF($B$509="Лікар-терапевт","х",0)))</f>
        <v>0</v>
      </c>
      <c r="P513" s="205">
        <f>IF($B$509="Лікар загальної практики - сімейний лікар",AVERAGE(P509:P511),IF($B$509="Лікар-педіатр","x",IF($B$509="Лікар-терапевт",AVERAGE(P509:P511),0)))</f>
        <v>0</v>
      </c>
      <c r="Q513" s="205">
        <f>IF($B$509="Лікар загальної практики - сімейний лікар",AVERAGE(Q509:Q511),IF($B$509="Лікар-педіатр","x",IF($B$509="Лікар-терапевт",AVERAGE(Q509:Q511),0)))</f>
        <v>0</v>
      </c>
      <c r="R513" s="205">
        <f>IF($B$509="Лікар загальної практики - сімейний лікар",AVERAGE(R509:R511),IF($B$509="Лікар-педіатр","x",IF($B$509="Лікар-терапевт",AVERAGE(R509:R511),0)))</f>
        <v>0</v>
      </c>
      <c r="S513" s="206">
        <f>SUM(N513:R513)</f>
        <v>0</v>
      </c>
      <c r="T513" s="942"/>
      <c r="U513" s="205">
        <f>IF($B$509="Лікар загальної практики - сімейний лікар",AVERAGE(U509:U511),IF($B$509="Лікар-педіатр",AVERAGE(U509:U511),IF($B$509="Лікар-терапевт","х",0)))</f>
        <v>0</v>
      </c>
      <c r="V513" s="205">
        <f>IF($B$509="Лікар загальної практики - сімейний лікар",AVERAGE(V509:V511),IF($B$509="Лікар-педіатр",AVERAGE(V509:V511),IF($B$509="Лікар-терапевт","х",0)))</f>
        <v>0</v>
      </c>
      <c r="W513" s="205">
        <f>IF($B$509="Лікар загальної практики - сімейний лікар",AVERAGE(W509:W511),IF($B$509="Лікар-педіатр","x",IF($B$509="Лікар-терапевт",AVERAGE(W509:W511),0)))</f>
        <v>0</v>
      </c>
      <c r="X513" s="205">
        <f>IF($B$509="Лікар загальної практики - сімейний лікар",AVERAGE(X509:X511),IF($B$509="Лікар-педіатр","x",IF($B$509="Лікар-терапевт",AVERAGE(X509:X511),0)))</f>
        <v>0</v>
      </c>
      <c r="Y513" s="205">
        <f>IF($B$509="Лікар загальної практики - сімейний лікар",AVERAGE(Y509:Y511),IF($B$509="Лікар-педіатр","x",IF($B$509="Лікар-терапевт",AVERAGE(Y509:Y511),0)))</f>
        <v>0</v>
      </c>
      <c r="Z513" s="206">
        <f>SUM(U513:Y513)</f>
        <v>0</v>
      </c>
      <c r="AA513" s="942"/>
      <c r="AB513" s="205">
        <f>IF($B$509="Лікар загальної практики - сімейний лікар",AVERAGE(AB509:AB511),IF($B$509="Лікар-педіатр",AVERAGE(AB509:AB511),IF($B$509="Лікар-терапевт","х",0)))</f>
        <v>0</v>
      </c>
      <c r="AC513" s="205">
        <f>IF($B$509="Лікар загальної практики - сімейний лікар",AVERAGE(AC509:AC511),IF($B$509="Лікар-педіатр",AVERAGE(AC509:AC511),IF($B$509="Лікар-терапевт","х",0)))</f>
        <v>0</v>
      </c>
      <c r="AD513" s="205">
        <f>IF($B$509="Лікар загальної практики - сімейний лікар",AVERAGE(AD509:AD511),IF($B$509="Лікар-педіатр","x",IF($B$509="Лікар-терапевт",AVERAGE(AD509:AD511),0)))</f>
        <v>0</v>
      </c>
      <c r="AE513" s="205">
        <f>IF($B$509="Лікар загальної практики - сімейний лікар",AVERAGE(AE509:AE511),IF($B$509="Лікар-педіатр","x",IF($B$509="Лікар-терапевт",AVERAGE(AE509:AE511),0)))</f>
        <v>0</v>
      </c>
      <c r="AF513" s="205">
        <f>IF($B$509="Лікар загальної практики - сімейний лікар",AVERAGE(AF509:AF511),IF($B$509="Лікар-педіатр","x",IF($B$509="Лікар-терапевт",AVERAGE(AF509:AF511),0)))</f>
        <v>0</v>
      </c>
      <c r="AG513" s="206">
        <f>SUM(AB513:AF513)</f>
        <v>0</v>
      </c>
      <c r="AH513" s="942"/>
      <c r="AI513" s="201"/>
      <c r="AJ513" s="945"/>
      <c r="AK513" s="960"/>
      <c r="AL513" s="960"/>
      <c r="AM513" s="931"/>
      <c r="AN513" s="949"/>
      <c r="AO513" s="949"/>
      <c r="AP513" s="949"/>
      <c r="AQ513" s="949"/>
      <c r="AR513" s="964"/>
    </row>
    <row r="514" spans="1:44" s="50" customFormat="1" ht="40.5" hidden="1">
      <c r="A514" s="197"/>
      <c r="B514" s="951"/>
      <c r="C514" s="954"/>
      <c r="D514" s="957"/>
      <c r="E514" s="939"/>
      <c r="F514" s="237" t="str">
        <f ca="1">IF(B509="Лікар-педіатр",Законод!$C$17,IF(B509="Лікар загальної практики - сімейний лікар",Законод!$C$21,IF(B509="Лікар-терапевт",Законод!$C$25,"х")))</f>
        <v>х</v>
      </c>
      <c r="G514" s="208">
        <f ca="1">IF($B$509="Лікар загальної практики - сімейний лікар",IF(L513&lt;=Законод!$C$22,G513,Законод!$C$22*'01_Доходи'!G512),IF($B$509="Лікар-педіатр",IF(L513&lt;=Законод!$C$18,G513,Законод!$C$18*'01_Доходи'!G512),IF($B$509="Лікар-терапевт","x",0)))</f>
        <v>0</v>
      </c>
      <c r="H514" s="208">
        <f ca="1">IF($B$509="Лікар загальної практики - сімейний лікар",IF(L513&lt;=Законод!$C$22,H513,Законод!$C$22*'01_Доходи'!H512),IF($B$509="Лікар-педіатр",IF(L513&lt;=Законод!$C$18,H513,Законод!$C$18*'01_Доходи'!H512),IF($B$509="Лікар-терапевт","x",0)))</f>
        <v>0</v>
      </c>
      <c r="I514" s="208">
        <f ca="1">IF($B$509="Лікар загальної практики - сімейний лікар",IF(L513&lt;=Законод!$C$22,I513,Законод!$C$22*'01_Доходи'!I512),IF($B$509="Лікар-педіатр","x",IF($B$509="Лікар-терапевт",IF(L513&lt;=Законод!$C$26,I513,Законод!$C$26*'01_Доходи'!I512),0)))</f>
        <v>0</v>
      </c>
      <c r="J514" s="208">
        <f ca="1">IF($B$509="Лікар загальної практики - сімейний лікар",IF(L513&lt;=Законод!$C$22,J513,Законод!$C$22*'01_Доходи'!J512),IF($B$509="Лікар-педіатр","x",IF($B$509="Лікар-терапевт",IF(L513&lt;=Законод!$C$26,J513,Законод!$C$26*'01_Доходи'!J512),0)))</f>
        <v>0</v>
      </c>
      <c r="K514" s="208">
        <f ca="1">IF($B$509="Лікар загальної практики - сімейний лікар",IF(L513&lt;=Законод!$C$22,K513,Законод!$C$22*'01_Доходи'!K512),IF($B$509="Лікар-педіатр","x",IF($B$509="Лікар-терапевт",IF(L513&lt;=Законод!$C$26,K513,Законод!$C$26*'01_Доходи'!K512),0)))</f>
        <v>0</v>
      </c>
      <c r="L514" s="209">
        <f ca="1">SUM(G514:K514)</f>
        <v>0</v>
      </c>
      <c r="M514" s="942"/>
      <c r="N514" s="208">
        <f ca="1">IF($B$509="Лікар загальної практики - сімейний лікар",IF(S513&lt;=Законод!$C$22,N513,Законод!$C$22*'01_Доходи'!N512),IF($B$509="Лікар-педіатр",IF(S513&lt;=Законод!$C$18,N513,Законод!$C$18*'01_Доходи'!N512),IF($B$509="Лікар-терапевт","x",0)))</f>
        <v>0</v>
      </c>
      <c r="O514" s="208">
        <f ca="1">IF($B$509="Лікар загальної практики - сімейний лікар",IF(S513&lt;=Законод!$C$22,O513,Законод!$C$22*'01_Доходи'!O512),IF($B$509="Лікар-педіатр",IF(S513&lt;=Законод!$C$18,O513,Законод!$C$18*'01_Доходи'!O512),IF($B$509="Лікар-терапевт","x",0)))</f>
        <v>0</v>
      </c>
      <c r="P514" s="208">
        <f ca="1">IF($B$509="Лікар загальної практики - сімейний лікар",IF(S513&lt;=Законод!$C$22,P513,Законод!$C$22*'01_Доходи'!P512),IF($B$509="Лікар-педіатр","x",IF($B$509="Лікар-терапевт",IF(S513&lt;=Законод!$C$26,P513,Законод!$C$26*'01_Доходи'!P512),0)))</f>
        <v>0</v>
      </c>
      <c r="Q514" s="208">
        <f ca="1">IF($B$509="Лікар загальної практики - сімейний лікар",IF(S513&lt;=Законод!$C$22,Q513,Законод!$C$22*'01_Доходи'!Q512),IF($B$509="Лікар-педіатр","x",IF($B$509="Лікар-терапевт",IF(S513&lt;=Законод!$C$26,Q513,Законод!$C$26*'01_Доходи'!Q512),0)))</f>
        <v>0</v>
      </c>
      <c r="R514" s="208">
        <f ca="1">IF($B$509="Лікар загальної практики - сімейний лікар",IF(S513&lt;=Законод!$C$22,R513,Законод!$C$22*'01_Доходи'!R512),IF($B$509="Лікар-педіатр","x",IF($B$509="Лікар-терапевт",IF(S513&lt;=Законод!$C$26,R513,Законод!$C$26*'01_Доходи'!R512),0)))</f>
        <v>0</v>
      </c>
      <c r="S514" s="209">
        <f ca="1">SUM(N514:R514)</f>
        <v>0</v>
      </c>
      <c r="T514" s="942"/>
      <c r="U514" s="208">
        <f ca="1">IF($B$509="Лікар загальної практики - сімейний лікар",IF(Z513&lt;=Законод!$C$22,U513,Законод!$C$22*'01_Доходи'!U512),IF($B$509="Лікар-педіатр",IF(Z513&lt;=Законод!$C$18,U513,Законод!$C$18*'01_Доходи'!U512),IF($B$509="Лікар-терапевт","x",0)))</f>
        <v>0</v>
      </c>
      <c r="V514" s="208">
        <f ca="1">IF($B$509="Лікар загальної практики - сімейний лікар",IF(Z513&lt;=Законод!$C$22,V513,Законод!$C$22*'01_Доходи'!V512),IF($B$509="Лікар-педіатр",IF(Z513&lt;=Законод!$C$18,V513,Законод!$C$18*'01_Доходи'!V512),IF($B$509="Лікар-терапевт","x",0)))</f>
        <v>0</v>
      </c>
      <c r="W514" s="208">
        <f ca="1">IF($B$509="Лікар загальної практики - сімейний лікар",IF(Z513&lt;=Законод!$C$22,W513,Законод!$C$22*'01_Доходи'!W512),IF($B$509="Лікар-педіатр","x",IF($B$509="Лікар-терапевт",IF(Z513&lt;=Законод!$C$26,W513,Законод!$C$26*'01_Доходи'!W512),0)))</f>
        <v>0</v>
      </c>
      <c r="X514" s="208">
        <f ca="1">IF($B$509="Лікар загальної практики - сімейний лікар",IF(Z513&lt;=Законод!$C$22,X513,Законод!$C$22*'01_Доходи'!X512),IF($B$509="Лікар-педіатр","x",IF($B$509="Лікар-терапевт",IF(Z513&lt;=Законод!$C$26,X513,Законод!$C$26*'01_Доходи'!X512),0)))</f>
        <v>0</v>
      </c>
      <c r="Y514" s="208">
        <f ca="1">IF($B$509="Лікар загальної практики - сімейний лікар",IF(Z513&lt;=Законод!$C$22,Y513,Законод!$C$22*'01_Доходи'!Y512),IF($B$509="Лікар-педіатр","x",IF($B$509="Лікар-терапевт",IF(Z513&lt;=Законод!$C$26,Y513,Законод!$C$26*'01_Доходи'!Y512),0)))</f>
        <v>0</v>
      </c>
      <c r="Z514" s="209">
        <f ca="1">SUM(U514:Y514)</f>
        <v>0</v>
      </c>
      <c r="AA514" s="942"/>
      <c r="AB514" s="208">
        <f ca="1">IF($B$509="Лікар загальної практики - сімейний лікар",IF(AG513&lt;=Законод!$C$22,AB513,Законод!$C$22*'01_Доходи'!AB512),IF($B$509="Лікар-педіатр",IF(AG513&lt;=Законод!$C$18,AB513,Законод!$C$18*'01_Доходи'!AB512),IF($B$509="Лікар-терапевт","x",0)))</f>
        <v>0</v>
      </c>
      <c r="AC514" s="208">
        <f ca="1">IF($B$509="Лікар загальної практики - сімейний лікар",IF(AG513&lt;=Законод!$C$22,AC513,Законод!$C$22*'01_Доходи'!AC512),IF($B$509="Лікар-педіатр",IF(AG513&lt;=Законод!$C$18,AC513,Законод!$C$18*'01_Доходи'!AC512),IF($B$509="Лікар-терапевт","x",0)))</f>
        <v>0</v>
      </c>
      <c r="AD514" s="208">
        <f ca="1">IF($B$509="Лікар загальної практики - сімейний лікар",IF(AG513&lt;=Законод!$C$22,AD513,Законод!$C$22*'01_Доходи'!AD512),IF($B$509="Лікар-педіатр","x",IF($B$509="Лікар-терапевт",IF(AG513&lt;=Законод!$C$26,AD513,Законод!$C$26*'01_Доходи'!AD512),0)))</f>
        <v>0</v>
      </c>
      <c r="AE514" s="208">
        <f ca="1">IF($B$509="Лікар загальної практики - сімейний лікар",IF(AG513&lt;=Законод!$C$22,AE513,Законод!$C$22*'01_Доходи'!AE512),IF($B$509="Лікар-педіатр","x",IF($B$509="Лікар-терапевт",IF(AG513&lt;=Законод!$C$26,AE513,Законод!$C$26*'01_Доходи'!AE512),0)))</f>
        <v>0</v>
      </c>
      <c r="AF514" s="208">
        <f ca="1">IF($B$509="Лікар загальної практики - сімейний лікар",IF(AG513&lt;=Законод!$C$22,AF513,Законод!$C$22*'01_Доходи'!AF512),IF($B$509="Лікар-педіатр","x",IF($B$509="Лікар-терапевт",IF(AG513&lt;=Законод!$C$26,AF513,Законод!$C$26*'01_Доходи'!AF512),0)))</f>
        <v>0</v>
      </c>
      <c r="AG514" s="209">
        <f ca="1">SUM(AB514:AF514)</f>
        <v>0</v>
      </c>
      <c r="AH514" s="942"/>
      <c r="AI514" s="201"/>
      <c r="AJ514" s="945"/>
      <c r="AK514" s="960"/>
      <c r="AL514" s="960"/>
      <c r="AM514" s="348" t="s">
        <v>451</v>
      </c>
      <c r="AN514" s="210">
        <f ca="1">IF(B509="Лікар загальної практики - сімейний лікар",G514*Законод!$C$11+'01_Доходи'!H514*Законод!$D$11+'01_Доходи'!I514*Законод!$E$11+'01_Доходи'!J514*Законод!$F$11+'01_Доходи'!K514*Законод!$G$11,IF(B509="Лікар-педіатр",G514*Законод!$C$11+'01_Доходи'!H514*Законод!$D$11,IF(B509="Лікар-терапевт",'01_Доходи'!I514*Законод!$E$11+'01_Доходи'!J514*Законод!$F$11+'01_Доходи'!K514*Законод!$G$11,0)))</f>
        <v>0</v>
      </c>
      <c r="AO514" s="210">
        <f ca="1">IF(B509="Лікар загальної практики - сімейний лікар",N514*Законод!$C$11+'01_Доходи'!O514*Законод!$D$11+'01_Доходи'!P514*Законод!$E$11+'01_Доходи'!Q514*Законод!$F$11+'01_Доходи'!R514*Законод!$G$11,IF(B509="Лікар-педіатр",N514*Законод!$C$11+'01_Доходи'!O514*Законод!$D$11,IF(B509="Лікар-терапевт",'01_Доходи'!P514*Законод!$E$11+'01_Доходи'!Q514*Законод!$F$11+'01_Доходи'!R514*Законод!$G$11,0)))</f>
        <v>0</v>
      </c>
      <c r="AP514" s="210">
        <f ca="1">IF(B509="Лікар загальної практики - сімейний лікар",U514*Законод!$C$11+'01_Доходи'!V514*Законод!$D$11+'01_Доходи'!W514*Законод!$E$11+'01_Доходи'!X514*Законод!$F$11+'01_Доходи'!Y514*Законод!$G$11,IF(B509="Лікар-педіатр",U514*Законод!$C$11+'01_Доходи'!V514*Законод!$D$11,IF(B509="Лікар-терапевт",'01_Доходи'!W514*Законод!$E$11+'01_Доходи'!X514*Законод!$F$11+'01_Доходи'!Y514*Законод!$G$11,0)))</f>
        <v>0</v>
      </c>
      <c r="AQ514" s="210">
        <f ca="1">IF(B509="Лікар загальної практики - сімейний лікар",AB514*Законод!$C$11+'01_Доходи'!AC514*Законод!$D$11+'01_Доходи'!AD514*Законод!$E$11+'01_Доходи'!AE514*Законод!$F$11+'01_Доходи'!AF514*Законод!$G$11,IF(B509="Лікар-педіатр",AB514*Законод!$C$11+'01_Доходи'!AC514*Законод!$D$11,IF(B509="Лікар-терапевт",'01_Доходи'!AD514*Законод!$E$11+'01_Доходи'!AE514*Законод!$F$11+'01_Доходи'!AF514*Законод!$G$11,0)))</f>
        <v>0</v>
      </c>
      <c r="AR514" s="211">
        <f t="shared" ref="AR514:AR520" si="79">SUM(AN514:AQ514)</f>
        <v>0</v>
      </c>
    </row>
    <row r="515" spans="1:44" s="50" customFormat="1" ht="31.9" hidden="1" customHeight="1">
      <c r="A515" s="197"/>
      <c r="B515" s="951"/>
      <c r="C515" s="954"/>
      <c r="D515" s="957"/>
      <c r="E515" s="939"/>
      <c r="F515" s="238" t="str">
        <f ca="1">IF(B509="Лікар-педіатр",Законод!$E$17,IF(B509="Лікар загальної практики - сімейний лікар",Законод!$E$21,IF(B509="Лікар-терапевт",Законод!$E$25,"х")))</f>
        <v>х</v>
      </c>
      <c r="G515" s="935" t="s">
        <v>423</v>
      </c>
      <c r="H515" s="936"/>
      <c r="I515" s="936"/>
      <c r="J515" s="936"/>
      <c r="K515" s="937"/>
      <c r="L515" s="196">
        <f ca="1">IF($B$509="Лікар загальної практики - сімейний лікар",IF(L513&lt;Законод!$C$22,0,(IF(AND(L513&gt;=Законод!$E$22,L513&lt;=Законод!$E$23),L513-Законод!$C$22,IF('01_Доходи'!L513&gt;=Законод!$F$22,Законод!$E$24,0)))),IF($B$509="Лікар-педіатр",IF(L513&lt;Законод!$C$18,0,(IF(AND(L513&gt;=Законод!$E$18,L513&lt;=Законод!$E$19),L513-Законод!$C$18,IF('01_Доходи'!L513&gt;=Законод!$F$18,Законод!$E$20,0)))),IF($B$509="Лікар-терапевт",IF(L513&lt;Законод!$C$26,0,(IF(AND(L513&gt;=Законод!$E$26,L513&lt;=Законод!$E$27),L513-Законод!$C$26,IF('01_Доходи'!L513&gt;=Законод!$F$26,Законод!$E$28,0)))),0)))</f>
        <v>0</v>
      </c>
      <c r="M515" s="942"/>
      <c r="N515" s="935" t="s">
        <v>423</v>
      </c>
      <c r="O515" s="936"/>
      <c r="P515" s="936"/>
      <c r="Q515" s="936"/>
      <c r="R515" s="937"/>
      <c r="S515" s="196">
        <f ca="1">IF($B$509="Лікар загальної практики - сімейний лікар",IF(S513&lt;Законод!$C$22,0,(IF(AND(S513&gt;=Законод!$E$22,S513&lt;=Законод!$E$23),S513-Законод!$C$22,IF('01_Доходи'!S513&gt;=Законод!$F$22,Законод!$E$24,0)))),IF($B$509="Лікар-педіатр",IF(S513&lt;Законод!$C$18,0,(IF(AND(S513&gt;=Законод!$E$18,S513&lt;=Законод!$E$19),S513-Законод!$C$18,IF('01_Доходи'!S513&gt;=Законод!$F$18,Законод!$E$20,0)))),IF($B$509="Лікар-терапевт",IF(S513&lt;Законод!$C$26,0,(IF(AND(S513&gt;=Законод!$E$26,S513&lt;=Законод!$E$27),S513-Законод!$C$26,IF('01_Доходи'!S513&gt;=Законод!$F$26,Законод!$E$28,0)))),0)))</f>
        <v>0</v>
      </c>
      <c r="T515" s="942"/>
      <c r="U515" s="935" t="s">
        <v>423</v>
      </c>
      <c r="V515" s="936"/>
      <c r="W515" s="936"/>
      <c r="X515" s="936"/>
      <c r="Y515" s="937"/>
      <c r="Z515" s="196">
        <f ca="1">IF($B$509="Лікар загальної практики - сімейний лікар",IF(Z513&lt;Законод!$C$22,0,(IF(AND(Z513&gt;=Законод!$E$22,Z513&lt;=Законод!$E$23),Z513-Законод!$C$22,IF('01_Доходи'!Z513&gt;=Законод!$F$22,Законод!$E$24,0)))),IF($B$509="Лікар-педіатр",IF(Z513&lt;Законод!$C$18,0,(IF(AND(Z513&gt;=Законод!$E$18,Z513&lt;=Законод!$E$19),Z513-Законод!$C$18,IF('01_Доходи'!Z513&gt;=Законод!$F$18,Законод!$E$20,0)))),IF($B$509="Лікар-терапевт",IF(Z513&lt;Законод!$C$26,0,(IF(AND(Z513&gt;=Законод!$E$26,Z513&lt;=Законод!$E$27),Z513-Законод!$C$26,IF('01_Доходи'!Z513&gt;=Законод!$F$26,Законод!$E$28,0)))),0)))</f>
        <v>0</v>
      </c>
      <c r="AA515" s="942"/>
      <c r="AB515" s="935" t="s">
        <v>423</v>
      </c>
      <c r="AC515" s="936"/>
      <c r="AD515" s="936"/>
      <c r="AE515" s="936"/>
      <c r="AF515" s="937"/>
      <c r="AG515" s="196">
        <f ca="1">IF($B$509="Лікар загальної практики - сімейний лікар",IF(AG513&lt;Законод!$C$22,0,(IF(AND(AG513&gt;=Законод!$E$22,AG513&lt;=Законод!$E$23),AG513-Законод!$C$22,IF('01_Доходи'!AG513&gt;=Законод!$F$22,Законод!$E$24,0)))),IF($B$509="Лікар-педіатр",IF(AG513&lt;Законод!$C$18,0,(IF(AND(AG513&gt;=Законод!$E$18,AG513&lt;=Законод!$E$19),AG513-Законод!$C$18,IF('01_Доходи'!AG513&gt;=Законод!$F$18,Законод!$E$20,0)))),IF($B$509="Лікар-терапевт",IF(AG513&lt;Законод!$C$26,0,(IF(AND(AG513&gt;=Законод!$E$26,AG513&lt;=Законод!$E$27),AG513-Законод!$C$26,IF('01_Доходи'!AG513&gt;=Законод!$F$26,Законод!$E$28,0)))),0)))</f>
        <v>0</v>
      </c>
      <c r="AH515" s="942"/>
      <c r="AI515" s="201"/>
      <c r="AJ515" s="945"/>
      <c r="AK515" s="960"/>
      <c r="AL515" s="960"/>
      <c r="AM515" s="926" t="s">
        <v>452</v>
      </c>
      <c r="AN515" s="210">
        <f ca="1">IF(B509="Лікар загальної практики - сімейний лікар",L515*Законод!$C$9/4*Законод!$E$16,IF(B509="Лікар-педіатр",L515*Законод!$C$9/4*Законод!$E$16,IF(B509="Лікар-терапевт",L515*Законод!$C$9/4*Законод!$E$16,0)))</f>
        <v>0</v>
      </c>
      <c r="AO515" s="210">
        <f ca="1">IF(B509="Лікар загальної практики - сімейний лікар",S515*Законод!$C$9/4*Законод!$E$16,IF(B509="Лікар-педіатр",S515*Законод!$C$9/4*Законод!$E$16,IF(B509="Лікар-терапевт",S515*Законод!$C$9/4*Законод!$E$16,0)))</f>
        <v>0</v>
      </c>
      <c r="AP515" s="210">
        <f ca="1">IF(B509="Лікар загальної практики - сімейний лікар",Z515*Законод!$C$9/4*Законод!$E$16,IF(B509="Лікар-педіатр",Z515*Законод!$C$9/4*Законод!$E$16,IF(B509="Лікар-терапевт",Z515*Законод!$C$9/4*Законод!$E$16,0)))</f>
        <v>0</v>
      </c>
      <c r="AQ515" s="210">
        <f ca="1">IF(B509="Лікар загальної практики - сімейний лікар",AG515*Законод!$C$9/4*Законод!$E$16,IF(B509="Лікар-педіатр",AG515*Законод!$C$9/4*Законод!$E$16,IF(B509="Лікар-терапевт",AG515*Законод!$C$9/4*Законод!$E$16,0)))</f>
        <v>0</v>
      </c>
      <c r="AR515" s="211">
        <f t="shared" si="79"/>
        <v>0</v>
      </c>
    </row>
    <row r="516" spans="1:44" s="50" customFormat="1" ht="31.9" hidden="1" customHeight="1">
      <c r="A516" s="197"/>
      <c r="B516" s="951"/>
      <c r="C516" s="954"/>
      <c r="D516" s="957"/>
      <c r="E516" s="939"/>
      <c r="F516" s="238" t="str">
        <f ca="1">IF(B509="Лікар-педіатр",Законод!$F$17,IF(B509="Лікар загальної практики - сімейний лікар",Законод!$F$21,IF(B509="Лікар-терапевт",Законод!$F$25,"х")))</f>
        <v>х</v>
      </c>
      <c r="G516" s="935" t="s">
        <v>423</v>
      </c>
      <c r="H516" s="936"/>
      <c r="I516" s="936"/>
      <c r="J516" s="936"/>
      <c r="K516" s="937"/>
      <c r="L516" s="196">
        <f ca="1">IF($B$509="Лікар загальної практики - сімейний лікар",IF(L513&lt;Законод!$C$22,0,(IF(AND(L513&gt;=Законод!$F$22,L513&lt;=Законод!$F$23),L513-Законод!$E$23,IF('01_Доходи'!L513&gt;=Законод!$G$22,Законод!$F$24,0)))),IF($B$509="Лікар-педіатр",IF(L513&lt;Законод!$C$18,0,(IF(AND(L513&gt;=Законод!$F$18,L513&lt;=Законод!$F$19),L513-Законод!$E$19,IF('01_Доходи'!L513&gt;=Законод!$G$18,Законод!$F$20,0)))),IF($B$509="Лікар-терапевт",IF(L513&lt;Законод!$C$26,0,(IF(AND(L513&gt;=Законод!$F$26,L513&lt;=Законод!$F$27),L513-Законод!$E$27,IF('01_Доходи'!L513&gt;=Законод!$G$26,Законод!$F$28,0)))),0)))</f>
        <v>0</v>
      </c>
      <c r="M516" s="942"/>
      <c r="N516" s="935" t="s">
        <v>423</v>
      </c>
      <c r="O516" s="936"/>
      <c r="P516" s="936"/>
      <c r="Q516" s="936"/>
      <c r="R516" s="937"/>
      <c r="S516" s="196">
        <f ca="1">IF($B$509="Лікар загальної практики - сімейний лікар",IF(S513&lt;Законод!$C$22,0,(IF(AND(S513&gt;=Законод!$F$22,S513&lt;=Законод!$F$23),S513-Законод!$E$23,IF('01_Доходи'!S513&gt;=Законод!$G$22,Законод!$F$24,0)))),IF($B$509="Лікар-педіатр",IF(S513&lt;Законод!$C$18,0,(IF(AND(S513&gt;=Законод!$F$18,S513&lt;=Законод!$F$19),S513-Законод!$E$19,IF('01_Доходи'!S513&gt;=Законод!$G$18,Законод!$F$20,0)))),IF($B$509="Лікар-терапевт",IF(S513&lt;Законод!$C$26,0,(IF(AND(S513&gt;=Законод!$F$26,S513&lt;=Законод!$F$27),S513-Законод!$E$27,IF('01_Доходи'!S513&gt;=Законод!$G$26,Законод!$F$28,0)))),0)))</f>
        <v>0</v>
      </c>
      <c r="T516" s="942"/>
      <c r="U516" s="935" t="s">
        <v>423</v>
      </c>
      <c r="V516" s="936"/>
      <c r="W516" s="936"/>
      <c r="X516" s="936"/>
      <c r="Y516" s="937"/>
      <c r="Z516" s="196">
        <f ca="1">IF($B$509="Лікар загальної практики - сімейний лікар",IF(Z513&lt;Законод!$C$22,0,(IF(AND(Z513&gt;=Законод!$F$22,Z513&lt;=Законод!$F$23),Z513-Законод!$E$23,IF('01_Доходи'!Z513&gt;=Законод!$G$22,Законод!$F$24,0)))),IF($B$509="Лікар-педіатр",IF(Z513&lt;Законод!$C$18,0,(IF(AND(Z513&gt;=Законод!$F$18,Z513&lt;=Законод!$F$19),Z513-Законод!$E$19,IF('01_Доходи'!Z513&gt;=Законод!$G$18,Законод!$F$20,0)))),IF($B$509="Лікар-терапевт",IF(Z513&lt;Законод!$C$26,0,(IF(AND(Z513&gt;=Законод!$F$26,Z513&lt;=Законод!$F$27),Z513-Законод!$E$27,IF('01_Доходи'!Z513&gt;=Законод!$G$26,Законод!$F$28,0)))),0)))</f>
        <v>0</v>
      </c>
      <c r="AA516" s="942"/>
      <c r="AB516" s="935" t="s">
        <v>423</v>
      </c>
      <c r="AC516" s="936"/>
      <c r="AD516" s="936"/>
      <c r="AE516" s="936"/>
      <c r="AF516" s="937"/>
      <c r="AG516" s="196">
        <f ca="1">IF($B$509="Лікар загальної практики - сімейний лікар",IF(AG513&lt;Законод!$C$22,0,(IF(AND(AG513&gt;=Законод!$F$22,AG513&lt;=Законод!$F$23),AG513-Законод!$E$23,IF('01_Доходи'!AG513&gt;=Законод!$G$22,Законод!$F$24,0)))),IF($B$509="Лікар-педіатр",IF(AG513&lt;Законод!$C$18,0,(IF(AND(AG513&gt;=Законод!$F$18,AG513&lt;=Законод!$F$19),AG513-Законод!$E$19,IF('01_Доходи'!AG513&gt;=Законод!$G$18,Законод!$F$20,0)))),IF($B$509="Лікар-терапевт",IF(AG513&lt;Законод!$C$26,0,(IF(AND(AG513&gt;=Законод!$F$26,AG513&lt;=Законод!$F$27),AG513-Законод!$E$27,IF('01_Доходи'!AG513&gt;=Законод!$G$26,Законод!$F$28,0)))),0)))</f>
        <v>0</v>
      </c>
      <c r="AH516" s="942"/>
      <c r="AI516" s="201"/>
      <c r="AJ516" s="945"/>
      <c r="AK516" s="960"/>
      <c r="AL516" s="960"/>
      <c r="AM516" s="927"/>
      <c r="AN516" s="210">
        <f ca="1">IF(B509="Лікар загальної практики - сімейний лікар",L516*Законод!$C$9/4*Законод!$F$16,IF(B509="Лікар-педіатр",L516*Законод!$C$9/4*Законод!$F$16,IF(B509="Лікар-терапевт",L516*Законод!$C$9/4*Законод!$F$16,0)))</f>
        <v>0</v>
      </c>
      <c r="AO516" s="210">
        <f ca="1">IF(B509="Лікар загальної практики - сімейний лікар",S516*Законод!$C$9/4*Законод!$F$16,IF(B509="Лікар-педіатр",S516*Законод!$C$9/4*Законод!$F$16,IF(B509="Лікар-терапевт",S516*Законод!$C$9/4*Законод!$F$16,0)))</f>
        <v>0</v>
      </c>
      <c r="AP516" s="210">
        <f ca="1">IF(B509="Лікар загальної практики - сімейний лікар",Z516*Законод!$C$9/4*Законод!$F$16,IF(B509="Лікар-педіатр",Z516*Законод!$C$9/4*Законод!$F$16,IF(B509="Лікар-терапевт",Z516*Законод!$C$9/4*Законод!$F$16,0)))</f>
        <v>0</v>
      </c>
      <c r="AQ516" s="210">
        <f ca="1">IF(B509="Лікар загальної практики - сімейний лікар",AG516*Законод!$C$9/4*Законод!$F$16,IF(B509="Лікар-педіатр",AG516*Законод!$C$9/4*Законод!$F$16,IF(B509="Лікар-терапевт",AG516*Законод!$C$9/4*Законод!$F$16,0)))</f>
        <v>0</v>
      </c>
      <c r="AR516" s="211">
        <f t="shared" si="79"/>
        <v>0</v>
      </c>
    </row>
    <row r="517" spans="1:44" s="50" customFormat="1" ht="31.9" hidden="1" customHeight="1">
      <c r="A517" s="197"/>
      <c r="B517" s="951"/>
      <c r="C517" s="954"/>
      <c r="D517" s="957"/>
      <c r="E517" s="939"/>
      <c r="F517" s="238" t="str">
        <f ca="1">IF(B509="Лікар-педіатр",Законод!$G$17,IF(B509="Лікар загальної практики - сімейний лікар",Законод!$G$21,IF(B509="Лікар-терапевт",Законод!$G$25,"х")))</f>
        <v>х</v>
      </c>
      <c r="G517" s="935" t="s">
        <v>423</v>
      </c>
      <c r="H517" s="936"/>
      <c r="I517" s="936"/>
      <c r="J517" s="936"/>
      <c r="K517" s="937"/>
      <c r="L517" s="196">
        <f ca="1">IF($B$509="Лікар загальної практики - сімейний лікар",IF(L513&lt;Законод!$C$22,0,(IF(AND(L513&gt;=Законод!$G$22,L513&lt;=Законод!$G$23),L513-Законод!$F$23,IF('01_Доходи'!L513&gt;=Законод!$H$22,Законод!$G$24,0)))),IF($B$509="Лікар-педіатр",IF(L513&lt;Законод!$C$18,0,(IF(AND(L513&gt;=Законод!$G$18,L513&lt;=Законод!$G$19),L513-Законод!$F$19,IF('01_Доходи'!L513&gt;=Законод!$H$18,Законод!$G$20,0)))),IF($B$509="Лікар-терапевт",IF(L513&lt;Законод!$C$26,0,(IF(AND(L513&gt;=Законод!$G$26,L513&lt;=Законод!$G$27),L513-Законод!$F$27,IF('01_Доходи'!L513&gt;=Законод!$H$26,Законод!$G$28,0)))),0)))</f>
        <v>0</v>
      </c>
      <c r="M517" s="942"/>
      <c r="N517" s="935" t="s">
        <v>423</v>
      </c>
      <c r="O517" s="936"/>
      <c r="P517" s="936"/>
      <c r="Q517" s="936"/>
      <c r="R517" s="937"/>
      <c r="S517" s="196">
        <f ca="1">IF($B$509="Лікар загальної практики - сімейний лікар",IF(S513&lt;Законод!$C$22,0,(IF(AND(S513&gt;=Законод!$G$22,S513&lt;=Законод!$G$23),S513-Законод!$F$23,IF('01_Доходи'!S513&gt;=Законод!$H$22,Законод!$G$24,0)))),IF($B$509="Лікар-педіатр",IF(S513&lt;Законод!$C$18,0,(IF(AND(S513&gt;=Законод!$G$18,S513&lt;=Законод!$G$19),S513-Законод!$F$19,IF('01_Доходи'!S513&gt;=Законод!$H$18,Законод!$G$20,0)))),IF($B$509="Лікар-терапевт",IF(S513&lt;Законод!$C$26,0,(IF(AND(S513&gt;=Законод!$G$26,S513&lt;=Законод!$G$27),S513-Законод!$F$27,IF('01_Доходи'!S513&gt;=Законод!$H$26,Законод!$G$28,0)))),0)))</f>
        <v>0</v>
      </c>
      <c r="T517" s="942"/>
      <c r="U517" s="935" t="s">
        <v>423</v>
      </c>
      <c r="V517" s="936"/>
      <c r="W517" s="936"/>
      <c r="X517" s="936"/>
      <c r="Y517" s="937"/>
      <c r="Z517" s="196">
        <f ca="1">IF($B$509="Лікар загальної практики - сімейний лікар",IF(Z513&lt;Законод!$C$22,0,(IF(AND(Z513&gt;=Законод!$G$22,Z513&lt;=Законод!$G$23),Z513-Законод!$F$23,IF('01_Доходи'!Z513&gt;=Законод!$H$22,Законод!$G$24,0)))),IF($B$509="Лікар-педіатр",IF(Z513&lt;Законод!$C$18,0,(IF(AND(Z513&gt;=Законод!$G$18,Z513&lt;=Законод!$G$19),Z513-Законод!$F$19,IF('01_Доходи'!Z513&gt;=Законод!$H$18,Законод!$G$20,0)))),IF($B$509="Лікар-терапевт",IF(Z513&lt;Законод!$C$26,0,(IF(AND(Z513&gt;=Законод!$G$26,Z513&lt;=Законод!$G$27),Z513-Законод!$F$27,IF('01_Доходи'!Z513&gt;=Законод!$H$26,Законод!$G$28,0)))),0)))</f>
        <v>0</v>
      </c>
      <c r="AA517" s="942"/>
      <c r="AB517" s="935" t="s">
        <v>423</v>
      </c>
      <c r="AC517" s="936"/>
      <c r="AD517" s="936"/>
      <c r="AE517" s="936"/>
      <c r="AF517" s="937"/>
      <c r="AG517" s="196">
        <f ca="1">IF($B$509="Лікар загальної практики - сімейний лікар",IF(AG513&lt;Законод!$C$22,0,(IF(AND(AG513&gt;=Законод!$G$22,AG513&lt;=Законод!$G$23),AG513-Законод!$F$23,IF('01_Доходи'!AG513&gt;=Законод!$H$22,Законод!$G$24,0)))),IF($B$509="Лікар-педіатр",IF(AG513&lt;Законод!$C$18,0,(IF(AND(AG513&gt;=Законод!$G$18,AG513&lt;=Законод!$G$19),AG513-Законод!$F$19,IF('01_Доходи'!AG513&gt;=Законод!$H$18,Законод!$G$20,0)))),IF($B$509="Лікар-терапевт",IF(AG513&lt;Законод!$C$26,0,(IF(AND(AG513&gt;=Законод!$G$26,AG513&lt;=Законод!$G$27),AG513-Законод!$F$27,IF('01_Доходи'!AG513&gt;=Законод!$H$26,Законод!$G$28,0)))),0)))</f>
        <v>0</v>
      </c>
      <c r="AH517" s="942"/>
      <c r="AI517" s="201"/>
      <c r="AJ517" s="945"/>
      <c r="AK517" s="960"/>
      <c r="AL517" s="960"/>
      <c r="AM517" s="927"/>
      <c r="AN517" s="210">
        <f ca="1">IF(B509="Лікар загальної практики - сімейний лікар",L517*Законод!$C$9/4*Законод!$G$16,IF(B509="Лікар-педіатр",L517*Законод!$C$9/4*Законод!$G$16,IF(B509="Лікар-терапевт",L517*Законод!$C$9/4*Законод!$G$16,0)))</f>
        <v>0</v>
      </c>
      <c r="AO517" s="210">
        <f ca="1">IF(B509="Лікар загальної практики - сімейний лікар",S517*Законод!$C$9/4*Законод!$G$16,IF(B509="Лікар-педіатр",S517*Законод!$C$9/4*Законод!$G$16,IF(B509="Лікар-терапевт",S517*Законод!$C$9/4*Законод!$G$16,0)))</f>
        <v>0</v>
      </c>
      <c r="AP517" s="210">
        <f ca="1">IF(B509="Лікар загальної практики - сімейний лікар",Z517*Законод!$C$9/4*Законод!$G$16,IF(B509="Лікар-педіатр",Z517*Законод!$C$9/4*Законод!$G$16,IF(B509="Лікар-терапевт",Z517*Законод!$C$9/4*Законод!$G$16,0)))</f>
        <v>0</v>
      </c>
      <c r="AQ517" s="210">
        <f ca="1">IF(B509="Лікар загальної практики - сімейний лікар",AG517*Законод!$C$9/4*Законод!$G$16,IF(B509="Лікар-педіатр",AG517*Законод!$C$9/4*Законод!$G$16,IF(B509="Лікар-терапевт",AG517*Законод!$C$9/4*Законод!$G$16,0)))</f>
        <v>0</v>
      </c>
      <c r="AR517" s="211">
        <f t="shared" si="79"/>
        <v>0</v>
      </c>
    </row>
    <row r="518" spans="1:44" s="50" customFormat="1" ht="31.9" hidden="1" customHeight="1">
      <c r="A518" s="197"/>
      <c r="B518" s="951"/>
      <c r="C518" s="954"/>
      <c r="D518" s="957"/>
      <c r="E518" s="939"/>
      <c r="F518" s="238" t="str">
        <f ca="1">IF(B509="Лікар-педіатр",Законод!$H$17,IF(B509="Лікар загальної практики - сімейний лікар",Законод!$H$21,IF(B509="Лікар-терапевт",Законод!$H$25,"х")))</f>
        <v>х</v>
      </c>
      <c r="G518" s="935" t="s">
        <v>423</v>
      </c>
      <c r="H518" s="936"/>
      <c r="I518" s="936"/>
      <c r="J518" s="936"/>
      <c r="K518" s="937"/>
      <c r="L518" s="196">
        <f ca="1">IF($B$509="Лікар загальної практики - сімейний лікар",IF(L513&lt;Законод!$C$22,0,(IF(AND(L513&gt;=Законод!$H$22,L513&lt;=Законод!$H$23),L513-Законод!$G$23,IF('01_Доходи'!L513&gt;=Законод!$I$22,Законод!$H$24,0)))),IF($B$509="Лікар-педіатр",IF(L513&lt;Законод!$C$18,0,(IF(AND(L513&gt;=Законод!$H$18,L513&lt;=Законод!$H$19),L513-Законод!$G$19,IF('01_Доходи'!L513&gt;=Законод!$I$18,Законод!$H$20,0)))),IF($B$509="Лікар-терапевт",IF(L513&lt;Законод!$C$26,0,(IF(AND(L513&gt;=Законод!$H$26,L513&lt;=Законод!$H$27),L513-Законод!$G$27,IF(L513&gt;=Законод!$I$26,Законод!$H$28,0)))),0)))</f>
        <v>0</v>
      </c>
      <c r="M518" s="942"/>
      <c r="N518" s="935" t="s">
        <v>423</v>
      </c>
      <c r="O518" s="936"/>
      <c r="P518" s="936"/>
      <c r="Q518" s="936"/>
      <c r="R518" s="937"/>
      <c r="S518" s="196">
        <f ca="1">IF($B$509="Лікар загальної практики - сімейний лікар",IF(S513&lt;Законод!$C$22,0,(IF(AND(S513&gt;=Законод!$H$22,S513&lt;=Законод!$H$23),S513-Законод!$G$23,IF('01_Доходи'!S513&gt;=Законод!$I$22,Законод!$H$24,0)))),IF($B$509="Лікар-педіатр",IF(S513&lt;Законод!$C$18,0,(IF(AND(S513&gt;=Законод!$H$18,S513&lt;=Законод!$H$19),S513-Законод!$G$19,IF('01_Доходи'!S513&gt;=Законод!$I$18,Законод!$H$20,0)))),IF($B$509="Лікар-терапевт",IF(S513&lt;Законод!$C$26,0,(IF(AND(S513&gt;=Законод!$H$26,S513&lt;=Законод!$H$27),S513-Законод!$G$27,IF(S513&gt;=Законод!$I$26,Законод!$H$28,0)))),0)))</f>
        <v>0</v>
      </c>
      <c r="T518" s="942"/>
      <c r="U518" s="935" t="s">
        <v>423</v>
      </c>
      <c r="V518" s="936"/>
      <c r="W518" s="936"/>
      <c r="X518" s="936"/>
      <c r="Y518" s="937"/>
      <c r="Z518" s="196">
        <f ca="1">IF($B$509="Лікар загальної практики - сімейний лікар",IF(Z513&lt;Законод!$C$22,0,(IF(AND(Z513&gt;=Законод!$H$22,Z513&lt;=Законод!$H$23),Z513-Законод!$G$23,IF('01_Доходи'!Z513&gt;=Законод!$I$22,Законод!$H$24,0)))),IF($B$509="Лікар-педіатр",IF(Z513&lt;Законод!$C$18,0,(IF(AND(Z513&gt;=Законод!$H$18,Z513&lt;=Законод!$H$19),Z513-Законод!$G$19,IF('01_Доходи'!Z513&gt;=Законод!$I$18,Законод!$H$20,0)))),IF($B$509="Лікар-терапевт",IF(Z513&lt;Законод!$C$26,0,(IF(AND(Z513&gt;=Законод!$H$26,Z513&lt;=Законод!$H$27),Z513-Законод!$G$27,IF(Z513&gt;=Законод!$I$26,Законод!$H$28,0)))),0)))</f>
        <v>0</v>
      </c>
      <c r="AA518" s="942"/>
      <c r="AB518" s="935" t="s">
        <v>423</v>
      </c>
      <c r="AC518" s="936"/>
      <c r="AD518" s="936"/>
      <c r="AE518" s="936"/>
      <c r="AF518" s="937"/>
      <c r="AG518" s="196">
        <f ca="1">IF($B$509="Лікар загальної практики - сімейний лікар",IF(AG513&lt;Законод!$C$22,0,(IF(AND(AG513&gt;=Законод!$H$22,AG513&lt;=Законод!$H$23),AG513-Законод!$G$23,IF('01_Доходи'!AG513&gt;=Законод!$I$22,Законод!$H$24,0)))),IF($B$509="Лікар-педіатр",IF(AG513&lt;Законод!$C$18,0,(IF(AND(AG513&gt;=Законод!$H$18,AG513&lt;=Законод!$H$19),AG513-Законод!$G$19,IF('01_Доходи'!AG513&gt;=Законод!$I$18,Законод!$H$20,0)))),IF($B$509="Лікар-терапевт",IF(AG513&lt;Законод!$C$26,0,(IF(AND(AG513&gt;=Законод!$H$26,AG513&lt;=Законод!$H$27),AG513-Законод!$G$27,IF(AG513&gt;=Законод!$I$26,Законод!$H$28,0)))),0)))</f>
        <v>0</v>
      </c>
      <c r="AH518" s="942"/>
      <c r="AI518" s="201"/>
      <c r="AJ518" s="945"/>
      <c r="AK518" s="960"/>
      <c r="AL518" s="960"/>
      <c r="AM518" s="927"/>
      <c r="AN518" s="210">
        <f ca="1">IF(B509="Лікар загальної практики - сімейний лікар",L518*Законод!$C$9/4*Законод!$H$16,IF(B509="Лікар-педіатр",L518*Законод!$C$9/4*Законод!$H$16,IF(B509="Лікар-терапевт",L518*Законод!$C$9/4*Законод!$H$16,0)))</f>
        <v>0</v>
      </c>
      <c r="AO518" s="210">
        <f ca="1">IF(B509="Лікар загальної практики - сімейний лікар",S518*Законод!$C$9/4*Законод!$H$16,IF(B509="Лікар-педіатр",S518*Законод!$C$9/4*Законод!$H$16,IF(B509="Лікар-терапевт",S518*Законод!$C$9/4*Законод!$H$16,0)))</f>
        <v>0</v>
      </c>
      <c r="AP518" s="210">
        <f ca="1">IF(B509="Лікар загальної практики - сімейний лікар",Z518*Законод!$C$9/4*Законод!$H$16,IF(B509="Лікар-педіатр",Z518*Законод!$C$9/4*Законод!$H$16,IF(B509="Лікар-терапевт",Z518*Законод!$C$9/4*Законод!$H$16,0)))</f>
        <v>0</v>
      </c>
      <c r="AQ518" s="210">
        <f ca="1">IF(B509="Лікар загальної практики - сімейний лікар",AG518*Законод!$C$9/4*Законод!$H$16,IF(B509="Лікар-педіатр",AG518*Законод!$C$9/4*Законод!$H$16,IF(B509="Лікар-терапевт",AG518*Законод!$C$9/4*Законод!$H$16,0)))</f>
        <v>0</v>
      </c>
      <c r="AR518" s="211">
        <f t="shared" si="79"/>
        <v>0</v>
      </c>
    </row>
    <row r="519" spans="1:44" s="50" customFormat="1" ht="31.9" hidden="1" customHeight="1">
      <c r="A519" s="197"/>
      <c r="B519" s="951"/>
      <c r="C519" s="954"/>
      <c r="D519" s="957"/>
      <c r="E519" s="939"/>
      <c r="F519" s="238" t="str">
        <f ca="1">IF(B509="Лікар-педіатр",Законод!$I$17,IF(B509="Лікар загальної практики - сімейний лікар",Законод!$I$21,IF(B509="Лікар-терапевт",Законод!$I$25,"х")))</f>
        <v>х</v>
      </c>
      <c r="G519" s="935" t="s">
        <v>423</v>
      </c>
      <c r="H519" s="936"/>
      <c r="I519" s="936"/>
      <c r="J519" s="936"/>
      <c r="K519" s="937"/>
      <c r="L519" s="196">
        <f ca="1">IF($B$509="Лікар загальної практики - сімейний лікар",IF(L513&lt;Законод!$C$22,0,(IF(AND(L513&gt;=Законод!$I$22,L513&lt;=Законод!$I$23),L513-Законод!$H$23,IF('01_Доходи'!L513&gt;=Законод!$I$22,Законод!$I$24,0)))),IF($B$509="Лікар-педіатр",IF(L513&lt;Законод!$C$18,0,(IF(AND(L513&gt;=Законод!$I$18,L513&lt;=Законод!$I$19),L513-Законод!$H$19,IF('01_Доходи'!L513&gt;=Законод!$I$18,Законод!$H$20,0)))),IF($B$509="Лікар-терапевт",IF(L513&lt;Законод!$C$26,0,(IF(AND(L513&gt;=Законод!$I$26,L513&lt;=Законод!$I$27),L513-Законод!$H$27,IF('01_Доходи'!L513&gt;=Законод!$I$26,Законод!$H$28,0)))),0)))</f>
        <v>0</v>
      </c>
      <c r="M519" s="942"/>
      <c r="N519" s="935" t="s">
        <v>423</v>
      </c>
      <c r="O519" s="936"/>
      <c r="P519" s="936"/>
      <c r="Q519" s="936"/>
      <c r="R519" s="937"/>
      <c r="S519" s="196">
        <f ca="1">IF($B$509="Лікар загальної практики - сімейний лікар",IF(S513&lt;Законод!$C$22,0,(IF(AND(S513&gt;=Законод!$I$22,S513&lt;=Законод!$I$23),S513-Законод!$H$23,IF('01_Доходи'!S513&gt;=Законод!$I$22,Законод!$I$24,0)))),IF($B$509="Лікар-педіатр",IF(S513&lt;Законод!$C$18,0,(IF(AND(S513&gt;=Законод!$I$18,S513&lt;=Законод!$I$19),S513-Законод!$H$19,IF('01_Доходи'!S513&gt;=Законод!$I$18,Законод!$H$20,0)))),IF($B$509="Лікар-терапевт",IF(S513&lt;Законод!$C$26,0,(IF(AND(S513&gt;=Законод!$I$26,S513&lt;=Законод!$I$27),S513-Законод!$H$27,IF('01_Доходи'!S513&gt;=Законод!$I$26,Законод!$H$28,0)))),0)))</f>
        <v>0</v>
      </c>
      <c r="T519" s="942"/>
      <c r="U519" s="935" t="s">
        <v>423</v>
      </c>
      <c r="V519" s="936"/>
      <c r="W519" s="936"/>
      <c r="X519" s="936"/>
      <c r="Y519" s="937"/>
      <c r="Z519" s="196">
        <f ca="1">IF($B$509="Лікар загальної практики - сімейний лікар",IF(Z513&lt;Законод!$C$22,0,(IF(AND(Z513&gt;=Законод!$I$22,Z513&lt;=Законод!$I$23),Z513-Законод!$H$23,IF('01_Доходи'!Z513&gt;=Законод!$I$22,Законод!$I$24,0)))),IF($B$509="Лікар-педіатр",IF(Z513&lt;Законод!$C$18,0,(IF(AND(Z513&gt;=Законод!$I$18,Z513&lt;=Законод!$I$19),Z513-Законод!$H$19,IF('01_Доходи'!Z513&gt;=Законод!$I$18,Законод!$H$20,0)))),IF($B$509="Лікар-терапевт",IF(Z513&lt;Законод!$C$26,0,(IF(AND(Z513&gt;=Законод!$I$26,Z513&lt;=Законод!$I$27),Z513-Законод!$H$27,IF('01_Доходи'!Z513&gt;=Законод!$I$26,Законод!$H$28,0)))),0)))</f>
        <v>0</v>
      </c>
      <c r="AA519" s="942"/>
      <c r="AB519" s="935" t="s">
        <v>423</v>
      </c>
      <c r="AC519" s="936"/>
      <c r="AD519" s="936"/>
      <c r="AE519" s="936"/>
      <c r="AF519" s="937"/>
      <c r="AG519" s="196">
        <f ca="1">IF($B$509="Лікар загальної практики - сімейний лікар",IF(AG513&lt;Законод!$C$22,0,(IF(AND(AG513&gt;=Законод!$I$22,AG513&lt;=Законод!$I$23),AG513-Законод!$H$23,IF('01_Доходи'!AG513&gt;=Законод!$I$22,Законод!$I$24,0)))),IF($B$509="Лікар-педіатр",IF(AG513&lt;Законод!$C$18,0,(IF(AND(AG513&gt;=Законод!$I$18,AG513&lt;=Законод!$I$19),AG513-Законод!$H$19,IF('01_Доходи'!AG513&gt;=Законод!$I$18,Законод!$H$20,0)))),IF($B$509="Лікар-терапевт",IF(AG513&lt;Законод!$C$26,0,(IF(AND(AG513&gt;=Законод!$I$26,AG513&lt;=Законод!$I$27),AG513-Законод!$H$27,IF('01_Доходи'!AG513&gt;=Законод!$I$26,Законод!$H$28,0)))),0)))</f>
        <v>0</v>
      </c>
      <c r="AH519" s="942"/>
      <c r="AI519" s="201"/>
      <c r="AJ519" s="945"/>
      <c r="AK519" s="960"/>
      <c r="AL519" s="960"/>
      <c r="AM519" s="927"/>
      <c r="AN519" s="210">
        <f ca="1">IF(B509="Лікар загальної практики - сімейний лікар",L519*Законод!$C$9/4*Законод!$I$16,IF(B509="Лікар-педіатр",L519*Законод!$C$9/4*Законод!$I$16,IF(B509="Лікар-терапевт",L519*Законод!$C$9/4*Законод!$I$16,0)))</f>
        <v>0</v>
      </c>
      <c r="AO519" s="210">
        <f ca="1">IF(B509="Лікар загальної практики - сімейний лікар",S519*Законод!$C$9/4*Законод!$I$16,IF(B509="Лікар-педіатр",S519*Законод!$C$9/4*Законод!$I$16,IF(B509="Лікар-терапевт",S519*Законод!$C$9/4*Законод!$I$16,0)))</f>
        <v>0</v>
      </c>
      <c r="AP519" s="210">
        <f ca="1">IF(B509="Лікар загальної практики - сімейний лікар",Z519*Законод!$C$9/4*Законод!$I$16,IF(B509="Лікар-педіатр",Z519*Законод!$C$9/4*Законод!$I$16,IF(B509="Лікар-терапевт",Z519*Законод!$C$9/4*Законод!$I$16,0)))</f>
        <v>0</v>
      </c>
      <c r="AQ519" s="210">
        <f ca="1">IF(B509="Лікар загальної практики - сімейний лікар",AG519*Законод!$C$9/4*Законод!$I$16,IF(B509="Лікар-педіатр",AG519*Законод!$C$9/4*Законод!$I$16,IF(B509="Лікар-терапевт",AG519*Законод!$C$9/4*Законод!$I$16,0)))</f>
        <v>0</v>
      </c>
      <c r="AR519" s="211">
        <f t="shared" si="79"/>
        <v>0</v>
      </c>
    </row>
    <row r="520" spans="1:44" s="218" customFormat="1" ht="31.9" hidden="1" customHeight="1" thickBot="1">
      <c r="A520" s="213"/>
      <c r="B520" s="952"/>
      <c r="C520" s="955"/>
      <c r="D520" s="958"/>
      <c r="E520" s="940"/>
      <c r="F520" s="239" t="str">
        <f ca="1">IF(B509="Лікар-педіатр",Законод!$J$17,IF(B509="Лікар загальної практики - сімейний лікар",Законод!$J$21,IF(B509="Лікар-терапевт",Законод!$J$25,"х")))</f>
        <v>х</v>
      </c>
      <c r="G520" s="932" t="s">
        <v>423</v>
      </c>
      <c r="H520" s="933"/>
      <c r="I520" s="933"/>
      <c r="J520" s="933"/>
      <c r="K520" s="934"/>
      <c r="L520" s="196">
        <f ca="1">IF($B$509="Лікар загальної практики - сімейний лікар",IF(L513&gt;=Законод!$J$22,'01_Доходи'!L513-('01_Доходи'!L514+'01_Доходи'!L515+'01_Доходи'!L516+'01_Доходи'!L517+'01_Доходи'!L518+'01_Доходи'!L519),0),IF($B$509="Лікар-педіатр",IF(L513&gt;=Законод!$J$18,'01_Доходи'!L513-('01_Доходи'!L514+'01_Доходи'!L515+'01_Доходи'!L516+'01_Доходи'!L517+'01_Доходи'!L518+'01_Доходи'!L519),0),IF($B$509="Лікар-терапевт",IF('01_Доходи'!L513&gt;=Законод!$J$26,L513-Законод!$I$27,0),0)))</f>
        <v>0</v>
      </c>
      <c r="M520" s="943"/>
      <c r="N520" s="932" t="s">
        <v>423</v>
      </c>
      <c r="O520" s="933"/>
      <c r="P520" s="933"/>
      <c r="Q520" s="933"/>
      <c r="R520" s="934"/>
      <c r="S520" s="196">
        <f ca="1">IF($B$509="Лікар загальної практики - сімейний лікар",IF(S513&gt;=Законод!$J$22,'01_Доходи'!S513-('01_Доходи'!S514+'01_Доходи'!S515+'01_Доходи'!S516+'01_Доходи'!S517+'01_Доходи'!S518+'01_Доходи'!S519),0),IF($B$509="Лікар-педіатр",IF(S513&gt;=Законод!$J$18,'01_Доходи'!S513-('01_Доходи'!S514+'01_Доходи'!S515+'01_Доходи'!S516+'01_Доходи'!S517+'01_Доходи'!S518+'01_Доходи'!S519),0),IF($B$509="Лікар-терапевт",IF('01_Доходи'!S513&gt;=Законод!$J$26,S513-Законод!$I$27,0),0)))</f>
        <v>0</v>
      </c>
      <c r="T520" s="943"/>
      <c r="U520" s="932" t="s">
        <v>423</v>
      </c>
      <c r="V520" s="933"/>
      <c r="W520" s="933"/>
      <c r="X520" s="933"/>
      <c r="Y520" s="934"/>
      <c r="Z520" s="196">
        <f ca="1">IF($B$509="Лікар загальної практики - сімейний лікар",IF(Z513&gt;=Законод!$J$22,'01_Доходи'!Z513-('01_Доходи'!Z514+'01_Доходи'!Z515+'01_Доходи'!Z516+'01_Доходи'!Z517+'01_Доходи'!Z518+'01_Доходи'!Z519),0),IF($B$509="Лікар-педіатр",IF(Z513&gt;=Законод!$J$18,'01_Доходи'!Z513-('01_Доходи'!Z514+'01_Доходи'!Z515+'01_Доходи'!Z516+'01_Доходи'!Z517+'01_Доходи'!Z518+'01_Доходи'!Z519),0),IF($B$509="Лікар-терапевт",IF('01_Доходи'!Z513&gt;=Законод!$J$26,Z513-Законод!$I$27,0),0)))</f>
        <v>0</v>
      </c>
      <c r="AA520" s="943"/>
      <c r="AB520" s="932" t="s">
        <v>423</v>
      </c>
      <c r="AC520" s="933"/>
      <c r="AD520" s="933"/>
      <c r="AE520" s="933"/>
      <c r="AF520" s="934"/>
      <c r="AG520" s="196">
        <f ca="1">IF($B$509="Лікар загальної практики - сімейний лікар",IF(AG513&gt;=Законод!$J$22,'01_Доходи'!AG513-('01_Доходи'!AG514+'01_Доходи'!AG515+'01_Доходи'!AG516+'01_Доходи'!AG517+'01_Доходи'!AG518+'01_Доходи'!AG519),0),IF($B$509="Лікар-педіатр",IF(AG513&gt;=Законод!$J$18,'01_Доходи'!AG513-('01_Доходи'!AG514+'01_Доходи'!AG515+'01_Доходи'!AG516+'01_Доходи'!AG517+'01_Доходи'!AG518+'01_Доходи'!AG519),0),IF($B$509="Лікар-терапевт",IF('01_Доходи'!AG513&gt;=Законод!$J$26,AG513-Законод!$I$27,0),0)))</f>
        <v>0</v>
      </c>
      <c r="AH520" s="943"/>
      <c r="AI520" s="215"/>
      <c r="AJ520" s="946"/>
      <c r="AK520" s="961"/>
      <c r="AL520" s="961"/>
      <c r="AM520" s="928"/>
      <c r="AN520" s="216">
        <f ca="1">IF(B509="Лікар загальної практики - сімейний лікар",L520*Законод!$C$9/4*Законод!$J$16,IF(B509="Лікар-педіатр",L520*Законод!$C$9/4*Законод!$J$16,IF(B509="Лікар-терапевт",L520*Законод!$C$9/4*Законод!$J$16,0)))</f>
        <v>0</v>
      </c>
      <c r="AO520" s="216">
        <f ca="1">IF(B509="Лікар загальної практики - сімейний лікар",S520*Законод!$C$9/4*Законод!$J$16,IF(B509="Лікар-педіатр",S520*Законод!$C$9/4*Законод!$J$16,IF(B509="Лікар-терапевт",S520*Законод!$C$9/4*Законод!$J$16,0)))</f>
        <v>0</v>
      </c>
      <c r="AP520" s="216">
        <f ca="1">IF(B509="Лікар загальної практики - сімейний лікар",S520*Законод!$C$9/4*Законод!$J$16,IF(B509="Лікар-педіатр",S520*Законод!$C$9/4*Законод!$J$16,IF(B509="Лікар-терапевт",S520*Законод!$C$9/4*Законод!$J$16,0)))</f>
        <v>0</v>
      </c>
      <c r="AQ520" s="216">
        <f ca="1">IF(B509="Лікар загальної практики - сімейний лікар",AG520*Законод!$C$9/4*Законод!$J$16,IF(B509="Лікар-педіатр",AG520*Законод!$C$9/4*Законод!$J$16,IF(B509="Лікар-терапевт",AG520*Законод!$C$9/4*Законод!$J$16,0)))</f>
        <v>0</v>
      </c>
      <c r="AR520" s="217">
        <f t="shared" si="79"/>
        <v>0</v>
      </c>
    </row>
    <row r="521" spans="1:44" s="247" customFormat="1" ht="23.45" hidden="1" customHeight="1" thickBot="1">
      <c r="A521" s="243"/>
      <c r="B521" s="244"/>
      <c r="C521" s="244"/>
      <c r="D521" s="244"/>
      <c r="E521" s="244"/>
      <c r="F521" s="245"/>
      <c r="G521" s="246"/>
      <c r="H521" s="246"/>
      <c r="L521" s="248"/>
      <c r="S521" s="248"/>
      <c r="Z521" s="248"/>
      <c r="AG521" s="248"/>
      <c r="AM521" s="249"/>
      <c r="AR521" s="250"/>
    </row>
    <row r="522" spans="1:44" s="191" customFormat="1" ht="24.6" hidden="1" customHeight="1">
      <c r="A522" s="194">
        <f>A509+1</f>
        <v>38</v>
      </c>
      <c r="B522" s="950"/>
      <c r="C522" s="953"/>
      <c r="D522" s="956"/>
      <c r="E522" s="938"/>
      <c r="F522" s="234" t="s">
        <v>659</v>
      </c>
      <c r="G522" s="196">
        <f>IF($B$522="Лікар-педіатр",G525*L522,IF($B$522="Лікар-терапевт","х",IF($B$522="Лікар загальної практики - сімейний лікар",G525*L522,0)))</f>
        <v>0</v>
      </c>
      <c r="H522" s="196">
        <f>IF($B$522="Лікар-педіатр",H525*L522,IF($B$522="Лікар-терапевт","х",IF($B$522="Лікар загальної практики - сімейний лікар",H525*L522,0)))</f>
        <v>0</v>
      </c>
      <c r="I522" s="196">
        <f>IF($B$522="Лікар-педіатр","x",IF($B$522="Лікар-терапевт",I525*L522,IF($B$522="Лікар загальної практики - сімейний лікар",I525*L522,0)))</f>
        <v>0</v>
      </c>
      <c r="J522" s="196">
        <f>IF($B$522="Лікар-педіатр","x",IF($B$522="Лікар-терапевт",J525*L522,IF($B$522="Лікар загальної практики - сімейний лікар",J525*L522,0)))</f>
        <v>0</v>
      </c>
      <c r="K522" s="196">
        <f>IF($B$522="Лікар-педіатр","x",IF($B$522="Лікар-терапевт",K525*L522,IF($B$522="Лікар загальної практики - сімейний лікар",K525*L522,0)))</f>
        <v>0</v>
      </c>
      <c r="L522" s="557"/>
      <c r="M522" s="941"/>
      <c r="N522" s="196">
        <f>IF($B$522="Лікар-педіатр",N525*S522,IF($B$522="Лікар-терапевт","х",IF($B$522="Лікар загальної практики - сімейний лікар",N525*S522,0)))</f>
        <v>0</v>
      </c>
      <c r="O522" s="196">
        <f>IF($B$522="Лікар-педіатр",O525*S522,IF($B$522="Лікар-терапевт","х",IF($B$522="Лікар загальної практики - сімейний лікар",O525*S522,0)))</f>
        <v>0</v>
      </c>
      <c r="P522" s="196">
        <f>IF($B$522="Лікар-педіатр","x",IF($B$522="Лікар-терапевт",P525*S522,IF($B$522="Лікар загальної практики - сімейний лікар",P525*S522,0)))</f>
        <v>0</v>
      </c>
      <c r="Q522" s="196">
        <f>IF($B$522="Лікар-педіатр","x",IF($B$522="Лікар-терапевт",Q525*S522,IF($B$522="Лікар загальної практики - сімейний лікар",Q525*S522,0)))</f>
        <v>0</v>
      </c>
      <c r="R522" s="196">
        <f>IF($B$522="Лікар-педіатр","x",IF($B$522="Лікар-терапевт",R525*S522,IF($B$522="Лікар загальної практики - сімейний лікар",R525*S522,0)))</f>
        <v>0</v>
      </c>
      <c r="S522" s="557"/>
      <c r="T522" s="941"/>
      <c r="U522" s="196">
        <f>IF($B$522="Лікар-педіатр",U525*Z522,IF($B$522="Лікар-терапевт","х",IF($B$522="Лікар загальної практики - сімейний лікар",U525*Z522,0)))</f>
        <v>0</v>
      </c>
      <c r="V522" s="196">
        <f>IF($B$522="Лікар-педіатр",V525*Z522,IF($B$522="Лікар-терапевт","х",IF($B$522="Лікар загальної практики - сімейний лікар",V525*Z522,0)))</f>
        <v>0</v>
      </c>
      <c r="W522" s="196">
        <f>IF($B$522="Лікар-педіатр","x",IF($B$522="Лікар-терапевт",W525*Z522,IF($B$522="Лікар загальної практики - сімейний лікар",W525*Z522,0)))</f>
        <v>0</v>
      </c>
      <c r="X522" s="196">
        <f>IF($B$522="Лікар-педіатр","x",IF($B$522="Лікар-терапевт",X525*Z522,IF($B$522="Лікар загальної практики - сімейний лікар",X525*Z522,0)))</f>
        <v>0</v>
      </c>
      <c r="Y522" s="196">
        <f>IF($B$522="Лікар-педіатр","x",IF($B$522="Лікар-терапевт",Y525*Z522,IF($B$522="Лікар загальної практики - сімейний лікар",Y525*Z522,0)))</f>
        <v>0</v>
      </c>
      <c r="Z522" s="557"/>
      <c r="AA522" s="941"/>
      <c r="AB522" s="196">
        <f>IF($B$522="Лікар-педіатр",AB525*AG522,IF($B$522="Лікар-терапевт","х",IF($B$522="Лікар загальної практики - сімейний лікар",AB525*AG522,0)))</f>
        <v>0</v>
      </c>
      <c r="AC522" s="196">
        <f>IF($B$522="Лікар-педіатр",AC525*AG522,IF($B$522="Лікар-терапевт","х",IF($B$522="Лікар загальної практики - сімейний лікар",AC525*AG522,0)))</f>
        <v>0</v>
      </c>
      <c r="AD522" s="196">
        <f>IF($B$522="Лікар-педіатр","x",IF($B$522="Лікар-терапевт",AD525*AG522,IF($B$522="Лікар загальної практики - сімейний лікар",AD525*AG522,0)))</f>
        <v>0</v>
      </c>
      <c r="AE522" s="196">
        <f>IF($B$522="Лікар-педіатр","x",IF($B$522="Лікар-терапевт",AE525*AG522,IF($B$522="Лікар загальної практики - сімейний лікар",AE525*AG522,0)))</f>
        <v>0</v>
      </c>
      <c r="AF522" s="196">
        <f>IF($B$522="Лікар-педіатр","x",IF($B$522="Лікар-терапевт",AF525*AG522,IF($B$522="Лікар загальної практики - сімейний лікар",AF525*AG522,0)))</f>
        <v>0</v>
      </c>
      <c r="AG522" s="557"/>
      <c r="AH522" s="941"/>
      <c r="AI522" s="540">
        <f>A522</f>
        <v>38</v>
      </c>
      <c r="AJ522" s="944">
        <f>B522</f>
        <v>0</v>
      </c>
      <c r="AK522" s="959">
        <f>C522</f>
        <v>0</v>
      </c>
      <c r="AL522" s="959">
        <f>D522</f>
        <v>0</v>
      </c>
      <c r="AM522" s="929" t="s">
        <v>79</v>
      </c>
      <c r="AN522" s="947">
        <f>SUM(AN527:AN533)</f>
        <v>0</v>
      </c>
      <c r="AO522" s="947">
        <f>SUM(AO527:AO533)</f>
        <v>0</v>
      </c>
      <c r="AP522" s="947">
        <f>SUM(AP527:AP533)</f>
        <v>0</v>
      </c>
      <c r="AQ522" s="947">
        <f>SUM(AQ527:AQ533)</f>
        <v>0</v>
      </c>
      <c r="AR522" s="962">
        <f>SUM(AN522:AQ526)</f>
        <v>0</v>
      </c>
    </row>
    <row r="523" spans="1:44" s="50" customFormat="1" ht="28.15" hidden="1" customHeight="1">
      <c r="A523" s="197"/>
      <c r="B523" s="951"/>
      <c r="C523" s="954"/>
      <c r="D523" s="957"/>
      <c r="E523" s="939"/>
      <c r="F523" s="234" t="s">
        <v>660</v>
      </c>
      <c r="G523" s="196">
        <f>IF($B$522="Лікар-педіатр",G525*L523,IF($B$522="Лікар-терапевт","х",IF($B$522="Лікар загальної практики - сімейний лікар",G525*L523,0)))</f>
        <v>0</v>
      </c>
      <c r="H523" s="196">
        <f>IF($B$522="Лікар-педіатр",H525*L523,IF($B$522="Лікар-терапевт","х",IF($B$522="Лікар загальної практики - сімейний лікар",H525*L523,0)))</f>
        <v>0</v>
      </c>
      <c r="I523" s="196">
        <f>IF($B$522="Лікар-педіатр","x",IF($B$522="Лікар-терапевт",I525*L523,IF($B$522="Лікар загальної практики - сімейний лікар",I525*L523,0)))</f>
        <v>0</v>
      </c>
      <c r="J523" s="196">
        <f>IF($B$522="Лікар-педіатр","x",IF($B$522="Лікар-терапевт",J525*L523,IF($B$522="Лікар загальної практики - сімейний лікар",J525*L523,0)))</f>
        <v>0</v>
      </c>
      <c r="K523" s="196">
        <f>IF($B$522="Лікар-педіатр","x",IF($B$522="Лікар-терапевт",K525*L523,IF($B$522="Лікар загальної практики - сімейний лікар",K525*L523,0)))</f>
        <v>0</v>
      </c>
      <c r="L523" s="557"/>
      <c r="M523" s="942"/>
      <c r="N523" s="196">
        <f>IF($B$522="Лікар-педіатр",N525*S523,IF($B$522="Лікар-терапевт","х",IF($B$522="Лікар загальної практики - сімейний лікар",N525*S523,0)))</f>
        <v>0</v>
      </c>
      <c r="O523" s="196">
        <f>IF($B$522="Лікар-педіатр",O525*S523,IF($B$522="Лікар-терапевт","х",IF($B$522="Лікар загальної практики - сімейний лікар",O525*S523,0)))</f>
        <v>0</v>
      </c>
      <c r="P523" s="196">
        <f>IF($B$522="Лікар-педіатр","x",IF($B$522="Лікар-терапевт",P525*S523,IF($B$522="Лікар загальної практики - сімейний лікар",P525*S523,0)))</f>
        <v>0</v>
      </c>
      <c r="Q523" s="196">
        <f>IF($B$522="Лікар-педіатр","x",IF($B$522="Лікар-терапевт",Q525*S523,IF($B$522="Лікар загальної практики - сімейний лікар",Q525*S523,0)))</f>
        <v>0</v>
      </c>
      <c r="R523" s="196">
        <f>IF($B$522="Лікар-педіатр","x",IF($B$522="Лікар-терапевт",R525*S523,IF($B$522="Лікар загальної практики - сімейний лікар",R525*S523,0)))</f>
        <v>0</v>
      </c>
      <c r="S523" s="557"/>
      <c r="T523" s="942"/>
      <c r="U523" s="196">
        <f>IF($B$522="Лікар-педіатр",U525*Z523,IF($B$522="Лікар-терапевт","х",IF($B$522="Лікар загальної практики - сімейний лікар",U525*Z523,0)))</f>
        <v>0</v>
      </c>
      <c r="V523" s="196">
        <f>IF($B$522="Лікар-педіатр",V525*Z523,IF($B$522="Лікар-терапевт","х",IF($B$522="Лікар загальної практики - сімейний лікар",V525*Z523,0)))</f>
        <v>0</v>
      </c>
      <c r="W523" s="196">
        <f>IF($B$522="Лікар-педіатр","x",IF($B$522="Лікар-терапевт",W525*Z523,IF($B$522="Лікар загальної практики - сімейний лікар",W525*Z523,0)))</f>
        <v>0</v>
      </c>
      <c r="X523" s="196">
        <f>IF($B$522="Лікар-педіатр","x",IF($B$522="Лікар-терапевт",X525*Z523,IF($B$522="Лікар загальної практики - сімейний лікар",X525*Z523,0)))</f>
        <v>0</v>
      </c>
      <c r="Y523" s="196">
        <f>IF($B$522="Лікар-педіатр","x",IF($B$522="Лікар-терапевт",Y525*Z523,IF($B$522="Лікар загальної практики - сімейний лікар",Y525*Z523,0)))</f>
        <v>0</v>
      </c>
      <c r="Z523" s="557"/>
      <c r="AA523" s="942"/>
      <c r="AB523" s="196">
        <f>IF($B$522="Лікар-педіатр",AB525*AG523,IF($B$522="Лікар-терапевт","х",IF($B$522="Лікар загальної практики - сімейний лікар",AB525*AG523,0)))</f>
        <v>0</v>
      </c>
      <c r="AC523" s="196">
        <f>IF($B$522="Лікар-педіатр",AC525*AG523,IF($B$522="Лікар-терапевт","х",IF($B$522="Лікар загальної практики - сімейний лікар",AC525*AG523,0)))</f>
        <v>0</v>
      </c>
      <c r="AD523" s="196">
        <f>IF($B$522="Лікар-педіатр","x",IF($B$522="Лікар-терапевт",AD525*AG523,IF($B$522="Лікар загальної практики - сімейний лікар",AD525*AG523,0)))</f>
        <v>0</v>
      </c>
      <c r="AE523" s="196">
        <f>IF($B$522="Лікар-педіатр","x",IF($B$522="Лікар-терапевт",AE525*AG523,IF($B$522="Лікар загальної практики - сімейний лікар",AE525*AG523,0)))</f>
        <v>0</v>
      </c>
      <c r="AF523" s="196">
        <f>IF($B$522="Лікар-педіатр","x",IF($B$522="Лікар-терапевт",AF525*AG523,IF($B$522="Лікар загальної практики - сімейний лікар",AF525*AG523,0)))</f>
        <v>0</v>
      </c>
      <c r="AG523" s="557"/>
      <c r="AH523" s="942"/>
      <c r="AI523" s="198"/>
      <c r="AJ523" s="945"/>
      <c r="AK523" s="960"/>
      <c r="AL523" s="960"/>
      <c r="AM523" s="930"/>
      <c r="AN523" s="948"/>
      <c r="AO523" s="948"/>
      <c r="AP523" s="948"/>
      <c r="AQ523" s="948"/>
      <c r="AR523" s="963"/>
    </row>
    <row r="524" spans="1:44" s="90" customFormat="1" ht="31.15" hidden="1" customHeight="1">
      <c r="A524" s="240"/>
      <c r="B524" s="951"/>
      <c r="C524" s="954"/>
      <c r="D524" s="957"/>
      <c r="E524" s="939"/>
      <c r="F524" s="241" t="s">
        <v>661</v>
      </c>
      <c r="G524" s="199">
        <f>IF(B522="Лікар загальної практики - сімейний лікар"," ",IF(B522="Лікар-педіатр"," ",IF(B522="Лікар-терапевт","х",0)))</f>
        <v>0</v>
      </c>
      <c r="H524" s="199">
        <f>IF(B522="Лікар загальної практики - сімейний лікар"," ",IF(B522="Лікар-педіатр"," ",IF(B522="Лікар-терапевт","х",0)))</f>
        <v>0</v>
      </c>
      <c r="I524" s="199">
        <f>IF(B522="Лікар загальної практики - сімейний лікар"," ",IF(B522="Лікар-педіатр","х",IF(B522="Лікар-терапевт"," ",0)))</f>
        <v>0</v>
      </c>
      <c r="J524" s="199">
        <f>IF(B522="Лікар загальної практики - сімейний лікар"," ",IF(B522="Лікар-педіатр","х",IF(B522="Лікар-терапевт"," ",0)))</f>
        <v>0</v>
      </c>
      <c r="K524" s="199">
        <f>IF(B522="Лікар загальної практики - сімейний лікар"," ",IF(B522="Лікар-педіатр","х",IF(B522="Лікар-терапевт"," ",0)))</f>
        <v>0</v>
      </c>
      <c r="L524" s="200">
        <f>SUM(G524:K524)</f>
        <v>0</v>
      </c>
      <c r="M524" s="942"/>
      <c r="N524" s="199">
        <f>IF(B522="Лікар загальної практики - сімейний лікар"," ",IF(B522="Лікар-педіатр"," ",IF(B522="Лікар-терапевт","х",0)))</f>
        <v>0</v>
      </c>
      <c r="O524" s="199">
        <f>IF(B522="Лікар загальної практики - сімейний лікар"," ",IF(B522="Лікар-педіатр"," ",IF(B522="Лікар-терапевт","х",0)))</f>
        <v>0</v>
      </c>
      <c r="P524" s="199">
        <f>IF(B522="Лікар загальної практики - сімейний лікар"," ",IF(B522="Лікар-педіатр","х",IF(B522="Лікар-терапевт"," ",0)))</f>
        <v>0</v>
      </c>
      <c r="Q524" s="199">
        <f>IF(B522="Лікар загальної практики - сімейний лікар"," ",IF(B522="Лікар-педіатр","х",IF(B522="Лікар-терапевт"," ",0)))</f>
        <v>0</v>
      </c>
      <c r="R524" s="199">
        <f>IF(B522="Лікар загальної практики - сімейний лікар"," ",IF(B522="Лікар-педіатр","х",IF(B522="Лікар-терапевт"," ",0)))</f>
        <v>0</v>
      </c>
      <c r="S524" s="200">
        <f>SUM(N524:R524)</f>
        <v>0</v>
      </c>
      <c r="T524" s="942"/>
      <c r="U524" s="199">
        <f>IF(B522="Лікар загальної практики - сімейний лікар"," ",IF(B522="Лікар-педіатр"," ",IF(B522="Лікар-терапевт","х",0)))</f>
        <v>0</v>
      </c>
      <c r="V524" s="199">
        <f>IF(B522="Лікар загальної практики - сімейний лікар"," ",IF(B522="Лікар-педіатр"," ",IF(B522="Лікар-терапевт","х",0)))</f>
        <v>0</v>
      </c>
      <c r="W524" s="199">
        <f>IF(B522="Лікар загальної практики - сімейний лікар"," ",IF(B522="Лікар-педіатр","х",IF(B522="Лікар-терапевт"," ",0)))</f>
        <v>0</v>
      </c>
      <c r="X524" s="199">
        <f>IF(B522="Лікар загальної практики - сімейний лікар"," ",IF(B522="Лікар-педіатр","х",IF(B522="Лікар-терапевт"," ",0)))</f>
        <v>0</v>
      </c>
      <c r="Y524" s="199">
        <f>IF(B522="Лікар загальної практики - сімейний лікар"," ",IF(B522="Лікар-педіатр","х",IF(B522="Лікар-терапевт"," ",0)))</f>
        <v>0</v>
      </c>
      <c r="Z524" s="200">
        <f>SUM(U524:Y524)</f>
        <v>0</v>
      </c>
      <c r="AA524" s="942"/>
      <c r="AB524" s="199">
        <f>IF(B522="Лікар загальної практики - сімейний лікар"," ",IF(B522="Лікар-педіатр"," ",IF(B522="Лікар-терапевт","х",0)))</f>
        <v>0</v>
      </c>
      <c r="AC524" s="199">
        <f>IF(B522="Лікар загальної практики - сімейний лікар"," ",IF(B522="Лікар-педіатр"," ",IF(B522="Лікар-терапевт","х",0)))</f>
        <v>0</v>
      </c>
      <c r="AD524" s="199">
        <f>IF(B522="Лікар загальної практики - сімейний лікар"," ",IF(B522="Лікар-педіатр","х",IF(B522="Лікар-терапевт"," ",0)))</f>
        <v>0</v>
      </c>
      <c r="AE524" s="199">
        <f>IF(B522="Лікар загальної практики - сімейний лікар"," ",IF(B522="Лікар-педіатр","х",IF(B522="Лікар-терапевт"," ",0)))</f>
        <v>0</v>
      </c>
      <c r="AF524" s="199">
        <f>IF(B522="Лікар загальної практики - сімейний лікар"," ",IF(B522="Лікар-педіатр","х",IF(B522="Лікар-терапевт"," ",0)))</f>
        <v>0</v>
      </c>
      <c r="AG524" s="200">
        <f>SUM(AB524:AF524)</f>
        <v>0</v>
      </c>
      <c r="AH524" s="942"/>
      <c r="AI524" s="242"/>
      <c r="AJ524" s="945"/>
      <c r="AK524" s="960"/>
      <c r="AL524" s="960"/>
      <c r="AM524" s="930"/>
      <c r="AN524" s="948"/>
      <c r="AO524" s="948"/>
      <c r="AP524" s="948"/>
      <c r="AQ524" s="948"/>
      <c r="AR524" s="963"/>
    </row>
    <row r="525" spans="1:44" s="50" customFormat="1" ht="31.9" hidden="1" customHeight="1" thickBot="1">
      <c r="A525" s="197"/>
      <c r="B525" s="951"/>
      <c r="C525" s="954"/>
      <c r="D525" s="957"/>
      <c r="E525" s="939"/>
      <c r="F525" s="236" t="s">
        <v>426</v>
      </c>
      <c r="G525" s="203">
        <f>IF($B$522="Лікар-педіатр",G524/L524,IF($B$522="Лікар-терапевт","х",IF($B$522="Лікар загальної практики - сімейний лікар",G524/L524,0)))</f>
        <v>0</v>
      </c>
      <c r="H525" s="203">
        <f>IF($B$522="Лікар-педіатр",H524/L524,IF($B$522="Лікар-терапевт","х",IF($B$522="Лікар загальної практики - сімейний лікар",H524/L524,0)))</f>
        <v>0</v>
      </c>
      <c r="I525" s="203">
        <f>IF($B$522="Лікар-педіатр","x",IF($B$522="Лікар-терапевт",I524/L524,IF($B$522="Лікар загальної практики - сімейний лікар",I524/L524,0)))</f>
        <v>0</v>
      </c>
      <c r="J525" s="203">
        <f>IF($B$522="Лікар-педіатр","x",IF($B$522="Лікар-терапевт",J524/L524,IF($B$522="Лікар загальної практики - сімейний лікар",J524/L524,0)))</f>
        <v>0</v>
      </c>
      <c r="K525" s="203">
        <f>IF($B$522="Лікар-педіатр","x",IF($B$522="Лікар-терапевт",K524/L524,IF($B$522="Лікар загальної практики - сімейний лікар",K524/L524,0)))</f>
        <v>0</v>
      </c>
      <c r="L525" s="203">
        <f>SUM(G525:K525)</f>
        <v>0</v>
      </c>
      <c r="M525" s="942"/>
      <c r="N525" s="203">
        <f>IF($B$522="Лікар-педіатр",N524/S524,IF($B$522="Лікар-терапевт","х",IF($B$522="Лікар загальної практики - сімейний лікар",N524/S524,0)))</f>
        <v>0</v>
      </c>
      <c r="O525" s="203">
        <f>IF($B$522="Лікар-педіатр",O524/S524,IF($B$522="Лікар-терапевт","х",IF($B$522="Лікар загальної практики - сімейний лікар",O524/S524,0)))</f>
        <v>0</v>
      </c>
      <c r="P525" s="203">
        <f>IF($B$522="Лікар-педіатр","x",IF($B$522="Лікар-терапевт",P524/S524,IF($B$522="Лікар загальної практики - сімейний лікар",P524/S524,0)))</f>
        <v>0</v>
      </c>
      <c r="Q525" s="203">
        <f>IF($B$522="Лікар-педіатр","x",IF($B$522="Лікар-терапевт",Q524/S524,IF($B$522="Лікар загальної практики - сімейний лікар",Q524/S524,0)))</f>
        <v>0</v>
      </c>
      <c r="R525" s="203">
        <f>IF($B$522="Лікар-педіатр","x",IF($B$522="Лікар-терапевт",R524/S524,IF($B$522="Лікар загальної практики - сімейний лікар",R524/S524,0)))</f>
        <v>0</v>
      </c>
      <c r="S525" s="203">
        <f>SUM(N525:R525)</f>
        <v>0</v>
      </c>
      <c r="T525" s="942"/>
      <c r="U525" s="203">
        <f>IF($B$522="Лікар-педіатр",U524/Z524,IF($B$522="Лікар-терапевт","х",IF($B$522="Лікар загальної практики - сімейний лікар",U524/Z524,0)))</f>
        <v>0</v>
      </c>
      <c r="V525" s="203">
        <f>IF($B$522="Лікар-педіатр",V524/Z524,IF($B$522="Лікар-терапевт","х",IF($B$522="Лікар загальної практики - сімейний лікар",V524/Z524,0)))</f>
        <v>0</v>
      </c>
      <c r="W525" s="203">
        <f>IF($B$522="Лікар-педіатр","x",IF($B$522="Лікар-терапевт",W524/Z524,IF($B$522="Лікар загальної практики - сімейний лікар",W524/Z524,0)))</f>
        <v>0</v>
      </c>
      <c r="X525" s="203">
        <f>IF($B$522="Лікар-педіатр","x",IF($B$522="Лікар-терапевт",X524/Z524,IF($B$522="Лікар загальної практики - сімейний лікар",X524/Z524,0)))</f>
        <v>0</v>
      </c>
      <c r="Y525" s="203">
        <f>IF($B$522="Лікар-педіатр","x",IF($B$522="Лікар-терапевт",Y524/Z524,IF($B$522="Лікар загальної практики - сімейний лікар",Y524/Z524,0)))</f>
        <v>0</v>
      </c>
      <c r="Z525" s="203">
        <f>SUM(U525:Y525)</f>
        <v>0</v>
      </c>
      <c r="AA525" s="942"/>
      <c r="AB525" s="203">
        <f>IF($B$522="Лікар-педіатр",AB524/AG524,IF($B$522="Лікар-терапевт","х",IF($B$522="Лікар загальної практики - сімейний лікар",AB524/AG524,0)))</f>
        <v>0</v>
      </c>
      <c r="AC525" s="203">
        <f>IF($B$522="Лікар-педіатр",AC524/AG524,IF($B$522="Лікар-терапевт","х",IF($B$522="Лікар загальної практики - сімейний лікар",AC524/AG524,0)))</f>
        <v>0</v>
      </c>
      <c r="AD525" s="203">
        <f>IF($B$522="Лікар-педіатр","x",IF($B$522="Лікар-терапевт",AD524/AG524,IF($B$522="Лікар загальної практики - сімейний лікар",AD524/AG524,0)))</f>
        <v>0</v>
      </c>
      <c r="AE525" s="203">
        <f>IF($B$522="Лікар-педіатр","x",IF($B$522="Лікар-терапевт",AE524/AG524,IF($B$522="Лікар загальної практики - сімейний лікар",AE524/AG524,0)))</f>
        <v>0</v>
      </c>
      <c r="AF525" s="203">
        <f>IF($B$522="Лікар-педіатр","x",IF($B$522="Лікар-терапевт",AF524/AG524,IF($B$522="Лікар загальної практики - сімейний лікар",AF524/AG524,0)))</f>
        <v>0</v>
      </c>
      <c r="AG525" s="203">
        <f>SUM(AB525:AF525)</f>
        <v>0</v>
      </c>
      <c r="AH525" s="942"/>
      <c r="AI525" s="201"/>
      <c r="AJ525" s="945"/>
      <c r="AK525" s="960"/>
      <c r="AL525" s="960"/>
      <c r="AM525" s="930"/>
      <c r="AN525" s="948"/>
      <c r="AO525" s="948"/>
      <c r="AP525" s="948"/>
      <c r="AQ525" s="948"/>
      <c r="AR525" s="963"/>
    </row>
    <row r="526" spans="1:44" s="50" customFormat="1" ht="45" hidden="1" customHeight="1" thickBot="1">
      <c r="A526" s="197"/>
      <c r="B526" s="951"/>
      <c r="C526" s="954"/>
      <c r="D526" s="957"/>
      <c r="E526" s="939"/>
      <c r="F526" s="204" t="s">
        <v>662</v>
      </c>
      <c r="G526" s="205">
        <f>IF($B$522="Лікар загальної практики - сімейний лікар",AVERAGE(G522:G524),IF($B$522="Лікар-педіатр",AVERAGE(G522:G524),IF($B$522="Лікар-терапевт","х",0)))</f>
        <v>0</v>
      </c>
      <c r="H526" s="205">
        <f>IF($B$522="Лікар загальної практики - сімейний лікар",AVERAGE(H522:H524),IF($B$522="Лікар-педіатр",AVERAGE(H522:H524),IF($B$522="Лікар-терапевт","х",0)))</f>
        <v>0</v>
      </c>
      <c r="I526" s="205">
        <f>IF($B$522="Лікар загальної практики - сімейний лікар",AVERAGE(I522:I524),IF($B$522="Лікар-педіатр","x",IF($B$522="Лікар-терапевт",AVERAGE(I522:I524),0)))</f>
        <v>0</v>
      </c>
      <c r="J526" s="205">
        <f>IF($B$522="Лікар загальної практики - сімейний лікар",AVERAGE(J522:J524),IF($B$522="Лікар-педіатр","x",IF($B$522="Лікар-терапевт",AVERAGE(J522:J524),0)))</f>
        <v>0</v>
      </c>
      <c r="K526" s="205">
        <f>IF($B$522="Лікар загальної практики - сімейний лікар",AVERAGE(K522:K524),IF($B$522="Лікар-педіатр","x",IF($B$522="Лікар-терапевт",AVERAGE(K522:K524),0)))</f>
        <v>0</v>
      </c>
      <c r="L526" s="206">
        <f>SUM(G526:K526)</f>
        <v>0</v>
      </c>
      <c r="M526" s="942"/>
      <c r="N526" s="205">
        <f>IF($B$522="Лікар загальної практики - сімейний лікар",AVERAGE(N522:N524),IF($B$522="Лікар-педіатр",AVERAGE(N522:N524),IF($B$522="Лікар-терапевт","х",0)))</f>
        <v>0</v>
      </c>
      <c r="O526" s="205">
        <f>IF($B$522="Лікар загальної практики - сімейний лікар",AVERAGE(O522:O524),IF($B$522="Лікар-педіатр",AVERAGE(O522:O524),IF($B$522="Лікар-терапевт","х",0)))</f>
        <v>0</v>
      </c>
      <c r="P526" s="205">
        <f>IF($B$522="Лікар загальної практики - сімейний лікар",AVERAGE(P522:P524),IF($B$522="Лікар-педіатр","x",IF($B$522="Лікар-терапевт",AVERAGE(P522:P524),0)))</f>
        <v>0</v>
      </c>
      <c r="Q526" s="205">
        <f>IF($B$522="Лікар загальної практики - сімейний лікар",AVERAGE(Q522:Q524),IF($B$522="Лікар-педіатр","x",IF($B$522="Лікар-терапевт",AVERAGE(Q522:Q524),0)))</f>
        <v>0</v>
      </c>
      <c r="R526" s="205">
        <f>IF($B$522="Лікар загальної практики - сімейний лікар",AVERAGE(R522:R524),IF($B$522="Лікар-педіатр","x",IF($B$522="Лікар-терапевт",AVERAGE(R522:R524),0)))</f>
        <v>0</v>
      </c>
      <c r="S526" s="206">
        <f>SUM(N526:R526)</f>
        <v>0</v>
      </c>
      <c r="T526" s="942"/>
      <c r="U526" s="205">
        <f>IF($B$522="Лікар загальної практики - сімейний лікар",AVERAGE(U522:U524),IF($B$522="Лікар-педіатр",AVERAGE(U522:U524),IF($B$522="Лікар-терапевт","х",0)))</f>
        <v>0</v>
      </c>
      <c r="V526" s="205">
        <f>IF($B$522="Лікар загальної практики - сімейний лікар",AVERAGE(V522:V524),IF($B$522="Лікар-педіатр",AVERAGE(V522:V524),IF($B$522="Лікар-терапевт","х",0)))</f>
        <v>0</v>
      </c>
      <c r="W526" s="205">
        <f>IF($B$522="Лікар загальної практики - сімейний лікар",AVERAGE(W522:W524),IF($B$522="Лікар-педіатр","x",IF($B$522="Лікар-терапевт",AVERAGE(W522:W524),0)))</f>
        <v>0</v>
      </c>
      <c r="X526" s="205">
        <f>IF($B$522="Лікар загальної практики - сімейний лікар",AVERAGE(X522:X524),IF($B$522="Лікар-педіатр","x",IF($B$522="Лікар-терапевт",AVERAGE(X522:X524),0)))</f>
        <v>0</v>
      </c>
      <c r="Y526" s="205">
        <f>IF($B$522="Лікар загальної практики - сімейний лікар",AVERAGE(Y522:Y524),IF($B$522="Лікар-педіатр","x",IF($B$522="Лікар-терапевт",AVERAGE(Y522:Y524),0)))</f>
        <v>0</v>
      </c>
      <c r="Z526" s="206">
        <f>SUM(U526:Y526)</f>
        <v>0</v>
      </c>
      <c r="AA526" s="942"/>
      <c r="AB526" s="205">
        <f>IF($B$522="Лікар загальної практики - сімейний лікар",AVERAGE(AB522:AB524),IF($B$522="Лікар-педіатр",AVERAGE(AB522:AB524),IF($B$522="Лікар-терапевт","х",0)))</f>
        <v>0</v>
      </c>
      <c r="AC526" s="205">
        <f>IF($B$522="Лікар загальної практики - сімейний лікар",AVERAGE(AC522:AC524),IF($B$522="Лікар-педіатр",AVERAGE(AC522:AC524),IF($B$522="Лікар-терапевт","х",0)))</f>
        <v>0</v>
      </c>
      <c r="AD526" s="205">
        <f>IF($B$522="Лікар загальної практики - сімейний лікар",AVERAGE(AD522:AD524),IF($B$522="Лікар-педіатр","x",IF($B$522="Лікар-терапевт",AVERAGE(AD522:AD524),0)))</f>
        <v>0</v>
      </c>
      <c r="AE526" s="205">
        <f>IF($B$522="Лікар загальної практики - сімейний лікар",AVERAGE(AE522:AE524),IF($B$522="Лікар-педіатр","x",IF($B$522="Лікар-терапевт",AVERAGE(AE522:AE524),0)))</f>
        <v>0</v>
      </c>
      <c r="AF526" s="205">
        <f>IF($B$522="Лікар загальної практики - сімейний лікар",AVERAGE(AF522:AF524),IF($B$522="Лікар-педіатр","x",IF($B$522="Лікар-терапевт",AVERAGE(AF522:AF524),0)))</f>
        <v>0</v>
      </c>
      <c r="AG526" s="206">
        <f>SUM(AB526:AF526)</f>
        <v>0</v>
      </c>
      <c r="AH526" s="942"/>
      <c r="AI526" s="201"/>
      <c r="AJ526" s="945"/>
      <c r="AK526" s="960"/>
      <c r="AL526" s="960"/>
      <c r="AM526" s="931"/>
      <c r="AN526" s="949"/>
      <c r="AO526" s="949"/>
      <c r="AP526" s="949"/>
      <c r="AQ526" s="949"/>
      <c r="AR526" s="964"/>
    </row>
    <row r="527" spans="1:44" s="50" customFormat="1" ht="40.5" hidden="1">
      <c r="A527" s="197"/>
      <c r="B527" s="951"/>
      <c r="C527" s="954"/>
      <c r="D527" s="957"/>
      <c r="E527" s="939"/>
      <c r="F527" s="237" t="str">
        <f ca="1">IF(B522="Лікар-педіатр",Законод!$C$17,IF(B522="Лікар загальної практики - сімейний лікар",Законод!$C$21,IF(B522="Лікар-терапевт",Законод!$C$25,"х")))</f>
        <v>х</v>
      </c>
      <c r="G527" s="208">
        <f ca="1">IF($B$522="Лікар загальної практики - сімейний лікар",IF(L526&lt;=Законод!$C$22,G526,Законод!$C$22*'01_Доходи'!G525),IF($B$522="Лікар-педіатр",IF(L526&lt;=Законод!$C$18,G526,Законод!$C$18*'01_Доходи'!G525),IF($B$522="Лікар-терапевт","x",0)))</f>
        <v>0</v>
      </c>
      <c r="H527" s="208">
        <f ca="1">IF($B$522="Лікар загальної практики - сімейний лікар",IF(L526&lt;=Законод!$C$22,H526,Законод!$C$22*'01_Доходи'!H525),IF($B$522="Лікар-педіатр",IF(L526&lt;=Законод!$C$18,H526,Законод!$C$18*'01_Доходи'!H525),IF($B$522="Лікар-терапевт","x",0)))</f>
        <v>0</v>
      </c>
      <c r="I527" s="208">
        <f ca="1">IF($B$522="Лікар загальної практики - сімейний лікар",IF(L526&lt;=Законод!$C$22,I526,Законод!$C$22*'01_Доходи'!I525),IF($B$522="Лікар-педіатр","x",IF($B$522="Лікар-терапевт",IF(L526&lt;=Законод!$C$26,I526,Законод!$C$26*'01_Доходи'!I525),0)))</f>
        <v>0</v>
      </c>
      <c r="J527" s="208">
        <f ca="1">IF($B$522="Лікар загальної практики - сімейний лікар",IF(L526&lt;=Законод!$C$22,J526,Законод!$C$22*'01_Доходи'!J525),IF($B$522="Лікар-педіатр","x",IF($B$522="Лікар-терапевт",IF(L526&lt;=Законод!$C$26,J526,Законод!$C$26*'01_Доходи'!J525),0)))</f>
        <v>0</v>
      </c>
      <c r="K527" s="208">
        <f ca="1">IF($B$522="Лікар загальної практики - сімейний лікар",IF(L526&lt;=Законод!$C$22,K526,Законод!$C$22*'01_Доходи'!K525),IF($B$522="Лікар-педіатр","x",IF($B$522="Лікар-терапевт",IF(L526&lt;=Законод!$C$26,K526,Законод!$C$26*'01_Доходи'!K525),0)))</f>
        <v>0</v>
      </c>
      <c r="L527" s="209">
        <f ca="1">SUM(G527:K527)</f>
        <v>0</v>
      </c>
      <c r="M527" s="942"/>
      <c r="N527" s="208">
        <f ca="1">IF($B$522="Лікар загальної практики - сімейний лікар",IF(S526&lt;=Законод!$C$22,N526,Законод!$C$22*'01_Доходи'!N525),IF($B$522="Лікар-педіатр",IF(S526&lt;=Законод!$C$18,N526,Законод!$C$18*'01_Доходи'!N525),IF($B$522="Лікар-терапевт","x",0)))</f>
        <v>0</v>
      </c>
      <c r="O527" s="208">
        <f ca="1">IF($B$522="Лікар загальної практики - сімейний лікар",IF(S526&lt;=Законод!$C$22,O526,Законод!$C$22*'01_Доходи'!O525),IF($B$522="Лікар-педіатр",IF(S526&lt;=Законод!$C$18,O526,Законод!$C$18*'01_Доходи'!O525),IF($B$522="Лікар-терапевт","x",0)))</f>
        <v>0</v>
      </c>
      <c r="P527" s="208">
        <f ca="1">IF($B$522="Лікар загальної практики - сімейний лікар",IF(S526&lt;=Законод!$C$22,P526,Законод!$C$22*'01_Доходи'!P525),IF($B$522="Лікар-педіатр","x",IF($B$522="Лікар-терапевт",IF(S526&lt;=Законод!$C$26,P526,Законод!$C$26*'01_Доходи'!P525),0)))</f>
        <v>0</v>
      </c>
      <c r="Q527" s="208">
        <f ca="1">IF($B$522="Лікар загальної практики - сімейний лікар",IF(S526&lt;=Законод!$C$22,Q526,Законод!$C$22*'01_Доходи'!Q525),IF($B$522="Лікар-педіатр","x",IF($B$522="Лікар-терапевт",IF(S526&lt;=Законод!$C$26,Q526,Законод!$C$26*'01_Доходи'!Q525),0)))</f>
        <v>0</v>
      </c>
      <c r="R527" s="208">
        <f ca="1">IF($B$522="Лікар загальної практики - сімейний лікар",IF(S526&lt;=Законод!$C$22,R526,Законод!$C$22*'01_Доходи'!R525),IF($B$522="Лікар-педіатр","x",IF($B$522="Лікар-терапевт",IF(S526&lt;=Законод!$C$26,R526,Законод!$C$26*'01_Доходи'!R525),0)))</f>
        <v>0</v>
      </c>
      <c r="S527" s="209">
        <f ca="1">SUM(N527:R527)</f>
        <v>0</v>
      </c>
      <c r="T527" s="942"/>
      <c r="U527" s="208">
        <f ca="1">IF($B$522="Лікар загальної практики - сімейний лікар",IF(Z526&lt;=Законод!$C$22,U526,Законод!$C$22*'01_Доходи'!U525),IF($B$522="Лікар-педіатр",IF(Z526&lt;=Законод!$C$18,U526,Законод!$C$18*'01_Доходи'!U525),IF($B$522="Лікар-терапевт","x",0)))</f>
        <v>0</v>
      </c>
      <c r="V527" s="208">
        <f ca="1">IF($B$522="Лікар загальної практики - сімейний лікар",IF(Z526&lt;=Законод!$C$22,V526,Законод!$C$22*'01_Доходи'!V525),IF($B$522="Лікар-педіатр",IF(Z526&lt;=Законод!$C$18,V526,Законод!$C$18*'01_Доходи'!V525),IF($B$522="Лікар-терапевт","x",0)))</f>
        <v>0</v>
      </c>
      <c r="W527" s="208">
        <f ca="1">IF($B$522="Лікар загальної практики - сімейний лікар",IF(Z526&lt;=Законод!$C$22,W526,Законод!$C$22*'01_Доходи'!W525),IF($B$522="Лікар-педіатр","x",IF($B$522="Лікар-терапевт",IF(Z526&lt;=Законод!$C$26,W526,Законод!$C$26*'01_Доходи'!W525),0)))</f>
        <v>0</v>
      </c>
      <c r="X527" s="208">
        <f ca="1">IF($B$522="Лікар загальної практики - сімейний лікар",IF(Z526&lt;=Законод!$C$22,X526,Законод!$C$22*'01_Доходи'!X525),IF($B$522="Лікар-педіатр","x",IF($B$522="Лікар-терапевт",IF(Z526&lt;=Законод!$C$26,X526,Законод!$C$26*'01_Доходи'!X525),0)))</f>
        <v>0</v>
      </c>
      <c r="Y527" s="208">
        <f ca="1">IF($B$522="Лікар загальної практики - сімейний лікар",IF(Z526&lt;=Законод!$C$22,Y526,Законод!$C$22*'01_Доходи'!Y525),IF($B$522="Лікар-педіатр","x",IF($B$522="Лікар-терапевт",IF(Z526&lt;=Законод!$C$26,Y526,Законод!$C$26*'01_Доходи'!Y525),0)))</f>
        <v>0</v>
      </c>
      <c r="Z527" s="209">
        <f ca="1">SUM(U527:Y527)</f>
        <v>0</v>
      </c>
      <c r="AA527" s="942"/>
      <c r="AB527" s="208">
        <f ca="1">IF($B$522="Лікар загальної практики - сімейний лікар",IF(AG526&lt;=Законод!$C$22,AB526,Законод!$C$22*'01_Доходи'!AB525),IF($B$522="Лікар-педіатр",IF(AG526&lt;=Законод!$C$18,AB526,Законод!$C$18*'01_Доходи'!AB525),IF($B$522="Лікар-терапевт","x",0)))</f>
        <v>0</v>
      </c>
      <c r="AC527" s="208">
        <f ca="1">IF($B$522="Лікар загальної практики - сімейний лікар",IF(AG526&lt;=Законод!$C$22,AC526,Законод!$C$22*'01_Доходи'!AC525),IF($B$522="Лікар-педіатр",IF(AG526&lt;=Законод!$C$18,AC526,Законод!$C$18*'01_Доходи'!AC525),IF($B$522="Лікар-терапевт","x",0)))</f>
        <v>0</v>
      </c>
      <c r="AD527" s="208">
        <f ca="1">IF($B$522="Лікар загальної практики - сімейний лікар",IF(AG526&lt;=Законод!$C$22,AD526,Законод!$C$22*'01_Доходи'!AD525),IF($B$522="Лікар-педіатр","x",IF($B$522="Лікар-терапевт",IF(AG526&lt;=Законод!$C$26,AD526,Законод!$C$26*'01_Доходи'!AD525),0)))</f>
        <v>0</v>
      </c>
      <c r="AE527" s="208">
        <f ca="1">IF($B$522="Лікар загальної практики - сімейний лікар",IF(AG526&lt;=Законод!$C$22,AE526,Законод!$C$22*'01_Доходи'!AE525),IF($B$522="Лікар-педіатр","x",IF($B$522="Лікар-терапевт",IF(AG526&lt;=Законод!$C$26,AE526,Законод!$C$26*'01_Доходи'!AE525),0)))</f>
        <v>0</v>
      </c>
      <c r="AF527" s="208">
        <f ca="1">IF($B$522="Лікар загальної практики - сімейний лікар",IF(AG526&lt;=Законод!$C$22,AF526,Законод!$C$22*'01_Доходи'!AF525),IF($B$522="Лікар-педіатр","x",IF($B$522="Лікар-терапевт",IF(AG526&lt;=Законод!$C$26,AF526,Законод!$C$26*'01_Доходи'!AF525),0)))</f>
        <v>0</v>
      </c>
      <c r="AG527" s="209">
        <f ca="1">SUM(AB527:AF527)</f>
        <v>0</v>
      </c>
      <c r="AH527" s="942"/>
      <c r="AI527" s="201"/>
      <c r="AJ527" s="945"/>
      <c r="AK527" s="960"/>
      <c r="AL527" s="960"/>
      <c r="AM527" s="348" t="s">
        <v>451</v>
      </c>
      <c r="AN527" s="210">
        <f ca="1">IF(B522="Лікар загальної практики - сімейний лікар",G527*Законод!$C$11+'01_Доходи'!H527*Законод!$D$11+'01_Доходи'!I527*Законод!$E$11+'01_Доходи'!J527*Законод!$F$11+'01_Доходи'!K527*Законод!$G$11,IF(B522="Лікар-педіатр",G527*Законод!$C$11+'01_Доходи'!H527*Законод!$D$11,IF(B522="Лікар-терапевт",'01_Доходи'!I527*Законод!$E$11+'01_Доходи'!J527*Законод!$F$11+'01_Доходи'!K527*Законод!$G$11,0)))</f>
        <v>0</v>
      </c>
      <c r="AO527" s="210">
        <f ca="1">IF(B522="Лікар загальної практики - сімейний лікар",N527*Законод!$C$11+'01_Доходи'!O527*Законод!$D$11+'01_Доходи'!P527*Законод!$E$11+'01_Доходи'!Q527*Законод!$F$11+'01_Доходи'!R527*Законод!$G$11,IF(B522="Лікар-педіатр",N527*Законод!$C$11+'01_Доходи'!O527*Законод!$D$11,IF(B522="Лікар-терапевт",'01_Доходи'!P527*Законод!$E$11+'01_Доходи'!Q527*Законод!$F$11+'01_Доходи'!R527*Законод!$G$11,0)))</f>
        <v>0</v>
      </c>
      <c r="AP527" s="210">
        <f ca="1">IF(B522="Лікар загальної практики - сімейний лікар",U527*Законод!$C$11+'01_Доходи'!V527*Законод!$D$11+'01_Доходи'!W527*Законод!$E$11+'01_Доходи'!X527*Законод!$F$11+'01_Доходи'!Y527*Законод!$G$11,IF(B522="Лікар-педіатр",U527*Законод!$C$11+'01_Доходи'!V527*Законод!$D$11,IF(B522="Лікар-терапевт",'01_Доходи'!W527*Законод!$E$11+'01_Доходи'!X527*Законод!$F$11+'01_Доходи'!Y527*Законод!$G$11,0)))</f>
        <v>0</v>
      </c>
      <c r="AQ527" s="210">
        <f ca="1">IF(B522="Лікар загальної практики - сімейний лікар",AB527*Законод!$C$11+'01_Доходи'!AC527*Законод!$D$11+'01_Доходи'!AD527*Законод!$E$11+'01_Доходи'!AE527*Законод!$F$11+'01_Доходи'!AF527*Законод!$G$11,IF(B522="Лікар-педіатр",AB527*Законод!$C$11+'01_Доходи'!AC527*Законод!$D$11,IF(B522="Лікар-терапевт",'01_Доходи'!AD527*Законод!$E$11+'01_Доходи'!AE527*Законод!$F$11+'01_Доходи'!AF527*Законод!$G$11,0)))</f>
        <v>0</v>
      </c>
      <c r="AR527" s="211">
        <f t="shared" ref="AR527:AR533" si="80">SUM(AN527:AQ527)</f>
        <v>0</v>
      </c>
    </row>
    <row r="528" spans="1:44" s="50" customFormat="1" ht="31.9" hidden="1" customHeight="1">
      <c r="A528" s="197"/>
      <c r="B528" s="951"/>
      <c r="C528" s="954"/>
      <c r="D528" s="957"/>
      <c r="E528" s="939"/>
      <c r="F528" s="238" t="str">
        <f ca="1">IF(B522="Лікар-педіатр",Законод!$E$17,IF(B522="Лікар загальної практики - сімейний лікар",Законод!$E$21,IF(B522="Лікар-терапевт",Законод!$E$25,"х")))</f>
        <v>х</v>
      </c>
      <c r="G528" s="935" t="s">
        <v>423</v>
      </c>
      <c r="H528" s="936"/>
      <c r="I528" s="936"/>
      <c r="J528" s="936"/>
      <c r="K528" s="937"/>
      <c r="L528" s="196">
        <f ca="1">IF($B$522="Лікар загальної практики - сімейний лікар",IF(L526&lt;Законод!$C$22,0,(IF(AND(L526&gt;=Законод!$E$22,L526&lt;=Законод!$E$23),L526-Законод!$C$22,IF('01_Доходи'!L526&gt;=Законод!$F$22,Законод!$E$24,0)))),IF($B$522="Лікар-педіатр",IF(L526&lt;Законод!$C$18,0,(IF(AND(L526&gt;=Законод!$E$18,L526&lt;=Законод!$E$19),L526-Законод!$C$18,IF('01_Доходи'!L526&gt;=Законод!$F$18,Законод!$E$20,0)))),IF($B$522="Лікар-терапевт",IF(L526&lt;Законод!$C$26,0,(IF(AND(L526&gt;=Законод!$E$26,L526&lt;=Законод!$E$27),L526-Законод!$C$26,IF('01_Доходи'!L526&gt;=Законод!$F$26,Законод!$E$28,0)))),0)))</f>
        <v>0</v>
      </c>
      <c r="M528" s="942"/>
      <c r="N528" s="935" t="s">
        <v>423</v>
      </c>
      <c r="O528" s="936"/>
      <c r="P528" s="936"/>
      <c r="Q528" s="936"/>
      <c r="R528" s="937"/>
      <c r="S528" s="196">
        <f ca="1">IF($B$522="Лікар загальної практики - сімейний лікар",IF(S526&lt;Законод!$C$22,0,(IF(AND(S526&gt;=Законод!$E$22,S526&lt;=Законод!$E$23),S526-Законод!$C$22,IF('01_Доходи'!S526&gt;=Законод!$F$22,Законод!$E$24,0)))),IF($B$522="Лікар-педіатр",IF(S526&lt;Законод!$C$18,0,(IF(AND(S526&gt;=Законод!$E$18,S526&lt;=Законод!$E$19),S526-Законод!$C$18,IF('01_Доходи'!S526&gt;=Законод!$F$18,Законод!$E$20,0)))),IF($B$522="Лікар-терапевт",IF(S526&lt;Законод!$C$26,0,(IF(AND(S526&gt;=Законод!$E$26,S526&lt;=Законод!$E$27),S526-Законод!$C$26,IF('01_Доходи'!S526&gt;=Законод!$F$26,Законод!$E$28,0)))),0)))</f>
        <v>0</v>
      </c>
      <c r="T528" s="942"/>
      <c r="U528" s="935" t="s">
        <v>423</v>
      </c>
      <c r="V528" s="936"/>
      <c r="W528" s="936"/>
      <c r="X528" s="936"/>
      <c r="Y528" s="937"/>
      <c r="Z528" s="196">
        <f ca="1">IF($B$522="Лікар загальної практики - сімейний лікар",IF(Z526&lt;Законод!$C$22,0,(IF(AND(Z526&gt;=Законод!$E$22,Z526&lt;=Законод!$E$23),Z526-Законод!$C$22,IF('01_Доходи'!Z526&gt;=Законод!$F$22,Законод!$E$24,0)))),IF($B$522="Лікар-педіатр",IF(Z526&lt;Законод!$C$18,0,(IF(AND(Z526&gt;=Законод!$E$18,Z526&lt;=Законод!$E$19),Z526-Законод!$C$18,IF('01_Доходи'!Z526&gt;=Законод!$F$18,Законод!$E$20,0)))),IF($B$522="Лікар-терапевт",IF(Z526&lt;Законод!$C$26,0,(IF(AND(Z526&gt;=Законод!$E$26,Z526&lt;=Законод!$E$27),Z526-Законод!$C$26,IF('01_Доходи'!Z526&gt;=Законод!$F$26,Законод!$E$28,0)))),0)))</f>
        <v>0</v>
      </c>
      <c r="AA528" s="942"/>
      <c r="AB528" s="935" t="s">
        <v>423</v>
      </c>
      <c r="AC528" s="936"/>
      <c r="AD528" s="936"/>
      <c r="AE528" s="936"/>
      <c r="AF528" s="937"/>
      <c r="AG528" s="196">
        <f ca="1">IF($B$522="Лікар загальної практики - сімейний лікар",IF(AG526&lt;Законод!$C$22,0,(IF(AND(AG526&gt;=Законод!$E$22,AG526&lt;=Законод!$E$23),AG526-Законод!$C$22,IF('01_Доходи'!AG526&gt;=Законод!$F$22,Законод!$E$24,0)))),IF($B$522="Лікар-педіатр",IF(AG526&lt;Законод!$C$18,0,(IF(AND(AG526&gt;=Законод!$E$18,AG526&lt;=Законод!$E$19),AG526-Законод!$C$18,IF('01_Доходи'!AG526&gt;=Законод!$F$18,Законод!$E$20,0)))),IF($B$522="Лікар-терапевт",IF(AG526&lt;Законод!$C$26,0,(IF(AND(AG526&gt;=Законод!$E$26,AG526&lt;=Законод!$E$27),AG526-Законод!$C$26,IF('01_Доходи'!AG526&gt;=Законод!$F$26,Законод!$E$28,0)))),0)))</f>
        <v>0</v>
      </c>
      <c r="AH528" s="942"/>
      <c r="AI528" s="201"/>
      <c r="AJ528" s="945"/>
      <c r="AK528" s="960"/>
      <c r="AL528" s="960"/>
      <c r="AM528" s="926" t="s">
        <v>452</v>
      </c>
      <c r="AN528" s="210">
        <f ca="1">IF(B522="Лікар загальної практики - сімейний лікар",L528*Законод!$C$9/4*Законод!$E$16,IF(B522="Лікар-педіатр",L528*Законод!$C$9/4*Законод!$E$16,IF(B522="Лікар-терапевт",L528*Законод!$C$9/4*Законод!$E$16,0)))</f>
        <v>0</v>
      </c>
      <c r="AO528" s="210">
        <f ca="1">IF(B522="Лікар загальної практики - сімейний лікар",S528*Законод!$C$9/4*Законод!$E$16,IF(B522="Лікар-педіатр",S528*Законод!$C$9/4*Законод!$E$16,IF(B522="Лікар-терапевт",S528*Законод!$C$9/4*Законод!$E$16,0)))</f>
        <v>0</v>
      </c>
      <c r="AP528" s="210">
        <f ca="1">IF(B522="Лікар загальної практики - сімейний лікар",Z528*Законод!$C$9/4*Законод!$E$16,IF(B522="Лікар-педіатр",Z528*Законод!$C$9/4*Законод!$E$16,IF(B522="Лікар-терапевт",Z528*Законод!$C$9/4*Законод!$E$16,0)))</f>
        <v>0</v>
      </c>
      <c r="AQ528" s="210">
        <f ca="1">IF(B522="Лікар загальної практики - сімейний лікар",AG528*Законод!$C$9/4*Законод!$E$16,IF(B522="Лікар-педіатр",AG528*Законод!$C$9/4*Законод!$E$16,IF(B522="Лікар-терапевт",AG528*Законод!$C$9/4*Законод!$E$16,0)))</f>
        <v>0</v>
      </c>
      <c r="AR528" s="211">
        <f t="shared" si="80"/>
        <v>0</v>
      </c>
    </row>
    <row r="529" spans="1:44" s="50" customFormat="1" ht="31.9" hidden="1" customHeight="1">
      <c r="A529" s="197"/>
      <c r="B529" s="951"/>
      <c r="C529" s="954"/>
      <c r="D529" s="957"/>
      <c r="E529" s="939"/>
      <c r="F529" s="238" t="str">
        <f ca="1">IF(B522="Лікар-педіатр",Законод!$F$17,IF(B522="Лікар загальної практики - сімейний лікар",Законод!$F$21,IF(B522="Лікар-терапевт",Законод!$F$25,"х")))</f>
        <v>х</v>
      </c>
      <c r="G529" s="935" t="s">
        <v>423</v>
      </c>
      <c r="H529" s="936"/>
      <c r="I529" s="936"/>
      <c r="J529" s="936"/>
      <c r="K529" s="937"/>
      <c r="L529" s="196">
        <f ca="1">IF($B$522="Лікар загальної практики - сімейний лікар",IF(L526&lt;Законод!$C$22,0,(IF(AND(L526&gt;=Законод!$F$22,L526&lt;=Законод!$F$23),L526-Законод!$E$23,IF('01_Доходи'!L526&gt;=Законод!$G$22,Законод!$F$24,0)))),IF($B$522="Лікар-педіатр",IF(L526&lt;Законод!$C$18,0,(IF(AND(L526&gt;=Законод!$F$18,L526&lt;=Законод!$F$19),L526-Законод!$E$19,IF('01_Доходи'!L526&gt;=Законод!$G$18,Законод!$F$20,0)))),IF($B$522="Лікар-терапевт",IF(L526&lt;Законод!$C$26,0,(IF(AND(L526&gt;=Законод!$F$26,L526&lt;=Законод!$F$27),L526-Законод!$E$27,IF('01_Доходи'!L526&gt;=Законод!$G$26,Законод!$F$28,0)))),0)))</f>
        <v>0</v>
      </c>
      <c r="M529" s="942"/>
      <c r="N529" s="935" t="s">
        <v>423</v>
      </c>
      <c r="O529" s="936"/>
      <c r="P529" s="936"/>
      <c r="Q529" s="936"/>
      <c r="R529" s="937"/>
      <c r="S529" s="196">
        <f ca="1">IF($B$522="Лікар загальної практики - сімейний лікар",IF(S526&lt;Законод!$C$22,0,(IF(AND(S526&gt;=Законод!$F$22,S526&lt;=Законод!$F$23),S526-Законод!$E$23,IF('01_Доходи'!S526&gt;=Законод!$G$22,Законод!$F$24,0)))),IF($B$522="Лікар-педіатр",IF(S526&lt;Законод!$C$18,0,(IF(AND(S526&gt;=Законод!$F$18,S526&lt;=Законод!$F$19),S526-Законод!$E$19,IF('01_Доходи'!S526&gt;=Законод!$G$18,Законод!$F$20,0)))),IF($B$522="Лікар-терапевт",IF(S526&lt;Законод!$C$26,0,(IF(AND(S526&gt;=Законод!$F$26,S526&lt;=Законод!$F$27),S526-Законод!$E$27,IF('01_Доходи'!S526&gt;=Законод!$G$26,Законод!$F$28,0)))),0)))</f>
        <v>0</v>
      </c>
      <c r="T529" s="942"/>
      <c r="U529" s="935" t="s">
        <v>423</v>
      </c>
      <c r="V529" s="936"/>
      <c r="W529" s="936"/>
      <c r="X529" s="936"/>
      <c r="Y529" s="937"/>
      <c r="Z529" s="196">
        <f ca="1">IF($B$522="Лікар загальної практики - сімейний лікар",IF(Z526&lt;Законод!$C$22,0,(IF(AND(Z526&gt;=Законод!$F$22,Z526&lt;=Законод!$F$23),Z526-Законод!$E$23,IF('01_Доходи'!Z526&gt;=Законод!$G$22,Законод!$F$24,0)))),IF($B$522="Лікар-педіатр",IF(Z526&lt;Законод!$C$18,0,(IF(AND(Z526&gt;=Законод!$F$18,Z526&lt;=Законод!$F$19),Z526-Законод!$E$19,IF('01_Доходи'!Z526&gt;=Законод!$G$18,Законод!$F$20,0)))),IF($B$522="Лікар-терапевт",IF(Z526&lt;Законод!$C$26,0,(IF(AND(Z526&gt;=Законод!$F$26,Z526&lt;=Законод!$F$27),Z526-Законод!$E$27,IF('01_Доходи'!Z526&gt;=Законод!$G$26,Законод!$F$28,0)))),0)))</f>
        <v>0</v>
      </c>
      <c r="AA529" s="942"/>
      <c r="AB529" s="935" t="s">
        <v>423</v>
      </c>
      <c r="AC529" s="936"/>
      <c r="AD529" s="936"/>
      <c r="AE529" s="936"/>
      <c r="AF529" s="937"/>
      <c r="AG529" s="196">
        <f ca="1">IF($B$522="Лікар загальної практики - сімейний лікар",IF(AG526&lt;Законод!$C$22,0,(IF(AND(AG526&gt;=Законод!$F$22,AG526&lt;=Законод!$F$23),AG526-Законод!$E$23,IF('01_Доходи'!AG526&gt;=Законод!$G$22,Законод!$F$24,0)))),IF($B$522="Лікар-педіатр",IF(AG526&lt;Законод!$C$18,0,(IF(AND(AG526&gt;=Законод!$F$18,AG526&lt;=Законод!$F$19),AG526-Законод!$E$19,IF('01_Доходи'!AG526&gt;=Законод!$G$18,Законод!$F$20,0)))),IF($B$522="Лікар-терапевт",IF(AG526&lt;Законод!$C$26,0,(IF(AND(AG526&gt;=Законод!$F$26,AG526&lt;=Законод!$F$27),AG526-Законод!$E$27,IF('01_Доходи'!AG526&gt;=Законод!$G$26,Законод!$F$28,0)))),0)))</f>
        <v>0</v>
      </c>
      <c r="AH529" s="942"/>
      <c r="AI529" s="201"/>
      <c r="AJ529" s="945"/>
      <c r="AK529" s="960"/>
      <c r="AL529" s="960"/>
      <c r="AM529" s="927"/>
      <c r="AN529" s="210">
        <f ca="1">IF(B522="Лікар загальної практики - сімейний лікар",L529*Законод!$C$9/4*Законод!$F$16,IF(B522="Лікар-педіатр",L529*Законод!$C$9/4*Законод!$F$16,IF(B522="Лікар-терапевт",L529*Законод!$C$9/4*Законод!$F$16,0)))</f>
        <v>0</v>
      </c>
      <c r="AO529" s="210">
        <f ca="1">IF(B522="Лікар загальної практики - сімейний лікар",S529*Законод!$C$9/4*Законод!$F$16,IF(B522="Лікар-педіатр",S529*Законод!$C$9/4*Законод!$F$16,IF(B522="Лікар-терапевт",S529*Законод!$C$9/4*Законод!$F$16,0)))</f>
        <v>0</v>
      </c>
      <c r="AP529" s="210">
        <f ca="1">IF(B522="Лікар загальної практики - сімейний лікар",Z529*Законод!$C$9/4*Законод!$F$16,IF(B522="Лікар-педіатр",Z529*Законод!$C$9/4*Законод!$F$16,IF(B522="Лікар-терапевт",Z529*Законод!$C$9/4*Законод!$F$16,0)))</f>
        <v>0</v>
      </c>
      <c r="AQ529" s="210">
        <f ca="1">IF(B522="Лікар загальної практики - сімейний лікар",AG529*Законод!$C$9/4*Законод!$F$16,IF(B522="Лікар-педіатр",AG529*Законод!$C$9/4*Законод!$F$16,IF(B522="Лікар-терапевт",AG529*Законод!$C$9/4*Законод!$F$16,0)))</f>
        <v>0</v>
      </c>
      <c r="AR529" s="211">
        <f t="shared" si="80"/>
        <v>0</v>
      </c>
    </row>
    <row r="530" spans="1:44" s="50" customFormat="1" ht="31.9" hidden="1" customHeight="1">
      <c r="A530" s="197"/>
      <c r="B530" s="951"/>
      <c r="C530" s="954"/>
      <c r="D530" s="957"/>
      <c r="E530" s="939"/>
      <c r="F530" s="238" t="str">
        <f ca="1">IF(B522="Лікар-педіатр",Законод!$G$17,IF(B522="Лікар загальної практики - сімейний лікар",Законод!$G$21,IF(B522="Лікар-терапевт",Законод!$G$25,"х")))</f>
        <v>х</v>
      </c>
      <c r="G530" s="935" t="s">
        <v>423</v>
      </c>
      <c r="H530" s="936"/>
      <c r="I530" s="936"/>
      <c r="J530" s="936"/>
      <c r="K530" s="937"/>
      <c r="L530" s="196">
        <f ca="1">IF($B$522="Лікар загальної практики - сімейний лікар",IF(L526&lt;Законод!$C$22,0,(IF(AND(L526&gt;=Законод!$G$22,L526&lt;=Законод!$G$23),L526-Законод!$F$23,IF('01_Доходи'!L526&gt;=Законод!$H$22,Законод!$G$24,0)))),IF($B$522="Лікар-педіатр",IF(L526&lt;Законод!$C$18,0,(IF(AND(L526&gt;=Законод!$G$18,L526&lt;=Законод!$G$19),L526-Законод!$F$19,IF('01_Доходи'!L526&gt;=Законод!$H$18,Законод!$G$20,0)))),IF($B$522="Лікар-терапевт",IF(L526&lt;Законод!$C$26,0,(IF(AND(L526&gt;=Законод!$G$26,L526&lt;=Законод!$G$27),L526-Законод!$F$27,IF('01_Доходи'!L526&gt;=Законод!$H$26,Законод!$G$28,0)))),0)))</f>
        <v>0</v>
      </c>
      <c r="M530" s="942"/>
      <c r="N530" s="935" t="s">
        <v>423</v>
      </c>
      <c r="O530" s="936"/>
      <c r="P530" s="936"/>
      <c r="Q530" s="936"/>
      <c r="R530" s="937"/>
      <c r="S530" s="196">
        <f ca="1">IF($B$522="Лікар загальної практики - сімейний лікар",IF(S526&lt;Законод!$C$22,0,(IF(AND(S526&gt;=Законод!$G$22,S526&lt;=Законод!$G$23),S526-Законод!$F$23,IF('01_Доходи'!S526&gt;=Законод!$H$22,Законод!$G$24,0)))),IF($B$522="Лікар-педіатр",IF(S526&lt;Законод!$C$18,0,(IF(AND(S526&gt;=Законод!$G$18,S526&lt;=Законод!$G$19),S526-Законод!$F$19,IF('01_Доходи'!S526&gt;=Законод!$H$18,Законод!$G$20,0)))),IF($B$522="Лікар-терапевт",IF(S526&lt;Законод!$C$26,0,(IF(AND(S526&gt;=Законод!$G$26,S526&lt;=Законод!$G$27),S526-Законод!$F$27,IF('01_Доходи'!S526&gt;=Законод!$H$26,Законод!$G$28,0)))),0)))</f>
        <v>0</v>
      </c>
      <c r="T530" s="942"/>
      <c r="U530" s="935" t="s">
        <v>423</v>
      </c>
      <c r="V530" s="936"/>
      <c r="W530" s="936"/>
      <c r="X530" s="936"/>
      <c r="Y530" s="937"/>
      <c r="Z530" s="196">
        <f ca="1">IF($B$522="Лікар загальної практики - сімейний лікар",IF(Z526&lt;Законод!$C$22,0,(IF(AND(Z526&gt;=Законод!$G$22,Z526&lt;=Законод!$G$23),Z526-Законод!$F$23,IF('01_Доходи'!Z526&gt;=Законод!$H$22,Законод!$G$24,0)))),IF($B$522="Лікар-педіатр",IF(Z526&lt;Законод!$C$18,0,(IF(AND(Z526&gt;=Законод!$G$18,Z526&lt;=Законод!$G$19),Z526-Законод!$F$19,IF('01_Доходи'!Z526&gt;=Законод!$H$18,Законод!$G$20,0)))),IF($B$522="Лікар-терапевт",IF(Z526&lt;Законод!$C$26,0,(IF(AND(Z526&gt;=Законод!$G$26,Z526&lt;=Законод!$G$27),Z526-Законод!$F$27,IF('01_Доходи'!Z526&gt;=Законод!$H$26,Законод!$G$28,0)))),0)))</f>
        <v>0</v>
      </c>
      <c r="AA530" s="942"/>
      <c r="AB530" s="935" t="s">
        <v>423</v>
      </c>
      <c r="AC530" s="936"/>
      <c r="AD530" s="936"/>
      <c r="AE530" s="936"/>
      <c r="AF530" s="937"/>
      <c r="AG530" s="196">
        <f ca="1">IF($B$522="Лікар загальної практики - сімейний лікар",IF(AG526&lt;Законод!$C$22,0,(IF(AND(AG526&gt;=Законод!$G$22,AG526&lt;=Законод!$G$23),AG526-Законод!$F$23,IF('01_Доходи'!AG526&gt;=Законод!$H$22,Законод!$G$24,0)))),IF($B$522="Лікар-педіатр",IF(AG526&lt;Законод!$C$18,0,(IF(AND(AG526&gt;=Законод!$G$18,AG526&lt;=Законод!$G$19),AG526-Законод!$F$19,IF('01_Доходи'!AG526&gt;=Законод!$H$18,Законод!$G$20,0)))),IF($B$522="Лікар-терапевт",IF(AG526&lt;Законод!$C$26,0,(IF(AND(AG526&gt;=Законод!$G$26,AG526&lt;=Законод!$G$27),AG526-Законод!$F$27,IF('01_Доходи'!AG526&gt;=Законод!$H$26,Законод!$G$28,0)))),0)))</f>
        <v>0</v>
      </c>
      <c r="AH530" s="942"/>
      <c r="AI530" s="201"/>
      <c r="AJ530" s="945"/>
      <c r="AK530" s="960"/>
      <c r="AL530" s="960"/>
      <c r="AM530" s="927"/>
      <c r="AN530" s="210">
        <f ca="1">IF(B522="Лікар загальної практики - сімейний лікар",L530*Законод!$C$9/4*Законод!$G$16,IF(B522="Лікар-педіатр",L530*Законод!$C$9/4*Законод!$G$16,IF(B522="Лікар-терапевт",L530*Законод!$C$9/4*Законод!$G$16,0)))</f>
        <v>0</v>
      </c>
      <c r="AO530" s="210">
        <f ca="1">IF(B522="Лікар загальної практики - сімейний лікар",S530*Законод!$C$9/4*Законод!$G$16,IF(B522="Лікар-педіатр",S530*Законод!$C$9/4*Законод!$G$16,IF(B522="Лікар-терапевт",S530*Законод!$C$9/4*Законод!$G$16,0)))</f>
        <v>0</v>
      </c>
      <c r="AP530" s="210">
        <f ca="1">IF(B522="Лікар загальної практики - сімейний лікар",Z530*Законод!$C$9/4*Законод!$G$16,IF(B522="Лікар-педіатр",Z530*Законод!$C$9/4*Законод!$G$16,IF(B522="Лікар-терапевт",Z530*Законод!$C$9/4*Законод!$G$16,0)))</f>
        <v>0</v>
      </c>
      <c r="AQ530" s="210">
        <f ca="1">IF(B522="Лікар загальної практики - сімейний лікар",AG530*Законод!$C$9/4*Законод!$G$16,IF(B522="Лікар-педіатр",AG530*Законод!$C$9/4*Законод!$G$16,IF(B522="Лікар-терапевт",AG530*Законод!$C$9/4*Законод!$G$16,0)))</f>
        <v>0</v>
      </c>
      <c r="AR530" s="211">
        <f t="shared" si="80"/>
        <v>0</v>
      </c>
    </row>
    <row r="531" spans="1:44" s="50" customFormat="1" ht="31.9" hidden="1" customHeight="1">
      <c r="A531" s="197"/>
      <c r="B531" s="951"/>
      <c r="C531" s="954"/>
      <c r="D531" s="957"/>
      <c r="E531" s="939"/>
      <c r="F531" s="238" t="str">
        <f ca="1">IF(B522="Лікар-педіатр",Законод!$H$17,IF(B522="Лікар загальної практики - сімейний лікар",Законод!$H$21,IF(B522="Лікар-терапевт",Законод!$H$25,"х")))</f>
        <v>х</v>
      </c>
      <c r="G531" s="935" t="s">
        <v>423</v>
      </c>
      <c r="H531" s="936"/>
      <c r="I531" s="936"/>
      <c r="J531" s="936"/>
      <c r="K531" s="937"/>
      <c r="L531" s="196">
        <f ca="1">IF($B$522="Лікар загальної практики - сімейний лікар",IF(L526&lt;Законод!$C$22,0,(IF(AND(L526&gt;=Законод!$H$22,L526&lt;=Законод!$H$23),L526-Законод!$G$23,IF('01_Доходи'!L526&gt;=Законод!$I$22,Законод!$H$24,0)))),IF($B$522="Лікар-педіатр",IF(L526&lt;Законод!$C$18,0,(IF(AND(L526&gt;=Законод!$H$18,L526&lt;=Законод!$H$19),L526-Законод!$G$19,IF('01_Доходи'!L526&gt;=Законод!$I$18,Законод!$H$20,0)))),IF($B$522="Лікар-терапевт",IF(L526&lt;Законод!$C$26,0,(IF(AND(L526&gt;=Законод!$H$26,L526&lt;=Законод!$H$27),L526-Законод!$G$27,IF(L526&gt;=Законод!$I$26,Законод!$H$28,0)))),0)))</f>
        <v>0</v>
      </c>
      <c r="M531" s="942"/>
      <c r="N531" s="935" t="s">
        <v>423</v>
      </c>
      <c r="O531" s="936"/>
      <c r="P531" s="936"/>
      <c r="Q531" s="936"/>
      <c r="R531" s="937"/>
      <c r="S531" s="196">
        <f ca="1">IF($B$522="Лікар загальної практики - сімейний лікар",IF(S526&lt;Законод!$C$22,0,(IF(AND(S526&gt;=Законод!$H$22,S526&lt;=Законод!$H$23),S526-Законод!$G$23,IF('01_Доходи'!S526&gt;=Законод!$I$22,Законод!$H$24,0)))),IF($B$522="Лікар-педіатр",IF(S526&lt;Законод!$C$18,0,(IF(AND(S526&gt;=Законод!$H$18,S526&lt;=Законод!$H$19),S526-Законод!$G$19,IF('01_Доходи'!S526&gt;=Законод!$I$18,Законод!$H$20,0)))),IF($B$522="Лікар-терапевт",IF(S526&lt;Законод!$C$26,0,(IF(AND(S526&gt;=Законод!$H$26,S526&lt;=Законод!$H$27),S526-Законод!$G$27,IF(S526&gt;=Законод!$I$26,Законод!$H$28,0)))),0)))</f>
        <v>0</v>
      </c>
      <c r="T531" s="942"/>
      <c r="U531" s="935" t="s">
        <v>423</v>
      </c>
      <c r="V531" s="936"/>
      <c r="W531" s="936"/>
      <c r="X531" s="936"/>
      <c r="Y531" s="937"/>
      <c r="Z531" s="196">
        <f ca="1">IF($B$522="Лікар загальної практики - сімейний лікар",IF(Z526&lt;Законод!$C$22,0,(IF(AND(Z526&gt;=Законод!$H$22,Z526&lt;=Законод!$H$23),Z526-Законод!$G$23,IF('01_Доходи'!Z526&gt;=Законод!$I$22,Законод!$H$24,0)))),IF($B$522="Лікар-педіатр",IF(Z526&lt;Законод!$C$18,0,(IF(AND(Z526&gt;=Законод!$H$18,Z526&lt;=Законод!$H$19),Z526-Законод!$G$19,IF('01_Доходи'!Z526&gt;=Законод!$I$18,Законод!$H$20,0)))),IF($B$522="Лікар-терапевт",IF(Z526&lt;Законод!$C$26,0,(IF(AND(Z526&gt;=Законод!$H$26,Z526&lt;=Законод!$H$27),Z526-Законод!$G$27,IF(Z526&gt;=Законод!$I$26,Законод!$H$28,0)))),0)))</f>
        <v>0</v>
      </c>
      <c r="AA531" s="942"/>
      <c r="AB531" s="935" t="s">
        <v>423</v>
      </c>
      <c r="AC531" s="936"/>
      <c r="AD531" s="936"/>
      <c r="AE531" s="936"/>
      <c r="AF531" s="937"/>
      <c r="AG531" s="196">
        <f ca="1">IF($B$522="Лікар загальної практики - сімейний лікар",IF(AG526&lt;Законод!$C$22,0,(IF(AND(AG526&gt;=Законод!$H$22,AG526&lt;=Законод!$H$23),AG526-Законод!$G$23,IF('01_Доходи'!AG526&gt;=Законод!$I$22,Законод!$H$24,0)))),IF($B$522="Лікар-педіатр",IF(AG526&lt;Законод!$C$18,0,(IF(AND(AG526&gt;=Законод!$H$18,AG526&lt;=Законод!$H$19),AG526-Законод!$G$19,IF('01_Доходи'!AG526&gt;=Законод!$I$18,Законод!$H$20,0)))),IF($B$522="Лікар-терапевт",IF(AG526&lt;Законод!$C$26,0,(IF(AND(AG526&gt;=Законод!$H$26,AG526&lt;=Законод!$H$27),AG526-Законод!$G$27,IF(AG526&gt;=Законод!$I$26,Законод!$H$28,0)))),0)))</f>
        <v>0</v>
      </c>
      <c r="AH531" s="942"/>
      <c r="AI531" s="201"/>
      <c r="AJ531" s="945"/>
      <c r="AK531" s="960"/>
      <c r="AL531" s="960"/>
      <c r="AM531" s="927"/>
      <c r="AN531" s="210">
        <f ca="1">IF(B522="Лікар загальної практики - сімейний лікар",L531*Законод!$C$9/4*Законод!$H$16,IF(B522="Лікар-педіатр",L531*Законод!$C$9/4*Законод!$H$16,IF(B522="Лікар-терапевт",L531*Законод!$C$9/4*Законод!$H$16,0)))</f>
        <v>0</v>
      </c>
      <c r="AO531" s="210">
        <f ca="1">IF(B522="Лікар загальної практики - сімейний лікар",S531*Законод!$C$9/4*Законод!$H$16,IF(B522="Лікар-педіатр",S531*Законод!$C$9/4*Законод!$H$16,IF(B522="Лікар-терапевт",S531*Законод!$C$9/4*Законод!$H$16,0)))</f>
        <v>0</v>
      </c>
      <c r="AP531" s="210">
        <f ca="1">IF(B522="Лікар загальної практики - сімейний лікар",Z531*Законод!$C$9/4*Законод!$H$16,IF(B522="Лікар-педіатр",Z531*Законод!$C$9/4*Законод!$H$16,IF(B522="Лікар-терапевт",Z531*Законод!$C$9/4*Законод!$H$16,0)))</f>
        <v>0</v>
      </c>
      <c r="AQ531" s="210">
        <f ca="1">IF(B522="Лікар загальної практики - сімейний лікар",AG531*Законод!$C$9/4*Законод!$H$16,IF(B522="Лікар-педіатр",AG531*Законод!$C$9/4*Законод!$H$16,IF(B522="Лікар-терапевт",AG531*Законод!$C$9/4*Законод!$H$16,0)))</f>
        <v>0</v>
      </c>
      <c r="AR531" s="211">
        <f t="shared" si="80"/>
        <v>0</v>
      </c>
    </row>
    <row r="532" spans="1:44" s="50" customFormat="1" ht="31.9" hidden="1" customHeight="1">
      <c r="A532" s="197"/>
      <c r="B532" s="951"/>
      <c r="C532" s="954"/>
      <c r="D532" s="957"/>
      <c r="E532" s="939"/>
      <c r="F532" s="238" t="str">
        <f ca="1">IF(B522="Лікар-педіатр",Законод!$I$17,IF(B522="Лікар загальної практики - сімейний лікар",Законод!$I$21,IF(B522="Лікар-терапевт",Законод!$I$25,"х")))</f>
        <v>х</v>
      </c>
      <c r="G532" s="935" t="s">
        <v>423</v>
      </c>
      <c r="H532" s="936"/>
      <c r="I532" s="936"/>
      <c r="J532" s="936"/>
      <c r="K532" s="937"/>
      <c r="L532" s="196">
        <f ca="1">IF($B$522="Лікар загальної практики - сімейний лікар",IF(L526&lt;Законод!$C$22,0,(IF(AND(L526&gt;=Законод!$I$22,L526&lt;=Законод!$I$23),L526-Законод!$H$23,IF('01_Доходи'!L526&gt;=Законод!$I$22,Законод!$I$24,0)))),IF($B$522="Лікар-педіатр",IF(L526&lt;Законод!$C$18,0,(IF(AND(L526&gt;=Законод!$I$18,L526&lt;=Законод!$I$19),L526-Законод!$H$19,IF('01_Доходи'!L526&gt;=Законод!$I$18,Законод!$H$20,0)))),IF($B$522="Лікар-терапевт",IF(L526&lt;Законод!$C$26,0,(IF(AND(L526&gt;=Законод!$I$26,L526&lt;=Законод!$I$27),L526-Законод!$H$27,IF('01_Доходи'!L526&gt;=Законод!$I$26,Законод!$H$28,0)))),0)))</f>
        <v>0</v>
      </c>
      <c r="M532" s="942"/>
      <c r="N532" s="935" t="s">
        <v>423</v>
      </c>
      <c r="O532" s="936"/>
      <c r="P532" s="936"/>
      <c r="Q532" s="936"/>
      <c r="R532" s="937"/>
      <c r="S532" s="196">
        <f ca="1">IF($B$522="Лікар загальної практики - сімейний лікар",IF(S526&lt;Законод!$C$22,0,(IF(AND(S526&gt;=Законод!$I$22,S526&lt;=Законод!$I$23),S526-Законод!$H$23,IF('01_Доходи'!S526&gt;=Законод!$I$22,Законод!$I$24,0)))),IF($B$522="Лікар-педіатр",IF(S526&lt;Законод!$C$18,0,(IF(AND(S526&gt;=Законод!$I$18,S526&lt;=Законод!$I$19),S526-Законод!$H$19,IF('01_Доходи'!S526&gt;=Законод!$I$18,Законод!$H$20,0)))),IF($B$522="Лікар-терапевт",IF(S526&lt;Законод!$C$26,0,(IF(AND(S526&gt;=Законод!$I$26,S526&lt;=Законод!$I$27),S526-Законод!$H$27,IF('01_Доходи'!S526&gt;=Законод!$I$26,Законод!$H$28,0)))),0)))</f>
        <v>0</v>
      </c>
      <c r="T532" s="942"/>
      <c r="U532" s="935" t="s">
        <v>423</v>
      </c>
      <c r="V532" s="936"/>
      <c r="W532" s="936"/>
      <c r="X532" s="936"/>
      <c r="Y532" s="937"/>
      <c r="Z532" s="196">
        <f ca="1">IF($B$522="Лікар загальної практики - сімейний лікар",IF(Z526&lt;Законод!$C$22,0,(IF(AND(Z526&gt;=Законод!$I$22,Z526&lt;=Законод!$I$23),Z526-Законод!$H$23,IF('01_Доходи'!Z526&gt;=Законод!$I$22,Законод!$I$24,0)))),IF($B$522="Лікар-педіатр",IF(Z526&lt;Законод!$C$18,0,(IF(AND(Z526&gt;=Законод!$I$18,Z526&lt;=Законод!$I$19),Z526-Законод!$H$19,IF('01_Доходи'!Z526&gt;=Законод!$I$18,Законод!$H$20,0)))),IF($B$522="Лікар-терапевт",IF(Z526&lt;Законод!$C$26,0,(IF(AND(Z526&gt;=Законод!$I$26,Z526&lt;=Законод!$I$27),Z526-Законод!$H$27,IF('01_Доходи'!Z526&gt;=Законод!$I$26,Законод!$H$28,0)))),0)))</f>
        <v>0</v>
      </c>
      <c r="AA532" s="942"/>
      <c r="AB532" s="935" t="s">
        <v>423</v>
      </c>
      <c r="AC532" s="936"/>
      <c r="AD532" s="936"/>
      <c r="AE532" s="936"/>
      <c r="AF532" s="937"/>
      <c r="AG532" s="196">
        <f ca="1">IF($B$522="Лікар загальної практики - сімейний лікар",IF(AG526&lt;Законод!$C$22,0,(IF(AND(AG526&gt;=Законод!$I$22,AG526&lt;=Законод!$I$23),AG526-Законод!$H$23,IF('01_Доходи'!AG526&gt;=Законод!$I$22,Законод!$I$24,0)))),IF($B$522="Лікар-педіатр",IF(AG526&lt;Законод!$C$18,0,(IF(AND(AG526&gt;=Законод!$I$18,AG526&lt;=Законод!$I$19),AG526-Законод!$H$19,IF('01_Доходи'!AG526&gt;=Законод!$I$18,Законод!$H$20,0)))),IF($B$522="Лікар-терапевт",IF(AG526&lt;Законод!$C$26,0,(IF(AND(AG526&gt;=Законод!$I$26,AG526&lt;=Законод!$I$27),AG526-Законод!$H$27,IF('01_Доходи'!AG526&gt;=Законод!$I$26,Законод!$H$28,0)))),0)))</f>
        <v>0</v>
      </c>
      <c r="AH532" s="942"/>
      <c r="AI532" s="201"/>
      <c r="AJ532" s="945"/>
      <c r="AK532" s="960"/>
      <c r="AL532" s="960"/>
      <c r="AM532" s="927"/>
      <c r="AN532" s="210">
        <f ca="1">IF(B522="Лікар загальної практики - сімейний лікар",L532*Законод!$C$9/4*Законод!$I$16,IF(B522="Лікар-педіатр",L532*Законод!$C$9/4*Законод!$I$16,IF(B522="Лікар-терапевт",L532*Законод!$C$9/4*Законод!$I$16,0)))</f>
        <v>0</v>
      </c>
      <c r="AO532" s="210">
        <f ca="1">IF(B522="Лікар загальної практики - сімейний лікар",S532*Законод!$C$9/4*Законод!$I$16,IF(B522="Лікар-педіатр",S532*Законод!$C$9/4*Законод!$I$16,IF(B522="Лікар-терапевт",S532*Законод!$C$9/4*Законод!$I$16,0)))</f>
        <v>0</v>
      </c>
      <c r="AP532" s="210">
        <f ca="1">IF(B522="Лікар загальної практики - сімейний лікар",Z532*Законод!$C$9/4*Законод!$I$16,IF(B522="Лікар-педіатр",Z532*Законод!$C$9/4*Законод!$I$16,IF(B522="Лікар-терапевт",Z532*Законод!$C$9/4*Законод!$I$16,0)))</f>
        <v>0</v>
      </c>
      <c r="AQ532" s="210">
        <f ca="1">IF(B522="Лікар загальної практики - сімейний лікар",AG532*Законод!$C$9/4*Законод!$I$16,IF(B522="Лікар-педіатр",AG532*Законод!$C$9/4*Законод!$I$16,IF(B522="Лікар-терапевт",AG532*Законод!$C$9/4*Законод!$I$16,0)))</f>
        <v>0</v>
      </c>
      <c r="AR532" s="211">
        <f t="shared" si="80"/>
        <v>0</v>
      </c>
    </row>
    <row r="533" spans="1:44" s="218" customFormat="1" ht="31.9" hidden="1" customHeight="1" thickBot="1">
      <c r="A533" s="213"/>
      <c r="B533" s="952"/>
      <c r="C533" s="955"/>
      <c r="D533" s="958"/>
      <c r="E533" s="940"/>
      <c r="F533" s="239" t="str">
        <f ca="1">IF(B522="Лікар-педіатр",Законод!$J$17,IF(B522="Лікар загальної практики - сімейний лікар",Законод!$J$21,IF(B522="Лікар-терапевт",Законод!$J$25,"х")))</f>
        <v>х</v>
      </c>
      <c r="G533" s="932" t="s">
        <v>423</v>
      </c>
      <c r="H533" s="933"/>
      <c r="I533" s="933"/>
      <c r="J533" s="933"/>
      <c r="K533" s="934"/>
      <c r="L533" s="196">
        <f ca="1">IF($B$522="Лікар загальної практики - сімейний лікар",IF(L526&gt;=Законод!$J$22,'01_Доходи'!L526-('01_Доходи'!L527+'01_Доходи'!L528+'01_Доходи'!L529+'01_Доходи'!L530+'01_Доходи'!L531+'01_Доходи'!L532),0),IF($B$522="Лікар-педіатр",IF(L526&gt;=Законод!$J$18,'01_Доходи'!L526-('01_Доходи'!L527+'01_Доходи'!L528+'01_Доходи'!L529+'01_Доходи'!L530+'01_Доходи'!L531+'01_Доходи'!L532),0),IF($B$522="Лікар-терапевт",IF('01_Доходи'!L526&gt;=Законод!$J$26,L526-Законод!$I$27,0),0)))</f>
        <v>0</v>
      </c>
      <c r="M533" s="943"/>
      <c r="N533" s="932" t="s">
        <v>423</v>
      </c>
      <c r="O533" s="933"/>
      <c r="P533" s="933"/>
      <c r="Q533" s="933"/>
      <c r="R533" s="934"/>
      <c r="S533" s="196">
        <f ca="1">IF($B$522="Лікар загальної практики - сімейний лікар",IF(S526&gt;=Законод!$J$22,'01_Доходи'!S526-('01_Доходи'!S527+'01_Доходи'!S528+'01_Доходи'!S529+'01_Доходи'!S530+'01_Доходи'!S531+'01_Доходи'!S532),0),IF($B$522="Лікар-педіатр",IF(S526&gt;=Законод!$J$18,'01_Доходи'!S526-('01_Доходи'!S527+'01_Доходи'!S528+'01_Доходи'!S529+'01_Доходи'!S530+'01_Доходи'!S531+'01_Доходи'!S532),0),IF($B$522="Лікар-терапевт",IF('01_Доходи'!S526&gt;=Законод!$J$26,S526-Законод!$I$27,0),0)))</f>
        <v>0</v>
      </c>
      <c r="T533" s="943"/>
      <c r="U533" s="932" t="s">
        <v>423</v>
      </c>
      <c r="V533" s="933"/>
      <c r="W533" s="933"/>
      <c r="X533" s="933"/>
      <c r="Y533" s="934"/>
      <c r="Z533" s="196">
        <f ca="1">IF($B$522="Лікар загальної практики - сімейний лікар",IF(Z526&gt;=Законод!$J$22,'01_Доходи'!Z526-('01_Доходи'!Z527+'01_Доходи'!Z528+'01_Доходи'!Z529+'01_Доходи'!Z530+'01_Доходи'!Z531+'01_Доходи'!Z532),0),IF($B$522="Лікар-педіатр",IF(Z526&gt;=Законод!$J$18,'01_Доходи'!Z526-('01_Доходи'!Z527+'01_Доходи'!Z528+'01_Доходи'!Z529+'01_Доходи'!Z530+'01_Доходи'!Z531+'01_Доходи'!Z532),0),IF($B$522="Лікар-терапевт",IF('01_Доходи'!Z526&gt;=Законод!$J$26,Z526-Законод!$I$27,0),0)))</f>
        <v>0</v>
      </c>
      <c r="AA533" s="943"/>
      <c r="AB533" s="932" t="s">
        <v>423</v>
      </c>
      <c r="AC533" s="933"/>
      <c r="AD533" s="933"/>
      <c r="AE533" s="933"/>
      <c r="AF533" s="934"/>
      <c r="AG533" s="196">
        <f ca="1">IF($B$522="Лікар загальної практики - сімейний лікар",IF(AG526&gt;=Законод!$J$22,'01_Доходи'!AG526-('01_Доходи'!AG527+'01_Доходи'!AG528+'01_Доходи'!AG529+'01_Доходи'!AG530+'01_Доходи'!AG531+'01_Доходи'!AG532),0),IF($B$522="Лікар-педіатр",IF(AG526&gt;=Законод!$J$18,'01_Доходи'!AG526-('01_Доходи'!AG527+'01_Доходи'!AG528+'01_Доходи'!AG529+'01_Доходи'!AG530+'01_Доходи'!AG531+'01_Доходи'!AG532),0),IF($B$522="Лікар-терапевт",IF('01_Доходи'!AG526&gt;=Законод!$J$26,AG526-Законод!$I$27,0),0)))</f>
        <v>0</v>
      </c>
      <c r="AH533" s="943"/>
      <c r="AI533" s="215"/>
      <c r="AJ533" s="946"/>
      <c r="AK533" s="961"/>
      <c r="AL533" s="961"/>
      <c r="AM533" s="928"/>
      <c r="AN533" s="216">
        <f ca="1">IF(B522="Лікар загальної практики - сімейний лікар",L533*Законод!$C$9/4*Законод!$J$16,IF(B522="Лікар-педіатр",L533*Законод!$C$9/4*Законод!$J$16,IF(B522="Лікар-терапевт",L533*Законод!$C$9/4*Законод!$J$16,0)))</f>
        <v>0</v>
      </c>
      <c r="AO533" s="216">
        <f ca="1">IF(B522="Лікар загальної практики - сімейний лікар",S533*Законод!$C$9/4*Законод!$J$16,IF(B522="Лікар-педіатр",S533*Законод!$C$9/4*Законод!$J$16,IF(B522="Лікар-терапевт",S533*Законод!$C$9/4*Законод!$J$16,0)))</f>
        <v>0</v>
      </c>
      <c r="AP533" s="216">
        <f ca="1">IF(B522="Лікар загальної практики - сімейний лікар",S533*Законод!$C$9/4*Законод!$J$16,IF(B522="Лікар-педіатр",S533*Законод!$C$9/4*Законод!$J$16,IF(B522="Лікар-терапевт",S533*Законод!$C$9/4*Законод!$J$16,0)))</f>
        <v>0</v>
      </c>
      <c r="AQ533" s="216">
        <f ca="1">IF(B522="Лікар загальної практики - сімейний лікар",AG533*Законод!$C$9/4*Законод!$J$16,IF(B522="Лікар-педіатр",AG533*Законод!$C$9/4*Законод!$J$16,IF(B522="Лікар-терапевт",AG533*Законод!$C$9/4*Законод!$J$16,0)))</f>
        <v>0</v>
      </c>
      <c r="AR533" s="217">
        <f t="shared" si="80"/>
        <v>0</v>
      </c>
    </row>
    <row r="534" spans="1:44" s="247" customFormat="1" ht="23.45" hidden="1" customHeight="1" thickBot="1">
      <c r="A534" s="243"/>
      <c r="B534" s="244"/>
      <c r="C534" s="244"/>
      <c r="D534" s="244"/>
      <c r="E534" s="244"/>
      <c r="F534" s="245"/>
      <c r="G534" s="246"/>
      <c r="H534" s="246"/>
      <c r="L534" s="248"/>
      <c r="S534" s="248"/>
      <c r="Z534" s="248"/>
      <c r="AG534" s="248"/>
      <c r="AM534" s="249"/>
      <c r="AR534" s="250"/>
    </row>
    <row r="535" spans="1:44" s="191" customFormat="1" ht="24.6" hidden="1" customHeight="1">
      <c r="A535" s="194">
        <f>A522+1</f>
        <v>39</v>
      </c>
      <c r="B535" s="950"/>
      <c r="C535" s="953"/>
      <c r="D535" s="956"/>
      <c r="E535" s="938"/>
      <c r="F535" s="234" t="s">
        <v>659</v>
      </c>
      <c r="G535" s="196">
        <f>IF($B$535="Лікар-педіатр",G538*L535,IF($B$535="Лікар-терапевт","х",IF($B$535="Лікар загальної практики - сімейний лікар",G538*L535,0)))</f>
        <v>0</v>
      </c>
      <c r="H535" s="196">
        <f>IF($B$535="Лікар-педіатр",H538*L535,IF($B$535="Лікар-терапевт","х",IF($B$535="Лікар загальної практики - сімейний лікар",H538*L535,0)))</f>
        <v>0</v>
      </c>
      <c r="I535" s="196">
        <f>IF($B$535="Лікар-педіатр","x",IF($B$535="Лікар-терапевт",I538*L535,IF($B$535="Лікар загальної практики - сімейний лікар",I538*L535,0)))</f>
        <v>0</v>
      </c>
      <c r="J535" s="196">
        <f>IF($B$535="Лікар-педіатр","x",IF($B$535="Лікар-терапевт",J538*L535,IF($B$535="Лікар загальної практики - сімейний лікар",J538*L535,0)))</f>
        <v>0</v>
      </c>
      <c r="K535" s="196">
        <f>IF($B$535="Лікар-педіатр","x",IF($B$535="Лікар-терапевт",K538*L535,IF($B$535="Лікар загальної практики - сімейний лікар",K538*L535,0)))</f>
        <v>0</v>
      </c>
      <c r="L535" s="557"/>
      <c r="M535" s="941"/>
      <c r="N535" s="196">
        <f>IF($B$535="Лікар-педіатр",N538*S535,IF($B$535="Лікар-терапевт","х",IF($B$535="Лікар загальної практики - сімейний лікар",N538*S535,0)))</f>
        <v>0</v>
      </c>
      <c r="O535" s="196">
        <f>IF($B$535="Лікар-педіатр",O538*S535,IF($B$535="Лікар-терапевт","х",IF($B$535="Лікар загальної практики - сімейний лікар",O538*S535,0)))</f>
        <v>0</v>
      </c>
      <c r="P535" s="196">
        <f>IF($B$535="Лікар-педіатр","x",IF($B$535="Лікар-терапевт",P538*S535,IF($B$535="Лікар загальної практики - сімейний лікар",P538*S535,0)))</f>
        <v>0</v>
      </c>
      <c r="Q535" s="196">
        <f>IF($B$535="Лікар-педіатр","x",IF($B$535="Лікар-терапевт",Q538*S535,IF($B$535="Лікар загальної практики - сімейний лікар",Q538*S535,0)))</f>
        <v>0</v>
      </c>
      <c r="R535" s="196">
        <f>IF($B$535="Лікар-педіатр","x",IF($B$535="Лікар-терапевт",R538*S535,IF($B$535="Лікар загальної практики - сімейний лікар",R538*S535,0)))</f>
        <v>0</v>
      </c>
      <c r="S535" s="557"/>
      <c r="T535" s="941"/>
      <c r="U535" s="196">
        <f>IF($B$535="Лікар-педіатр",U538*Z535,IF($B$535="Лікар-терапевт","х",IF($B$535="Лікар загальної практики - сімейний лікар",U538*Z535,0)))</f>
        <v>0</v>
      </c>
      <c r="V535" s="196">
        <f>IF($B$535="Лікар-педіатр",V538*Z535,IF($B$535="Лікар-терапевт","х",IF($B$535="Лікар загальної практики - сімейний лікар",V538*Z535,0)))</f>
        <v>0</v>
      </c>
      <c r="W535" s="196">
        <f>IF($B$535="Лікар-педіатр","x",IF($B$535="Лікар-терапевт",W538*Z535,IF($B$535="Лікар загальної практики - сімейний лікар",W538*Z535,0)))</f>
        <v>0</v>
      </c>
      <c r="X535" s="196">
        <f>IF($B$535="Лікар-педіатр","x",IF($B$535="Лікар-терапевт",X538*Z535,IF($B$535="Лікар загальної практики - сімейний лікар",X538*Z535,0)))</f>
        <v>0</v>
      </c>
      <c r="Y535" s="196">
        <f>IF($B$535="Лікар-педіатр","x",IF($B$535="Лікар-терапевт",Y538*Z535,IF($B$535="Лікар загальної практики - сімейний лікар",Y538*Z535,0)))</f>
        <v>0</v>
      </c>
      <c r="Z535" s="557"/>
      <c r="AA535" s="941"/>
      <c r="AB535" s="196">
        <f>IF($B$535="Лікар-педіатр",AB538*AG535,IF($B$535="Лікар-терапевт","х",IF($B$535="Лікар загальної практики - сімейний лікар",AB538*AG535,0)))</f>
        <v>0</v>
      </c>
      <c r="AC535" s="196">
        <f>IF($B$535="Лікар-педіатр",AC538*AG535,IF($B$535="Лікар-терапевт","х",IF($B$535="Лікар загальної практики - сімейний лікар",AC538*AG535,0)))</f>
        <v>0</v>
      </c>
      <c r="AD535" s="196">
        <f>IF($B$535="Лікар-педіатр","x",IF($B$535="Лікар-терапевт",AD538*AG535,IF($B$535="Лікар загальної практики - сімейний лікар",AD538*AG535,0)))</f>
        <v>0</v>
      </c>
      <c r="AE535" s="196">
        <f>IF($B$535="Лікар-педіатр","x",IF($B$535="Лікар-терапевт",AE538*AG535,IF($B$535="Лікар загальної практики - сімейний лікар",AE538*AG535,0)))</f>
        <v>0</v>
      </c>
      <c r="AF535" s="196">
        <f>IF($B$535="Лікар-педіатр","x",IF($B$535="Лікар-терапевт",AF538*AG535,IF($B$535="Лікар загальної практики - сімейний лікар",AF538*AG535,0)))</f>
        <v>0</v>
      </c>
      <c r="AG535" s="557"/>
      <c r="AH535" s="941"/>
      <c r="AI535" s="540">
        <f>A535</f>
        <v>39</v>
      </c>
      <c r="AJ535" s="944">
        <f>B535</f>
        <v>0</v>
      </c>
      <c r="AK535" s="959">
        <f>C535</f>
        <v>0</v>
      </c>
      <c r="AL535" s="959">
        <f>D535</f>
        <v>0</v>
      </c>
      <c r="AM535" s="929" t="s">
        <v>79</v>
      </c>
      <c r="AN535" s="947">
        <f>SUM(AN540:AN546)</f>
        <v>0</v>
      </c>
      <c r="AO535" s="947">
        <f>SUM(AO540:AO546)</f>
        <v>0</v>
      </c>
      <c r="AP535" s="947">
        <f>SUM(AP540:AP546)</f>
        <v>0</v>
      </c>
      <c r="AQ535" s="947">
        <f>SUM(AQ540:AQ546)</f>
        <v>0</v>
      </c>
      <c r="AR535" s="962">
        <f>SUM(AN535:AQ539)</f>
        <v>0</v>
      </c>
    </row>
    <row r="536" spans="1:44" s="50" customFormat="1" ht="28.15" hidden="1" customHeight="1">
      <c r="A536" s="197"/>
      <c r="B536" s="951"/>
      <c r="C536" s="954"/>
      <c r="D536" s="957"/>
      <c r="E536" s="939"/>
      <c r="F536" s="234" t="s">
        <v>660</v>
      </c>
      <c r="G536" s="196">
        <f>IF($B$535="Лікар-педіатр",G538*L536,IF($B$535="Лікар-терапевт","х",IF($B$535="Лікар загальної практики - сімейний лікар",G538*L536,0)))</f>
        <v>0</v>
      </c>
      <c r="H536" s="196">
        <f>IF($B$535="Лікар-педіатр",H538*L536,IF($B$535="Лікар-терапевт","х",IF($B$535="Лікар загальної практики - сімейний лікар",H538*L536,0)))</f>
        <v>0</v>
      </c>
      <c r="I536" s="196">
        <f>IF($B$535="Лікар-педіатр","x",IF($B$535="Лікар-терапевт",I538*L536,IF($B$535="Лікар загальної практики - сімейний лікар",I538*L536,0)))</f>
        <v>0</v>
      </c>
      <c r="J536" s="196">
        <f>IF($B$535="Лікар-педіатр","x",IF($B$535="Лікар-терапевт",J538*L536,IF($B$535="Лікар загальної практики - сімейний лікар",J538*L536,0)))</f>
        <v>0</v>
      </c>
      <c r="K536" s="196">
        <f>IF($B$535="Лікар-педіатр","x",IF($B$535="Лікар-терапевт",K538*L536,IF($B$535="Лікар загальної практики - сімейний лікар",K538*L536,0)))</f>
        <v>0</v>
      </c>
      <c r="L536" s="557"/>
      <c r="M536" s="942"/>
      <c r="N536" s="196">
        <f>IF($B$535="Лікар-педіатр",N538*S536,IF($B$535="Лікар-терапевт","х",IF($B$535="Лікар загальної практики - сімейний лікар",N538*S536,0)))</f>
        <v>0</v>
      </c>
      <c r="O536" s="196">
        <f>IF($B$535="Лікар-педіатр",O538*S536,IF($B$535="Лікар-терапевт","х",IF($B$535="Лікар загальної практики - сімейний лікар",O538*S536,0)))</f>
        <v>0</v>
      </c>
      <c r="P536" s="196">
        <f>IF($B$535="Лікар-педіатр","x",IF($B$535="Лікар-терапевт",P538*S536,IF($B$535="Лікар загальної практики - сімейний лікар",P538*S536,0)))</f>
        <v>0</v>
      </c>
      <c r="Q536" s="196">
        <f>IF($B$535="Лікар-педіатр","x",IF($B$535="Лікар-терапевт",Q538*S536,IF($B$535="Лікар загальної практики - сімейний лікар",Q538*S536,0)))</f>
        <v>0</v>
      </c>
      <c r="R536" s="196">
        <f>IF($B$535="Лікар-педіатр","x",IF($B$535="Лікар-терапевт",R538*S536,IF($B$535="Лікар загальної практики - сімейний лікар",R538*S536,0)))</f>
        <v>0</v>
      </c>
      <c r="S536" s="557"/>
      <c r="T536" s="942"/>
      <c r="U536" s="196">
        <f>IF($B$535="Лікар-педіатр",U538*Z536,IF($B$535="Лікар-терапевт","х",IF($B$535="Лікар загальної практики - сімейний лікар",U538*Z536,0)))</f>
        <v>0</v>
      </c>
      <c r="V536" s="196">
        <f>IF($B$535="Лікар-педіатр",V538*Z536,IF($B$535="Лікар-терапевт","х",IF($B$535="Лікар загальної практики - сімейний лікар",V538*Z536,0)))</f>
        <v>0</v>
      </c>
      <c r="W536" s="196">
        <f>IF($B$535="Лікар-педіатр","x",IF($B$535="Лікар-терапевт",W538*Z536,IF($B$535="Лікар загальної практики - сімейний лікар",W538*Z536,0)))</f>
        <v>0</v>
      </c>
      <c r="X536" s="196">
        <f>IF($B$535="Лікар-педіатр","x",IF($B$535="Лікар-терапевт",X538*Z536,IF($B$535="Лікар загальної практики - сімейний лікар",X538*Z536,0)))</f>
        <v>0</v>
      </c>
      <c r="Y536" s="196">
        <f>IF($B$535="Лікар-педіатр","x",IF($B$535="Лікар-терапевт",Y538*Z536,IF($B$535="Лікар загальної практики - сімейний лікар",Y538*Z536,0)))</f>
        <v>0</v>
      </c>
      <c r="Z536" s="557"/>
      <c r="AA536" s="942"/>
      <c r="AB536" s="196">
        <f>IF($B$535="Лікар-педіатр",AB538*AG536,IF($B$535="Лікар-терапевт","х",IF($B$535="Лікар загальної практики - сімейний лікар",AB538*AG536,0)))</f>
        <v>0</v>
      </c>
      <c r="AC536" s="196">
        <f>IF($B$535="Лікар-педіатр",AC538*AG536,IF($B$535="Лікар-терапевт","х",IF($B$535="Лікар загальної практики - сімейний лікар",AC538*AG536,0)))</f>
        <v>0</v>
      </c>
      <c r="AD536" s="196">
        <f>IF($B$535="Лікар-педіатр","x",IF($B$535="Лікар-терапевт",AD538*AG536,IF($B$535="Лікар загальної практики - сімейний лікар",AD538*AG536,0)))</f>
        <v>0</v>
      </c>
      <c r="AE536" s="196">
        <f>IF($B$535="Лікар-педіатр","x",IF($B$535="Лікар-терапевт",AE538*AG536,IF($B$535="Лікар загальної практики - сімейний лікар",AE538*AG536,0)))</f>
        <v>0</v>
      </c>
      <c r="AF536" s="196">
        <f>IF($B$535="Лікар-педіатр","x",IF($B$535="Лікар-терапевт",AF538*AG536,IF($B$535="Лікар загальної практики - сімейний лікар",AF538*AG536,0)))</f>
        <v>0</v>
      </c>
      <c r="AG536" s="557"/>
      <c r="AH536" s="942"/>
      <c r="AI536" s="198"/>
      <c r="AJ536" s="945"/>
      <c r="AK536" s="960"/>
      <c r="AL536" s="960"/>
      <c r="AM536" s="930"/>
      <c r="AN536" s="948"/>
      <c r="AO536" s="948"/>
      <c r="AP536" s="948"/>
      <c r="AQ536" s="948"/>
      <c r="AR536" s="963"/>
    </row>
    <row r="537" spans="1:44" s="90" customFormat="1" ht="31.15" hidden="1" customHeight="1">
      <c r="A537" s="240"/>
      <c r="B537" s="951"/>
      <c r="C537" s="954"/>
      <c r="D537" s="957"/>
      <c r="E537" s="939"/>
      <c r="F537" s="241" t="s">
        <v>661</v>
      </c>
      <c r="G537" s="199">
        <f>IF(B535="Лікар загальної практики - сімейний лікар"," ",IF(B535="Лікар-педіатр"," ",IF(B535="Лікар-терапевт","х",0)))</f>
        <v>0</v>
      </c>
      <c r="H537" s="199">
        <f>IF(B535="Лікар загальної практики - сімейний лікар"," ",IF(B535="Лікар-педіатр"," ",IF(B535="Лікар-терапевт","х",0)))</f>
        <v>0</v>
      </c>
      <c r="I537" s="199">
        <f>IF(B535="Лікар загальної практики - сімейний лікар"," ",IF(B535="Лікар-педіатр","х",IF(B535="Лікар-терапевт"," ",0)))</f>
        <v>0</v>
      </c>
      <c r="J537" s="199">
        <f>IF(B535="Лікар загальної практики - сімейний лікар"," ",IF(B535="Лікар-педіатр","х",IF(B535="Лікар-терапевт"," ",0)))</f>
        <v>0</v>
      </c>
      <c r="K537" s="199">
        <f>IF(B535="Лікар загальної практики - сімейний лікар"," ",IF(B535="Лікар-педіатр","х",IF(B535="Лікар-терапевт"," ",0)))</f>
        <v>0</v>
      </c>
      <c r="L537" s="200">
        <f>SUM(G537:K537)</f>
        <v>0</v>
      </c>
      <c r="M537" s="942"/>
      <c r="N537" s="199">
        <f>IF(B535="Лікар загальної практики - сімейний лікар"," ",IF(B535="Лікар-педіатр"," ",IF(B535="Лікар-терапевт","х",0)))</f>
        <v>0</v>
      </c>
      <c r="O537" s="199">
        <f>IF(B535="Лікар загальної практики - сімейний лікар"," ",IF(B535="Лікар-педіатр"," ",IF(B535="Лікар-терапевт","х",0)))</f>
        <v>0</v>
      </c>
      <c r="P537" s="199">
        <f>IF(B535="Лікар загальної практики - сімейний лікар"," ",IF(B535="Лікар-педіатр","х",IF(B535="Лікар-терапевт"," ",0)))</f>
        <v>0</v>
      </c>
      <c r="Q537" s="199">
        <f>IF(B535="Лікар загальної практики - сімейний лікар"," ",IF(B535="Лікар-педіатр","х",IF(B535="Лікар-терапевт"," ",0)))</f>
        <v>0</v>
      </c>
      <c r="R537" s="199">
        <f>IF(B535="Лікар загальної практики - сімейний лікар"," ",IF(B535="Лікар-педіатр","х",IF(B535="Лікар-терапевт"," ",0)))</f>
        <v>0</v>
      </c>
      <c r="S537" s="200">
        <f>SUM(N537:R537)</f>
        <v>0</v>
      </c>
      <c r="T537" s="942"/>
      <c r="U537" s="199">
        <f>IF(B535="Лікар загальної практики - сімейний лікар"," ",IF(B535="Лікар-педіатр"," ",IF(B535="Лікар-терапевт","х",0)))</f>
        <v>0</v>
      </c>
      <c r="V537" s="199">
        <f>IF(B535="Лікар загальної практики - сімейний лікар"," ",IF(B535="Лікар-педіатр"," ",IF(B535="Лікар-терапевт","х",0)))</f>
        <v>0</v>
      </c>
      <c r="W537" s="199">
        <f>IF(B535="Лікар загальної практики - сімейний лікар"," ",IF(B535="Лікар-педіатр","х",IF(B535="Лікар-терапевт"," ",0)))</f>
        <v>0</v>
      </c>
      <c r="X537" s="199">
        <f>IF(B535="Лікар загальної практики - сімейний лікар"," ",IF(B535="Лікар-педіатр","х",IF(B535="Лікар-терапевт"," ",0)))</f>
        <v>0</v>
      </c>
      <c r="Y537" s="199">
        <f>IF(B535="Лікар загальної практики - сімейний лікар"," ",IF(B535="Лікар-педіатр","х",IF(B535="Лікар-терапевт"," ",0)))</f>
        <v>0</v>
      </c>
      <c r="Z537" s="200">
        <f>SUM(U537:Y537)</f>
        <v>0</v>
      </c>
      <c r="AA537" s="942"/>
      <c r="AB537" s="199">
        <f>IF(B535="Лікар загальної практики - сімейний лікар"," ",IF(B535="Лікар-педіатр"," ",IF(B535="Лікар-терапевт","х",0)))</f>
        <v>0</v>
      </c>
      <c r="AC537" s="199">
        <f>IF(B535="Лікар загальної практики - сімейний лікар"," ",IF(B535="Лікар-педіатр"," ",IF(B535="Лікар-терапевт","х",0)))</f>
        <v>0</v>
      </c>
      <c r="AD537" s="199">
        <f>IF(B535="Лікар загальної практики - сімейний лікар"," ",IF(B535="Лікар-педіатр","х",IF(B535="Лікар-терапевт"," ",0)))</f>
        <v>0</v>
      </c>
      <c r="AE537" s="199">
        <f>IF(B535="Лікар загальної практики - сімейний лікар"," ",IF(B535="Лікар-педіатр","х",IF(B535="Лікар-терапевт"," ",0)))</f>
        <v>0</v>
      </c>
      <c r="AF537" s="199">
        <f>IF(B535="Лікар загальної практики - сімейний лікар"," ",IF(B535="Лікар-педіатр","х",IF(B535="Лікар-терапевт"," ",0)))</f>
        <v>0</v>
      </c>
      <c r="AG537" s="200">
        <f>SUM(AB537:AF537)</f>
        <v>0</v>
      </c>
      <c r="AH537" s="942"/>
      <c r="AI537" s="242"/>
      <c r="AJ537" s="945"/>
      <c r="AK537" s="960"/>
      <c r="AL537" s="960"/>
      <c r="AM537" s="930"/>
      <c r="AN537" s="948"/>
      <c r="AO537" s="948"/>
      <c r="AP537" s="948"/>
      <c r="AQ537" s="948"/>
      <c r="AR537" s="963"/>
    </row>
    <row r="538" spans="1:44" s="50" customFormat="1" ht="31.9" hidden="1" customHeight="1" thickBot="1">
      <c r="A538" s="197"/>
      <c r="B538" s="951"/>
      <c r="C538" s="954"/>
      <c r="D538" s="957"/>
      <c r="E538" s="939"/>
      <c r="F538" s="236" t="s">
        <v>426</v>
      </c>
      <c r="G538" s="203">
        <f>IF($B$535="Лікар-педіатр",G537/L537,IF($B$535="Лікар-терапевт","х",IF($B$535="Лікар загальної практики - сімейний лікар",G537/L537,0)))</f>
        <v>0</v>
      </c>
      <c r="H538" s="203">
        <f>IF($B$535="Лікар-педіатр",H537/L537,IF($B$535="Лікар-терапевт","х",IF($B$535="Лікар загальної практики - сімейний лікар",H537/L537,0)))</f>
        <v>0</v>
      </c>
      <c r="I538" s="203">
        <f>IF($B$535="Лікар-педіатр","x",IF($B$535="Лікар-терапевт",I537/L537,IF($B$535="Лікар загальної практики - сімейний лікар",I537/L537,0)))</f>
        <v>0</v>
      </c>
      <c r="J538" s="203">
        <f>IF($B$535="Лікар-педіатр","x",IF($B$535="Лікар-терапевт",J537/L537,IF($B$535="Лікар загальної практики - сімейний лікар",J537/L537,0)))</f>
        <v>0</v>
      </c>
      <c r="K538" s="203">
        <f>IF($B$535="Лікар-педіатр","x",IF($B$535="Лікар-терапевт",K537/L537,IF($B$535="Лікар загальної практики - сімейний лікар",K537/L537,0)))</f>
        <v>0</v>
      </c>
      <c r="L538" s="203">
        <f>SUM(G538:K538)</f>
        <v>0</v>
      </c>
      <c r="M538" s="942"/>
      <c r="N538" s="203">
        <f>IF($B$535="Лікар-педіатр",N537/S537,IF($B$535="Лікар-терапевт","х",IF($B$535="Лікар загальної практики - сімейний лікар",N537/S537,0)))</f>
        <v>0</v>
      </c>
      <c r="O538" s="203">
        <f>IF($B$535="Лікар-педіатр",O537/S537,IF($B$535="Лікар-терапевт","х",IF($B$535="Лікар загальної практики - сімейний лікар",O537/S537,0)))</f>
        <v>0</v>
      </c>
      <c r="P538" s="203">
        <f>IF($B$535="Лікар-педіатр","x",IF($B$535="Лікар-терапевт",P537/S537,IF($B$535="Лікар загальної практики - сімейний лікар",P537/S537,0)))</f>
        <v>0</v>
      </c>
      <c r="Q538" s="203">
        <f>IF($B$535="Лікар-педіатр","x",IF($B$535="Лікар-терапевт",Q537/S537,IF($B$535="Лікар загальної практики - сімейний лікар",Q537/S537,0)))</f>
        <v>0</v>
      </c>
      <c r="R538" s="203">
        <f>IF($B$535="Лікар-педіатр","x",IF($B$535="Лікар-терапевт",R537/S537,IF($B$535="Лікар загальної практики - сімейний лікар",R537/S537,0)))</f>
        <v>0</v>
      </c>
      <c r="S538" s="203">
        <f>SUM(N538:R538)</f>
        <v>0</v>
      </c>
      <c r="T538" s="942"/>
      <c r="U538" s="203">
        <f>IF($B$535="Лікар-педіатр",U537/Z537,IF($B$535="Лікар-терапевт","х",IF($B$535="Лікар загальної практики - сімейний лікар",U537/Z537,0)))</f>
        <v>0</v>
      </c>
      <c r="V538" s="203">
        <f>IF($B$535="Лікар-педіатр",V537/Z537,IF($B$535="Лікар-терапевт","х",IF($B$535="Лікар загальної практики - сімейний лікар",V537/Z537,0)))</f>
        <v>0</v>
      </c>
      <c r="W538" s="203">
        <f>IF($B$535="Лікар-педіатр","x",IF($B$535="Лікар-терапевт",W537/Z537,IF($B$535="Лікар загальної практики - сімейний лікар",W537/Z537,0)))</f>
        <v>0</v>
      </c>
      <c r="X538" s="203">
        <f>IF($B$535="Лікар-педіатр","x",IF($B$535="Лікар-терапевт",X537/Z537,IF($B$535="Лікар загальної практики - сімейний лікар",X537/Z537,0)))</f>
        <v>0</v>
      </c>
      <c r="Y538" s="203">
        <f>IF($B$535="Лікар-педіатр","x",IF($B$535="Лікар-терапевт",Y537/Z537,IF($B$535="Лікар загальної практики - сімейний лікар",Y537/Z537,0)))</f>
        <v>0</v>
      </c>
      <c r="Z538" s="203">
        <f>SUM(U538:Y538)</f>
        <v>0</v>
      </c>
      <c r="AA538" s="942"/>
      <c r="AB538" s="203">
        <f>IF($B$535="Лікар-педіатр",AB537/AG537,IF($B$535="Лікар-терапевт","х",IF($B$535="Лікар загальної практики - сімейний лікар",AB537/AG537,0)))</f>
        <v>0</v>
      </c>
      <c r="AC538" s="203">
        <f>IF($B$535="Лікар-педіатр",AC537/AG537,IF($B$535="Лікар-терапевт","х",IF($B$535="Лікар загальної практики - сімейний лікар",AC537/AG537,0)))</f>
        <v>0</v>
      </c>
      <c r="AD538" s="203">
        <f>IF($B$535="Лікар-педіатр","x",IF($B$535="Лікар-терапевт",AD537/AG537,IF($B$535="Лікар загальної практики - сімейний лікар",AD537/AG537,0)))</f>
        <v>0</v>
      </c>
      <c r="AE538" s="203">
        <f>IF($B$535="Лікар-педіатр","x",IF($B$535="Лікар-терапевт",AE537/AG537,IF($B$535="Лікар загальної практики - сімейний лікар",AE537/AG537,0)))</f>
        <v>0</v>
      </c>
      <c r="AF538" s="203">
        <f>IF($B$535="Лікар-педіатр","x",IF($B$535="Лікар-терапевт",AF537/AG537,IF($B$535="Лікар загальної практики - сімейний лікар",AF537/AG537,0)))</f>
        <v>0</v>
      </c>
      <c r="AG538" s="203">
        <f>SUM(AB538:AF538)</f>
        <v>0</v>
      </c>
      <c r="AH538" s="942"/>
      <c r="AI538" s="201"/>
      <c r="AJ538" s="945"/>
      <c r="AK538" s="960"/>
      <c r="AL538" s="960"/>
      <c r="AM538" s="930"/>
      <c r="AN538" s="948"/>
      <c r="AO538" s="948"/>
      <c r="AP538" s="948"/>
      <c r="AQ538" s="948"/>
      <c r="AR538" s="963"/>
    </row>
    <row r="539" spans="1:44" s="50" customFormat="1" ht="45" hidden="1" customHeight="1" thickBot="1">
      <c r="A539" s="197"/>
      <c r="B539" s="951"/>
      <c r="C539" s="954"/>
      <c r="D539" s="957"/>
      <c r="E539" s="939"/>
      <c r="F539" s="204" t="s">
        <v>662</v>
      </c>
      <c r="G539" s="205">
        <f>IF($B$535="Лікар загальної практики - сімейний лікар",AVERAGE(G535:G537),IF($B$535="Лікар-педіатр",AVERAGE(G535:G537),IF($B$535="Лікар-терапевт","х",0)))</f>
        <v>0</v>
      </c>
      <c r="H539" s="205">
        <f>IF($B$535="Лікар загальної практики - сімейний лікар",AVERAGE(H535:H537),IF($B$535="Лікар-педіатр",AVERAGE(H535:H537),IF($B$535="Лікар-терапевт","х",0)))</f>
        <v>0</v>
      </c>
      <c r="I539" s="205">
        <f>IF($B$535="Лікар загальної практики - сімейний лікар",AVERAGE(I535:I537),IF($B$535="Лікар-педіатр","x",IF($B$535="Лікар-терапевт",AVERAGE(I535:I537),0)))</f>
        <v>0</v>
      </c>
      <c r="J539" s="205">
        <f>IF($B$535="Лікар загальної практики - сімейний лікар",AVERAGE(J535:J537),IF($B$535="Лікар-педіатр","x",IF($B$535="Лікар-терапевт",AVERAGE(J535:J537),0)))</f>
        <v>0</v>
      </c>
      <c r="K539" s="205">
        <f>IF($B$535="Лікар загальної практики - сімейний лікар",AVERAGE(K535:K537),IF($B$535="Лікар-педіатр","x",IF($B$535="Лікар-терапевт",AVERAGE(K535:K537),0)))</f>
        <v>0</v>
      </c>
      <c r="L539" s="206">
        <f>SUM(G539:K539)</f>
        <v>0</v>
      </c>
      <c r="M539" s="942"/>
      <c r="N539" s="205">
        <f>IF($B$535="Лікар загальної практики - сімейний лікар",AVERAGE(N535:N537),IF($B$535="Лікар-педіатр",AVERAGE(N535:N537),IF($B$535="Лікар-терапевт","х",0)))</f>
        <v>0</v>
      </c>
      <c r="O539" s="205">
        <f>IF($B$535="Лікар загальної практики - сімейний лікар",AVERAGE(O535:O537),IF($B$535="Лікар-педіатр",AVERAGE(O535:O537),IF($B$535="Лікар-терапевт","х",0)))</f>
        <v>0</v>
      </c>
      <c r="P539" s="205">
        <f>IF($B$535="Лікар загальної практики - сімейний лікар",AVERAGE(P535:P537),IF($B$535="Лікар-педіатр","x",IF($B$535="Лікар-терапевт",AVERAGE(P535:P537),0)))</f>
        <v>0</v>
      </c>
      <c r="Q539" s="205">
        <f>IF($B$535="Лікар загальної практики - сімейний лікар",AVERAGE(Q535:Q537),IF($B$535="Лікар-педіатр","x",IF($B$535="Лікар-терапевт",AVERAGE(Q535:Q537),0)))</f>
        <v>0</v>
      </c>
      <c r="R539" s="205">
        <f>IF($B$535="Лікар загальної практики - сімейний лікар",AVERAGE(R535:R537),IF($B$535="Лікар-педіатр","x",IF($B$535="Лікар-терапевт",AVERAGE(R535:R537),0)))</f>
        <v>0</v>
      </c>
      <c r="S539" s="206">
        <f>SUM(N539:R539)</f>
        <v>0</v>
      </c>
      <c r="T539" s="942"/>
      <c r="U539" s="205">
        <f>IF($B$535="Лікар загальної практики - сімейний лікар",AVERAGE(U535:U537),IF($B$535="Лікар-педіатр",AVERAGE(U535:U537),IF($B$535="Лікар-терапевт","х",0)))</f>
        <v>0</v>
      </c>
      <c r="V539" s="205">
        <f>IF($B$535="Лікар загальної практики - сімейний лікар",AVERAGE(V535:V537),IF($B$535="Лікар-педіатр",AVERAGE(V535:V537),IF($B$535="Лікар-терапевт","х",0)))</f>
        <v>0</v>
      </c>
      <c r="W539" s="205">
        <f>IF($B$535="Лікар загальної практики - сімейний лікар",AVERAGE(W535:W537),IF($B$535="Лікар-педіатр","x",IF($B$535="Лікар-терапевт",AVERAGE(W535:W537),0)))</f>
        <v>0</v>
      </c>
      <c r="X539" s="205">
        <f>IF($B$535="Лікар загальної практики - сімейний лікар",AVERAGE(X535:X537),IF($B$535="Лікар-педіатр","x",IF($B$535="Лікар-терапевт",AVERAGE(X535:X537),0)))</f>
        <v>0</v>
      </c>
      <c r="Y539" s="205">
        <f>IF($B$535="Лікар загальної практики - сімейний лікар",AVERAGE(Y535:Y537),IF($B$535="Лікар-педіатр","x",IF($B$535="Лікар-терапевт",AVERAGE(Y535:Y537),0)))</f>
        <v>0</v>
      </c>
      <c r="Z539" s="206">
        <f>SUM(U539:Y539)</f>
        <v>0</v>
      </c>
      <c r="AA539" s="942"/>
      <c r="AB539" s="205">
        <f>IF($B$535="Лікар загальної практики - сімейний лікар",AVERAGE(AB535:AB537),IF($B$535="Лікар-педіатр",AVERAGE(AB535:AB537),IF($B$535="Лікар-терапевт","х",0)))</f>
        <v>0</v>
      </c>
      <c r="AC539" s="205">
        <f>IF($B$535="Лікар загальної практики - сімейний лікар",AVERAGE(AC535:AC537),IF($B$535="Лікар-педіатр",AVERAGE(AC535:AC537),IF($B$535="Лікар-терапевт","х",0)))</f>
        <v>0</v>
      </c>
      <c r="AD539" s="205">
        <f>IF($B$535="Лікар загальної практики - сімейний лікар",AVERAGE(AD535:AD537),IF($B$535="Лікар-педіатр","x",IF($B$535="Лікар-терапевт",AVERAGE(AD535:AD537),0)))</f>
        <v>0</v>
      </c>
      <c r="AE539" s="205">
        <f>IF($B$535="Лікар загальної практики - сімейний лікар",AVERAGE(AE535:AE537),IF($B$535="Лікар-педіатр","x",IF($B$535="Лікар-терапевт",AVERAGE(AE535:AE537),0)))</f>
        <v>0</v>
      </c>
      <c r="AF539" s="205">
        <f>IF($B$535="Лікар загальної практики - сімейний лікар",AVERAGE(AF535:AF537),IF($B$535="Лікар-педіатр","x",IF($B$535="Лікар-терапевт",AVERAGE(AF535:AF537),0)))</f>
        <v>0</v>
      </c>
      <c r="AG539" s="206">
        <f>SUM(AB539:AF539)</f>
        <v>0</v>
      </c>
      <c r="AH539" s="942"/>
      <c r="AI539" s="201"/>
      <c r="AJ539" s="945"/>
      <c r="AK539" s="960"/>
      <c r="AL539" s="960"/>
      <c r="AM539" s="931"/>
      <c r="AN539" s="949"/>
      <c r="AO539" s="949"/>
      <c r="AP539" s="949"/>
      <c r="AQ539" s="949"/>
      <c r="AR539" s="964"/>
    </row>
    <row r="540" spans="1:44" s="50" customFormat="1" ht="40.5" hidden="1">
      <c r="A540" s="197"/>
      <c r="B540" s="951"/>
      <c r="C540" s="954"/>
      <c r="D540" s="957"/>
      <c r="E540" s="939"/>
      <c r="F540" s="237" t="str">
        <f ca="1">IF(B535="Лікар-педіатр",Законод!$C$17,IF(B535="Лікар загальної практики - сімейний лікар",Законод!$C$21,IF(B535="Лікар-терапевт",Законод!$C$25,"х")))</f>
        <v>х</v>
      </c>
      <c r="G540" s="208">
        <f ca="1">IF($B$535="Лікар загальної практики - сімейний лікар",IF(L539&lt;=Законод!$C$22,G539,Законод!$C$22*'01_Доходи'!G538),IF($B$535="Лікар-педіатр",IF(L539&lt;=Законод!$C$18,G539,Законод!$C$18*'01_Доходи'!G538),IF($B$535="Лікар-терапевт","x",0)))</f>
        <v>0</v>
      </c>
      <c r="H540" s="208">
        <f ca="1">IF($B$535="Лікар загальної практики - сімейний лікар",IF(L539&lt;=Законод!$C$22,H539,Законод!$C$22*'01_Доходи'!H538),IF($B$535="Лікар-педіатр",IF(L539&lt;=Законод!$C$18,H539,Законод!$C$18*'01_Доходи'!H538),IF($B$535="Лікар-терапевт","x",0)))</f>
        <v>0</v>
      </c>
      <c r="I540" s="208">
        <f ca="1">IF($B$535="Лікар загальної практики - сімейний лікар",IF(L539&lt;=Законод!$C$22,I539,Законод!$C$22*'01_Доходи'!I538),IF($B$535="Лікар-педіатр","x",IF($B$535="Лікар-терапевт",IF(L539&lt;=Законод!$C$26,I539,Законод!$C$26*'01_Доходи'!I538),0)))</f>
        <v>0</v>
      </c>
      <c r="J540" s="208">
        <f ca="1">IF($B$535="Лікар загальної практики - сімейний лікар",IF(L539&lt;=Законод!$C$22,J539,Законод!$C$22*'01_Доходи'!J538),IF($B$535="Лікар-педіатр","x",IF($B$535="Лікар-терапевт",IF(L539&lt;=Законод!$C$26,J539,Законод!$C$26*'01_Доходи'!J538),0)))</f>
        <v>0</v>
      </c>
      <c r="K540" s="208">
        <f ca="1">IF($B$535="Лікар загальної практики - сімейний лікар",IF(L539&lt;=Законод!$C$22,K539,Законод!$C$22*'01_Доходи'!K538),IF($B$535="Лікар-педіатр","x",IF($B$535="Лікар-терапевт",IF(L539&lt;=Законод!$C$26,K539,Законод!$C$26*'01_Доходи'!K538),0)))</f>
        <v>0</v>
      </c>
      <c r="L540" s="209">
        <f ca="1">SUM(G540:K540)</f>
        <v>0</v>
      </c>
      <c r="M540" s="942"/>
      <c r="N540" s="208">
        <f ca="1">IF($B$535="Лікар загальної практики - сімейний лікар",IF(S539&lt;=Законод!$C$22,N539,Законод!$C$22*'01_Доходи'!N538),IF($B$535="Лікар-педіатр",IF(S539&lt;=Законод!$C$18,N539,Законод!$C$18*'01_Доходи'!N538),IF($B$535="Лікар-терапевт","x",0)))</f>
        <v>0</v>
      </c>
      <c r="O540" s="208">
        <f ca="1">IF($B$535="Лікар загальної практики - сімейний лікар",IF(S539&lt;=Законод!$C$22,O539,Законод!$C$22*'01_Доходи'!O538),IF($B$535="Лікар-педіатр",IF(S539&lt;=Законод!$C$18,O539,Законод!$C$18*'01_Доходи'!O538),IF($B$535="Лікар-терапевт","x",0)))</f>
        <v>0</v>
      </c>
      <c r="P540" s="208">
        <f ca="1">IF($B$535="Лікар загальної практики - сімейний лікар",IF(S539&lt;=Законод!$C$22,P539,Законод!$C$22*'01_Доходи'!P538),IF($B$535="Лікар-педіатр","x",IF($B$535="Лікар-терапевт",IF(S539&lt;=Законод!$C$26,P539,Законод!$C$26*'01_Доходи'!P538),0)))</f>
        <v>0</v>
      </c>
      <c r="Q540" s="208">
        <f ca="1">IF($B$535="Лікар загальної практики - сімейний лікар",IF(S539&lt;=Законод!$C$22,Q539,Законод!$C$22*'01_Доходи'!Q538),IF($B$535="Лікар-педіатр","x",IF($B$535="Лікар-терапевт",IF(S539&lt;=Законод!$C$26,Q539,Законод!$C$26*'01_Доходи'!Q538),0)))</f>
        <v>0</v>
      </c>
      <c r="R540" s="208">
        <f ca="1">IF($B$535="Лікар загальної практики - сімейний лікар",IF(S539&lt;=Законод!$C$22,R539,Законод!$C$22*'01_Доходи'!R538),IF($B$535="Лікар-педіатр","x",IF($B$535="Лікар-терапевт",IF(S539&lt;=Законод!$C$26,R539,Законод!$C$26*'01_Доходи'!R538),0)))</f>
        <v>0</v>
      </c>
      <c r="S540" s="209">
        <f ca="1">SUM(N540:R540)</f>
        <v>0</v>
      </c>
      <c r="T540" s="942"/>
      <c r="U540" s="208">
        <f ca="1">IF($B$535="Лікар загальної практики - сімейний лікар",IF(Z539&lt;=Законод!$C$22,U539,Законод!$C$22*'01_Доходи'!U538),IF($B$535="Лікар-педіатр",IF(Z539&lt;=Законод!$C$18,U539,Законод!$C$18*'01_Доходи'!U538),IF($B$535="Лікар-терапевт","x",0)))</f>
        <v>0</v>
      </c>
      <c r="V540" s="208">
        <f ca="1">IF($B$535="Лікар загальної практики - сімейний лікар",IF(Z539&lt;=Законод!$C$22,V539,Законод!$C$22*'01_Доходи'!V538),IF($B$535="Лікар-педіатр",IF(Z539&lt;=Законод!$C$18,V539,Законод!$C$18*'01_Доходи'!V538),IF($B$535="Лікар-терапевт","x",0)))</f>
        <v>0</v>
      </c>
      <c r="W540" s="208">
        <f ca="1">IF($B$535="Лікар загальної практики - сімейний лікар",IF(Z539&lt;=Законод!$C$22,W539,Законод!$C$22*'01_Доходи'!W538),IF($B$535="Лікар-педіатр","x",IF($B$535="Лікар-терапевт",IF(Z539&lt;=Законод!$C$26,W539,Законод!$C$26*'01_Доходи'!W538),0)))</f>
        <v>0</v>
      </c>
      <c r="X540" s="208">
        <f ca="1">IF($B$535="Лікар загальної практики - сімейний лікар",IF(Z539&lt;=Законод!$C$22,X539,Законод!$C$22*'01_Доходи'!X538),IF($B$535="Лікар-педіатр","x",IF($B$535="Лікар-терапевт",IF(Z539&lt;=Законод!$C$26,X539,Законод!$C$26*'01_Доходи'!X538),0)))</f>
        <v>0</v>
      </c>
      <c r="Y540" s="208">
        <f ca="1">IF($B$535="Лікар загальної практики - сімейний лікар",IF(Z539&lt;=Законод!$C$22,Y539,Законод!$C$22*'01_Доходи'!Y538),IF($B$535="Лікар-педіатр","x",IF($B$535="Лікар-терапевт",IF(Z539&lt;=Законод!$C$26,Y539,Законод!$C$26*'01_Доходи'!Y538),0)))</f>
        <v>0</v>
      </c>
      <c r="Z540" s="209">
        <f ca="1">SUM(U540:Y540)</f>
        <v>0</v>
      </c>
      <c r="AA540" s="942"/>
      <c r="AB540" s="208">
        <f ca="1">IF($B$535="Лікар загальної практики - сімейний лікар",IF(AG539&lt;=Законод!$C$22,AB539,Законод!$C$22*'01_Доходи'!AB538),IF($B$535="Лікар-педіатр",IF(AG539&lt;=Законод!$C$18,AB539,Законод!$C$18*'01_Доходи'!AB538),IF($B$535="Лікар-терапевт","x",0)))</f>
        <v>0</v>
      </c>
      <c r="AC540" s="208">
        <f ca="1">IF($B$535="Лікар загальної практики - сімейний лікар",IF(AG539&lt;=Законод!$C$22,AC539,Законод!$C$22*'01_Доходи'!AC538),IF($B$535="Лікар-педіатр",IF(AG539&lt;=Законод!$C$18,AC539,Законод!$C$18*'01_Доходи'!AC538),IF($B$535="Лікар-терапевт","x",0)))</f>
        <v>0</v>
      </c>
      <c r="AD540" s="208">
        <f ca="1">IF($B$535="Лікар загальної практики - сімейний лікар",IF(AG539&lt;=Законод!$C$22,AD539,Законод!$C$22*'01_Доходи'!AD538),IF($B$535="Лікар-педіатр","x",IF($B$535="Лікар-терапевт",IF(AG539&lt;=Законод!$C$26,AD539,Законод!$C$26*'01_Доходи'!AD538),0)))</f>
        <v>0</v>
      </c>
      <c r="AE540" s="208">
        <f ca="1">IF($B$535="Лікар загальної практики - сімейний лікар",IF(AG539&lt;=Законод!$C$22,AE539,Законод!$C$22*'01_Доходи'!AE538),IF($B$535="Лікар-педіатр","x",IF($B$535="Лікар-терапевт",IF(AG539&lt;=Законод!$C$26,AE539,Законод!$C$26*'01_Доходи'!AE538),0)))</f>
        <v>0</v>
      </c>
      <c r="AF540" s="208">
        <f ca="1">IF($B$535="Лікар загальної практики - сімейний лікар",IF(AG539&lt;=Законод!$C$22,AF539,Законод!$C$22*'01_Доходи'!AF538),IF($B$535="Лікар-педіатр","x",IF($B$535="Лікар-терапевт",IF(AG539&lt;=Законод!$C$26,AF539,Законод!$C$26*'01_Доходи'!AF538),0)))</f>
        <v>0</v>
      </c>
      <c r="AG540" s="209">
        <f ca="1">SUM(AB540:AF540)</f>
        <v>0</v>
      </c>
      <c r="AH540" s="942"/>
      <c r="AI540" s="201"/>
      <c r="AJ540" s="945"/>
      <c r="AK540" s="960"/>
      <c r="AL540" s="960"/>
      <c r="AM540" s="348" t="s">
        <v>451</v>
      </c>
      <c r="AN540" s="210">
        <f ca="1">IF(B535="Лікар загальної практики - сімейний лікар",G540*Законод!$C$11+'01_Доходи'!H540*Законод!$D$11+'01_Доходи'!I540*Законод!$E$11+'01_Доходи'!J540*Законод!$F$11+'01_Доходи'!K540*Законод!$G$11,IF(B535="Лікар-педіатр",G540*Законод!$C$11+'01_Доходи'!H540*Законод!$D$11,IF(B535="Лікар-терапевт",'01_Доходи'!I540*Законод!$E$11+'01_Доходи'!J540*Законод!$F$11+'01_Доходи'!K540*Законод!$G$11,0)))</f>
        <v>0</v>
      </c>
      <c r="AO540" s="210">
        <f ca="1">IF(B535="Лікар загальної практики - сімейний лікар",N540*Законод!$C$11+'01_Доходи'!O540*Законод!$D$11+'01_Доходи'!P540*Законод!$E$11+'01_Доходи'!Q540*Законод!$F$11+'01_Доходи'!R540*Законод!$G$11,IF(B535="Лікар-педіатр",N540*Законод!$C$11+'01_Доходи'!O540*Законод!$D$11,IF(B535="Лікар-терапевт",'01_Доходи'!P540*Законод!$E$11+'01_Доходи'!Q540*Законод!$F$11+'01_Доходи'!R540*Законод!$G$11,0)))</f>
        <v>0</v>
      </c>
      <c r="AP540" s="210">
        <f ca="1">IF(B535="Лікар загальної практики - сімейний лікар",U540*Законод!$C$11+'01_Доходи'!V540*Законод!$D$11+'01_Доходи'!W540*Законод!$E$11+'01_Доходи'!X540*Законод!$F$11+'01_Доходи'!Y540*Законод!$G$11,IF(B535="Лікар-педіатр",U540*Законод!$C$11+'01_Доходи'!V540*Законод!$D$11,IF(B535="Лікар-терапевт",'01_Доходи'!W540*Законод!$E$11+'01_Доходи'!X540*Законод!$F$11+'01_Доходи'!Y540*Законод!$G$11,0)))</f>
        <v>0</v>
      </c>
      <c r="AQ540" s="210">
        <f ca="1">IF(B535="Лікар загальної практики - сімейний лікар",AB540*Законод!$C$11+'01_Доходи'!AC540*Законод!$D$11+'01_Доходи'!AD540*Законод!$E$11+'01_Доходи'!AE540*Законод!$F$11+'01_Доходи'!AF540*Законод!$G$11,IF(B535="Лікар-педіатр",AB540*Законод!$C$11+'01_Доходи'!AC540*Законод!$D$11,IF(B535="Лікар-терапевт",'01_Доходи'!AD540*Законод!$E$11+'01_Доходи'!AE540*Законод!$F$11+'01_Доходи'!AF540*Законод!$G$11,0)))</f>
        <v>0</v>
      </c>
      <c r="AR540" s="211">
        <f t="shared" ref="AR540:AR546" si="81">SUM(AN540:AQ540)</f>
        <v>0</v>
      </c>
    </row>
    <row r="541" spans="1:44" s="50" customFormat="1" ht="31.9" hidden="1" customHeight="1">
      <c r="A541" s="197"/>
      <c r="B541" s="951"/>
      <c r="C541" s="954"/>
      <c r="D541" s="957"/>
      <c r="E541" s="939"/>
      <c r="F541" s="238" t="str">
        <f ca="1">IF(B535="Лікар-педіатр",Законод!$E$17,IF(B535="Лікар загальної практики - сімейний лікар",Законод!$E$21,IF(B535="Лікар-терапевт",Законод!$E$25,"х")))</f>
        <v>х</v>
      </c>
      <c r="G541" s="935" t="s">
        <v>423</v>
      </c>
      <c r="H541" s="936"/>
      <c r="I541" s="936"/>
      <c r="J541" s="936"/>
      <c r="K541" s="937"/>
      <c r="L541" s="196">
        <f ca="1">IF($B$535="Лікар загальної практики - сімейний лікар",IF(L539&lt;Законод!$C$22,0,(IF(AND(L539&gt;=Законод!$E$22,L539&lt;=Законод!$E$23),L539-Законод!$C$22,IF('01_Доходи'!L539&gt;=Законод!$F$22,Законод!$E$24,0)))),IF($B$535="Лікар-педіатр",IF(L539&lt;Законод!$C$18,0,(IF(AND(L539&gt;=Законод!$E$18,L539&lt;=Законод!$E$19),L539-Законод!$C$18,IF('01_Доходи'!L539&gt;=Законод!$F$18,Законод!$E$20,0)))),IF($B$535="Лікар-терапевт",IF(L539&lt;Законод!$C$26,0,(IF(AND(L539&gt;=Законод!$E$26,L539&lt;=Законод!$E$27),L539-Законод!$C$26,IF('01_Доходи'!L539&gt;=Законод!$F$26,Законод!$E$28,0)))),0)))</f>
        <v>0</v>
      </c>
      <c r="M541" s="942"/>
      <c r="N541" s="935" t="s">
        <v>423</v>
      </c>
      <c r="O541" s="936"/>
      <c r="P541" s="936"/>
      <c r="Q541" s="936"/>
      <c r="R541" s="937"/>
      <c r="S541" s="196">
        <f ca="1">IF($B$535="Лікар загальної практики - сімейний лікар",IF(S539&lt;Законод!$C$22,0,(IF(AND(S539&gt;=Законод!$E$22,S539&lt;=Законод!$E$23),S539-Законод!$C$22,IF('01_Доходи'!S539&gt;=Законод!$F$22,Законод!$E$24,0)))),IF($B$535="Лікар-педіатр",IF(S539&lt;Законод!$C$18,0,(IF(AND(S539&gt;=Законод!$E$18,S539&lt;=Законод!$E$19),S539-Законод!$C$18,IF('01_Доходи'!S539&gt;=Законод!$F$18,Законод!$E$20,0)))),IF($B$535="Лікар-терапевт",IF(S539&lt;Законод!$C$26,0,(IF(AND(S539&gt;=Законод!$E$26,S539&lt;=Законод!$E$27),S539-Законод!$C$26,IF('01_Доходи'!S539&gt;=Законод!$F$26,Законод!$E$28,0)))),0)))</f>
        <v>0</v>
      </c>
      <c r="T541" s="942"/>
      <c r="U541" s="935" t="s">
        <v>423</v>
      </c>
      <c r="V541" s="936"/>
      <c r="W541" s="936"/>
      <c r="X541" s="936"/>
      <c r="Y541" s="937"/>
      <c r="Z541" s="196">
        <f ca="1">IF($B$535="Лікар загальної практики - сімейний лікар",IF(Z539&lt;Законод!$C$22,0,(IF(AND(Z539&gt;=Законод!$E$22,Z539&lt;=Законод!$E$23),Z539-Законод!$C$22,IF('01_Доходи'!Z539&gt;=Законод!$F$22,Законод!$E$24,0)))),IF($B$535="Лікар-педіатр",IF(Z539&lt;Законод!$C$18,0,(IF(AND(Z539&gt;=Законод!$E$18,Z539&lt;=Законод!$E$19),Z539-Законод!$C$18,IF('01_Доходи'!Z539&gt;=Законод!$F$18,Законод!$E$20,0)))),IF($B$535="Лікар-терапевт",IF(Z539&lt;Законод!$C$26,0,(IF(AND(Z539&gt;=Законод!$E$26,Z539&lt;=Законод!$E$27),Z539-Законод!$C$26,IF('01_Доходи'!Z539&gt;=Законод!$F$26,Законод!$E$28,0)))),0)))</f>
        <v>0</v>
      </c>
      <c r="AA541" s="942"/>
      <c r="AB541" s="935" t="s">
        <v>423</v>
      </c>
      <c r="AC541" s="936"/>
      <c r="AD541" s="936"/>
      <c r="AE541" s="936"/>
      <c r="AF541" s="937"/>
      <c r="AG541" s="196">
        <f ca="1">IF($B$535="Лікар загальної практики - сімейний лікар",IF(AG539&lt;Законод!$C$22,0,(IF(AND(AG539&gt;=Законод!$E$22,AG539&lt;=Законод!$E$23),AG539-Законод!$C$22,IF('01_Доходи'!AG539&gt;=Законод!$F$22,Законод!$E$24,0)))),IF($B$535="Лікар-педіатр",IF(AG539&lt;Законод!$C$18,0,(IF(AND(AG539&gt;=Законод!$E$18,AG539&lt;=Законод!$E$19),AG539-Законод!$C$18,IF('01_Доходи'!AG539&gt;=Законод!$F$18,Законод!$E$20,0)))),IF($B$535="Лікар-терапевт",IF(AG539&lt;Законод!$C$26,0,(IF(AND(AG539&gt;=Законод!$E$26,AG539&lt;=Законод!$E$27),AG539-Законод!$C$26,IF('01_Доходи'!AG539&gt;=Законод!$F$26,Законод!$E$28,0)))),0)))</f>
        <v>0</v>
      </c>
      <c r="AH541" s="942"/>
      <c r="AI541" s="201"/>
      <c r="AJ541" s="945"/>
      <c r="AK541" s="960"/>
      <c r="AL541" s="960"/>
      <c r="AM541" s="926" t="s">
        <v>452</v>
      </c>
      <c r="AN541" s="210">
        <f ca="1">IF(B535="Лікар загальної практики - сімейний лікар",L541*Законод!$C$9/4*Законод!$E$16,IF(B535="Лікар-педіатр",L541*Законод!$C$9/4*Законод!$E$16,IF(B535="Лікар-терапевт",L541*Законод!$C$9/4*Законод!$E$16,0)))</f>
        <v>0</v>
      </c>
      <c r="AO541" s="210">
        <f ca="1">IF(B535="Лікар загальної практики - сімейний лікар",S541*Законод!$C$9/4*Законод!$E$16,IF(B535="Лікар-педіатр",S541*Законод!$C$9/4*Законод!$E$16,IF(B535="Лікар-терапевт",S541*Законод!$C$9/4*Законод!$E$16,0)))</f>
        <v>0</v>
      </c>
      <c r="AP541" s="210">
        <f ca="1">IF(B535="Лікар загальної практики - сімейний лікар",Z541*Законод!$C$9/4*Законод!$E$16,IF(B535="Лікар-педіатр",Z541*Законод!$C$9/4*Законод!$E$16,IF(B535="Лікар-терапевт",Z541*Законод!$C$9/4*Законод!$E$16,0)))</f>
        <v>0</v>
      </c>
      <c r="AQ541" s="210">
        <f ca="1">IF(B535="Лікар загальної практики - сімейний лікар",AG541*Законод!$C$9/4*Законод!$E$16,IF(B535="Лікар-педіатр",AG541*Законод!$C$9/4*Законод!$E$16,IF(B535="Лікар-терапевт",AG541*Законод!$C$9/4*Законод!$E$16,0)))</f>
        <v>0</v>
      </c>
      <c r="AR541" s="211">
        <f t="shared" si="81"/>
        <v>0</v>
      </c>
    </row>
    <row r="542" spans="1:44" s="50" customFormat="1" ht="31.9" hidden="1" customHeight="1">
      <c r="A542" s="197"/>
      <c r="B542" s="951"/>
      <c r="C542" s="954"/>
      <c r="D542" s="957"/>
      <c r="E542" s="939"/>
      <c r="F542" s="238" t="str">
        <f ca="1">IF(B535="Лікар-педіатр",Законод!$F$17,IF(B535="Лікар загальної практики - сімейний лікар",Законод!$F$21,IF(B535="Лікар-терапевт",Законод!$F$25,"х")))</f>
        <v>х</v>
      </c>
      <c r="G542" s="935" t="s">
        <v>423</v>
      </c>
      <c r="H542" s="936"/>
      <c r="I542" s="936"/>
      <c r="J542" s="936"/>
      <c r="K542" s="937"/>
      <c r="L542" s="196">
        <f ca="1">IF($B$535="Лікар загальної практики - сімейний лікар",IF(L539&lt;Законод!$C$22,0,(IF(AND(L539&gt;=Законод!$F$22,L539&lt;=Законод!$F$23),L539-Законод!$E$23,IF('01_Доходи'!L539&gt;=Законод!$G$22,Законод!$F$24,0)))),IF($B$535="Лікар-педіатр",IF(L539&lt;Законод!$C$18,0,(IF(AND(L539&gt;=Законод!$F$18,L539&lt;=Законод!$F$19),L539-Законод!$E$19,IF('01_Доходи'!L539&gt;=Законод!$G$18,Законод!$F$20,0)))),IF($B$535="Лікар-терапевт",IF(L539&lt;Законод!$C$26,0,(IF(AND(L539&gt;=Законод!$F$26,L539&lt;=Законод!$F$27),L539-Законод!$E$27,IF('01_Доходи'!L539&gt;=Законод!$G$26,Законод!$F$28,0)))),0)))</f>
        <v>0</v>
      </c>
      <c r="M542" s="942"/>
      <c r="N542" s="935" t="s">
        <v>423</v>
      </c>
      <c r="O542" s="936"/>
      <c r="P542" s="936"/>
      <c r="Q542" s="936"/>
      <c r="R542" s="937"/>
      <c r="S542" s="196">
        <f ca="1">IF($B$535="Лікар загальної практики - сімейний лікар",IF(S539&lt;Законод!$C$22,0,(IF(AND(S539&gt;=Законод!$F$22,S539&lt;=Законод!$F$23),S539-Законод!$E$23,IF('01_Доходи'!S539&gt;=Законод!$G$22,Законод!$F$24,0)))),IF($B$535="Лікар-педіатр",IF(S539&lt;Законод!$C$18,0,(IF(AND(S539&gt;=Законод!$F$18,S539&lt;=Законод!$F$19),S539-Законод!$E$19,IF('01_Доходи'!S539&gt;=Законод!$G$18,Законод!$F$20,0)))),IF($B$535="Лікар-терапевт",IF(S539&lt;Законод!$C$26,0,(IF(AND(S539&gt;=Законод!$F$26,S539&lt;=Законод!$F$27),S539-Законод!$E$27,IF('01_Доходи'!S539&gt;=Законод!$G$26,Законод!$F$28,0)))),0)))</f>
        <v>0</v>
      </c>
      <c r="T542" s="942"/>
      <c r="U542" s="935" t="s">
        <v>423</v>
      </c>
      <c r="V542" s="936"/>
      <c r="W542" s="936"/>
      <c r="X542" s="936"/>
      <c r="Y542" s="937"/>
      <c r="Z542" s="196">
        <f ca="1">IF($B$535="Лікар загальної практики - сімейний лікар",IF(Z539&lt;Законод!$C$22,0,(IF(AND(Z539&gt;=Законод!$F$22,Z539&lt;=Законод!$F$23),Z539-Законод!$E$23,IF('01_Доходи'!Z539&gt;=Законод!$G$22,Законод!$F$24,0)))),IF($B$535="Лікар-педіатр",IF(Z539&lt;Законод!$C$18,0,(IF(AND(Z539&gt;=Законод!$F$18,Z539&lt;=Законод!$F$19),Z539-Законод!$E$19,IF('01_Доходи'!Z539&gt;=Законод!$G$18,Законод!$F$20,0)))),IF($B$535="Лікар-терапевт",IF(Z539&lt;Законод!$C$26,0,(IF(AND(Z539&gt;=Законод!$F$26,Z539&lt;=Законод!$F$27),Z539-Законод!$E$27,IF('01_Доходи'!Z539&gt;=Законод!$G$26,Законод!$F$28,0)))),0)))</f>
        <v>0</v>
      </c>
      <c r="AA542" s="942"/>
      <c r="AB542" s="935" t="s">
        <v>423</v>
      </c>
      <c r="AC542" s="936"/>
      <c r="AD542" s="936"/>
      <c r="AE542" s="936"/>
      <c r="AF542" s="937"/>
      <c r="AG542" s="196">
        <f ca="1">IF($B$535="Лікар загальної практики - сімейний лікар",IF(AG539&lt;Законод!$C$22,0,(IF(AND(AG539&gt;=Законод!$F$22,AG539&lt;=Законод!$F$23),AG539-Законод!$E$23,IF('01_Доходи'!AG539&gt;=Законод!$G$22,Законод!$F$24,0)))),IF($B$535="Лікар-педіатр",IF(AG539&lt;Законод!$C$18,0,(IF(AND(AG539&gt;=Законод!$F$18,AG539&lt;=Законод!$F$19),AG539-Законод!$E$19,IF('01_Доходи'!AG539&gt;=Законод!$G$18,Законод!$F$20,0)))),IF($B$535="Лікар-терапевт",IF(AG539&lt;Законод!$C$26,0,(IF(AND(AG539&gt;=Законод!$F$26,AG539&lt;=Законод!$F$27),AG539-Законод!$E$27,IF('01_Доходи'!AG539&gt;=Законод!$G$26,Законод!$F$28,0)))),0)))</f>
        <v>0</v>
      </c>
      <c r="AH542" s="942"/>
      <c r="AI542" s="201"/>
      <c r="AJ542" s="945"/>
      <c r="AK542" s="960"/>
      <c r="AL542" s="960"/>
      <c r="AM542" s="927"/>
      <c r="AN542" s="210">
        <f ca="1">IF(B535="Лікар загальної практики - сімейний лікар",L542*Законод!$C$9/4*Законод!$F$16,IF(B535="Лікар-педіатр",L542*Законод!$C$9/4*Законод!$F$16,IF(B535="Лікар-терапевт",L542*Законод!$C$9/4*Законод!$F$16,0)))</f>
        <v>0</v>
      </c>
      <c r="AO542" s="210">
        <f ca="1">IF(B535="Лікар загальної практики - сімейний лікар",S542*Законод!$C$9/4*Законод!$F$16,IF(B535="Лікар-педіатр",S542*Законод!$C$9/4*Законод!$F$16,IF(B535="Лікар-терапевт",S542*Законод!$C$9/4*Законод!$F$16,0)))</f>
        <v>0</v>
      </c>
      <c r="AP542" s="210">
        <f ca="1">IF(B535="Лікар загальної практики - сімейний лікар",Z542*Законод!$C$9/4*Законод!$F$16,IF(B535="Лікар-педіатр",Z542*Законод!$C$9/4*Законод!$F$16,IF(B535="Лікар-терапевт",Z542*Законод!$C$9/4*Законод!$F$16,0)))</f>
        <v>0</v>
      </c>
      <c r="AQ542" s="210">
        <f ca="1">IF(B535="Лікар загальної практики - сімейний лікар",AG542*Законод!$C$9/4*Законод!$F$16,IF(B535="Лікар-педіатр",AG542*Законод!$C$9/4*Законод!$F$16,IF(B535="Лікар-терапевт",AG542*Законод!$C$9/4*Законод!$F$16,0)))</f>
        <v>0</v>
      </c>
      <c r="AR542" s="211">
        <f t="shared" si="81"/>
        <v>0</v>
      </c>
    </row>
    <row r="543" spans="1:44" s="50" customFormat="1" ht="31.9" hidden="1" customHeight="1">
      <c r="A543" s="197"/>
      <c r="B543" s="951"/>
      <c r="C543" s="954"/>
      <c r="D543" s="957"/>
      <c r="E543" s="939"/>
      <c r="F543" s="238" t="str">
        <f ca="1">IF(B535="Лікар-педіатр",Законод!$G$17,IF(B535="Лікар загальної практики - сімейний лікар",Законод!$G$21,IF(B535="Лікар-терапевт",Законод!$G$25,"х")))</f>
        <v>х</v>
      </c>
      <c r="G543" s="935" t="s">
        <v>423</v>
      </c>
      <c r="H543" s="936"/>
      <c r="I543" s="936"/>
      <c r="J543" s="936"/>
      <c r="K543" s="937"/>
      <c r="L543" s="196">
        <f ca="1">IF($B$535="Лікар загальної практики - сімейний лікар",IF(L539&lt;Законод!$C$22,0,(IF(AND(L539&gt;=Законод!$G$22,L539&lt;=Законод!$G$23),L539-Законод!$F$23,IF('01_Доходи'!L539&gt;=Законод!$H$22,Законод!$G$24,0)))),IF($B$535="Лікар-педіатр",IF(L539&lt;Законод!$C$18,0,(IF(AND(L539&gt;=Законод!$G$18,L539&lt;=Законод!$G$19),L539-Законод!$F$19,IF('01_Доходи'!L539&gt;=Законод!$H$18,Законод!$G$20,0)))),IF($B$535="Лікар-терапевт",IF(L539&lt;Законод!$C$26,0,(IF(AND(L539&gt;=Законод!$G$26,L539&lt;=Законод!$G$27),L539-Законод!$F$27,IF('01_Доходи'!L539&gt;=Законод!$H$26,Законод!$G$28,0)))),0)))</f>
        <v>0</v>
      </c>
      <c r="M543" s="942"/>
      <c r="N543" s="935" t="s">
        <v>423</v>
      </c>
      <c r="O543" s="936"/>
      <c r="P543" s="936"/>
      <c r="Q543" s="936"/>
      <c r="R543" s="937"/>
      <c r="S543" s="196">
        <f ca="1">IF($B$535="Лікар загальної практики - сімейний лікар",IF(S539&lt;Законод!$C$22,0,(IF(AND(S539&gt;=Законод!$G$22,S539&lt;=Законод!$G$23),S539-Законод!$F$23,IF('01_Доходи'!S539&gt;=Законод!$H$22,Законод!$G$24,0)))),IF($B$535="Лікар-педіатр",IF(S539&lt;Законод!$C$18,0,(IF(AND(S539&gt;=Законод!$G$18,S539&lt;=Законод!$G$19),S539-Законод!$F$19,IF('01_Доходи'!S539&gt;=Законод!$H$18,Законод!$G$20,0)))),IF($B$535="Лікар-терапевт",IF(S539&lt;Законод!$C$26,0,(IF(AND(S539&gt;=Законод!$G$26,S539&lt;=Законод!$G$27),S539-Законод!$F$27,IF('01_Доходи'!S539&gt;=Законод!$H$26,Законод!$G$28,0)))),0)))</f>
        <v>0</v>
      </c>
      <c r="T543" s="942"/>
      <c r="U543" s="935" t="s">
        <v>423</v>
      </c>
      <c r="V543" s="936"/>
      <c r="W543" s="936"/>
      <c r="X543" s="936"/>
      <c r="Y543" s="937"/>
      <c r="Z543" s="196">
        <f ca="1">IF($B$535="Лікар загальної практики - сімейний лікар",IF(Z539&lt;Законод!$C$22,0,(IF(AND(Z539&gt;=Законод!$G$22,Z539&lt;=Законод!$G$23),Z539-Законод!$F$23,IF('01_Доходи'!Z539&gt;=Законод!$H$22,Законод!$G$24,0)))),IF($B$535="Лікар-педіатр",IF(Z539&lt;Законод!$C$18,0,(IF(AND(Z539&gt;=Законод!$G$18,Z539&lt;=Законод!$G$19),Z539-Законод!$F$19,IF('01_Доходи'!Z539&gt;=Законод!$H$18,Законод!$G$20,0)))),IF($B$535="Лікар-терапевт",IF(Z539&lt;Законод!$C$26,0,(IF(AND(Z539&gt;=Законод!$G$26,Z539&lt;=Законод!$G$27),Z539-Законод!$F$27,IF('01_Доходи'!Z539&gt;=Законод!$H$26,Законод!$G$28,0)))),0)))</f>
        <v>0</v>
      </c>
      <c r="AA543" s="942"/>
      <c r="AB543" s="935" t="s">
        <v>423</v>
      </c>
      <c r="AC543" s="936"/>
      <c r="AD543" s="936"/>
      <c r="AE543" s="936"/>
      <c r="AF543" s="937"/>
      <c r="AG543" s="196">
        <f ca="1">IF($B$535="Лікар загальної практики - сімейний лікар",IF(AG539&lt;Законод!$C$22,0,(IF(AND(AG539&gt;=Законод!$G$22,AG539&lt;=Законод!$G$23),AG539-Законод!$F$23,IF('01_Доходи'!AG539&gt;=Законод!$H$22,Законод!$G$24,0)))),IF($B$535="Лікар-педіатр",IF(AG539&lt;Законод!$C$18,0,(IF(AND(AG539&gt;=Законод!$G$18,AG539&lt;=Законод!$G$19),AG539-Законод!$F$19,IF('01_Доходи'!AG539&gt;=Законод!$H$18,Законод!$G$20,0)))),IF($B$535="Лікар-терапевт",IF(AG539&lt;Законод!$C$26,0,(IF(AND(AG539&gt;=Законод!$G$26,AG539&lt;=Законод!$G$27),AG539-Законод!$F$27,IF('01_Доходи'!AG539&gt;=Законод!$H$26,Законод!$G$28,0)))),0)))</f>
        <v>0</v>
      </c>
      <c r="AH543" s="942"/>
      <c r="AI543" s="201"/>
      <c r="AJ543" s="945"/>
      <c r="AK543" s="960"/>
      <c r="AL543" s="960"/>
      <c r="AM543" s="927"/>
      <c r="AN543" s="210">
        <f ca="1">IF(B535="Лікар загальної практики - сімейний лікар",L543*Законод!$C$9/4*Законод!$G$16,IF(B535="Лікар-педіатр",L543*Законод!$C$9/4*Законод!$G$16,IF(B535="Лікар-терапевт",L543*Законод!$C$9/4*Законод!$G$16,0)))</f>
        <v>0</v>
      </c>
      <c r="AO543" s="210">
        <f ca="1">IF(B535="Лікар загальної практики - сімейний лікар",S543*Законод!$C$9/4*Законод!$G$16,IF(B535="Лікар-педіатр",S543*Законод!$C$9/4*Законод!$G$16,IF(B535="Лікар-терапевт",S543*Законод!$C$9/4*Законод!$G$16,0)))</f>
        <v>0</v>
      </c>
      <c r="AP543" s="210">
        <f ca="1">IF(B535="Лікар загальної практики - сімейний лікар",Z543*Законод!$C$9/4*Законод!$G$16,IF(B535="Лікар-педіатр",Z543*Законод!$C$9/4*Законод!$G$16,IF(B535="Лікар-терапевт",Z543*Законод!$C$9/4*Законод!$G$16,0)))</f>
        <v>0</v>
      </c>
      <c r="AQ543" s="210">
        <f ca="1">IF(B535="Лікар загальної практики - сімейний лікар",AG543*Законод!$C$9/4*Законод!$G$16,IF(B535="Лікар-педіатр",AG543*Законод!$C$9/4*Законод!$G$16,IF(B535="Лікар-терапевт",AG543*Законод!$C$9/4*Законод!$G$16,0)))</f>
        <v>0</v>
      </c>
      <c r="AR543" s="211">
        <f t="shared" si="81"/>
        <v>0</v>
      </c>
    </row>
    <row r="544" spans="1:44" s="50" customFormat="1" ht="31.9" hidden="1" customHeight="1">
      <c r="A544" s="197"/>
      <c r="B544" s="951"/>
      <c r="C544" s="954"/>
      <c r="D544" s="957"/>
      <c r="E544" s="939"/>
      <c r="F544" s="238" t="str">
        <f ca="1">IF(B535="Лікар-педіатр",Законод!$H$17,IF(B535="Лікар загальної практики - сімейний лікар",Законод!$H$21,IF(B535="Лікар-терапевт",Законод!$H$25,"х")))</f>
        <v>х</v>
      </c>
      <c r="G544" s="935" t="s">
        <v>423</v>
      </c>
      <c r="H544" s="936"/>
      <c r="I544" s="936"/>
      <c r="J544" s="936"/>
      <c r="K544" s="937"/>
      <c r="L544" s="196">
        <f ca="1">IF($B$535="Лікар загальної практики - сімейний лікар",IF(L539&lt;Законод!$C$22,0,(IF(AND(L539&gt;=Законод!$H$22,L539&lt;=Законод!$H$23),L539-Законод!$G$23,IF('01_Доходи'!L539&gt;=Законод!$I$22,Законод!$H$24,0)))),IF($B$535="Лікар-педіатр",IF(L539&lt;Законод!$C$18,0,(IF(AND(L539&gt;=Законод!$H$18,L539&lt;=Законод!$H$19),L539-Законод!$G$19,IF('01_Доходи'!L539&gt;=Законод!$I$18,Законод!$H$20,0)))),IF($B$535="Лікар-терапевт",IF(L539&lt;Законод!$C$26,0,(IF(AND(L539&gt;=Законод!$H$26,L539&lt;=Законод!$H$27),L539-Законод!$G$27,IF(L539&gt;=Законод!$I$26,Законод!$H$28,0)))),0)))</f>
        <v>0</v>
      </c>
      <c r="M544" s="942"/>
      <c r="N544" s="935" t="s">
        <v>423</v>
      </c>
      <c r="O544" s="936"/>
      <c r="P544" s="936"/>
      <c r="Q544" s="936"/>
      <c r="R544" s="937"/>
      <c r="S544" s="196">
        <f ca="1">IF($B$535="Лікар загальної практики - сімейний лікар",IF(S539&lt;Законод!$C$22,0,(IF(AND(S539&gt;=Законод!$H$22,S539&lt;=Законод!$H$23),S539-Законод!$G$23,IF('01_Доходи'!S539&gt;=Законод!$I$22,Законод!$H$24,0)))),IF($B$535="Лікар-педіатр",IF(S539&lt;Законод!$C$18,0,(IF(AND(S539&gt;=Законод!$H$18,S539&lt;=Законод!$H$19),S539-Законод!$G$19,IF('01_Доходи'!S539&gt;=Законод!$I$18,Законод!$H$20,0)))),IF($B$535="Лікар-терапевт",IF(S539&lt;Законод!$C$26,0,(IF(AND(S539&gt;=Законод!$H$26,S539&lt;=Законод!$H$27),S539-Законод!$G$27,IF(S539&gt;=Законод!$I$26,Законод!$H$28,0)))),0)))</f>
        <v>0</v>
      </c>
      <c r="T544" s="942"/>
      <c r="U544" s="935" t="s">
        <v>423</v>
      </c>
      <c r="V544" s="936"/>
      <c r="W544" s="936"/>
      <c r="X544" s="936"/>
      <c r="Y544" s="937"/>
      <c r="Z544" s="196">
        <f ca="1">IF($B$535="Лікар загальної практики - сімейний лікар",IF(Z539&lt;Законод!$C$22,0,(IF(AND(Z539&gt;=Законод!$H$22,Z539&lt;=Законод!$H$23),Z539-Законод!$G$23,IF('01_Доходи'!Z539&gt;=Законод!$I$22,Законод!$H$24,0)))),IF($B$535="Лікар-педіатр",IF(Z539&lt;Законод!$C$18,0,(IF(AND(Z539&gt;=Законод!$H$18,Z539&lt;=Законод!$H$19),Z539-Законод!$G$19,IF('01_Доходи'!Z539&gt;=Законод!$I$18,Законод!$H$20,0)))),IF($B$535="Лікар-терапевт",IF(Z539&lt;Законод!$C$26,0,(IF(AND(Z539&gt;=Законод!$H$26,Z539&lt;=Законод!$H$27),Z539-Законод!$G$27,IF(Z539&gt;=Законод!$I$26,Законод!$H$28,0)))),0)))</f>
        <v>0</v>
      </c>
      <c r="AA544" s="942"/>
      <c r="AB544" s="935" t="s">
        <v>423</v>
      </c>
      <c r="AC544" s="936"/>
      <c r="AD544" s="936"/>
      <c r="AE544" s="936"/>
      <c r="AF544" s="937"/>
      <c r="AG544" s="196">
        <f ca="1">IF($B$535="Лікар загальної практики - сімейний лікар",IF(AG539&lt;Законод!$C$22,0,(IF(AND(AG539&gt;=Законод!$H$22,AG539&lt;=Законод!$H$23),AG539-Законод!$G$23,IF('01_Доходи'!AG539&gt;=Законод!$I$22,Законод!$H$24,0)))),IF($B$535="Лікар-педіатр",IF(AG539&lt;Законод!$C$18,0,(IF(AND(AG539&gt;=Законод!$H$18,AG539&lt;=Законод!$H$19),AG539-Законод!$G$19,IF('01_Доходи'!AG539&gt;=Законод!$I$18,Законод!$H$20,0)))),IF($B$535="Лікар-терапевт",IF(AG539&lt;Законод!$C$26,0,(IF(AND(AG539&gt;=Законод!$H$26,AG539&lt;=Законод!$H$27),AG539-Законод!$G$27,IF(AG539&gt;=Законод!$I$26,Законод!$H$28,0)))),0)))</f>
        <v>0</v>
      </c>
      <c r="AH544" s="942"/>
      <c r="AI544" s="201"/>
      <c r="AJ544" s="945"/>
      <c r="AK544" s="960"/>
      <c r="AL544" s="960"/>
      <c r="AM544" s="927"/>
      <c r="AN544" s="210">
        <f ca="1">IF(B535="Лікар загальної практики - сімейний лікар",L544*Законод!$C$9/4*Законод!$H$16,IF(B535="Лікар-педіатр",L544*Законод!$C$9/4*Законод!$H$16,IF(B535="Лікар-терапевт",L544*Законод!$C$9/4*Законод!$H$16,0)))</f>
        <v>0</v>
      </c>
      <c r="AO544" s="210">
        <f ca="1">IF(B535="Лікар загальної практики - сімейний лікар",S544*Законод!$C$9/4*Законод!$H$16,IF(B535="Лікар-педіатр",S544*Законод!$C$9/4*Законод!$H$16,IF(B535="Лікар-терапевт",S544*Законод!$C$9/4*Законод!$H$16,0)))</f>
        <v>0</v>
      </c>
      <c r="AP544" s="210">
        <f ca="1">IF(B535="Лікар загальної практики - сімейний лікар",Z544*Законод!$C$9/4*Законод!$H$16,IF(B535="Лікар-педіатр",Z544*Законод!$C$9/4*Законод!$H$16,IF(B535="Лікар-терапевт",Z544*Законод!$C$9/4*Законод!$H$16,0)))</f>
        <v>0</v>
      </c>
      <c r="AQ544" s="210">
        <f ca="1">IF(B535="Лікар загальної практики - сімейний лікар",AG544*Законод!$C$9/4*Законод!$H$16,IF(B535="Лікар-педіатр",AG544*Законод!$C$9/4*Законод!$H$16,IF(B535="Лікар-терапевт",AG544*Законод!$C$9/4*Законод!$H$16,0)))</f>
        <v>0</v>
      </c>
      <c r="AR544" s="211">
        <f t="shared" si="81"/>
        <v>0</v>
      </c>
    </row>
    <row r="545" spans="1:44" s="50" customFormat="1" ht="31.9" hidden="1" customHeight="1">
      <c r="A545" s="197"/>
      <c r="B545" s="951"/>
      <c r="C545" s="954"/>
      <c r="D545" s="957"/>
      <c r="E545" s="939"/>
      <c r="F545" s="238" t="str">
        <f ca="1">IF(B535="Лікар-педіатр",Законод!$I$17,IF(B535="Лікар загальної практики - сімейний лікар",Законод!$I$21,IF(B535="Лікар-терапевт",Законод!$I$25,"х")))</f>
        <v>х</v>
      </c>
      <c r="G545" s="935" t="s">
        <v>423</v>
      </c>
      <c r="H545" s="936"/>
      <c r="I545" s="936"/>
      <c r="J545" s="936"/>
      <c r="K545" s="937"/>
      <c r="L545" s="196">
        <f ca="1">IF($B$535="Лікар загальної практики - сімейний лікар",IF(L539&lt;Законод!$C$22,0,(IF(AND(L539&gt;=Законод!$I$22,L539&lt;=Законод!$I$23),L539-Законод!$H$23,IF('01_Доходи'!L539&gt;=Законод!$I$22,Законод!$I$24,0)))),IF($B$535="Лікар-педіатр",IF(L539&lt;Законод!$C$18,0,(IF(AND(L539&gt;=Законод!$I$18,L539&lt;=Законод!$I$19),L539-Законод!$H$19,IF('01_Доходи'!L539&gt;=Законод!$I$18,Законод!$H$20,0)))),IF($B$535="Лікар-терапевт",IF(L539&lt;Законод!$C$26,0,(IF(AND(L539&gt;=Законод!$I$26,L539&lt;=Законод!$I$27),L539-Законод!$H$27,IF('01_Доходи'!L539&gt;=Законод!$I$26,Законод!$H$28,0)))),0)))</f>
        <v>0</v>
      </c>
      <c r="M545" s="942"/>
      <c r="N545" s="935" t="s">
        <v>423</v>
      </c>
      <c r="O545" s="936"/>
      <c r="P545" s="936"/>
      <c r="Q545" s="936"/>
      <c r="R545" s="937"/>
      <c r="S545" s="196">
        <f ca="1">IF($B$535="Лікар загальної практики - сімейний лікар",IF(S539&lt;Законод!$C$22,0,(IF(AND(S539&gt;=Законод!$I$22,S539&lt;=Законод!$I$23),S539-Законод!$H$23,IF('01_Доходи'!S539&gt;=Законод!$I$22,Законод!$I$24,0)))),IF($B$535="Лікар-педіатр",IF(S539&lt;Законод!$C$18,0,(IF(AND(S539&gt;=Законод!$I$18,S539&lt;=Законод!$I$19),S539-Законод!$H$19,IF('01_Доходи'!S539&gt;=Законод!$I$18,Законод!$H$20,0)))),IF($B$535="Лікар-терапевт",IF(S539&lt;Законод!$C$26,0,(IF(AND(S539&gt;=Законод!$I$26,S539&lt;=Законод!$I$27),S539-Законод!$H$27,IF('01_Доходи'!S539&gt;=Законод!$I$26,Законод!$H$28,0)))),0)))</f>
        <v>0</v>
      </c>
      <c r="T545" s="942"/>
      <c r="U545" s="935" t="s">
        <v>423</v>
      </c>
      <c r="V545" s="936"/>
      <c r="W545" s="936"/>
      <c r="X545" s="936"/>
      <c r="Y545" s="937"/>
      <c r="Z545" s="196">
        <f ca="1">IF($B$535="Лікар загальної практики - сімейний лікар",IF(Z539&lt;Законод!$C$22,0,(IF(AND(Z539&gt;=Законод!$I$22,Z539&lt;=Законод!$I$23),Z539-Законод!$H$23,IF('01_Доходи'!Z539&gt;=Законод!$I$22,Законод!$I$24,0)))),IF($B$535="Лікар-педіатр",IF(Z539&lt;Законод!$C$18,0,(IF(AND(Z539&gt;=Законод!$I$18,Z539&lt;=Законод!$I$19),Z539-Законод!$H$19,IF('01_Доходи'!Z539&gt;=Законод!$I$18,Законод!$H$20,0)))),IF($B$535="Лікар-терапевт",IF(Z539&lt;Законод!$C$26,0,(IF(AND(Z539&gt;=Законод!$I$26,Z539&lt;=Законод!$I$27),Z539-Законод!$H$27,IF('01_Доходи'!Z539&gt;=Законод!$I$26,Законод!$H$28,0)))),0)))</f>
        <v>0</v>
      </c>
      <c r="AA545" s="942"/>
      <c r="AB545" s="935" t="s">
        <v>423</v>
      </c>
      <c r="AC545" s="936"/>
      <c r="AD545" s="936"/>
      <c r="AE545" s="936"/>
      <c r="AF545" s="937"/>
      <c r="AG545" s="196">
        <f ca="1">IF($B$535="Лікар загальної практики - сімейний лікар",IF(AG539&lt;Законод!$C$22,0,(IF(AND(AG539&gt;=Законод!$I$22,AG539&lt;=Законод!$I$23),AG539-Законод!$H$23,IF('01_Доходи'!AG539&gt;=Законод!$I$22,Законод!$I$24,0)))),IF($B$535="Лікар-педіатр",IF(AG539&lt;Законод!$C$18,0,(IF(AND(AG539&gt;=Законод!$I$18,AG539&lt;=Законод!$I$19),AG539-Законод!$H$19,IF('01_Доходи'!AG539&gt;=Законод!$I$18,Законод!$H$20,0)))),IF($B$535="Лікар-терапевт",IF(AG539&lt;Законод!$C$26,0,(IF(AND(AG539&gt;=Законод!$I$26,AG539&lt;=Законод!$I$27),AG539-Законод!$H$27,IF('01_Доходи'!AG539&gt;=Законод!$I$26,Законод!$H$28,0)))),0)))</f>
        <v>0</v>
      </c>
      <c r="AH545" s="942"/>
      <c r="AI545" s="201"/>
      <c r="AJ545" s="945"/>
      <c r="AK545" s="960"/>
      <c r="AL545" s="960"/>
      <c r="AM545" s="927"/>
      <c r="AN545" s="210">
        <f ca="1">IF(B535="Лікар загальної практики - сімейний лікар",L545*Законод!$C$9/4*Законод!$I$16,IF(B535="Лікар-педіатр",L545*Законод!$C$9/4*Законод!$I$16,IF(B535="Лікар-терапевт",L545*Законод!$C$9/4*Законод!$I$16,0)))</f>
        <v>0</v>
      </c>
      <c r="AO545" s="210">
        <f ca="1">IF(B535="Лікар загальної практики - сімейний лікар",S545*Законод!$C$9/4*Законод!$I$16,IF(B535="Лікар-педіатр",S545*Законод!$C$9/4*Законод!$I$16,IF(B535="Лікар-терапевт",S545*Законод!$C$9/4*Законод!$I$16,0)))</f>
        <v>0</v>
      </c>
      <c r="AP545" s="210">
        <f ca="1">IF(B535="Лікар загальної практики - сімейний лікар",Z545*Законод!$C$9/4*Законод!$I$16,IF(B535="Лікар-педіатр",Z545*Законод!$C$9/4*Законод!$I$16,IF(B535="Лікар-терапевт",Z545*Законод!$C$9/4*Законод!$I$16,0)))</f>
        <v>0</v>
      </c>
      <c r="AQ545" s="210">
        <f ca="1">IF(B535="Лікар загальної практики - сімейний лікар",AG545*Законод!$C$9/4*Законод!$I$16,IF(B535="Лікар-педіатр",AG545*Законод!$C$9/4*Законод!$I$16,IF(B535="Лікар-терапевт",AG545*Законод!$C$9/4*Законод!$I$16,0)))</f>
        <v>0</v>
      </c>
      <c r="AR545" s="211">
        <f t="shared" si="81"/>
        <v>0</v>
      </c>
    </row>
    <row r="546" spans="1:44" s="218" customFormat="1" ht="31.9" hidden="1" customHeight="1" thickBot="1">
      <c r="A546" s="213"/>
      <c r="B546" s="952"/>
      <c r="C546" s="955"/>
      <c r="D546" s="958"/>
      <c r="E546" s="940"/>
      <c r="F546" s="239" t="str">
        <f ca="1">IF(B535="Лікар-педіатр",Законод!$J$17,IF(B535="Лікар загальної практики - сімейний лікар",Законод!$J$21,IF(B535="Лікар-терапевт",Законод!$J$25,"х")))</f>
        <v>х</v>
      </c>
      <c r="G546" s="932" t="s">
        <v>423</v>
      </c>
      <c r="H546" s="933"/>
      <c r="I546" s="933"/>
      <c r="J546" s="933"/>
      <c r="K546" s="934"/>
      <c r="L546" s="196">
        <f ca="1">IF($B$535="Лікар загальної практики - сімейний лікар",IF(L539&gt;=Законод!$J$22,'01_Доходи'!L539-('01_Доходи'!L540+'01_Доходи'!L541+'01_Доходи'!L542+'01_Доходи'!L543+'01_Доходи'!L544+'01_Доходи'!L545),0),IF($B$535="Лікар-педіатр",IF(L539&gt;=Законод!$J$18,'01_Доходи'!L539-('01_Доходи'!L540+'01_Доходи'!L541+'01_Доходи'!L542+'01_Доходи'!L543+'01_Доходи'!L544+'01_Доходи'!L545),0),IF($B$535="Лікар-терапевт",IF('01_Доходи'!L539&gt;=Законод!$J$26,L539-Законод!$I$27,0),0)))</f>
        <v>0</v>
      </c>
      <c r="M546" s="943"/>
      <c r="N546" s="932" t="s">
        <v>423</v>
      </c>
      <c r="O546" s="933"/>
      <c r="P546" s="933"/>
      <c r="Q546" s="933"/>
      <c r="R546" s="934"/>
      <c r="S546" s="196">
        <f ca="1">IF($B$535="Лікар загальної практики - сімейний лікар",IF(S539&gt;=Законод!$J$22,'01_Доходи'!S539-('01_Доходи'!S540+'01_Доходи'!S541+'01_Доходи'!S542+'01_Доходи'!S543+'01_Доходи'!S544+'01_Доходи'!S545),0),IF($B$535="Лікар-педіатр",IF(S539&gt;=Законод!$J$18,'01_Доходи'!S539-('01_Доходи'!S540+'01_Доходи'!S541+'01_Доходи'!S542+'01_Доходи'!S543+'01_Доходи'!S544+'01_Доходи'!S545),0),IF($B$535="Лікар-терапевт",IF('01_Доходи'!S539&gt;=Законод!$J$26,S539-Законод!$I$27,0),0)))</f>
        <v>0</v>
      </c>
      <c r="T546" s="943"/>
      <c r="U546" s="932" t="s">
        <v>423</v>
      </c>
      <c r="V546" s="933"/>
      <c r="W546" s="933"/>
      <c r="X546" s="933"/>
      <c r="Y546" s="934"/>
      <c r="Z546" s="196">
        <f ca="1">IF($B$535="Лікар загальної практики - сімейний лікар",IF(Z539&gt;=Законод!$J$22,'01_Доходи'!Z539-('01_Доходи'!Z540+'01_Доходи'!Z541+'01_Доходи'!Z542+'01_Доходи'!Z543+'01_Доходи'!Z544+'01_Доходи'!Z545),0),IF($B$535="Лікар-педіатр",IF(Z539&gt;=Законод!$J$18,'01_Доходи'!Z539-('01_Доходи'!Z540+'01_Доходи'!Z541+'01_Доходи'!Z542+'01_Доходи'!Z543+'01_Доходи'!Z544+'01_Доходи'!Z545),0),IF($B$535="Лікар-терапевт",IF('01_Доходи'!Z539&gt;=Законод!$J$26,Z539-Законод!$I$27,0),0)))</f>
        <v>0</v>
      </c>
      <c r="AA546" s="943"/>
      <c r="AB546" s="932" t="s">
        <v>423</v>
      </c>
      <c r="AC546" s="933"/>
      <c r="AD546" s="933"/>
      <c r="AE546" s="933"/>
      <c r="AF546" s="934"/>
      <c r="AG546" s="196">
        <f ca="1">IF($B$535="Лікар загальної практики - сімейний лікар",IF(AG539&gt;=Законод!$J$22,'01_Доходи'!AG539-('01_Доходи'!AG540+'01_Доходи'!AG541+'01_Доходи'!AG542+'01_Доходи'!AG543+'01_Доходи'!AG544+'01_Доходи'!AG545),0),IF($B$535="Лікар-педіатр",IF(AG539&gt;=Законод!$J$18,'01_Доходи'!AG539-('01_Доходи'!AG540+'01_Доходи'!AG541+'01_Доходи'!AG542+'01_Доходи'!AG543+'01_Доходи'!AG544+'01_Доходи'!AG545),0),IF($B$535="Лікар-терапевт",IF('01_Доходи'!AG539&gt;=Законод!$J$26,AG539-Законод!$I$27,0),0)))</f>
        <v>0</v>
      </c>
      <c r="AH546" s="943"/>
      <c r="AI546" s="215"/>
      <c r="AJ546" s="946"/>
      <c r="AK546" s="961"/>
      <c r="AL546" s="961"/>
      <c r="AM546" s="928"/>
      <c r="AN546" s="216">
        <f ca="1">IF(B535="Лікар загальної практики - сімейний лікар",L546*Законод!$C$9/4*Законод!$J$16,IF(B535="Лікар-педіатр",L546*Законод!$C$9/4*Законод!$J$16,IF(B535="Лікар-терапевт",L546*Законод!$C$9/4*Законод!$J$16,0)))</f>
        <v>0</v>
      </c>
      <c r="AO546" s="216">
        <f ca="1">IF(B535="Лікар загальної практики - сімейний лікар",S546*Законод!$C$9/4*Законод!$J$16,IF(B535="Лікар-педіатр",S546*Законод!$C$9/4*Законод!$J$16,IF(B535="Лікар-терапевт",S546*Законод!$C$9/4*Законод!$J$16,0)))</f>
        <v>0</v>
      </c>
      <c r="AP546" s="216">
        <f ca="1">IF(B535="Лікар загальної практики - сімейний лікар",S546*Законод!$C$9/4*Законод!$J$16,IF(B535="Лікар-педіатр",S546*Законод!$C$9/4*Законод!$J$16,IF(B535="Лікар-терапевт",S546*Законод!$C$9/4*Законод!$J$16,0)))</f>
        <v>0</v>
      </c>
      <c r="AQ546" s="216">
        <f ca="1">IF(B535="Лікар загальної практики - сімейний лікар",AG546*Законод!$C$9/4*Законод!$J$16,IF(B535="Лікар-педіатр",AG546*Законод!$C$9/4*Законод!$J$16,IF(B535="Лікар-терапевт",AG546*Законод!$C$9/4*Законод!$J$16,0)))</f>
        <v>0</v>
      </c>
      <c r="AR546" s="217">
        <f t="shared" si="81"/>
        <v>0</v>
      </c>
    </row>
    <row r="547" spans="1:44" s="247" customFormat="1" ht="23.45" hidden="1" customHeight="1" thickBot="1">
      <c r="A547" s="243"/>
      <c r="B547" s="244"/>
      <c r="C547" s="244"/>
      <c r="D547" s="244"/>
      <c r="E547" s="244"/>
      <c r="F547" s="245"/>
      <c r="G547" s="246"/>
      <c r="H547" s="246"/>
      <c r="L547" s="248"/>
      <c r="S547" s="248"/>
      <c r="Z547" s="248"/>
      <c r="AG547" s="248"/>
      <c r="AM547" s="249"/>
      <c r="AR547" s="250"/>
    </row>
    <row r="548" spans="1:44" s="191" customFormat="1" ht="24.6" hidden="1" customHeight="1">
      <c r="A548" s="194">
        <f>A535+1</f>
        <v>40</v>
      </c>
      <c r="B548" s="950"/>
      <c r="C548" s="953"/>
      <c r="D548" s="956"/>
      <c r="E548" s="938"/>
      <c r="F548" s="234" t="s">
        <v>659</v>
      </c>
      <c r="G548" s="196">
        <f>IF($B$548="Лікар-педіатр",G551*L548,IF($B$548="Лікар-терапевт","х",IF($B$548="Лікар загальної практики - сімейний лікар",G551*L548,0)))</f>
        <v>0</v>
      </c>
      <c r="H548" s="196">
        <f>IF($B$548="Лікар-педіатр",H551*L548,IF($B$548="Лікар-терапевт","х",IF($B$548="Лікар загальної практики - сімейний лікар",H551*L548,0)))</f>
        <v>0</v>
      </c>
      <c r="I548" s="196">
        <f>IF($B$548="Лікар-педіатр","x",IF($B$548="Лікар-терапевт",I551*L548,IF($B$548="Лікар загальної практики - сімейний лікар",I551*L548,0)))</f>
        <v>0</v>
      </c>
      <c r="J548" s="196">
        <f>IF($B$548="Лікар-педіатр","x",IF($B$548="Лікар-терапевт",J551*L548,IF($B$548="Лікар загальної практики - сімейний лікар",J551*L548,0)))</f>
        <v>0</v>
      </c>
      <c r="K548" s="196">
        <f>IF($B$548="Лікар-педіатр","x",IF($B$548="Лікар-терапевт",K551*L548,IF($B$548="Лікар загальної практики - сімейний лікар",K551*L548,0)))</f>
        <v>0</v>
      </c>
      <c r="L548" s="557"/>
      <c r="M548" s="941"/>
      <c r="N548" s="196">
        <f>IF($B$548="Лікар-педіатр",N551*S548,IF($B$548="Лікар-терапевт","х",IF($B$548="Лікар загальної практики - сімейний лікар",N551*S548,0)))</f>
        <v>0</v>
      </c>
      <c r="O548" s="196">
        <f>IF($B$548="Лікар-педіатр",O551*S548,IF($B$548="Лікар-терапевт","х",IF($B$548="Лікар загальної практики - сімейний лікар",O551*S548,0)))</f>
        <v>0</v>
      </c>
      <c r="P548" s="196">
        <f>IF($B$548="Лікар-педіатр","x",IF($B$548="Лікар-терапевт",P551*S548,IF($B$548="Лікар загальної практики - сімейний лікар",P551*S548,0)))</f>
        <v>0</v>
      </c>
      <c r="Q548" s="196">
        <f>IF($B$548="Лікар-педіатр","x",IF($B$548="Лікар-терапевт",Q551*S548,IF($B$548="Лікар загальної практики - сімейний лікар",Q551*S548,0)))</f>
        <v>0</v>
      </c>
      <c r="R548" s="196">
        <f>IF($B$548="Лікар-педіатр","x",IF($B$548="Лікар-терапевт",R551*S548,IF($B$548="Лікар загальної практики - сімейний лікар",R551*S548,0)))</f>
        <v>0</v>
      </c>
      <c r="S548" s="557"/>
      <c r="T548" s="941"/>
      <c r="U548" s="196">
        <f>IF($B$548="Лікар-педіатр",U551*Z548,IF($B$548="Лікар-терапевт","х",IF($B$548="Лікар загальної практики - сімейний лікар",U551*Z548,0)))</f>
        <v>0</v>
      </c>
      <c r="V548" s="196">
        <f>IF($B$548="Лікар-педіатр",V551*Z548,IF($B$548="Лікар-терапевт","х",IF($B$548="Лікар загальної практики - сімейний лікар",V551*Z548,0)))</f>
        <v>0</v>
      </c>
      <c r="W548" s="196">
        <f>IF($B$548="Лікар-педіатр","x",IF($B$548="Лікар-терапевт",W551*Z548,IF($B$548="Лікар загальної практики - сімейний лікар",W551*Z548,0)))</f>
        <v>0</v>
      </c>
      <c r="X548" s="196">
        <f>IF($B$548="Лікар-педіатр","x",IF($B$548="Лікар-терапевт",X551*Z548,IF($B$548="Лікар загальної практики - сімейний лікар",X551*Z548,0)))</f>
        <v>0</v>
      </c>
      <c r="Y548" s="196">
        <f>IF($B$548="Лікар-педіатр","x",IF($B$548="Лікар-терапевт",Y551*Z548,IF($B$548="Лікар загальної практики - сімейний лікар",Y551*Z548,0)))</f>
        <v>0</v>
      </c>
      <c r="Z548" s="557"/>
      <c r="AA548" s="941"/>
      <c r="AB548" s="196">
        <f>IF($B$548="Лікар-педіатр",AB551*AG548,IF($B$548="Лікар-терапевт","х",IF($B$548="Лікар загальної практики - сімейний лікар",AB551*AG548,0)))</f>
        <v>0</v>
      </c>
      <c r="AC548" s="196">
        <f>IF($B$548="Лікар-педіатр",AC551*AG548,IF($B$548="Лікар-терапевт","х",IF($B$548="Лікар загальної практики - сімейний лікар",AC551*AG548,0)))</f>
        <v>0</v>
      </c>
      <c r="AD548" s="196">
        <f>IF($B$548="Лікар-педіатр","x",IF($B$548="Лікар-терапевт",AD551*AG548,IF($B$548="Лікар загальної практики - сімейний лікар",AD551*AG548,0)))</f>
        <v>0</v>
      </c>
      <c r="AE548" s="196">
        <f>IF($B$548="Лікар-педіатр","x",IF($B$548="Лікар-терапевт",AE551*AG548,IF($B$548="Лікар загальної практики - сімейний лікар",AE551*AG548,0)))</f>
        <v>0</v>
      </c>
      <c r="AF548" s="196">
        <f>IF($B$548="Лікар-педіатр","x",IF($B$548="Лікар-терапевт",AF551*AG548,IF($B$548="Лікар загальної практики - сімейний лікар",AF551*AG548,0)))</f>
        <v>0</v>
      </c>
      <c r="AG548" s="557"/>
      <c r="AH548" s="941"/>
      <c r="AI548" s="540">
        <f>A548</f>
        <v>40</v>
      </c>
      <c r="AJ548" s="944">
        <f>B548</f>
        <v>0</v>
      </c>
      <c r="AK548" s="959">
        <f>C548</f>
        <v>0</v>
      </c>
      <c r="AL548" s="959">
        <f>D548</f>
        <v>0</v>
      </c>
      <c r="AM548" s="929" t="s">
        <v>79</v>
      </c>
      <c r="AN548" s="947">
        <f>SUM(AN553:AN559)</f>
        <v>0</v>
      </c>
      <c r="AO548" s="947">
        <f>SUM(AO553:AO559)</f>
        <v>0</v>
      </c>
      <c r="AP548" s="947">
        <f>SUM(AP553:AP559)</f>
        <v>0</v>
      </c>
      <c r="AQ548" s="947">
        <f>SUM(AQ553:AQ559)</f>
        <v>0</v>
      </c>
      <c r="AR548" s="962">
        <f>SUM(AN548:AQ552)</f>
        <v>0</v>
      </c>
    </row>
    <row r="549" spans="1:44" s="50" customFormat="1" ht="28.15" hidden="1" customHeight="1">
      <c r="A549" s="197"/>
      <c r="B549" s="951"/>
      <c r="C549" s="954"/>
      <c r="D549" s="957"/>
      <c r="E549" s="939"/>
      <c r="F549" s="234" t="s">
        <v>660</v>
      </c>
      <c r="G549" s="196">
        <f>IF($B$548="Лікар-педіатр",G551*L549,IF($B$548="Лікар-терапевт","х",IF($B$548="Лікар загальної практики - сімейний лікар",G551*L549,0)))</f>
        <v>0</v>
      </c>
      <c r="H549" s="196">
        <f>IF($B$548="Лікар-педіатр",H551*L549,IF($B$548="Лікар-терапевт","х",IF($B$548="Лікар загальної практики - сімейний лікар",H551*L549,0)))</f>
        <v>0</v>
      </c>
      <c r="I549" s="196">
        <f>IF($B$548="Лікар-педіатр","x",IF($B$548="Лікар-терапевт",I551*L549,IF($B$548="Лікар загальної практики - сімейний лікар",I551*L549,0)))</f>
        <v>0</v>
      </c>
      <c r="J549" s="196">
        <f>IF($B$548="Лікар-педіатр","x",IF($B$548="Лікар-терапевт",J551*L549,IF($B$548="Лікар загальної практики - сімейний лікар",J551*L549,0)))</f>
        <v>0</v>
      </c>
      <c r="K549" s="196">
        <f>IF($B$548="Лікар-педіатр","x",IF($B$548="Лікар-терапевт",K551*L549,IF($B$548="Лікар загальної практики - сімейний лікар",K551*L549,0)))</f>
        <v>0</v>
      </c>
      <c r="L549" s="557"/>
      <c r="M549" s="942"/>
      <c r="N549" s="196">
        <f>IF($B$548="Лікар-педіатр",N551*S549,IF($B$548="Лікар-терапевт","х",IF($B$548="Лікар загальної практики - сімейний лікар",N551*S549,0)))</f>
        <v>0</v>
      </c>
      <c r="O549" s="196">
        <f>IF($B$548="Лікар-педіатр",O551*S549,IF($B$548="Лікар-терапевт","х",IF($B$548="Лікар загальної практики - сімейний лікар",O551*S549,0)))</f>
        <v>0</v>
      </c>
      <c r="P549" s="196">
        <f>IF($B$548="Лікар-педіатр","x",IF($B$548="Лікар-терапевт",P551*S549,IF($B$548="Лікар загальної практики - сімейний лікар",P551*S549,0)))</f>
        <v>0</v>
      </c>
      <c r="Q549" s="196">
        <f>IF($B$548="Лікар-педіатр","x",IF($B$548="Лікар-терапевт",Q551*S549,IF($B$548="Лікар загальної практики - сімейний лікар",Q551*S549,0)))</f>
        <v>0</v>
      </c>
      <c r="R549" s="196">
        <f>IF($B$548="Лікар-педіатр","x",IF($B$548="Лікар-терапевт",R551*S549,IF($B$548="Лікар загальної практики - сімейний лікар",R551*S549,0)))</f>
        <v>0</v>
      </c>
      <c r="S549" s="557"/>
      <c r="T549" s="942"/>
      <c r="U549" s="196">
        <f>IF($B$548="Лікар-педіатр",U551*Z549,IF($B$548="Лікар-терапевт","х",IF($B$548="Лікар загальної практики - сімейний лікар",U551*Z549,0)))</f>
        <v>0</v>
      </c>
      <c r="V549" s="196">
        <f>IF($B$548="Лікар-педіатр",V551*Z549,IF($B$548="Лікар-терапевт","х",IF($B$548="Лікар загальної практики - сімейний лікар",V551*Z549,0)))</f>
        <v>0</v>
      </c>
      <c r="W549" s="196">
        <f>IF($B$548="Лікар-педіатр","x",IF($B$548="Лікар-терапевт",W551*Z549,IF($B$548="Лікар загальної практики - сімейний лікар",W551*Z549,0)))</f>
        <v>0</v>
      </c>
      <c r="X549" s="196">
        <f>IF($B$548="Лікар-педіатр","x",IF($B$548="Лікар-терапевт",X551*Z549,IF($B$548="Лікар загальної практики - сімейний лікар",X551*Z549,0)))</f>
        <v>0</v>
      </c>
      <c r="Y549" s="196">
        <f>IF($B$548="Лікар-педіатр","x",IF($B$548="Лікар-терапевт",Y551*Z549,IF($B$548="Лікар загальної практики - сімейний лікар",Y551*Z549,0)))</f>
        <v>0</v>
      </c>
      <c r="Z549" s="557"/>
      <c r="AA549" s="942"/>
      <c r="AB549" s="196">
        <f>IF($B$548="Лікар-педіатр",AB551*AG549,IF($B$548="Лікар-терапевт","х",IF($B$548="Лікар загальної практики - сімейний лікар",AB551*AG549,0)))</f>
        <v>0</v>
      </c>
      <c r="AC549" s="196">
        <f>IF($B$548="Лікар-педіатр",AC551*AG549,IF($B$548="Лікар-терапевт","х",IF($B$548="Лікар загальної практики - сімейний лікар",AC551*AG549,0)))</f>
        <v>0</v>
      </c>
      <c r="AD549" s="196">
        <f>IF($B$548="Лікар-педіатр","x",IF($B$548="Лікар-терапевт",AD551*AG549,IF($B$548="Лікар загальної практики - сімейний лікар",AD551*AG549,0)))</f>
        <v>0</v>
      </c>
      <c r="AE549" s="196">
        <f>IF($B$548="Лікар-педіатр","x",IF($B$548="Лікар-терапевт",AE551*AG549,IF($B$548="Лікар загальної практики - сімейний лікар",AE551*AG549,0)))</f>
        <v>0</v>
      </c>
      <c r="AF549" s="196">
        <f>IF($B$548="Лікар-педіатр","x",IF($B$548="Лікар-терапевт",AF551*AG549,IF($B$548="Лікар загальної практики - сімейний лікар",AF551*AG549,0)))</f>
        <v>0</v>
      </c>
      <c r="AG549" s="557"/>
      <c r="AH549" s="942"/>
      <c r="AI549" s="198"/>
      <c r="AJ549" s="945"/>
      <c r="AK549" s="960"/>
      <c r="AL549" s="960"/>
      <c r="AM549" s="930"/>
      <c r="AN549" s="948"/>
      <c r="AO549" s="948"/>
      <c r="AP549" s="948"/>
      <c r="AQ549" s="948"/>
      <c r="AR549" s="963"/>
    </row>
    <row r="550" spans="1:44" s="90" customFormat="1" ht="31.15" hidden="1" customHeight="1">
      <c r="A550" s="240"/>
      <c r="B550" s="951"/>
      <c r="C550" s="954"/>
      <c r="D550" s="957"/>
      <c r="E550" s="939"/>
      <c r="F550" s="241" t="s">
        <v>661</v>
      </c>
      <c r="G550" s="199">
        <f>IF(B548="Лікар загальної практики - сімейний лікар"," ",IF(B548="Лікар-педіатр"," ",IF(B548="Лікар-терапевт","х",0)))</f>
        <v>0</v>
      </c>
      <c r="H550" s="199">
        <f>IF(B548="Лікар загальної практики - сімейний лікар"," ",IF(B548="Лікар-педіатр"," ",IF(B548="Лікар-терапевт","х",0)))</f>
        <v>0</v>
      </c>
      <c r="I550" s="199">
        <f>IF(B548="Лікар загальної практики - сімейний лікар"," ",IF(B548="Лікар-педіатр","х",IF(B548="Лікар-терапевт"," ",0)))</f>
        <v>0</v>
      </c>
      <c r="J550" s="199">
        <f>IF(B548="Лікар загальної практики - сімейний лікар"," ",IF(B548="Лікар-педіатр","х",IF(B548="Лікар-терапевт"," ",0)))</f>
        <v>0</v>
      </c>
      <c r="K550" s="199">
        <f>IF(B548="Лікар загальної практики - сімейний лікар"," ",IF(B548="Лікар-педіатр","х",IF(B548="Лікар-терапевт"," ",0)))</f>
        <v>0</v>
      </c>
      <c r="L550" s="200">
        <f>SUM(G550:K550)</f>
        <v>0</v>
      </c>
      <c r="M550" s="942"/>
      <c r="N550" s="199">
        <f>IF(B548="Лікар загальної практики - сімейний лікар"," ",IF(B548="Лікар-педіатр"," ",IF(B548="Лікар-терапевт","х",0)))</f>
        <v>0</v>
      </c>
      <c r="O550" s="199">
        <f>IF(B548="Лікар загальної практики - сімейний лікар"," ",IF(B548="Лікар-педіатр"," ",IF(B548="Лікар-терапевт","х",0)))</f>
        <v>0</v>
      </c>
      <c r="P550" s="199">
        <f>IF(B548="Лікар загальної практики - сімейний лікар"," ",IF(B548="Лікар-педіатр","х",IF(B548="Лікар-терапевт"," ",0)))</f>
        <v>0</v>
      </c>
      <c r="Q550" s="199">
        <f>IF(B548="Лікар загальної практики - сімейний лікар"," ",IF(B548="Лікар-педіатр","х",IF(B548="Лікар-терапевт"," ",0)))</f>
        <v>0</v>
      </c>
      <c r="R550" s="199">
        <f>IF(B548="Лікар загальної практики - сімейний лікар"," ",IF(B548="Лікар-педіатр","х",IF(B548="Лікар-терапевт"," ",0)))</f>
        <v>0</v>
      </c>
      <c r="S550" s="200">
        <f>SUM(N550:R550)</f>
        <v>0</v>
      </c>
      <c r="T550" s="942"/>
      <c r="U550" s="199">
        <f>IF(B548="Лікар загальної практики - сімейний лікар"," ",IF(B548="Лікар-педіатр"," ",IF(B548="Лікар-терапевт","х",0)))</f>
        <v>0</v>
      </c>
      <c r="V550" s="199">
        <f>IF(B548="Лікар загальної практики - сімейний лікар"," ",IF(B548="Лікар-педіатр"," ",IF(B548="Лікар-терапевт","х",0)))</f>
        <v>0</v>
      </c>
      <c r="W550" s="199">
        <f>IF(B548="Лікар загальної практики - сімейний лікар"," ",IF(B548="Лікар-педіатр","х",IF(B548="Лікар-терапевт"," ",0)))</f>
        <v>0</v>
      </c>
      <c r="X550" s="199">
        <f>IF(B548="Лікар загальної практики - сімейний лікар"," ",IF(B548="Лікар-педіатр","х",IF(B548="Лікар-терапевт"," ",0)))</f>
        <v>0</v>
      </c>
      <c r="Y550" s="199">
        <f>IF(B548="Лікар загальної практики - сімейний лікар"," ",IF(B548="Лікар-педіатр","х",IF(B548="Лікар-терапевт"," ",0)))</f>
        <v>0</v>
      </c>
      <c r="Z550" s="200">
        <f>SUM(U550:Y550)</f>
        <v>0</v>
      </c>
      <c r="AA550" s="942"/>
      <c r="AB550" s="199">
        <f>IF(B548="Лікар загальної практики - сімейний лікар"," ",IF(B548="Лікар-педіатр"," ",IF(B548="Лікар-терапевт","х",0)))</f>
        <v>0</v>
      </c>
      <c r="AC550" s="199">
        <f>IF(B548="Лікар загальної практики - сімейний лікар"," ",IF(B548="Лікар-педіатр"," ",IF(B548="Лікар-терапевт","х",0)))</f>
        <v>0</v>
      </c>
      <c r="AD550" s="199">
        <f>IF(B548="Лікар загальної практики - сімейний лікар"," ",IF(B548="Лікар-педіатр","х",IF(B548="Лікар-терапевт"," ",0)))</f>
        <v>0</v>
      </c>
      <c r="AE550" s="199">
        <f>IF(B548="Лікар загальної практики - сімейний лікар"," ",IF(B548="Лікар-педіатр","х",IF(B548="Лікар-терапевт"," ",0)))</f>
        <v>0</v>
      </c>
      <c r="AF550" s="199">
        <f>IF(B548="Лікар загальної практики - сімейний лікар"," ",IF(B548="Лікар-педіатр","х",IF(B548="Лікар-терапевт"," ",0)))</f>
        <v>0</v>
      </c>
      <c r="AG550" s="200">
        <f>SUM(AB550:AF550)</f>
        <v>0</v>
      </c>
      <c r="AH550" s="942"/>
      <c r="AI550" s="242"/>
      <c r="AJ550" s="945"/>
      <c r="AK550" s="960"/>
      <c r="AL550" s="960"/>
      <c r="AM550" s="930"/>
      <c r="AN550" s="948"/>
      <c r="AO550" s="948"/>
      <c r="AP550" s="948"/>
      <c r="AQ550" s="948"/>
      <c r="AR550" s="963"/>
    </row>
    <row r="551" spans="1:44" s="50" customFormat="1" ht="31.9" hidden="1" customHeight="1" thickBot="1">
      <c r="A551" s="197"/>
      <c r="B551" s="951"/>
      <c r="C551" s="954"/>
      <c r="D551" s="957"/>
      <c r="E551" s="939"/>
      <c r="F551" s="236" t="s">
        <v>426</v>
      </c>
      <c r="G551" s="203">
        <f>IF($B$548="Лікар-педіатр",G550/L550,IF($B$548="Лікар-терапевт","х",IF($B$548="Лікар загальної практики - сімейний лікар",G550/L550,0)))</f>
        <v>0</v>
      </c>
      <c r="H551" s="203">
        <f>IF($B$548="Лікар-педіатр",H550/L550,IF($B$548="Лікар-терапевт","х",IF($B$548="Лікар загальної практики - сімейний лікар",H550/L550,0)))</f>
        <v>0</v>
      </c>
      <c r="I551" s="203">
        <f>IF($B$548="Лікар-педіатр","x",IF($B$548="Лікар-терапевт",I550/L550,IF($B$548="Лікар загальної практики - сімейний лікар",I550/L550,0)))</f>
        <v>0</v>
      </c>
      <c r="J551" s="203">
        <f>IF($B$548="Лікар-педіатр","x",IF($B$548="Лікар-терапевт",J550/L550,IF($B$548="Лікар загальної практики - сімейний лікар",J550/L550,0)))</f>
        <v>0</v>
      </c>
      <c r="K551" s="203">
        <f>IF($B$548="Лікар-педіатр","x",IF($B$548="Лікар-терапевт",K550/L550,IF($B$548="Лікар загальної практики - сімейний лікар",K550/L550,0)))</f>
        <v>0</v>
      </c>
      <c r="L551" s="203">
        <f>SUM(G551:K551)</f>
        <v>0</v>
      </c>
      <c r="M551" s="942"/>
      <c r="N551" s="203">
        <f>IF($B$548="Лікар-педіатр",N550/S550,IF($B$548="Лікар-терапевт","х",IF($B$548="Лікар загальної практики - сімейний лікар",N550/S550,0)))</f>
        <v>0</v>
      </c>
      <c r="O551" s="203">
        <f>IF($B$548="Лікар-педіатр",O550/S550,IF($B$548="Лікар-терапевт","х",IF($B$548="Лікар загальної практики - сімейний лікар",O550/S550,0)))</f>
        <v>0</v>
      </c>
      <c r="P551" s="203">
        <f>IF($B$548="Лікар-педіатр","x",IF($B$548="Лікар-терапевт",P550/S550,IF($B$548="Лікар загальної практики - сімейний лікар",P550/S550,0)))</f>
        <v>0</v>
      </c>
      <c r="Q551" s="203">
        <f>IF($B$548="Лікар-педіатр","x",IF($B$548="Лікар-терапевт",Q550/S550,IF($B$548="Лікар загальної практики - сімейний лікар",Q550/S550,0)))</f>
        <v>0</v>
      </c>
      <c r="R551" s="203">
        <f>IF($B$548="Лікар-педіатр","x",IF($B$548="Лікар-терапевт",R550/S550,IF($B$548="Лікар загальної практики - сімейний лікар",R550/S550,0)))</f>
        <v>0</v>
      </c>
      <c r="S551" s="203">
        <f>SUM(N551:R551)</f>
        <v>0</v>
      </c>
      <c r="T551" s="942"/>
      <c r="U551" s="203">
        <f>IF($B$548="Лікар-педіатр",U550/Z550,IF($B$548="Лікар-терапевт","х",IF($B$548="Лікар загальної практики - сімейний лікар",U550/Z550,0)))</f>
        <v>0</v>
      </c>
      <c r="V551" s="203">
        <f>IF($B$548="Лікар-педіатр",V550/Z550,IF($B$548="Лікар-терапевт","х",IF($B$548="Лікар загальної практики - сімейний лікар",V550/Z550,0)))</f>
        <v>0</v>
      </c>
      <c r="W551" s="203">
        <f>IF($B$548="Лікар-педіатр","x",IF($B$548="Лікар-терапевт",W550/Z550,IF($B$548="Лікар загальної практики - сімейний лікар",W550/Z550,0)))</f>
        <v>0</v>
      </c>
      <c r="X551" s="203">
        <f>IF($B$548="Лікар-педіатр","x",IF($B$548="Лікар-терапевт",X550/Z550,IF($B$548="Лікар загальної практики - сімейний лікар",X550/Z550,0)))</f>
        <v>0</v>
      </c>
      <c r="Y551" s="203">
        <f>IF($B$548="Лікар-педіатр","x",IF($B$548="Лікар-терапевт",Y550/Z550,IF($B$548="Лікар загальної практики - сімейний лікар",Y550/Z550,0)))</f>
        <v>0</v>
      </c>
      <c r="Z551" s="203">
        <f>SUM(U551:Y551)</f>
        <v>0</v>
      </c>
      <c r="AA551" s="942"/>
      <c r="AB551" s="203">
        <f>IF($B$548="Лікар-педіатр",AB550/AG550,IF($B$548="Лікар-терапевт","х",IF($B$548="Лікар загальної практики - сімейний лікар",AB550/AG550,0)))</f>
        <v>0</v>
      </c>
      <c r="AC551" s="203">
        <f>IF($B$548="Лікар-педіатр",AC550/AG550,IF($B$548="Лікар-терапевт","х",IF($B$548="Лікар загальної практики - сімейний лікар",AC550/AG550,0)))</f>
        <v>0</v>
      </c>
      <c r="AD551" s="203">
        <f>IF($B$548="Лікар-педіатр","x",IF($B$548="Лікар-терапевт",AD550/AG550,IF($B$548="Лікар загальної практики - сімейний лікар",AD550/AG550,0)))</f>
        <v>0</v>
      </c>
      <c r="AE551" s="203">
        <f>IF($B$548="Лікар-педіатр","x",IF($B$548="Лікар-терапевт",AE550/AG550,IF($B$548="Лікар загальної практики - сімейний лікар",AE550/AG550,0)))</f>
        <v>0</v>
      </c>
      <c r="AF551" s="203">
        <f>IF($B$548="Лікар-педіатр","x",IF($B$548="Лікар-терапевт",AF550/AG550,IF($B$548="Лікар загальної практики - сімейний лікар",AF550/AG550,0)))</f>
        <v>0</v>
      </c>
      <c r="AG551" s="203">
        <f>SUM(AB551:AF551)</f>
        <v>0</v>
      </c>
      <c r="AH551" s="942"/>
      <c r="AI551" s="201"/>
      <c r="AJ551" s="945"/>
      <c r="AK551" s="960"/>
      <c r="AL551" s="960"/>
      <c r="AM551" s="930"/>
      <c r="AN551" s="948"/>
      <c r="AO551" s="948"/>
      <c r="AP551" s="948"/>
      <c r="AQ551" s="948"/>
      <c r="AR551" s="963"/>
    </row>
    <row r="552" spans="1:44" s="50" customFormat="1" ht="45" hidden="1" customHeight="1" thickBot="1">
      <c r="A552" s="197"/>
      <c r="B552" s="951"/>
      <c r="C552" s="954"/>
      <c r="D552" s="957"/>
      <c r="E552" s="939"/>
      <c r="F552" s="204" t="s">
        <v>662</v>
      </c>
      <c r="G552" s="205">
        <f>IF($B$548="Лікар загальної практики - сімейний лікар",AVERAGE(G548:G550),IF($B$548="Лікар-педіатр",AVERAGE(G548:G550),IF($B$548="Лікар-терапевт","х",0)))</f>
        <v>0</v>
      </c>
      <c r="H552" s="205">
        <f>IF($B$548="Лікар загальної практики - сімейний лікар",AVERAGE(H548:H550),IF($B$548="Лікар-педіатр",AVERAGE(H548:H550),IF($B$548="Лікар-терапевт","х",0)))</f>
        <v>0</v>
      </c>
      <c r="I552" s="205">
        <f>IF($B$548="Лікар загальної практики - сімейний лікар",AVERAGE(I548:I550),IF($B$548="Лікар-педіатр","x",IF($B$548="Лікар-терапевт",AVERAGE(I548:I550),0)))</f>
        <v>0</v>
      </c>
      <c r="J552" s="205">
        <f>IF($B$548="Лікар загальної практики - сімейний лікар",AVERAGE(J548:J550),IF($B$548="Лікар-педіатр","x",IF($B$548="Лікар-терапевт",AVERAGE(J548:J550),0)))</f>
        <v>0</v>
      </c>
      <c r="K552" s="205">
        <f>IF($B$548="Лікар загальної практики - сімейний лікар",AVERAGE(K548:K550),IF($B$548="Лікар-педіатр","x",IF($B$548="Лікар-терапевт",AVERAGE(K548:K550),0)))</f>
        <v>0</v>
      </c>
      <c r="L552" s="206">
        <f>SUM(G552:K552)</f>
        <v>0</v>
      </c>
      <c r="M552" s="942"/>
      <c r="N552" s="205">
        <f>IF($B$548="Лікар загальної практики - сімейний лікар",AVERAGE(N548:N550),IF($B$548="Лікар-педіатр",AVERAGE(N548:N550),IF($B$548="Лікар-терапевт","х",0)))</f>
        <v>0</v>
      </c>
      <c r="O552" s="205">
        <f>IF($B$548="Лікар загальної практики - сімейний лікар",AVERAGE(O548:O550),IF($B$548="Лікар-педіатр",AVERAGE(O548:O550),IF($B$548="Лікар-терапевт","х",0)))</f>
        <v>0</v>
      </c>
      <c r="P552" s="205">
        <f>IF($B$548="Лікар загальної практики - сімейний лікар",AVERAGE(P548:P550),IF($B$548="Лікар-педіатр","x",IF($B$548="Лікар-терапевт",AVERAGE(P548:P550),0)))</f>
        <v>0</v>
      </c>
      <c r="Q552" s="205">
        <f>IF($B$548="Лікар загальної практики - сімейний лікар",AVERAGE(Q548:Q550),IF($B$548="Лікар-педіатр","x",IF($B$548="Лікар-терапевт",AVERAGE(Q548:Q550),0)))</f>
        <v>0</v>
      </c>
      <c r="R552" s="205">
        <f>IF($B$548="Лікар загальної практики - сімейний лікар",AVERAGE(R548:R550),IF($B$548="Лікар-педіатр","x",IF($B$548="Лікар-терапевт",AVERAGE(R548:R550),0)))</f>
        <v>0</v>
      </c>
      <c r="S552" s="206">
        <f>SUM(N552:R552)</f>
        <v>0</v>
      </c>
      <c r="T552" s="942"/>
      <c r="U552" s="205">
        <f>IF($B$548="Лікар загальної практики - сімейний лікар",AVERAGE(U548:U550),IF($B$548="Лікар-педіатр",AVERAGE(U548:U550),IF($B$548="Лікар-терапевт","х",0)))</f>
        <v>0</v>
      </c>
      <c r="V552" s="205">
        <f>IF($B$548="Лікар загальної практики - сімейний лікар",AVERAGE(V548:V550),IF($B$548="Лікар-педіатр",AVERAGE(V548:V550),IF($B$548="Лікар-терапевт","х",0)))</f>
        <v>0</v>
      </c>
      <c r="W552" s="205">
        <f>IF($B$548="Лікар загальної практики - сімейний лікар",AVERAGE(W548:W550),IF($B$548="Лікар-педіатр","x",IF($B$548="Лікар-терапевт",AVERAGE(W548:W550),0)))</f>
        <v>0</v>
      </c>
      <c r="X552" s="205">
        <f>IF($B$548="Лікар загальної практики - сімейний лікар",AVERAGE(X548:X550),IF($B$548="Лікар-педіатр","x",IF($B$548="Лікар-терапевт",AVERAGE(X548:X550),0)))</f>
        <v>0</v>
      </c>
      <c r="Y552" s="205">
        <f>IF($B$548="Лікар загальної практики - сімейний лікар",AVERAGE(Y548:Y550),IF($B$548="Лікар-педіатр","x",IF($B$548="Лікар-терапевт",AVERAGE(Y548:Y550),0)))</f>
        <v>0</v>
      </c>
      <c r="Z552" s="206">
        <f>SUM(U552:Y552)</f>
        <v>0</v>
      </c>
      <c r="AA552" s="942"/>
      <c r="AB552" s="205">
        <f>IF($B$548="Лікар загальної практики - сімейний лікар",AVERAGE(AB548:AB550),IF($B$548="Лікар-педіатр",AVERAGE(AB548:AB550),IF($B$548="Лікар-терапевт","х",0)))</f>
        <v>0</v>
      </c>
      <c r="AC552" s="205">
        <f>IF($B$548="Лікар загальної практики - сімейний лікар",AVERAGE(AC548:AC550),IF($B$548="Лікар-педіатр",AVERAGE(AC548:AC550),IF($B$548="Лікар-терапевт","х",0)))</f>
        <v>0</v>
      </c>
      <c r="AD552" s="205">
        <f>IF($B$548="Лікар загальної практики - сімейний лікар",AVERAGE(AD548:AD550),IF($B$548="Лікар-педіатр","x",IF($B$548="Лікар-терапевт",AVERAGE(AD548:AD550),0)))</f>
        <v>0</v>
      </c>
      <c r="AE552" s="205">
        <f>IF($B$548="Лікар загальної практики - сімейний лікар",AVERAGE(AE548:AE550),IF($B$548="Лікар-педіатр","x",IF($B$548="Лікар-терапевт",AVERAGE(AE548:AE550),0)))</f>
        <v>0</v>
      </c>
      <c r="AF552" s="205">
        <f>IF($B$548="Лікар загальної практики - сімейний лікар",AVERAGE(AF548:AF550),IF($B$548="Лікар-педіатр","x",IF($B$548="Лікар-терапевт",AVERAGE(AF548:AF550),0)))</f>
        <v>0</v>
      </c>
      <c r="AG552" s="206">
        <f>SUM(AB552:AF552)</f>
        <v>0</v>
      </c>
      <c r="AH552" s="942"/>
      <c r="AI552" s="201"/>
      <c r="AJ552" s="945"/>
      <c r="AK552" s="960"/>
      <c r="AL552" s="960"/>
      <c r="AM552" s="931"/>
      <c r="AN552" s="949"/>
      <c r="AO552" s="949"/>
      <c r="AP552" s="949"/>
      <c r="AQ552" s="949"/>
      <c r="AR552" s="964"/>
    </row>
    <row r="553" spans="1:44" s="50" customFormat="1" ht="40.5" hidden="1">
      <c r="A553" s="197"/>
      <c r="B553" s="951"/>
      <c r="C553" s="954"/>
      <c r="D553" s="957"/>
      <c r="E553" s="939"/>
      <c r="F553" s="237" t="str">
        <f ca="1">IF(B548="Лікар-педіатр",Законод!$C$17,IF(B548="Лікар загальної практики - сімейний лікар",Законод!$C$21,IF(B548="Лікар-терапевт",Законод!$C$25,"х")))</f>
        <v>х</v>
      </c>
      <c r="G553" s="208">
        <f ca="1">IF($B$548="Лікар загальної практики - сімейний лікар",IF(L552&lt;=Законод!$C$22,G552,Законод!$C$22*'01_Доходи'!G551),IF($B$548="Лікар-педіатр",IF(L552&lt;=Законод!$C$18,G552,Законод!$C$18*'01_Доходи'!G551),IF($B$548="Лікар-терапевт","x",0)))</f>
        <v>0</v>
      </c>
      <c r="H553" s="208">
        <f ca="1">IF($B$548="Лікар загальної практики - сімейний лікар",IF(L552&lt;=Законод!$C$22,H552,Законод!$C$22*'01_Доходи'!H551),IF($B$548="Лікар-педіатр",IF(L552&lt;=Законод!$C$18,H552,Законод!$C$18*'01_Доходи'!H551),IF($B$548="Лікар-терапевт","x",0)))</f>
        <v>0</v>
      </c>
      <c r="I553" s="208">
        <f ca="1">IF($B$548="Лікар загальної практики - сімейний лікар",IF(L552&lt;=Законод!$C$22,I552,Законод!$C$22*'01_Доходи'!I551),IF($B$548="Лікар-педіатр","x",IF($B$548="Лікар-терапевт",IF(L552&lt;=Законод!$C$26,I552,Законод!$C$26*'01_Доходи'!I551),0)))</f>
        <v>0</v>
      </c>
      <c r="J553" s="208">
        <f ca="1">IF($B$548="Лікар загальної практики - сімейний лікар",IF(L552&lt;=Законод!$C$22,J552,Законод!$C$22*'01_Доходи'!J551),IF($B$548="Лікар-педіатр","x",IF($B$548="Лікар-терапевт",IF(L552&lt;=Законод!$C$26,J552,Законод!$C$26*'01_Доходи'!J551),0)))</f>
        <v>0</v>
      </c>
      <c r="K553" s="208">
        <f ca="1">IF($B$548="Лікар загальної практики - сімейний лікар",IF(L552&lt;=Законод!$C$22,K552,Законод!$C$22*'01_Доходи'!K551),IF($B$548="Лікар-педіатр","x",IF($B$548="Лікар-терапевт",IF(L552&lt;=Законод!$C$26,K552,Законод!$C$26*'01_Доходи'!K551),0)))</f>
        <v>0</v>
      </c>
      <c r="L553" s="209">
        <f ca="1">SUM(G553:K553)</f>
        <v>0</v>
      </c>
      <c r="M553" s="942"/>
      <c r="N553" s="208">
        <f ca="1">IF($B$548="Лікар загальної практики - сімейний лікар",IF(S552&lt;=Законод!$C$22,N552,Законод!$C$22*'01_Доходи'!N551),IF($B$548="Лікар-педіатр",IF(S552&lt;=Законод!$C$18,N552,Законод!$C$18*'01_Доходи'!N551),IF($B$548="Лікар-терапевт","x",0)))</f>
        <v>0</v>
      </c>
      <c r="O553" s="208">
        <f ca="1">IF($B$548="Лікар загальної практики - сімейний лікар",IF(S552&lt;=Законод!$C$22,O552,Законод!$C$22*'01_Доходи'!O551),IF($B$548="Лікар-педіатр",IF(S552&lt;=Законод!$C$18,O552,Законод!$C$18*'01_Доходи'!O551),IF($B$548="Лікар-терапевт","x",0)))</f>
        <v>0</v>
      </c>
      <c r="P553" s="208">
        <f ca="1">IF($B$548="Лікар загальної практики - сімейний лікар",IF(S552&lt;=Законод!$C$22,P552,Законод!$C$22*'01_Доходи'!P551),IF($B$548="Лікар-педіатр","x",IF($B$548="Лікар-терапевт",IF(S552&lt;=Законод!$C$26,P552,Законод!$C$26*'01_Доходи'!P551),0)))</f>
        <v>0</v>
      </c>
      <c r="Q553" s="208">
        <f ca="1">IF($B$548="Лікар загальної практики - сімейний лікар",IF(S552&lt;=Законод!$C$22,Q552,Законод!$C$22*'01_Доходи'!Q551),IF($B$548="Лікар-педіатр","x",IF($B$548="Лікар-терапевт",IF(S552&lt;=Законод!$C$26,Q552,Законод!$C$26*'01_Доходи'!Q551),0)))</f>
        <v>0</v>
      </c>
      <c r="R553" s="208">
        <f ca="1">IF($B$548="Лікар загальної практики - сімейний лікар",IF(S552&lt;=Законод!$C$22,R552,Законод!$C$22*'01_Доходи'!R551),IF($B$548="Лікар-педіатр","x",IF($B$548="Лікар-терапевт",IF(S552&lt;=Законод!$C$26,R552,Законод!$C$26*'01_Доходи'!R551),0)))</f>
        <v>0</v>
      </c>
      <c r="S553" s="209">
        <f ca="1">SUM(N553:R553)</f>
        <v>0</v>
      </c>
      <c r="T553" s="942"/>
      <c r="U553" s="208">
        <f ca="1">IF($B$548="Лікар загальної практики - сімейний лікар",IF(Z552&lt;=Законод!$C$22,U552,Законод!$C$22*'01_Доходи'!U551),IF($B$548="Лікар-педіатр",IF(Z552&lt;=Законод!$C$18,U552,Законод!$C$18*'01_Доходи'!U551),IF($B$548="Лікар-терапевт","x",0)))</f>
        <v>0</v>
      </c>
      <c r="V553" s="208">
        <f ca="1">IF($B$548="Лікар загальної практики - сімейний лікар",IF(Z552&lt;=Законод!$C$22,V552,Законод!$C$22*'01_Доходи'!V551),IF($B$548="Лікар-педіатр",IF(Z552&lt;=Законод!$C$18,V552,Законод!$C$18*'01_Доходи'!V551),IF($B$548="Лікар-терапевт","x",0)))</f>
        <v>0</v>
      </c>
      <c r="W553" s="208">
        <f ca="1">IF($B$548="Лікар загальної практики - сімейний лікар",IF(Z552&lt;=Законод!$C$22,W552,Законод!$C$22*'01_Доходи'!W551),IF($B$548="Лікар-педіатр","x",IF($B$548="Лікар-терапевт",IF(Z552&lt;=Законод!$C$26,W552,Законод!$C$26*'01_Доходи'!W551),0)))</f>
        <v>0</v>
      </c>
      <c r="X553" s="208">
        <f ca="1">IF($B$548="Лікар загальної практики - сімейний лікар",IF(Z552&lt;=Законод!$C$22,X552,Законод!$C$22*'01_Доходи'!X551),IF($B$548="Лікар-педіатр","x",IF($B$548="Лікар-терапевт",IF(Z552&lt;=Законод!$C$26,X552,Законод!$C$26*'01_Доходи'!X551),0)))</f>
        <v>0</v>
      </c>
      <c r="Y553" s="208">
        <f ca="1">IF($B$548="Лікар загальної практики - сімейний лікар",IF(Z552&lt;=Законод!$C$22,Y552,Законод!$C$22*'01_Доходи'!Y551),IF($B$548="Лікар-педіатр","x",IF($B$548="Лікар-терапевт",IF(Z552&lt;=Законод!$C$26,Y552,Законод!$C$26*'01_Доходи'!Y551),0)))</f>
        <v>0</v>
      </c>
      <c r="Z553" s="209">
        <f ca="1">SUM(U553:Y553)</f>
        <v>0</v>
      </c>
      <c r="AA553" s="942"/>
      <c r="AB553" s="208">
        <f ca="1">IF($B$548="Лікар загальної практики - сімейний лікар",IF(AG552&lt;=Законод!$C$22,AB552,Законод!$C$22*'01_Доходи'!AB551),IF($B$548="Лікар-педіатр",IF(AG552&lt;=Законод!$C$18,AB552,Законод!$C$18*'01_Доходи'!AB551),IF($B$548="Лікар-терапевт","x",0)))</f>
        <v>0</v>
      </c>
      <c r="AC553" s="208">
        <f ca="1">IF($B$548="Лікар загальної практики - сімейний лікар",IF(AG552&lt;=Законод!$C$22,AC552,Законод!$C$22*'01_Доходи'!AC551),IF($B$548="Лікар-педіатр",IF(AG552&lt;=Законод!$C$18,AC552,Законод!$C$18*'01_Доходи'!AC551),IF($B$548="Лікар-терапевт","x",0)))</f>
        <v>0</v>
      </c>
      <c r="AD553" s="208">
        <f ca="1">IF($B$548="Лікар загальної практики - сімейний лікар",IF(AG552&lt;=Законод!$C$22,AD552,Законод!$C$22*'01_Доходи'!AD551),IF($B$548="Лікар-педіатр","x",IF($B$548="Лікар-терапевт",IF(AG552&lt;=Законод!$C$26,AD552,Законод!$C$26*'01_Доходи'!AD551),0)))</f>
        <v>0</v>
      </c>
      <c r="AE553" s="208">
        <f ca="1">IF($B$548="Лікар загальної практики - сімейний лікар",IF(AG552&lt;=Законод!$C$22,AE552,Законод!$C$22*'01_Доходи'!AE551),IF($B$548="Лікар-педіатр","x",IF($B$548="Лікар-терапевт",IF(AG552&lt;=Законод!$C$26,AE552,Законод!$C$26*'01_Доходи'!AE551),0)))</f>
        <v>0</v>
      </c>
      <c r="AF553" s="208">
        <f ca="1">IF($B$548="Лікар загальної практики - сімейний лікар",IF(AG552&lt;=Законод!$C$22,AF552,Законод!$C$22*'01_Доходи'!AF551),IF($B$548="Лікар-педіатр","x",IF($B$548="Лікар-терапевт",IF(AG552&lt;=Законод!$C$26,AF552,Законод!$C$26*'01_Доходи'!AF551),0)))</f>
        <v>0</v>
      </c>
      <c r="AG553" s="209">
        <f ca="1">SUM(AB553:AF553)</f>
        <v>0</v>
      </c>
      <c r="AH553" s="942"/>
      <c r="AI553" s="201"/>
      <c r="AJ553" s="945"/>
      <c r="AK553" s="960"/>
      <c r="AL553" s="960"/>
      <c r="AM553" s="348" t="s">
        <v>451</v>
      </c>
      <c r="AN553" s="210">
        <f ca="1">IF(B548="Лікар загальної практики - сімейний лікар",G553*Законод!$C$11+'01_Доходи'!H553*Законод!$D$11+'01_Доходи'!I553*Законод!$E$11+'01_Доходи'!J553*Законод!$F$11+'01_Доходи'!K553*Законод!$G$11,IF(B548="Лікар-педіатр",G553*Законод!$C$11+'01_Доходи'!H553*Законод!$D$11,IF(B548="Лікар-терапевт",'01_Доходи'!I553*Законод!$E$11+'01_Доходи'!J553*Законод!$F$11+'01_Доходи'!K553*Законод!$G$11,0)))</f>
        <v>0</v>
      </c>
      <c r="AO553" s="210">
        <f ca="1">IF(B548="Лікар загальної практики - сімейний лікар",N553*Законод!$C$11+'01_Доходи'!O553*Законод!$D$11+'01_Доходи'!P553*Законод!$E$11+'01_Доходи'!Q553*Законод!$F$11+'01_Доходи'!R553*Законод!$G$11,IF(B548="Лікар-педіатр",N553*Законод!$C$11+'01_Доходи'!O553*Законод!$D$11,IF(B548="Лікар-терапевт",'01_Доходи'!P553*Законод!$E$11+'01_Доходи'!Q553*Законод!$F$11+'01_Доходи'!R553*Законод!$G$11,0)))</f>
        <v>0</v>
      </c>
      <c r="AP553" s="210">
        <f ca="1">IF(B548="Лікар загальної практики - сімейний лікар",U553*Законод!$C$11+'01_Доходи'!V553*Законод!$D$11+'01_Доходи'!W553*Законод!$E$11+'01_Доходи'!X553*Законод!$F$11+'01_Доходи'!Y553*Законод!$G$11,IF(B548="Лікар-педіатр",U553*Законод!$C$11+'01_Доходи'!V553*Законод!$D$11,IF(B548="Лікар-терапевт",'01_Доходи'!W553*Законод!$E$11+'01_Доходи'!X553*Законод!$F$11+'01_Доходи'!Y553*Законод!$G$11,0)))</f>
        <v>0</v>
      </c>
      <c r="AQ553" s="210">
        <f ca="1">IF(B548="Лікар загальної практики - сімейний лікар",AB553*Законод!$C$11+'01_Доходи'!AC553*Законод!$D$11+'01_Доходи'!AD553*Законод!$E$11+'01_Доходи'!AE553*Законод!$F$11+'01_Доходи'!AF553*Законод!$G$11,IF(B548="Лікар-педіатр",AB553*Законод!$C$11+'01_Доходи'!AC553*Законод!$D$11,IF(B548="Лікар-терапевт",'01_Доходи'!AD553*Законод!$E$11+'01_Доходи'!AE553*Законод!$F$11+'01_Доходи'!AF553*Законод!$G$11,0)))</f>
        <v>0</v>
      </c>
      <c r="AR553" s="211">
        <f t="shared" ref="AR553:AR559" si="82">SUM(AN553:AQ553)</f>
        <v>0</v>
      </c>
    </row>
    <row r="554" spans="1:44" s="50" customFormat="1" ht="31.9" hidden="1" customHeight="1">
      <c r="A554" s="197"/>
      <c r="B554" s="951"/>
      <c r="C554" s="954"/>
      <c r="D554" s="957"/>
      <c r="E554" s="939"/>
      <c r="F554" s="238" t="str">
        <f ca="1">IF(B548="Лікар-педіатр",Законод!$E$17,IF(B548="Лікар загальної практики - сімейний лікар",Законод!$E$21,IF(B548="Лікар-терапевт",Законод!$E$25,"х")))</f>
        <v>х</v>
      </c>
      <c r="G554" s="935" t="s">
        <v>423</v>
      </c>
      <c r="H554" s="936"/>
      <c r="I554" s="936"/>
      <c r="J554" s="936"/>
      <c r="K554" s="937"/>
      <c r="L554" s="196">
        <f ca="1">IF($B$548="Лікар загальної практики - сімейний лікар",IF(L552&lt;Законод!$C$22,0,(IF(AND(L552&gt;=Законод!$E$22,L552&lt;=Законод!$E$23),L552-Законод!$C$22,IF('01_Доходи'!L552&gt;=Законод!$F$22,Законод!$E$24,0)))),IF($B$548="Лікар-педіатр",IF(L552&lt;Законод!$C$18,0,(IF(AND(L552&gt;=Законод!$E$18,L552&lt;=Законод!$E$19),L552-Законод!$C$18,IF('01_Доходи'!L552&gt;=Законод!$F$18,Законод!$E$20,0)))),IF($B$548="Лікар-терапевт",IF(L552&lt;Законод!$C$26,0,(IF(AND(L552&gt;=Законод!$E$26,L552&lt;=Законод!$E$27),L552-Законод!$C$26,IF('01_Доходи'!L552&gt;=Законод!$F$26,Законод!$E$28,0)))),0)))</f>
        <v>0</v>
      </c>
      <c r="M554" s="942"/>
      <c r="N554" s="935" t="s">
        <v>423</v>
      </c>
      <c r="O554" s="936"/>
      <c r="P554" s="936"/>
      <c r="Q554" s="936"/>
      <c r="R554" s="937"/>
      <c r="S554" s="196">
        <f ca="1">IF($B$548="Лікар загальної практики - сімейний лікар",IF(S552&lt;Законод!$C$22,0,(IF(AND(S552&gt;=Законод!$E$22,S552&lt;=Законод!$E$23),S552-Законод!$C$22,IF('01_Доходи'!S552&gt;=Законод!$F$22,Законод!$E$24,0)))),IF($B$548="Лікар-педіатр",IF(S552&lt;Законод!$C$18,0,(IF(AND(S552&gt;=Законод!$E$18,S552&lt;=Законод!$E$19),S552-Законод!$C$18,IF('01_Доходи'!S552&gt;=Законод!$F$18,Законод!$E$20,0)))),IF($B$548="Лікар-терапевт",IF(S552&lt;Законод!$C$26,0,(IF(AND(S552&gt;=Законод!$E$26,S552&lt;=Законод!$E$27),S552-Законод!$C$26,IF('01_Доходи'!S552&gt;=Законод!$F$26,Законод!$E$28,0)))),0)))</f>
        <v>0</v>
      </c>
      <c r="T554" s="942"/>
      <c r="U554" s="935" t="s">
        <v>423</v>
      </c>
      <c r="V554" s="936"/>
      <c r="W554" s="936"/>
      <c r="X554" s="936"/>
      <c r="Y554" s="937"/>
      <c r="Z554" s="196">
        <f ca="1">IF($B$548="Лікар загальної практики - сімейний лікар",IF(Z552&lt;Законод!$C$22,0,(IF(AND(Z552&gt;=Законод!$E$22,Z552&lt;=Законод!$E$23),Z552-Законод!$C$22,IF('01_Доходи'!Z552&gt;=Законод!$F$22,Законод!$E$24,0)))),IF($B$548="Лікар-педіатр",IF(Z552&lt;Законод!$C$18,0,(IF(AND(Z552&gt;=Законод!$E$18,Z552&lt;=Законод!$E$19),Z552-Законод!$C$18,IF('01_Доходи'!Z552&gt;=Законод!$F$18,Законод!$E$20,0)))),IF($B$548="Лікар-терапевт",IF(Z552&lt;Законод!$C$26,0,(IF(AND(Z552&gt;=Законод!$E$26,Z552&lt;=Законод!$E$27),Z552-Законод!$C$26,IF('01_Доходи'!Z552&gt;=Законод!$F$26,Законод!$E$28,0)))),0)))</f>
        <v>0</v>
      </c>
      <c r="AA554" s="942"/>
      <c r="AB554" s="935" t="s">
        <v>423</v>
      </c>
      <c r="AC554" s="936"/>
      <c r="AD554" s="936"/>
      <c r="AE554" s="936"/>
      <c r="AF554" s="937"/>
      <c r="AG554" s="196">
        <f ca="1">IF($B$548="Лікар загальної практики - сімейний лікар",IF(AG552&lt;Законод!$C$22,0,(IF(AND(AG552&gt;=Законод!$E$22,AG552&lt;=Законод!$E$23),AG552-Законод!$C$22,IF('01_Доходи'!AG552&gt;=Законод!$F$22,Законод!$E$24,0)))),IF($B$548="Лікар-педіатр",IF(AG552&lt;Законод!$C$18,0,(IF(AND(AG552&gt;=Законод!$E$18,AG552&lt;=Законод!$E$19),AG552-Законод!$C$18,IF('01_Доходи'!AG552&gt;=Законод!$F$18,Законод!$E$20,0)))),IF($B$548="Лікар-терапевт",IF(AG552&lt;Законод!$C$26,0,(IF(AND(AG552&gt;=Законод!$E$26,AG552&lt;=Законод!$E$27),AG552-Законод!$C$26,IF('01_Доходи'!AG552&gt;=Законод!$F$26,Законод!$E$28,0)))),0)))</f>
        <v>0</v>
      </c>
      <c r="AH554" s="942"/>
      <c r="AI554" s="201"/>
      <c r="AJ554" s="945"/>
      <c r="AK554" s="960"/>
      <c r="AL554" s="960"/>
      <c r="AM554" s="926" t="s">
        <v>452</v>
      </c>
      <c r="AN554" s="210">
        <f ca="1">IF(B548="Лікар загальної практики - сімейний лікар",L554*Законод!$C$9/4*Законод!$E$16,IF(B548="Лікар-педіатр",L554*Законод!$C$9/4*Законод!$E$16,IF(B548="Лікар-терапевт",L554*Законод!$C$9/4*Законод!$E$16,0)))</f>
        <v>0</v>
      </c>
      <c r="AO554" s="210">
        <f ca="1">IF(B548="Лікар загальної практики - сімейний лікар",S554*Законод!$C$9/4*Законод!$E$16,IF(B548="Лікар-педіатр",S554*Законод!$C$9/4*Законод!$E$16,IF(B548="Лікар-терапевт",S554*Законод!$C$9/4*Законод!$E$16,0)))</f>
        <v>0</v>
      </c>
      <c r="AP554" s="210">
        <f ca="1">IF(B548="Лікар загальної практики - сімейний лікар",Z554*Законод!$C$9/4*Законод!$E$16,IF(B548="Лікар-педіатр",Z554*Законод!$C$9/4*Законод!$E$16,IF(B548="Лікар-терапевт",Z554*Законод!$C$9/4*Законод!$E$16,0)))</f>
        <v>0</v>
      </c>
      <c r="AQ554" s="210">
        <f ca="1">IF(B548="Лікар загальної практики - сімейний лікар",AG554*Законод!$C$9/4*Законод!$E$16,IF(B548="Лікар-педіатр",AG554*Законод!$C$9/4*Законод!$E$16,IF(B548="Лікар-терапевт",AG554*Законод!$C$9/4*Законод!$E$16,0)))</f>
        <v>0</v>
      </c>
      <c r="AR554" s="211">
        <f t="shared" si="82"/>
        <v>0</v>
      </c>
    </row>
    <row r="555" spans="1:44" s="50" customFormat="1" ht="31.9" hidden="1" customHeight="1">
      <c r="A555" s="197"/>
      <c r="B555" s="951"/>
      <c r="C555" s="954"/>
      <c r="D555" s="957"/>
      <c r="E555" s="939"/>
      <c r="F555" s="238" t="str">
        <f ca="1">IF(B548="Лікар-педіатр",Законод!$F$17,IF(B548="Лікар загальної практики - сімейний лікар",Законод!$F$21,IF(B548="Лікар-терапевт",Законод!$F$25,"х")))</f>
        <v>х</v>
      </c>
      <c r="G555" s="935" t="s">
        <v>423</v>
      </c>
      <c r="H555" s="936"/>
      <c r="I555" s="936"/>
      <c r="J555" s="936"/>
      <c r="K555" s="937"/>
      <c r="L555" s="196">
        <f ca="1">IF($B$548="Лікар загальної практики - сімейний лікар",IF(L552&lt;Законод!$C$22,0,(IF(AND(L552&gt;=Законод!$F$22,L552&lt;=Законод!$F$23),L552-Законод!$E$23,IF('01_Доходи'!L552&gt;=Законод!$G$22,Законод!$F$24,0)))),IF($B$548="Лікар-педіатр",IF(L552&lt;Законод!$C$18,0,(IF(AND(L552&gt;=Законод!$F$18,L552&lt;=Законод!$F$19),L552-Законод!$E$19,IF('01_Доходи'!L552&gt;=Законод!$G$18,Законод!$F$20,0)))),IF($B$548="Лікар-терапевт",IF(L552&lt;Законод!$C$26,0,(IF(AND(L552&gt;=Законод!$F$26,L552&lt;=Законод!$F$27),L552-Законод!$E$27,IF('01_Доходи'!L552&gt;=Законод!$G$26,Законод!$F$28,0)))),0)))</f>
        <v>0</v>
      </c>
      <c r="M555" s="942"/>
      <c r="N555" s="935" t="s">
        <v>423</v>
      </c>
      <c r="O555" s="936"/>
      <c r="P555" s="936"/>
      <c r="Q555" s="936"/>
      <c r="R555" s="937"/>
      <c r="S555" s="196">
        <f ca="1">IF($B$548="Лікар загальної практики - сімейний лікар",IF(S552&lt;Законод!$C$22,0,(IF(AND(S552&gt;=Законод!$F$22,S552&lt;=Законод!$F$23),S552-Законод!$E$23,IF('01_Доходи'!S552&gt;=Законод!$G$22,Законод!$F$24,0)))),IF($B$548="Лікар-педіатр",IF(S552&lt;Законод!$C$18,0,(IF(AND(S552&gt;=Законод!$F$18,S552&lt;=Законод!$F$19),S552-Законод!$E$19,IF('01_Доходи'!S552&gt;=Законод!$G$18,Законод!$F$20,0)))),IF($B$548="Лікар-терапевт",IF(S552&lt;Законод!$C$26,0,(IF(AND(S552&gt;=Законод!$F$26,S552&lt;=Законод!$F$27),S552-Законод!$E$27,IF('01_Доходи'!S552&gt;=Законод!$G$26,Законод!$F$28,0)))),0)))</f>
        <v>0</v>
      </c>
      <c r="T555" s="942"/>
      <c r="U555" s="935" t="s">
        <v>423</v>
      </c>
      <c r="V555" s="936"/>
      <c r="W555" s="936"/>
      <c r="X555" s="936"/>
      <c r="Y555" s="937"/>
      <c r="Z555" s="196">
        <f ca="1">IF($B$548="Лікар загальної практики - сімейний лікар",IF(Z552&lt;Законод!$C$22,0,(IF(AND(Z552&gt;=Законод!$F$22,Z552&lt;=Законод!$F$23),Z552-Законод!$E$23,IF('01_Доходи'!Z552&gt;=Законод!$G$22,Законод!$F$24,0)))),IF($B$548="Лікар-педіатр",IF(Z552&lt;Законод!$C$18,0,(IF(AND(Z552&gt;=Законод!$F$18,Z552&lt;=Законод!$F$19),Z552-Законод!$E$19,IF('01_Доходи'!Z552&gt;=Законод!$G$18,Законод!$F$20,0)))),IF($B$548="Лікар-терапевт",IF(Z552&lt;Законод!$C$26,0,(IF(AND(Z552&gt;=Законод!$F$26,Z552&lt;=Законод!$F$27),Z552-Законод!$E$27,IF('01_Доходи'!Z552&gt;=Законод!$G$26,Законод!$F$28,0)))),0)))</f>
        <v>0</v>
      </c>
      <c r="AA555" s="942"/>
      <c r="AB555" s="935" t="s">
        <v>423</v>
      </c>
      <c r="AC555" s="936"/>
      <c r="AD555" s="936"/>
      <c r="AE555" s="936"/>
      <c r="AF555" s="937"/>
      <c r="AG555" s="196">
        <f ca="1">IF($B$548="Лікар загальної практики - сімейний лікар",IF(AG552&lt;Законод!$C$22,0,(IF(AND(AG552&gt;=Законод!$F$22,AG552&lt;=Законод!$F$23),AG552-Законод!$E$23,IF('01_Доходи'!AG552&gt;=Законод!$G$22,Законод!$F$24,0)))),IF($B$548="Лікар-педіатр",IF(AG552&lt;Законод!$C$18,0,(IF(AND(AG552&gt;=Законод!$F$18,AG552&lt;=Законод!$F$19),AG552-Законод!$E$19,IF('01_Доходи'!AG552&gt;=Законод!$G$18,Законод!$F$20,0)))),IF($B$548="Лікар-терапевт",IF(AG552&lt;Законод!$C$26,0,(IF(AND(AG552&gt;=Законод!$F$26,AG552&lt;=Законод!$F$27),AG552-Законод!$E$27,IF('01_Доходи'!AG552&gt;=Законод!$G$26,Законод!$F$28,0)))),0)))</f>
        <v>0</v>
      </c>
      <c r="AH555" s="942"/>
      <c r="AI555" s="201"/>
      <c r="AJ555" s="945"/>
      <c r="AK555" s="960"/>
      <c r="AL555" s="960"/>
      <c r="AM555" s="927"/>
      <c r="AN555" s="210">
        <f ca="1">IF(B548="Лікар загальної практики - сімейний лікар",L555*Законод!$C$9/4*Законод!$F$16,IF(B548="Лікар-педіатр",L555*Законод!$C$9/4*Законод!$F$16,IF(B548="Лікар-терапевт",L555*Законод!$C$9/4*Законод!$F$16,0)))</f>
        <v>0</v>
      </c>
      <c r="AO555" s="210">
        <f ca="1">IF(B548="Лікар загальної практики - сімейний лікар",S555*Законод!$C$9/4*Законод!$F$16,IF(B548="Лікар-педіатр",S555*Законод!$C$9/4*Законод!$F$16,IF(B548="Лікар-терапевт",S555*Законод!$C$9/4*Законод!$F$16,0)))</f>
        <v>0</v>
      </c>
      <c r="AP555" s="210">
        <f ca="1">IF(B548="Лікар загальної практики - сімейний лікар",Z555*Законод!$C$9/4*Законод!$F$16,IF(B548="Лікар-педіатр",Z555*Законод!$C$9/4*Законод!$F$16,IF(B548="Лікар-терапевт",Z555*Законод!$C$9/4*Законод!$F$16,0)))</f>
        <v>0</v>
      </c>
      <c r="AQ555" s="210">
        <f ca="1">IF(B548="Лікар загальної практики - сімейний лікар",AG555*Законод!$C$9/4*Законод!$F$16,IF(B548="Лікар-педіатр",AG555*Законод!$C$9/4*Законод!$F$16,IF(B548="Лікар-терапевт",AG555*Законод!$C$9/4*Законод!$F$16,0)))</f>
        <v>0</v>
      </c>
      <c r="AR555" s="211">
        <f t="shared" si="82"/>
        <v>0</v>
      </c>
    </row>
    <row r="556" spans="1:44" s="50" customFormat="1" ht="31.9" hidden="1" customHeight="1">
      <c r="A556" s="197"/>
      <c r="B556" s="951"/>
      <c r="C556" s="954"/>
      <c r="D556" s="957"/>
      <c r="E556" s="939"/>
      <c r="F556" s="238" t="str">
        <f ca="1">IF(B548="Лікар-педіатр",Законод!$G$17,IF(B548="Лікар загальної практики - сімейний лікар",Законод!$G$21,IF(B548="Лікар-терапевт",Законод!$G$25,"х")))</f>
        <v>х</v>
      </c>
      <c r="G556" s="935" t="s">
        <v>423</v>
      </c>
      <c r="H556" s="936"/>
      <c r="I556" s="936"/>
      <c r="J556" s="936"/>
      <c r="K556" s="937"/>
      <c r="L556" s="196">
        <f ca="1">IF($B$548="Лікар загальної практики - сімейний лікар",IF(L552&lt;Законод!$C$22,0,(IF(AND(L552&gt;=Законод!$G$22,L552&lt;=Законод!$G$23),L552-Законод!$F$23,IF('01_Доходи'!L552&gt;=Законод!$H$22,Законод!$G$24,0)))),IF($B$548="Лікар-педіатр",IF(L552&lt;Законод!$C$18,0,(IF(AND(L552&gt;=Законод!$G$18,L552&lt;=Законод!$G$19),L552-Законод!$F$19,IF('01_Доходи'!L552&gt;=Законод!$H$18,Законод!$G$20,0)))),IF($B$548="Лікар-терапевт",IF(L552&lt;Законод!$C$26,0,(IF(AND(L552&gt;=Законод!$G$26,L552&lt;=Законод!$G$27),L552-Законод!$F$27,IF('01_Доходи'!L552&gt;=Законод!$H$26,Законод!$G$28,0)))),0)))</f>
        <v>0</v>
      </c>
      <c r="M556" s="942"/>
      <c r="N556" s="935" t="s">
        <v>423</v>
      </c>
      <c r="O556" s="936"/>
      <c r="P556" s="936"/>
      <c r="Q556" s="936"/>
      <c r="R556" s="937"/>
      <c r="S556" s="196">
        <f ca="1">IF($B$548="Лікар загальної практики - сімейний лікар",IF(S552&lt;Законод!$C$22,0,(IF(AND(S552&gt;=Законод!$G$22,S552&lt;=Законод!$G$23),S552-Законод!$F$23,IF('01_Доходи'!S552&gt;=Законод!$H$22,Законод!$G$24,0)))),IF($B$548="Лікар-педіатр",IF(S552&lt;Законод!$C$18,0,(IF(AND(S552&gt;=Законод!$G$18,S552&lt;=Законод!$G$19),S552-Законод!$F$19,IF('01_Доходи'!S552&gt;=Законод!$H$18,Законод!$G$20,0)))),IF($B$548="Лікар-терапевт",IF(S552&lt;Законод!$C$26,0,(IF(AND(S552&gt;=Законод!$G$26,S552&lt;=Законод!$G$27),S552-Законод!$F$27,IF('01_Доходи'!S552&gt;=Законод!$H$26,Законод!$G$28,0)))),0)))</f>
        <v>0</v>
      </c>
      <c r="T556" s="942"/>
      <c r="U556" s="935" t="s">
        <v>423</v>
      </c>
      <c r="V556" s="936"/>
      <c r="W556" s="936"/>
      <c r="X556" s="936"/>
      <c r="Y556" s="937"/>
      <c r="Z556" s="196">
        <f ca="1">IF($B$548="Лікар загальної практики - сімейний лікар",IF(Z552&lt;Законод!$C$22,0,(IF(AND(Z552&gt;=Законод!$G$22,Z552&lt;=Законод!$G$23),Z552-Законод!$F$23,IF('01_Доходи'!Z552&gt;=Законод!$H$22,Законод!$G$24,0)))),IF($B$548="Лікар-педіатр",IF(Z552&lt;Законод!$C$18,0,(IF(AND(Z552&gt;=Законод!$G$18,Z552&lt;=Законод!$G$19),Z552-Законод!$F$19,IF('01_Доходи'!Z552&gt;=Законод!$H$18,Законод!$G$20,0)))),IF($B$548="Лікар-терапевт",IF(Z552&lt;Законод!$C$26,0,(IF(AND(Z552&gt;=Законод!$G$26,Z552&lt;=Законод!$G$27),Z552-Законод!$F$27,IF('01_Доходи'!Z552&gt;=Законод!$H$26,Законод!$G$28,0)))),0)))</f>
        <v>0</v>
      </c>
      <c r="AA556" s="942"/>
      <c r="AB556" s="935" t="s">
        <v>423</v>
      </c>
      <c r="AC556" s="936"/>
      <c r="AD556" s="936"/>
      <c r="AE556" s="936"/>
      <c r="AF556" s="937"/>
      <c r="AG556" s="196">
        <f ca="1">IF($B$548="Лікар загальної практики - сімейний лікар",IF(AG552&lt;Законод!$C$22,0,(IF(AND(AG552&gt;=Законод!$G$22,AG552&lt;=Законод!$G$23),AG552-Законод!$F$23,IF('01_Доходи'!AG552&gt;=Законод!$H$22,Законод!$G$24,0)))),IF($B$548="Лікар-педіатр",IF(AG552&lt;Законод!$C$18,0,(IF(AND(AG552&gt;=Законод!$G$18,AG552&lt;=Законод!$G$19),AG552-Законод!$F$19,IF('01_Доходи'!AG552&gt;=Законод!$H$18,Законод!$G$20,0)))),IF($B$548="Лікар-терапевт",IF(AG552&lt;Законод!$C$26,0,(IF(AND(AG552&gt;=Законод!$G$26,AG552&lt;=Законод!$G$27),AG552-Законод!$F$27,IF('01_Доходи'!AG552&gt;=Законод!$H$26,Законод!$G$28,0)))),0)))</f>
        <v>0</v>
      </c>
      <c r="AH556" s="942"/>
      <c r="AI556" s="201"/>
      <c r="AJ556" s="945"/>
      <c r="AK556" s="960"/>
      <c r="AL556" s="960"/>
      <c r="AM556" s="927"/>
      <c r="AN556" s="210">
        <f ca="1">IF(B548="Лікар загальної практики - сімейний лікар",L556*Законод!$C$9/4*Законод!$G$16,IF(B548="Лікар-педіатр",L556*Законод!$C$9/4*Законод!$G$16,IF(B548="Лікар-терапевт",L556*Законод!$C$9/4*Законод!$G$16,0)))</f>
        <v>0</v>
      </c>
      <c r="AO556" s="210">
        <f ca="1">IF(B548="Лікар загальної практики - сімейний лікар",S556*Законод!$C$9/4*Законод!$G$16,IF(B548="Лікар-педіатр",S556*Законод!$C$9/4*Законод!$G$16,IF(B548="Лікар-терапевт",S556*Законод!$C$9/4*Законод!$G$16,0)))</f>
        <v>0</v>
      </c>
      <c r="AP556" s="210">
        <f ca="1">IF(B548="Лікар загальної практики - сімейний лікар",Z556*Законод!$C$9/4*Законод!$G$16,IF(B548="Лікар-педіатр",Z556*Законод!$C$9/4*Законод!$G$16,IF(B548="Лікар-терапевт",Z556*Законод!$C$9/4*Законод!$G$16,0)))</f>
        <v>0</v>
      </c>
      <c r="AQ556" s="210">
        <f ca="1">IF(B548="Лікар загальної практики - сімейний лікар",AG556*Законод!$C$9/4*Законод!$G$16,IF(B548="Лікар-педіатр",AG556*Законод!$C$9/4*Законод!$G$16,IF(B548="Лікар-терапевт",AG556*Законод!$C$9/4*Законод!$G$16,0)))</f>
        <v>0</v>
      </c>
      <c r="AR556" s="211">
        <f t="shared" si="82"/>
        <v>0</v>
      </c>
    </row>
    <row r="557" spans="1:44" s="50" customFormat="1" ht="31.9" hidden="1" customHeight="1">
      <c r="A557" s="197"/>
      <c r="B557" s="951"/>
      <c r="C557" s="954"/>
      <c r="D557" s="957"/>
      <c r="E557" s="939"/>
      <c r="F557" s="238" t="str">
        <f ca="1">IF(B548="Лікар-педіатр",Законод!$H$17,IF(B548="Лікар загальної практики - сімейний лікар",Законод!$H$21,IF(B548="Лікар-терапевт",Законод!$H$25,"х")))</f>
        <v>х</v>
      </c>
      <c r="G557" s="935" t="s">
        <v>423</v>
      </c>
      <c r="H557" s="936"/>
      <c r="I557" s="936"/>
      <c r="J557" s="936"/>
      <c r="K557" s="937"/>
      <c r="L557" s="196">
        <f ca="1">IF($B$548="Лікар загальної практики - сімейний лікар",IF(L552&lt;Законод!$C$22,0,(IF(AND(L552&gt;=Законод!$H$22,L552&lt;=Законод!$H$23),L552-Законод!$G$23,IF('01_Доходи'!L552&gt;=Законод!$I$22,Законод!$H$24,0)))),IF($B$548="Лікар-педіатр",IF(L552&lt;Законод!$C$18,0,(IF(AND(L552&gt;=Законод!$H$18,L552&lt;=Законод!$H$19),L552-Законод!$G$19,IF('01_Доходи'!L552&gt;=Законод!$I$18,Законод!$H$20,0)))),IF($B$548="Лікар-терапевт",IF(L552&lt;Законод!$C$26,0,(IF(AND(L552&gt;=Законод!$H$26,L552&lt;=Законод!$H$27),L552-Законод!$G$27,IF(L552&gt;=Законод!$I$26,Законод!$H$28,0)))),0)))</f>
        <v>0</v>
      </c>
      <c r="M557" s="942"/>
      <c r="N557" s="935" t="s">
        <v>423</v>
      </c>
      <c r="O557" s="936"/>
      <c r="P557" s="936"/>
      <c r="Q557" s="936"/>
      <c r="R557" s="937"/>
      <c r="S557" s="196">
        <f ca="1">IF($B$548="Лікар загальної практики - сімейний лікар",IF(S552&lt;Законод!$C$22,0,(IF(AND(S552&gt;=Законод!$H$22,S552&lt;=Законод!$H$23),S552-Законод!$G$23,IF('01_Доходи'!S552&gt;=Законод!$I$22,Законод!$H$24,0)))),IF($B$548="Лікар-педіатр",IF(S552&lt;Законод!$C$18,0,(IF(AND(S552&gt;=Законод!$H$18,S552&lt;=Законод!$H$19),S552-Законод!$G$19,IF('01_Доходи'!S552&gt;=Законод!$I$18,Законод!$H$20,0)))),IF($B$548="Лікар-терапевт",IF(S552&lt;Законод!$C$26,0,(IF(AND(S552&gt;=Законод!$H$26,S552&lt;=Законод!$H$27),S552-Законод!$G$27,IF(S552&gt;=Законод!$I$26,Законод!$H$28,0)))),0)))</f>
        <v>0</v>
      </c>
      <c r="T557" s="942"/>
      <c r="U557" s="935" t="s">
        <v>423</v>
      </c>
      <c r="V557" s="936"/>
      <c r="W557" s="936"/>
      <c r="X557" s="936"/>
      <c r="Y557" s="937"/>
      <c r="Z557" s="196">
        <f ca="1">IF($B$548="Лікар загальної практики - сімейний лікар",IF(Z552&lt;Законод!$C$22,0,(IF(AND(Z552&gt;=Законод!$H$22,Z552&lt;=Законод!$H$23),Z552-Законод!$G$23,IF('01_Доходи'!Z552&gt;=Законод!$I$22,Законод!$H$24,0)))),IF($B$548="Лікар-педіатр",IF(Z552&lt;Законод!$C$18,0,(IF(AND(Z552&gt;=Законод!$H$18,Z552&lt;=Законод!$H$19),Z552-Законод!$G$19,IF('01_Доходи'!Z552&gt;=Законод!$I$18,Законод!$H$20,0)))),IF($B$548="Лікар-терапевт",IF(Z552&lt;Законод!$C$26,0,(IF(AND(Z552&gt;=Законод!$H$26,Z552&lt;=Законод!$H$27),Z552-Законод!$G$27,IF(Z552&gt;=Законод!$I$26,Законод!$H$28,0)))),0)))</f>
        <v>0</v>
      </c>
      <c r="AA557" s="942"/>
      <c r="AB557" s="935" t="s">
        <v>423</v>
      </c>
      <c r="AC557" s="936"/>
      <c r="AD557" s="936"/>
      <c r="AE557" s="936"/>
      <c r="AF557" s="937"/>
      <c r="AG557" s="196">
        <f ca="1">IF($B$548="Лікар загальної практики - сімейний лікар",IF(AG552&lt;Законод!$C$22,0,(IF(AND(AG552&gt;=Законод!$H$22,AG552&lt;=Законод!$H$23),AG552-Законод!$G$23,IF('01_Доходи'!AG552&gt;=Законод!$I$22,Законод!$H$24,0)))),IF($B$548="Лікар-педіатр",IF(AG552&lt;Законод!$C$18,0,(IF(AND(AG552&gt;=Законод!$H$18,AG552&lt;=Законод!$H$19),AG552-Законод!$G$19,IF('01_Доходи'!AG552&gt;=Законод!$I$18,Законод!$H$20,0)))),IF($B$548="Лікар-терапевт",IF(AG552&lt;Законод!$C$26,0,(IF(AND(AG552&gt;=Законод!$H$26,AG552&lt;=Законод!$H$27),AG552-Законод!$G$27,IF(AG552&gt;=Законод!$I$26,Законод!$H$28,0)))),0)))</f>
        <v>0</v>
      </c>
      <c r="AH557" s="942"/>
      <c r="AI557" s="201"/>
      <c r="AJ557" s="945"/>
      <c r="AK557" s="960"/>
      <c r="AL557" s="960"/>
      <c r="AM557" s="927"/>
      <c r="AN557" s="210">
        <f ca="1">IF(B548="Лікар загальної практики - сімейний лікар",L557*Законод!$C$9/4*Законод!$H$16,IF(B548="Лікар-педіатр",L557*Законод!$C$9/4*Законод!$H$16,IF(B548="Лікар-терапевт",L557*Законод!$C$9/4*Законод!$H$16,0)))</f>
        <v>0</v>
      </c>
      <c r="AO557" s="210">
        <f ca="1">IF(B548="Лікар загальної практики - сімейний лікар",S557*Законод!$C$9/4*Законод!$H$16,IF(B548="Лікар-педіатр",S557*Законод!$C$9/4*Законод!$H$16,IF(B548="Лікар-терапевт",S557*Законод!$C$9/4*Законод!$H$16,0)))</f>
        <v>0</v>
      </c>
      <c r="AP557" s="210">
        <f ca="1">IF(B548="Лікар загальної практики - сімейний лікар",Z557*Законод!$C$9/4*Законод!$H$16,IF(B548="Лікар-педіатр",Z557*Законод!$C$9/4*Законод!$H$16,IF(B548="Лікар-терапевт",Z557*Законод!$C$9/4*Законод!$H$16,0)))</f>
        <v>0</v>
      </c>
      <c r="AQ557" s="210">
        <f ca="1">IF(B548="Лікар загальної практики - сімейний лікар",AG557*Законод!$C$9/4*Законод!$H$16,IF(B548="Лікар-педіатр",AG557*Законод!$C$9/4*Законод!$H$16,IF(B548="Лікар-терапевт",AG557*Законод!$C$9/4*Законод!$H$16,0)))</f>
        <v>0</v>
      </c>
      <c r="AR557" s="211">
        <f t="shared" si="82"/>
        <v>0</v>
      </c>
    </row>
    <row r="558" spans="1:44" s="50" customFormat="1" ht="31.9" hidden="1" customHeight="1">
      <c r="A558" s="197"/>
      <c r="B558" s="951"/>
      <c r="C558" s="954"/>
      <c r="D558" s="957"/>
      <c r="E558" s="939"/>
      <c r="F558" s="238" t="str">
        <f ca="1">IF(B548="Лікар-педіатр",Законод!$I$17,IF(B548="Лікар загальної практики - сімейний лікар",Законод!$I$21,IF(B548="Лікар-терапевт",Законод!$I$25,"х")))</f>
        <v>х</v>
      </c>
      <c r="G558" s="935" t="s">
        <v>423</v>
      </c>
      <c r="H558" s="936"/>
      <c r="I558" s="936"/>
      <c r="J558" s="936"/>
      <c r="K558" s="937"/>
      <c r="L558" s="196">
        <f ca="1">IF($B$548="Лікар загальної практики - сімейний лікар",IF(L552&lt;Законод!$C$22,0,(IF(AND(L552&gt;=Законод!$I$22,L552&lt;=Законод!$I$23),L552-Законод!$H$23,IF('01_Доходи'!L552&gt;=Законод!$I$22,Законод!$I$24,0)))),IF($B$548="Лікар-педіатр",IF(L552&lt;Законод!$C$18,0,(IF(AND(L552&gt;=Законод!$I$18,L552&lt;=Законод!$I$19),L552-Законод!$H$19,IF('01_Доходи'!L552&gt;=Законод!$I$18,Законод!$H$20,0)))),IF($B$548="Лікар-терапевт",IF(L552&lt;Законод!$C$26,0,(IF(AND(L552&gt;=Законод!$I$26,L552&lt;=Законод!$I$27),L552-Законод!$H$27,IF('01_Доходи'!L552&gt;=Законод!$I$26,Законод!$H$28,0)))),0)))</f>
        <v>0</v>
      </c>
      <c r="M558" s="942"/>
      <c r="N558" s="935" t="s">
        <v>423</v>
      </c>
      <c r="O558" s="936"/>
      <c r="P558" s="936"/>
      <c r="Q558" s="936"/>
      <c r="R558" s="937"/>
      <c r="S558" s="196">
        <f ca="1">IF($B$548="Лікар загальної практики - сімейний лікар",IF(S552&lt;Законод!$C$22,0,(IF(AND(S552&gt;=Законод!$I$22,S552&lt;=Законод!$I$23),S552-Законод!$H$23,IF('01_Доходи'!S552&gt;=Законод!$I$22,Законод!$I$24,0)))),IF($B$548="Лікар-педіатр",IF(S552&lt;Законод!$C$18,0,(IF(AND(S552&gt;=Законод!$I$18,S552&lt;=Законод!$I$19),S552-Законод!$H$19,IF('01_Доходи'!S552&gt;=Законод!$I$18,Законод!$H$20,0)))),IF($B$548="Лікар-терапевт",IF(S552&lt;Законод!$C$26,0,(IF(AND(S552&gt;=Законод!$I$26,S552&lt;=Законод!$I$27),S552-Законод!$H$27,IF('01_Доходи'!S552&gt;=Законод!$I$26,Законод!$H$28,0)))),0)))</f>
        <v>0</v>
      </c>
      <c r="T558" s="942"/>
      <c r="U558" s="935" t="s">
        <v>423</v>
      </c>
      <c r="V558" s="936"/>
      <c r="W558" s="936"/>
      <c r="X558" s="936"/>
      <c r="Y558" s="937"/>
      <c r="Z558" s="196">
        <f ca="1">IF($B$548="Лікар загальної практики - сімейний лікар",IF(Z552&lt;Законод!$C$22,0,(IF(AND(Z552&gt;=Законод!$I$22,Z552&lt;=Законод!$I$23),Z552-Законод!$H$23,IF('01_Доходи'!Z552&gt;=Законод!$I$22,Законод!$I$24,0)))),IF($B$548="Лікар-педіатр",IF(Z552&lt;Законод!$C$18,0,(IF(AND(Z552&gt;=Законод!$I$18,Z552&lt;=Законод!$I$19),Z552-Законод!$H$19,IF('01_Доходи'!Z552&gt;=Законод!$I$18,Законод!$H$20,0)))),IF($B$548="Лікар-терапевт",IF(Z552&lt;Законод!$C$26,0,(IF(AND(Z552&gt;=Законод!$I$26,Z552&lt;=Законод!$I$27),Z552-Законод!$H$27,IF('01_Доходи'!Z552&gt;=Законод!$I$26,Законод!$H$28,0)))),0)))</f>
        <v>0</v>
      </c>
      <c r="AA558" s="942"/>
      <c r="AB558" s="935" t="s">
        <v>423</v>
      </c>
      <c r="AC558" s="936"/>
      <c r="AD558" s="936"/>
      <c r="AE558" s="936"/>
      <c r="AF558" s="937"/>
      <c r="AG558" s="196">
        <f ca="1">IF($B$548="Лікар загальної практики - сімейний лікар",IF(AG552&lt;Законод!$C$22,0,(IF(AND(AG552&gt;=Законод!$I$22,AG552&lt;=Законод!$I$23),AG552-Законод!$H$23,IF('01_Доходи'!AG552&gt;=Законод!$I$22,Законод!$I$24,0)))),IF($B$548="Лікар-педіатр",IF(AG552&lt;Законод!$C$18,0,(IF(AND(AG552&gt;=Законод!$I$18,AG552&lt;=Законод!$I$19),AG552-Законод!$H$19,IF('01_Доходи'!AG552&gt;=Законод!$I$18,Законод!$H$20,0)))),IF($B$548="Лікар-терапевт",IF(AG552&lt;Законод!$C$26,0,(IF(AND(AG552&gt;=Законод!$I$26,AG552&lt;=Законод!$I$27),AG552-Законод!$H$27,IF('01_Доходи'!AG552&gt;=Законод!$I$26,Законод!$H$28,0)))),0)))</f>
        <v>0</v>
      </c>
      <c r="AH558" s="942"/>
      <c r="AI558" s="201"/>
      <c r="AJ558" s="945"/>
      <c r="AK558" s="960"/>
      <c r="AL558" s="960"/>
      <c r="AM558" s="927"/>
      <c r="AN558" s="210">
        <f ca="1">IF(B548="Лікар загальної практики - сімейний лікар",L558*Законод!$C$9/4*Законод!$I$16,IF(B548="Лікар-педіатр",L558*Законод!$C$9/4*Законод!$I$16,IF(B548="Лікар-терапевт",L558*Законод!$C$9/4*Законод!$I$16,0)))</f>
        <v>0</v>
      </c>
      <c r="AO558" s="210">
        <f ca="1">IF(B548="Лікар загальної практики - сімейний лікар",S558*Законод!$C$9/4*Законод!$I$16,IF(B548="Лікар-педіатр",S558*Законод!$C$9/4*Законод!$I$16,IF(B548="Лікар-терапевт",S558*Законод!$C$9/4*Законод!$I$16,0)))</f>
        <v>0</v>
      </c>
      <c r="AP558" s="210">
        <f ca="1">IF(B548="Лікар загальної практики - сімейний лікар",Z558*Законод!$C$9/4*Законод!$I$16,IF(B548="Лікар-педіатр",Z558*Законод!$C$9/4*Законод!$I$16,IF(B548="Лікар-терапевт",Z558*Законод!$C$9/4*Законод!$I$16,0)))</f>
        <v>0</v>
      </c>
      <c r="AQ558" s="210">
        <f ca="1">IF(B548="Лікар загальної практики - сімейний лікар",AG558*Законод!$C$9/4*Законод!$I$16,IF(B548="Лікар-педіатр",AG558*Законод!$C$9/4*Законод!$I$16,IF(B548="Лікар-терапевт",AG558*Законод!$C$9/4*Законод!$I$16,0)))</f>
        <v>0</v>
      </c>
      <c r="AR558" s="211">
        <f t="shared" si="82"/>
        <v>0</v>
      </c>
    </row>
    <row r="559" spans="1:44" s="218" customFormat="1" ht="31.9" hidden="1" customHeight="1" thickBot="1">
      <c r="A559" s="213"/>
      <c r="B559" s="952"/>
      <c r="C559" s="955"/>
      <c r="D559" s="958"/>
      <c r="E559" s="940"/>
      <c r="F559" s="239" t="str">
        <f ca="1">IF(B548="Лікар-педіатр",Законод!$J$17,IF(B548="Лікар загальної практики - сімейний лікар",Законод!$J$21,IF(B548="Лікар-терапевт",Законод!$J$25,"х")))</f>
        <v>х</v>
      </c>
      <c r="G559" s="932" t="s">
        <v>423</v>
      </c>
      <c r="H559" s="933"/>
      <c r="I559" s="933"/>
      <c r="J559" s="933"/>
      <c r="K559" s="934"/>
      <c r="L559" s="196">
        <f ca="1">IF($B$548="Лікар загальної практики - сімейний лікар",IF(L552&gt;=Законод!$J$22,'01_Доходи'!L552-('01_Доходи'!L553+'01_Доходи'!L554+'01_Доходи'!L555+'01_Доходи'!L556+'01_Доходи'!L557+'01_Доходи'!L558),0),IF($B$548="Лікар-педіатр",IF(L552&gt;=Законод!$J$18,'01_Доходи'!L552-('01_Доходи'!L553+'01_Доходи'!L554+'01_Доходи'!L555+'01_Доходи'!L556+'01_Доходи'!L557+'01_Доходи'!L558),0),IF($B$548="Лікар-терапевт",IF('01_Доходи'!L552&gt;=Законод!$J$26,L552-Законод!$I$27,0),0)))</f>
        <v>0</v>
      </c>
      <c r="M559" s="943"/>
      <c r="N559" s="932" t="s">
        <v>423</v>
      </c>
      <c r="O559" s="933"/>
      <c r="P559" s="933"/>
      <c r="Q559" s="933"/>
      <c r="R559" s="934"/>
      <c r="S559" s="196">
        <f ca="1">IF($B$548="Лікар загальної практики - сімейний лікар",IF(S552&gt;=Законод!$J$22,'01_Доходи'!S552-('01_Доходи'!S553+'01_Доходи'!S554+'01_Доходи'!S555+'01_Доходи'!S556+'01_Доходи'!S557+'01_Доходи'!S558),0),IF($B$548="Лікар-педіатр",IF(S552&gt;=Законод!$J$18,'01_Доходи'!S552-('01_Доходи'!S553+'01_Доходи'!S554+'01_Доходи'!S555+'01_Доходи'!S556+'01_Доходи'!S557+'01_Доходи'!S558),0),IF($B$548="Лікар-терапевт",IF('01_Доходи'!S552&gt;=Законод!$J$26,S552-Законод!$I$27,0),0)))</f>
        <v>0</v>
      </c>
      <c r="T559" s="943"/>
      <c r="U559" s="932" t="s">
        <v>423</v>
      </c>
      <c r="V559" s="933"/>
      <c r="W559" s="933"/>
      <c r="X559" s="933"/>
      <c r="Y559" s="934"/>
      <c r="Z559" s="196">
        <f ca="1">IF($B$548="Лікар загальної практики - сімейний лікар",IF(Z552&gt;=Законод!$J$22,'01_Доходи'!Z552-('01_Доходи'!Z553+'01_Доходи'!Z554+'01_Доходи'!Z555+'01_Доходи'!Z556+'01_Доходи'!Z557+'01_Доходи'!Z558),0),IF($B$548="Лікар-педіатр",IF(Z552&gt;=Законод!$J$18,'01_Доходи'!Z552-('01_Доходи'!Z553+'01_Доходи'!Z554+'01_Доходи'!Z555+'01_Доходи'!Z556+'01_Доходи'!Z557+'01_Доходи'!Z558),0),IF($B$548="Лікар-терапевт",IF('01_Доходи'!Z552&gt;=Законод!$J$26,Z552-Законод!$I$27,0),0)))</f>
        <v>0</v>
      </c>
      <c r="AA559" s="943"/>
      <c r="AB559" s="932" t="s">
        <v>423</v>
      </c>
      <c r="AC559" s="933"/>
      <c r="AD559" s="933"/>
      <c r="AE559" s="933"/>
      <c r="AF559" s="934"/>
      <c r="AG559" s="196">
        <f ca="1">IF($B$548="Лікар загальної практики - сімейний лікар",IF(AG552&gt;=Законод!$J$22,'01_Доходи'!AG552-('01_Доходи'!AG553+'01_Доходи'!AG554+'01_Доходи'!AG555+'01_Доходи'!AG556+'01_Доходи'!AG557+'01_Доходи'!AG558),0),IF($B$548="Лікар-педіатр",IF(AG552&gt;=Законод!$J$18,'01_Доходи'!AG552-('01_Доходи'!AG553+'01_Доходи'!AG554+'01_Доходи'!AG555+'01_Доходи'!AG556+'01_Доходи'!AG557+'01_Доходи'!AG558),0),IF($B$548="Лікар-терапевт",IF('01_Доходи'!AG552&gt;=Законод!$J$26,AG552-Законод!$I$27,0),0)))</f>
        <v>0</v>
      </c>
      <c r="AH559" s="943"/>
      <c r="AI559" s="215"/>
      <c r="AJ559" s="946"/>
      <c r="AK559" s="961"/>
      <c r="AL559" s="961"/>
      <c r="AM559" s="928"/>
      <c r="AN559" s="216">
        <f ca="1">IF(B548="Лікар загальної практики - сімейний лікар",L559*Законод!$C$9/4*Законод!$J$16,IF(B548="Лікар-педіатр",L559*Законод!$C$9/4*Законод!$J$16,IF(B548="Лікар-терапевт",L559*Законод!$C$9/4*Законод!$J$16,0)))</f>
        <v>0</v>
      </c>
      <c r="AO559" s="216">
        <f ca="1">IF(B548="Лікар загальної практики - сімейний лікар",S559*Законод!$C$9/4*Законод!$J$16,IF(B548="Лікар-педіатр",S559*Законод!$C$9/4*Законод!$J$16,IF(B548="Лікар-терапевт",S559*Законод!$C$9/4*Законод!$J$16,0)))</f>
        <v>0</v>
      </c>
      <c r="AP559" s="216">
        <f ca="1">IF(B548="Лікар загальної практики - сімейний лікар",S559*Законод!$C$9/4*Законод!$J$16,IF(B548="Лікар-педіатр",S559*Законод!$C$9/4*Законод!$J$16,IF(B548="Лікар-терапевт",S559*Законод!$C$9/4*Законод!$J$16,0)))</f>
        <v>0</v>
      </c>
      <c r="AQ559" s="216">
        <f ca="1">IF(B548="Лікар загальної практики - сімейний лікар",AG559*Законод!$C$9/4*Законод!$J$16,IF(B548="Лікар-педіатр",AG559*Законод!$C$9/4*Законод!$J$16,IF(B548="Лікар-терапевт",AG559*Законод!$C$9/4*Законод!$J$16,0)))</f>
        <v>0</v>
      </c>
      <c r="AR559" s="217">
        <f t="shared" si="82"/>
        <v>0</v>
      </c>
    </row>
    <row r="560" spans="1:44" s="247" customFormat="1" ht="23.45" hidden="1" customHeight="1" thickBot="1">
      <c r="A560" s="243"/>
      <c r="B560" s="244"/>
      <c r="C560" s="244"/>
      <c r="D560" s="244"/>
      <c r="E560" s="244"/>
      <c r="F560" s="245"/>
      <c r="G560" s="246"/>
      <c r="H560" s="246"/>
      <c r="L560" s="248"/>
      <c r="S560" s="248"/>
      <c r="Z560" s="248"/>
      <c r="AG560" s="248"/>
      <c r="AM560" s="249"/>
      <c r="AR560" s="250"/>
    </row>
    <row r="561" spans="1:44" s="191" customFormat="1" ht="24.6" hidden="1" customHeight="1">
      <c r="A561" s="194">
        <f>A548+1</f>
        <v>41</v>
      </c>
      <c r="B561" s="950"/>
      <c r="C561" s="953"/>
      <c r="D561" s="956"/>
      <c r="E561" s="938"/>
      <c r="F561" s="234" t="s">
        <v>659</v>
      </c>
      <c r="G561" s="196">
        <f>IF($B$561="Лікар-педіатр",G564*L561,IF($B$561="Лікар-терапевт","х",IF($B$561="Лікар загальної практики - сімейний лікар",G564*L561,0)))</f>
        <v>0</v>
      </c>
      <c r="H561" s="196">
        <f>IF($B$561="Лікар-педіатр",H564*L561,IF($B$561="Лікар-терапевт","х",IF($B$561="Лікар загальної практики - сімейний лікар",H564*L561,0)))</f>
        <v>0</v>
      </c>
      <c r="I561" s="196">
        <f>IF($B$561="Лікар-педіатр","x",IF($B$561="Лікар-терапевт",I564*L561,IF($B$561="Лікар загальної практики - сімейний лікар",I564*L561,0)))</f>
        <v>0</v>
      </c>
      <c r="J561" s="196">
        <f>IF($B$561="Лікар-педіатр","x",IF($B$561="Лікар-терапевт",J564*L561,IF($B$561="Лікар загальної практики - сімейний лікар",J564*L561,0)))</f>
        <v>0</v>
      </c>
      <c r="K561" s="196">
        <f>IF($B$561="Лікар-педіатр","x",IF($B$561="Лікар-терапевт",K564*L561,IF($B$561="Лікар загальної практики - сімейний лікар",K564*L561,0)))</f>
        <v>0</v>
      </c>
      <c r="L561" s="557"/>
      <c r="M561" s="941"/>
      <c r="N561" s="196">
        <f>IF($B$561="Лікар-педіатр",N564*S561,IF($B$561="Лікар-терапевт","х",IF($B$561="Лікар загальної практики - сімейний лікар",N564*S561,0)))</f>
        <v>0</v>
      </c>
      <c r="O561" s="196">
        <f>IF($B$561="Лікар-педіатр",O564*S561,IF($B$561="Лікар-терапевт","х",IF($B$561="Лікар загальної практики - сімейний лікар",O564*S561,0)))</f>
        <v>0</v>
      </c>
      <c r="P561" s="196">
        <f>IF($B$561="Лікар-педіатр","x",IF($B$561="Лікар-терапевт",P564*S561,IF($B$561="Лікар загальної практики - сімейний лікар",P564*S561,0)))</f>
        <v>0</v>
      </c>
      <c r="Q561" s="196">
        <f>IF($B$561="Лікар-педіатр","x",IF($B$561="Лікар-терапевт",Q564*S561,IF($B$561="Лікар загальної практики - сімейний лікар",Q564*S561,0)))</f>
        <v>0</v>
      </c>
      <c r="R561" s="196">
        <f>IF($B$561="Лікар-педіатр","x",IF($B$561="Лікар-терапевт",R564*S561,IF($B$561="Лікар загальної практики - сімейний лікар",R564*S561,0)))</f>
        <v>0</v>
      </c>
      <c r="S561" s="557"/>
      <c r="T561" s="941"/>
      <c r="U561" s="196">
        <f>IF($B$561="Лікар-педіатр",U564*Z561,IF($B$561="Лікар-терапевт","х",IF($B$561="Лікар загальної практики - сімейний лікар",U564*Z561,0)))</f>
        <v>0</v>
      </c>
      <c r="V561" s="196">
        <f>IF($B$561="Лікар-педіатр",V564*Z561,IF($B$561="Лікар-терапевт","х",IF($B$561="Лікар загальної практики - сімейний лікар",V564*Z561,0)))</f>
        <v>0</v>
      </c>
      <c r="W561" s="196">
        <f>IF($B$561="Лікар-педіатр","x",IF($B$561="Лікар-терапевт",W564*Z561,IF($B$561="Лікар загальної практики - сімейний лікар",W564*Z561,0)))</f>
        <v>0</v>
      </c>
      <c r="X561" s="196">
        <f>IF($B$561="Лікар-педіатр","x",IF($B$561="Лікар-терапевт",X564*Z561,IF($B$561="Лікар загальної практики - сімейний лікар",X564*Z561,0)))</f>
        <v>0</v>
      </c>
      <c r="Y561" s="196">
        <f>IF($B$561="Лікар-педіатр","x",IF($B$561="Лікар-терапевт",Y564*Z561,IF($B$561="Лікар загальної практики - сімейний лікар",Y564*Z561,0)))</f>
        <v>0</v>
      </c>
      <c r="Z561" s="557"/>
      <c r="AA561" s="941"/>
      <c r="AB561" s="196">
        <f>IF($B$561="Лікар-педіатр",AB564*AG561,IF($B$561="Лікар-терапевт","х",IF($B$561="Лікар загальної практики - сімейний лікар",AB564*AG561,0)))</f>
        <v>0</v>
      </c>
      <c r="AC561" s="196">
        <f>IF($B$561="Лікар-педіатр",AC564*AG561,IF($B$561="Лікар-терапевт","х",IF($B$561="Лікар загальної практики - сімейний лікар",AC564*AG561,0)))</f>
        <v>0</v>
      </c>
      <c r="AD561" s="196">
        <f>IF($B$561="Лікар-педіатр","x",IF($B$561="Лікар-терапевт",AD564*AG561,IF($B$561="Лікар загальної практики - сімейний лікар",AD564*AG561,0)))</f>
        <v>0</v>
      </c>
      <c r="AE561" s="196">
        <f>IF($B$561="Лікар-педіатр","x",IF($B$561="Лікар-терапевт",AE564*AG561,IF($B$561="Лікар загальної практики - сімейний лікар",AE564*AG561,0)))</f>
        <v>0</v>
      </c>
      <c r="AF561" s="196">
        <f>IF($B$561="Лікар-педіатр","x",IF($B$561="Лікар-терапевт",AF564*AG561,IF($B$561="Лікар загальної практики - сімейний лікар",AF564*AG561,0)))</f>
        <v>0</v>
      </c>
      <c r="AG561" s="557"/>
      <c r="AH561" s="941"/>
      <c r="AI561" s="540">
        <f>A561</f>
        <v>41</v>
      </c>
      <c r="AJ561" s="944">
        <f>B561</f>
        <v>0</v>
      </c>
      <c r="AK561" s="959">
        <f>C561</f>
        <v>0</v>
      </c>
      <c r="AL561" s="959">
        <f>D561</f>
        <v>0</v>
      </c>
      <c r="AM561" s="929" t="s">
        <v>79</v>
      </c>
      <c r="AN561" s="947">
        <f>SUM(AN566:AN572)</f>
        <v>0</v>
      </c>
      <c r="AO561" s="947">
        <f>SUM(AO566:AO572)</f>
        <v>0</v>
      </c>
      <c r="AP561" s="947">
        <f>SUM(AP566:AP572)</f>
        <v>0</v>
      </c>
      <c r="AQ561" s="947">
        <f>SUM(AQ566:AQ572)</f>
        <v>0</v>
      </c>
      <c r="AR561" s="962">
        <f>SUM(AN561:AQ565)</f>
        <v>0</v>
      </c>
    </row>
    <row r="562" spans="1:44" s="50" customFormat="1" ht="28.15" hidden="1" customHeight="1">
      <c r="A562" s="197"/>
      <c r="B562" s="951"/>
      <c r="C562" s="954"/>
      <c r="D562" s="957"/>
      <c r="E562" s="939"/>
      <c r="F562" s="234" t="s">
        <v>660</v>
      </c>
      <c r="G562" s="196">
        <f>IF($B$561="Лікар-педіатр",G564*L562,IF($B$561="Лікар-терапевт","х",IF($B$561="Лікар загальної практики - сімейний лікар",G564*L562,0)))</f>
        <v>0</v>
      </c>
      <c r="H562" s="196">
        <f>IF($B$561="Лікар-педіатр",H564*L562,IF($B$561="Лікар-терапевт","х",IF($B$561="Лікар загальної практики - сімейний лікар",H564*L562,0)))</f>
        <v>0</v>
      </c>
      <c r="I562" s="196">
        <f>IF($B$561="Лікар-педіатр","x",IF($B$561="Лікар-терапевт",I564*L562,IF($B$561="Лікар загальної практики - сімейний лікар",I564*L562,0)))</f>
        <v>0</v>
      </c>
      <c r="J562" s="196">
        <f>IF($B$561="Лікар-педіатр","x",IF($B$561="Лікар-терапевт",J564*L562,IF($B$561="Лікар загальної практики - сімейний лікар",J564*L562,0)))</f>
        <v>0</v>
      </c>
      <c r="K562" s="196">
        <f>IF($B$561="Лікар-педіатр","x",IF($B$561="Лікар-терапевт",K564*L562,IF($B$561="Лікар загальної практики - сімейний лікар",K564*L562,0)))</f>
        <v>0</v>
      </c>
      <c r="L562" s="557"/>
      <c r="M562" s="942"/>
      <c r="N562" s="196">
        <f>IF($B$561="Лікар-педіатр",N564*S562,IF($B$561="Лікар-терапевт","х",IF($B$561="Лікар загальної практики - сімейний лікар",N564*S562,0)))</f>
        <v>0</v>
      </c>
      <c r="O562" s="196">
        <f>IF($B$561="Лікар-педіатр",O564*S562,IF($B$561="Лікар-терапевт","х",IF($B$561="Лікар загальної практики - сімейний лікар",O564*S562,0)))</f>
        <v>0</v>
      </c>
      <c r="P562" s="196">
        <f>IF($B$561="Лікар-педіатр","x",IF($B$561="Лікар-терапевт",P564*S562,IF($B$561="Лікар загальної практики - сімейний лікар",P564*S562,0)))</f>
        <v>0</v>
      </c>
      <c r="Q562" s="196">
        <f>IF($B$561="Лікар-педіатр","x",IF($B$561="Лікар-терапевт",Q564*S562,IF($B$561="Лікар загальної практики - сімейний лікар",Q564*S562,0)))</f>
        <v>0</v>
      </c>
      <c r="R562" s="196">
        <f>IF($B$561="Лікар-педіатр","x",IF($B$561="Лікар-терапевт",R564*S562,IF($B$561="Лікар загальної практики - сімейний лікар",R564*S562,0)))</f>
        <v>0</v>
      </c>
      <c r="S562" s="557"/>
      <c r="T562" s="942"/>
      <c r="U562" s="196">
        <f>IF($B$561="Лікар-педіатр",U564*Z562,IF($B$561="Лікар-терапевт","х",IF($B$561="Лікар загальної практики - сімейний лікар",U564*Z562,0)))</f>
        <v>0</v>
      </c>
      <c r="V562" s="196">
        <f>IF($B$561="Лікар-педіатр",V564*Z562,IF($B$561="Лікар-терапевт","х",IF($B$561="Лікар загальної практики - сімейний лікар",V564*Z562,0)))</f>
        <v>0</v>
      </c>
      <c r="W562" s="196">
        <f>IF($B$561="Лікар-педіатр","x",IF($B$561="Лікар-терапевт",W564*Z562,IF($B$561="Лікар загальної практики - сімейний лікар",W564*Z562,0)))</f>
        <v>0</v>
      </c>
      <c r="X562" s="196">
        <f>IF($B$561="Лікар-педіатр","x",IF($B$561="Лікар-терапевт",X564*Z562,IF($B$561="Лікар загальної практики - сімейний лікар",X564*Z562,0)))</f>
        <v>0</v>
      </c>
      <c r="Y562" s="196">
        <f>IF($B$561="Лікар-педіатр","x",IF($B$561="Лікар-терапевт",Y564*Z562,IF($B$561="Лікар загальної практики - сімейний лікар",Y564*Z562,0)))</f>
        <v>0</v>
      </c>
      <c r="Z562" s="557"/>
      <c r="AA562" s="942"/>
      <c r="AB562" s="196">
        <f>IF($B$561="Лікар-педіатр",AB564*AG562,IF($B$561="Лікар-терапевт","х",IF($B$561="Лікар загальної практики - сімейний лікар",AB564*AG562,0)))</f>
        <v>0</v>
      </c>
      <c r="AC562" s="196">
        <f>IF($B$561="Лікар-педіатр",AC564*AG562,IF($B$561="Лікар-терапевт","х",IF($B$561="Лікар загальної практики - сімейний лікар",AC564*AG562,0)))</f>
        <v>0</v>
      </c>
      <c r="AD562" s="196">
        <f>IF($B$561="Лікар-педіатр","x",IF($B$561="Лікар-терапевт",AD564*AG562,IF($B$561="Лікар загальної практики - сімейний лікар",AD564*AG562,0)))</f>
        <v>0</v>
      </c>
      <c r="AE562" s="196">
        <f>IF($B$561="Лікар-педіатр","x",IF($B$561="Лікар-терапевт",AE564*AG562,IF($B$561="Лікар загальної практики - сімейний лікар",AE564*AG562,0)))</f>
        <v>0</v>
      </c>
      <c r="AF562" s="196">
        <f>IF($B$561="Лікар-педіатр","x",IF($B$561="Лікар-терапевт",AF564*AG562,IF($B$561="Лікар загальної практики - сімейний лікар",AF564*AG562,0)))</f>
        <v>0</v>
      </c>
      <c r="AG562" s="557"/>
      <c r="AH562" s="942"/>
      <c r="AI562" s="198"/>
      <c r="AJ562" s="945"/>
      <c r="AK562" s="960"/>
      <c r="AL562" s="960"/>
      <c r="AM562" s="930"/>
      <c r="AN562" s="948"/>
      <c r="AO562" s="948"/>
      <c r="AP562" s="948"/>
      <c r="AQ562" s="948"/>
      <c r="AR562" s="963"/>
    </row>
    <row r="563" spans="1:44" s="90" customFormat="1" ht="31.15" hidden="1" customHeight="1">
      <c r="A563" s="240"/>
      <c r="B563" s="951"/>
      <c r="C563" s="954"/>
      <c r="D563" s="957"/>
      <c r="E563" s="939"/>
      <c r="F563" s="241" t="s">
        <v>661</v>
      </c>
      <c r="G563" s="199">
        <f>IF(B561="Лікар загальної практики - сімейний лікар"," ",IF(B561="Лікар-педіатр"," ",IF(B561="Лікар-терапевт","х",0)))</f>
        <v>0</v>
      </c>
      <c r="H563" s="199">
        <f>IF(B561="Лікар загальної практики - сімейний лікар"," ",IF(B561="Лікар-педіатр"," ",IF(B561="Лікар-терапевт","х",0)))</f>
        <v>0</v>
      </c>
      <c r="I563" s="199">
        <f>IF(B561="Лікар загальної практики - сімейний лікар"," ",IF(B561="Лікар-педіатр","х",IF(B561="Лікар-терапевт"," ",0)))</f>
        <v>0</v>
      </c>
      <c r="J563" s="199">
        <f>IF(B561="Лікар загальної практики - сімейний лікар"," ",IF(B561="Лікар-педіатр","х",IF(B561="Лікар-терапевт"," ",0)))</f>
        <v>0</v>
      </c>
      <c r="K563" s="199">
        <f>IF(B561="Лікар загальної практики - сімейний лікар"," ",IF(B561="Лікар-педіатр","х",IF(B561="Лікар-терапевт"," ",0)))</f>
        <v>0</v>
      </c>
      <c r="L563" s="200">
        <f>SUM(G563:K563)</f>
        <v>0</v>
      </c>
      <c r="M563" s="942"/>
      <c r="N563" s="199">
        <f>IF(B561="Лікар загальної практики - сімейний лікар"," ",IF(B561="Лікар-педіатр"," ",IF(B561="Лікар-терапевт","х",0)))</f>
        <v>0</v>
      </c>
      <c r="O563" s="199">
        <f>IF(B561="Лікар загальної практики - сімейний лікар"," ",IF(B561="Лікар-педіатр"," ",IF(B561="Лікар-терапевт","х",0)))</f>
        <v>0</v>
      </c>
      <c r="P563" s="199">
        <f>IF(B561="Лікар загальної практики - сімейний лікар"," ",IF(B561="Лікар-педіатр","х",IF(B561="Лікар-терапевт"," ",0)))</f>
        <v>0</v>
      </c>
      <c r="Q563" s="199">
        <f>IF(B561="Лікар загальної практики - сімейний лікар"," ",IF(B561="Лікар-педіатр","х",IF(B561="Лікар-терапевт"," ",0)))</f>
        <v>0</v>
      </c>
      <c r="R563" s="199">
        <f>IF(B561="Лікар загальної практики - сімейний лікар"," ",IF(B561="Лікар-педіатр","х",IF(B561="Лікар-терапевт"," ",0)))</f>
        <v>0</v>
      </c>
      <c r="S563" s="200">
        <f>SUM(N563:R563)</f>
        <v>0</v>
      </c>
      <c r="T563" s="942"/>
      <c r="U563" s="199">
        <f>IF(B561="Лікар загальної практики - сімейний лікар"," ",IF(B561="Лікар-педіатр"," ",IF(B561="Лікар-терапевт","х",0)))</f>
        <v>0</v>
      </c>
      <c r="V563" s="199">
        <f>IF(B561="Лікар загальної практики - сімейний лікар"," ",IF(B561="Лікар-педіатр"," ",IF(B561="Лікар-терапевт","х",0)))</f>
        <v>0</v>
      </c>
      <c r="W563" s="199">
        <f>IF(B561="Лікар загальної практики - сімейний лікар"," ",IF(B561="Лікар-педіатр","х",IF(B561="Лікар-терапевт"," ",0)))</f>
        <v>0</v>
      </c>
      <c r="X563" s="199">
        <f>IF(B561="Лікар загальної практики - сімейний лікар"," ",IF(B561="Лікар-педіатр","х",IF(B561="Лікар-терапевт"," ",0)))</f>
        <v>0</v>
      </c>
      <c r="Y563" s="199">
        <f>IF(B561="Лікар загальної практики - сімейний лікар"," ",IF(B561="Лікар-педіатр","х",IF(B561="Лікар-терапевт"," ",0)))</f>
        <v>0</v>
      </c>
      <c r="Z563" s="200">
        <f>SUM(U563:Y563)</f>
        <v>0</v>
      </c>
      <c r="AA563" s="942"/>
      <c r="AB563" s="199">
        <f>IF(B561="Лікар загальної практики - сімейний лікар"," ",IF(B561="Лікар-педіатр"," ",IF(B561="Лікар-терапевт","х",0)))</f>
        <v>0</v>
      </c>
      <c r="AC563" s="199">
        <f>IF(B561="Лікар загальної практики - сімейний лікар"," ",IF(B561="Лікар-педіатр"," ",IF(B561="Лікар-терапевт","х",0)))</f>
        <v>0</v>
      </c>
      <c r="AD563" s="199">
        <f>IF(B561="Лікар загальної практики - сімейний лікар"," ",IF(B561="Лікар-педіатр","х",IF(B561="Лікар-терапевт"," ",0)))</f>
        <v>0</v>
      </c>
      <c r="AE563" s="199">
        <f>IF(B561="Лікар загальної практики - сімейний лікар"," ",IF(B561="Лікар-педіатр","х",IF(B561="Лікар-терапевт"," ",0)))</f>
        <v>0</v>
      </c>
      <c r="AF563" s="199">
        <f>IF(B561="Лікар загальної практики - сімейний лікар"," ",IF(B561="Лікар-педіатр","х",IF(B561="Лікар-терапевт"," ",0)))</f>
        <v>0</v>
      </c>
      <c r="AG563" s="200">
        <f>SUM(AB563:AF563)</f>
        <v>0</v>
      </c>
      <c r="AH563" s="942"/>
      <c r="AI563" s="242"/>
      <c r="AJ563" s="945"/>
      <c r="AK563" s="960"/>
      <c r="AL563" s="960"/>
      <c r="AM563" s="930"/>
      <c r="AN563" s="948"/>
      <c r="AO563" s="948"/>
      <c r="AP563" s="948"/>
      <c r="AQ563" s="948"/>
      <c r="AR563" s="963"/>
    </row>
    <row r="564" spans="1:44" s="50" customFormat="1" ht="31.9" hidden="1" customHeight="1" thickBot="1">
      <c r="A564" s="197"/>
      <c r="B564" s="951"/>
      <c r="C564" s="954"/>
      <c r="D564" s="957"/>
      <c r="E564" s="939"/>
      <c r="F564" s="236" t="s">
        <v>426</v>
      </c>
      <c r="G564" s="203">
        <f>IF($B$561="Лікар-педіатр",G563/L563,IF($B$561="Лікар-терапевт","х",IF($B$561="Лікар загальної практики - сімейний лікар",G563/L563,0)))</f>
        <v>0</v>
      </c>
      <c r="H564" s="203">
        <f>IF($B$561="Лікар-педіатр",H563/L563,IF($B$561="Лікар-терапевт","х",IF($B$561="Лікар загальної практики - сімейний лікар",H563/L563,0)))</f>
        <v>0</v>
      </c>
      <c r="I564" s="203">
        <f>IF($B$561="Лікар-педіатр","x",IF($B$561="Лікар-терапевт",I563/L563,IF($B$561="Лікар загальної практики - сімейний лікар",I563/L563,0)))</f>
        <v>0</v>
      </c>
      <c r="J564" s="203">
        <f>IF($B$561="Лікар-педіатр","x",IF($B$561="Лікар-терапевт",J563/L563,IF($B$561="Лікар загальної практики - сімейний лікар",J563/L563,0)))</f>
        <v>0</v>
      </c>
      <c r="K564" s="203">
        <f>IF($B$561="Лікар-педіатр","x",IF($B$561="Лікар-терапевт",K563/L563,IF($B$561="Лікар загальної практики - сімейний лікар",K563/L563,0)))</f>
        <v>0</v>
      </c>
      <c r="L564" s="203">
        <f>SUM(G564:K564)</f>
        <v>0</v>
      </c>
      <c r="M564" s="942"/>
      <c r="N564" s="203">
        <f>IF($B$561="Лікар-педіатр",N563/S563,IF($B$561="Лікар-терапевт","х",IF($B$561="Лікар загальної практики - сімейний лікар",N563/S563,0)))</f>
        <v>0</v>
      </c>
      <c r="O564" s="203">
        <f>IF($B$561="Лікар-педіатр",O563/S563,IF($B$561="Лікар-терапевт","х",IF($B$561="Лікар загальної практики - сімейний лікар",O563/S563,0)))</f>
        <v>0</v>
      </c>
      <c r="P564" s="203">
        <f>IF($B$561="Лікар-педіатр","x",IF($B$561="Лікар-терапевт",P563/S563,IF($B$561="Лікар загальної практики - сімейний лікар",P563/S563,0)))</f>
        <v>0</v>
      </c>
      <c r="Q564" s="203">
        <f>IF($B$561="Лікар-педіатр","x",IF($B$561="Лікар-терапевт",Q563/S563,IF($B$561="Лікар загальної практики - сімейний лікар",Q563/S563,0)))</f>
        <v>0</v>
      </c>
      <c r="R564" s="203">
        <f>IF($B$561="Лікар-педіатр","x",IF($B$561="Лікар-терапевт",R563/S563,IF($B$561="Лікар загальної практики - сімейний лікар",R563/S563,0)))</f>
        <v>0</v>
      </c>
      <c r="S564" s="203">
        <f>SUM(N564:R564)</f>
        <v>0</v>
      </c>
      <c r="T564" s="942"/>
      <c r="U564" s="203">
        <f>IF($B$561="Лікар-педіатр",U563/Z563,IF($B$561="Лікар-терапевт","х",IF($B$561="Лікар загальної практики - сімейний лікар",U563/Z563,0)))</f>
        <v>0</v>
      </c>
      <c r="V564" s="203">
        <f>IF($B$561="Лікар-педіатр",V563/Z563,IF($B$561="Лікар-терапевт","х",IF($B$561="Лікар загальної практики - сімейний лікар",V563/Z563,0)))</f>
        <v>0</v>
      </c>
      <c r="W564" s="203">
        <f>IF($B$561="Лікар-педіатр","x",IF($B$561="Лікар-терапевт",W563/Z563,IF($B$561="Лікар загальної практики - сімейний лікар",W563/Z563,0)))</f>
        <v>0</v>
      </c>
      <c r="X564" s="203">
        <f>IF($B$561="Лікар-педіатр","x",IF($B$561="Лікар-терапевт",X563/Z563,IF($B$561="Лікар загальної практики - сімейний лікар",X563/Z563,0)))</f>
        <v>0</v>
      </c>
      <c r="Y564" s="203">
        <f>IF($B$561="Лікар-педіатр","x",IF($B$561="Лікар-терапевт",Y563/Z563,IF($B$561="Лікар загальної практики - сімейний лікар",Y563/Z563,0)))</f>
        <v>0</v>
      </c>
      <c r="Z564" s="203">
        <f>SUM(U564:Y564)</f>
        <v>0</v>
      </c>
      <c r="AA564" s="942"/>
      <c r="AB564" s="203">
        <f>IF($B$561="Лікар-педіатр",AB563/AG563,IF($B$561="Лікар-терапевт","х",IF($B$561="Лікар загальної практики - сімейний лікар",AB563/AG563,0)))</f>
        <v>0</v>
      </c>
      <c r="AC564" s="203">
        <f>IF($B$561="Лікар-педіатр",AC563/AG563,IF($B$561="Лікар-терапевт","х",IF($B$561="Лікар загальної практики - сімейний лікар",AC563/AG563,0)))</f>
        <v>0</v>
      </c>
      <c r="AD564" s="203">
        <f>IF($B$561="Лікар-педіатр","x",IF($B$561="Лікар-терапевт",AD563/AG563,IF($B$561="Лікар загальної практики - сімейний лікар",AD563/AG563,0)))</f>
        <v>0</v>
      </c>
      <c r="AE564" s="203">
        <f>IF($B$561="Лікар-педіатр","x",IF($B$561="Лікар-терапевт",AE563/AG563,IF($B$561="Лікар загальної практики - сімейний лікар",AE563/AG563,0)))</f>
        <v>0</v>
      </c>
      <c r="AF564" s="203">
        <f>IF($B$561="Лікар-педіатр","x",IF($B$561="Лікар-терапевт",AF563/AG563,IF($B$561="Лікар загальної практики - сімейний лікар",AF563/AG563,0)))</f>
        <v>0</v>
      </c>
      <c r="AG564" s="203">
        <f>SUM(AB564:AF564)</f>
        <v>0</v>
      </c>
      <c r="AH564" s="942"/>
      <c r="AI564" s="201"/>
      <c r="AJ564" s="945"/>
      <c r="AK564" s="960"/>
      <c r="AL564" s="960"/>
      <c r="AM564" s="930"/>
      <c r="AN564" s="948"/>
      <c r="AO564" s="948"/>
      <c r="AP564" s="948"/>
      <c r="AQ564" s="948"/>
      <c r="AR564" s="963"/>
    </row>
    <row r="565" spans="1:44" s="50" customFormat="1" ht="45" hidden="1" customHeight="1" thickBot="1">
      <c r="A565" s="197"/>
      <c r="B565" s="951"/>
      <c r="C565" s="954"/>
      <c r="D565" s="957"/>
      <c r="E565" s="939"/>
      <c r="F565" s="204" t="s">
        <v>662</v>
      </c>
      <c r="G565" s="205">
        <f>IF($B$561="Лікар загальної практики - сімейний лікар",AVERAGE(G561:G563),IF($B$561="Лікар-педіатр",AVERAGE(G561:G563),IF($B$561="Лікар-терапевт","х",0)))</f>
        <v>0</v>
      </c>
      <c r="H565" s="205">
        <f>IF($B$561="Лікар загальної практики - сімейний лікар",AVERAGE(H561:H563),IF($B$561="Лікар-педіатр",AVERAGE(H561:H563),IF($B$561="Лікар-терапевт","х",0)))</f>
        <v>0</v>
      </c>
      <c r="I565" s="205">
        <f>IF($B$561="Лікар загальної практики - сімейний лікар",AVERAGE(I561:I563),IF($B$561="Лікар-педіатр","x",IF($B$561="Лікар-терапевт",AVERAGE(I561:I563),0)))</f>
        <v>0</v>
      </c>
      <c r="J565" s="205">
        <f>IF($B$561="Лікар загальної практики - сімейний лікар",AVERAGE(J561:J563),IF($B$561="Лікар-педіатр","x",IF($B$561="Лікар-терапевт",AVERAGE(J561:J563),0)))</f>
        <v>0</v>
      </c>
      <c r="K565" s="205">
        <f>IF($B$561="Лікар загальної практики - сімейний лікар",AVERAGE(K561:K563),IF($B$561="Лікар-педіатр","x",IF($B$561="Лікар-терапевт",AVERAGE(K561:K563),0)))</f>
        <v>0</v>
      </c>
      <c r="L565" s="206">
        <f>SUM(G565:K565)</f>
        <v>0</v>
      </c>
      <c r="M565" s="942"/>
      <c r="N565" s="205">
        <f>IF($B$561="Лікар загальної практики - сімейний лікар",AVERAGE(N561:N563),IF($B$561="Лікар-педіатр",AVERAGE(N561:N563),IF($B$561="Лікар-терапевт","х",0)))</f>
        <v>0</v>
      </c>
      <c r="O565" s="205">
        <f>IF($B$561="Лікар загальної практики - сімейний лікар",AVERAGE(O561:O563),IF($B$561="Лікар-педіатр",AVERAGE(O561:O563),IF($B$561="Лікар-терапевт","х",0)))</f>
        <v>0</v>
      </c>
      <c r="P565" s="205">
        <f>IF($B$561="Лікар загальної практики - сімейний лікар",AVERAGE(P561:P563),IF($B$561="Лікар-педіатр","x",IF($B$561="Лікар-терапевт",AVERAGE(P561:P563),0)))</f>
        <v>0</v>
      </c>
      <c r="Q565" s="205">
        <f>IF($B$561="Лікар загальної практики - сімейний лікар",AVERAGE(Q561:Q563),IF($B$561="Лікар-педіатр","x",IF($B$561="Лікар-терапевт",AVERAGE(Q561:Q563),0)))</f>
        <v>0</v>
      </c>
      <c r="R565" s="205">
        <f>IF($B$561="Лікар загальної практики - сімейний лікар",AVERAGE(R561:R563),IF($B$561="Лікар-педіатр","x",IF($B$561="Лікар-терапевт",AVERAGE(R561:R563),0)))</f>
        <v>0</v>
      </c>
      <c r="S565" s="206">
        <f>SUM(N565:R565)</f>
        <v>0</v>
      </c>
      <c r="T565" s="942"/>
      <c r="U565" s="205">
        <f>IF($B$561="Лікар загальної практики - сімейний лікар",AVERAGE(U561:U563),IF($B$561="Лікар-педіатр",AVERAGE(U561:U563),IF($B$561="Лікар-терапевт","х",0)))</f>
        <v>0</v>
      </c>
      <c r="V565" s="205">
        <f>IF($B$561="Лікар загальної практики - сімейний лікар",AVERAGE(V561:V563),IF($B$561="Лікар-педіатр",AVERAGE(V561:V563),IF($B$561="Лікар-терапевт","х",0)))</f>
        <v>0</v>
      </c>
      <c r="W565" s="205">
        <f>IF($B$561="Лікар загальної практики - сімейний лікар",AVERAGE(W561:W563),IF($B$561="Лікар-педіатр","x",IF($B$561="Лікар-терапевт",AVERAGE(W561:W563),0)))</f>
        <v>0</v>
      </c>
      <c r="X565" s="205">
        <f>IF($B$561="Лікар загальної практики - сімейний лікар",AVERAGE(X561:X563),IF($B$561="Лікар-педіатр","x",IF($B$561="Лікар-терапевт",AVERAGE(X561:X563),0)))</f>
        <v>0</v>
      </c>
      <c r="Y565" s="205">
        <f>IF($B$561="Лікар загальної практики - сімейний лікар",AVERAGE(Y561:Y563),IF($B$561="Лікар-педіатр","x",IF($B$561="Лікар-терапевт",AVERAGE(Y561:Y563),0)))</f>
        <v>0</v>
      </c>
      <c r="Z565" s="206">
        <f>SUM(U565:Y565)</f>
        <v>0</v>
      </c>
      <c r="AA565" s="942"/>
      <c r="AB565" s="205">
        <f>IF($B$561="Лікар загальної практики - сімейний лікар",AVERAGE(AB561:AB563),IF($B$561="Лікар-педіатр",AVERAGE(AB561:AB563),IF($B$561="Лікар-терапевт","х",0)))</f>
        <v>0</v>
      </c>
      <c r="AC565" s="205">
        <f>IF($B$561="Лікар загальної практики - сімейний лікар",AVERAGE(AC561:AC563),IF($B$561="Лікар-педіатр",AVERAGE(AC561:AC563),IF($B$561="Лікар-терапевт","х",0)))</f>
        <v>0</v>
      </c>
      <c r="AD565" s="205">
        <f>IF($B$561="Лікар загальної практики - сімейний лікар",AVERAGE(AD561:AD563),IF($B$561="Лікар-педіатр","x",IF($B$561="Лікар-терапевт",AVERAGE(AD561:AD563),0)))</f>
        <v>0</v>
      </c>
      <c r="AE565" s="205">
        <f>IF($B$561="Лікар загальної практики - сімейний лікар",AVERAGE(AE561:AE563),IF($B$561="Лікар-педіатр","x",IF($B$561="Лікар-терапевт",AVERAGE(AE561:AE563),0)))</f>
        <v>0</v>
      </c>
      <c r="AF565" s="205">
        <f>IF($B$561="Лікар загальної практики - сімейний лікар",AVERAGE(AF561:AF563),IF($B$561="Лікар-педіатр","x",IF($B$561="Лікар-терапевт",AVERAGE(AF561:AF563),0)))</f>
        <v>0</v>
      </c>
      <c r="AG565" s="206">
        <f>SUM(AB565:AF565)</f>
        <v>0</v>
      </c>
      <c r="AH565" s="942"/>
      <c r="AI565" s="201"/>
      <c r="AJ565" s="945"/>
      <c r="AK565" s="960"/>
      <c r="AL565" s="960"/>
      <c r="AM565" s="931"/>
      <c r="AN565" s="949"/>
      <c r="AO565" s="949"/>
      <c r="AP565" s="949"/>
      <c r="AQ565" s="949"/>
      <c r="AR565" s="964"/>
    </row>
    <row r="566" spans="1:44" s="50" customFormat="1" ht="40.5" hidden="1">
      <c r="A566" s="197"/>
      <c r="B566" s="951"/>
      <c r="C566" s="954"/>
      <c r="D566" s="957"/>
      <c r="E566" s="939"/>
      <c r="F566" s="237" t="str">
        <f ca="1">IF(B561="Лікар-педіатр",Законод!$C$17,IF(B561="Лікар загальної практики - сімейний лікар",Законод!$C$21,IF(B561="Лікар-терапевт",Законод!$C$25,"х")))</f>
        <v>х</v>
      </c>
      <c r="G566" s="208">
        <f ca="1">IF($B$561="Лікар загальної практики - сімейний лікар",IF(L565&lt;=Законод!$C$22,G565,Законод!$C$22*'01_Доходи'!G564),IF($B$561="Лікар-педіатр",IF(L565&lt;=Законод!$C$18,G565,Законод!$C$18*'01_Доходи'!G564),IF($B$561="Лікар-терапевт","x",0)))</f>
        <v>0</v>
      </c>
      <c r="H566" s="208">
        <f ca="1">IF($B$561="Лікар загальної практики - сімейний лікар",IF(L565&lt;=Законод!$C$22,H565,Законод!$C$22*'01_Доходи'!H564),IF($B$561="Лікар-педіатр",IF(L565&lt;=Законод!$C$18,H565,Законод!$C$18*'01_Доходи'!H564),IF($B$561="Лікар-терапевт","x",0)))</f>
        <v>0</v>
      </c>
      <c r="I566" s="208">
        <f ca="1">IF($B$561="Лікар загальної практики - сімейний лікар",IF(L565&lt;=Законод!$C$22,I565,Законод!$C$22*'01_Доходи'!I564),IF($B$561="Лікар-педіатр","x",IF($B$561="Лікар-терапевт",IF(L565&lt;=Законод!$C$26,I565,Законод!$C$26*'01_Доходи'!I564),0)))</f>
        <v>0</v>
      </c>
      <c r="J566" s="208">
        <f ca="1">IF($B$561="Лікар загальної практики - сімейний лікар",IF(L565&lt;=Законод!$C$22,J565,Законод!$C$22*'01_Доходи'!J564),IF($B$561="Лікар-педіатр","x",IF($B$561="Лікар-терапевт",IF(L565&lt;=Законод!$C$26,J565,Законод!$C$26*'01_Доходи'!J564),0)))</f>
        <v>0</v>
      </c>
      <c r="K566" s="208">
        <f ca="1">IF($B$561="Лікар загальної практики - сімейний лікар",IF(L565&lt;=Законод!$C$22,K565,Законод!$C$22*'01_Доходи'!K564),IF($B$561="Лікар-педіатр","x",IF($B$561="Лікар-терапевт",IF(L565&lt;=Законод!$C$26,K565,Законод!$C$26*'01_Доходи'!K564),0)))</f>
        <v>0</v>
      </c>
      <c r="L566" s="209">
        <f ca="1">SUM(G566:K566)</f>
        <v>0</v>
      </c>
      <c r="M566" s="942"/>
      <c r="N566" s="208">
        <f ca="1">IF($B$561="Лікар загальної практики - сімейний лікар",IF(S565&lt;=Законод!$C$22,N565,Законод!$C$22*'01_Доходи'!N564),IF($B$561="Лікар-педіатр",IF(S565&lt;=Законод!$C$18,N565,Законод!$C$18*'01_Доходи'!N564),IF($B$561="Лікар-терапевт","x",0)))</f>
        <v>0</v>
      </c>
      <c r="O566" s="208">
        <f ca="1">IF($B$561="Лікар загальної практики - сімейний лікар",IF(S565&lt;=Законод!$C$22,O565,Законод!$C$22*'01_Доходи'!O564),IF($B$561="Лікар-педіатр",IF(S565&lt;=Законод!$C$18,O565,Законод!$C$18*'01_Доходи'!O564),IF($B$561="Лікар-терапевт","x",0)))</f>
        <v>0</v>
      </c>
      <c r="P566" s="208">
        <f ca="1">IF($B$561="Лікар загальної практики - сімейний лікар",IF(S565&lt;=Законод!$C$22,P565,Законод!$C$22*'01_Доходи'!P564),IF($B$561="Лікар-педіатр","x",IF($B$561="Лікар-терапевт",IF(S565&lt;=Законод!$C$26,P565,Законод!$C$26*'01_Доходи'!P564),0)))</f>
        <v>0</v>
      </c>
      <c r="Q566" s="208">
        <f ca="1">IF($B$561="Лікар загальної практики - сімейний лікар",IF(S565&lt;=Законод!$C$22,Q565,Законод!$C$22*'01_Доходи'!Q564),IF($B$561="Лікар-педіатр","x",IF($B$561="Лікар-терапевт",IF(S565&lt;=Законод!$C$26,Q565,Законод!$C$26*'01_Доходи'!Q564),0)))</f>
        <v>0</v>
      </c>
      <c r="R566" s="208">
        <f ca="1">IF($B$561="Лікар загальної практики - сімейний лікар",IF(S565&lt;=Законод!$C$22,R565,Законод!$C$22*'01_Доходи'!R564),IF($B$561="Лікар-педіатр","x",IF($B$561="Лікар-терапевт",IF(S565&lt;=Законод!$C$26,R565,Законод!$C$26*'01_Доходи'!R564),0)))</f>
        <v>0</v>
      </c>
      <c r="S566" s="209">
        <f ca="1">SUM(N566:R566)</f>
        <v>0</v>
      </c>
      <c r="T566" s="942"/>
      <c r="U566" s="208">
        <f ca="1">IF($B$561="Лікар загальної практики - сімейний лікар",IF(Z565&lt;=Законод!$C$22,U565,Законод!$C$22*'01_Доходи'!U564),IF($B$561="Лікар-педіатр",IF(Z565&lt;=Законод!$C$18,U565,Законод!$C$18*'01_Доходи'!U564),IF($B$561="Лікар-терапевт","x",0)))</f>
        <v>0</v>
      </c>
      <c r="V566" s="208">
        <f ca="1">IF($B$561="Лікар загальної практики - сімейний лікар",IF(Z565&lt;=Законод!$C$22,V565,Законод!$C$22*'01_Доходи'!V564),IF($B$561="Лікар-педіатр",IF(Z565&lt;=Законод!$C$18,V565,Законод!$C$18*'01_Доходи'!V564),IF($B$561="Лікар-терапевт","x",0)))</f>
        <v>0</v>
      </c>
      <c r="W566" s="208">
        <f ca="1">IF($B$561="Лікар загальної практики - сімейний лікар",IF(Z565&lt;=Законод!$C$22,W565,Законод!$C$22*'01_Доходи'!W564),IF($B$561="Лікар-педіатр","x",IF($B$561="Лікар-терапевт",IF(Z565&lt;=Законод!$C$26,W565,Законод!$C$26*'01_Доходи'!W564),0)))</f>
        <v>0</v>
      </c>
      <c r="X566" s="208">
        <f ca="1">IF($B$561="Лікар загальної практики - сімейний лікар",IF(Z565&lt;=Законод!$C$22,X565,Законод!$C$22*'01_Доходи'!X564),IF($B$561="Лікар-педіатр","x",IF($B$561="Лікар-терапевт",IF(Z565&lt;=Законод!$C$26,X565,Законод!$C$26*'01_Доходи'!X564),0)))</f>
        <v>0</v>
      </c>
      <c r="Y566" s="208">
        <f ca="1">IF($B$561="Лікар загальної практики - сімейний лікар",IF(Z565&lt;=Законод!$C$22,Y565,Законод!$C$22*'01_Доходи'!Y564),IF($B$561="Лікар-педіатр","x",IF($B$561="Лікар-терапевт",IF(Z565&lt;=Законод!$C$26,Y565,Законод!$C$26*'01_Доходи'!Y564),0)))</f>
        <v>0</v>
      </c>
      <c r="Z566" s="209">
        <f ca="1">SUM(U566:Y566)</f>
        <v>0</v>
      </c>
      <c r="AA566" s="942"/>
      <c r="AB566" s="208">
        <f ca="1">IF($B$561="Лікар загальної практики - сімейний лікар",IF(AG565&lt;=Законод!$C$22,AB565,Законод!$C$22*'01_Доходи'!AB564),IF($B$561="Лікар-педіатр",IF(AG565&lt;=Законод!$C$18,AB565,Законод!$C$18*'01_Доходи'!AB564),IF($B$561="Лікар-терапевт","x",0)))</f>
        <v>0</v>
      </c>
      <c r="AC566" s="208">
        <f ca="1">IF($B$561="Лікар загальної практики - сімейний лікар",IF(AG565&lt;=Законод!$C$22,AC565,Законод!$C$22*'01_Доходи'!AC564),IF($B$561="Лікар-педіатр",IF(AG565&lt;=Законод!$C$18,AC565,Законод!$C$18*'01_Доходи'!AC564),IF($B$561="Лікар-терапевт","x",0)))</f>
        <v>0</v>
      </c>
      <c r="AD566" s="208">
        <f ca="1">IF($B$561="Лікар загальної практики - сімейний лікар",IF(AG565&lt;=Законод!$C$22,AD565,Законод!$C$22*'01_Доходи'!AD564),IF($B$561="Лікар-педіатр","x",IF($B$561="Лікар-терапевт",IF(AG565&lt;=Законод!$C$26,AD565,Законод!$C$26*'01_Доходи'!AD564),0)))</f>
        <v>0</v>
      </c>
      <c r="AE566" s="208">
        <f ca="1">IF($B$561="Лікар загальної практики - сімейний лікар",IF(AG565&lt;=Законод!$C$22,AE565,Законод!$C$22*'01_Доходи'!AE564),IF($B$561="Лікар-педіатр","x",IF($B$561="Лікар-терапевт",IF(AG565&lt;=Законод!$C$26,AE565,Законод!$C$26*'01_Доходи'!AE564),0)))</f>
        <v>0</v>
      </c>
      <c r="AF566" s="208">
        <f ca="1">IF($B$561="Лікар загальної практики - сімейний лікар",IF(AG565&lt;=Законод!$C$22,AF565,Законод!$C$22*'01_Доходи'!AF564),IF($B$561="Лікар-педіатр","x",IF($B$561="Лікар-терапевт",IF(AG565&lt;=Законод!$C$26,AF565,Законод!$C$26*'01_Доходи'!AF564),0)))</f>
        <v>0</v>
      </c>
      <c r="AG566" s="209">
        <f ca="1">SUM(AB566:AF566)</f>
        <v>0</v>
      </c>
      <c r="AH566" s="942"/>
      <c r="AI566" s="201"/>
      <c r="AJ566" s="945"/>
      <c r="AK566" s="960"/>
      <c r="AL566" s="960"/>
      <c r="AM566" s="348" t="s">
        <v>451</v>
      </c>
      <c r="AN566" s="210">
        <f ca="1">IF(B561="Лікар загальної практики - сімейний лікар",G566*Законод!$C$11+'01_Доходи'!H566*Законод!$D$11+'01_Доходи'!I566*Законод!$E$11+'01_Доходи'!J566*Законод!$F$11+'01_Доходи'!K566*Законод!$G$11,IF(B561="Лікар-педіатр",G566*Законод!$C$11+'01_Доходи'!H566*Законод!$D$11,IF(B561="Лікар-терапевт",'01_Доходи'!I566*Законод!$E$11+'01_Доходи'!J566*Законод!$F$11+'01_Доходи'!K566*Законод!$G$11,0)))</f>
        <v>0</v>
      </c>
      <c r="AO566" s="210">
        <f ca="1">IF(B561="Лікар загальної практики - сімейний лікар",N566*Законод!$C$11+'01_Доходи'!O566*Законод!$D$11+'01_Доходи'!P566*Законод!$E$11+'01_Доходи'!Q566*Законод!$F$11+'01_Доходи'!R566*Законод!$G$11,IF(B561="Лікар-педіатр",N566*Законод!$C$11+'01_Доходи'!O566*Законод!$D$11,IF(B561="Лікар-терапевт",'01_Доходи'!P566*Законод!$E$11+'01_Доходи'!Q566*Законод!$F$11+'01_Доходи'!R566*Законод!$G$11,0)))</f>
        <v>0</v>
      </c>
      <c r="AP566" s="210">
        <f ca="1">IF(B561="Лікар загальної практики - сімейний лікар",U566*Законод!$C$11+'01_Доходи'!V566*Законод!$D$11+'01_Доходи'!W566*Законод!$E$11+'01_Доходи'!X566*Законод!$F$11+'01_Доходи'!Y566*Законод!$G$11,IF(B561="Лікар-педіатр",U566*Законод!$C$11+'01_Доходи'!V566*Законод!$D$11,IF(B561="Лікар-терапевт",'01_Доходи'!W566*Законод!$E$11+'01_Доходи'!X566*Законод!$F$11+'01_Доходи'!Y566*Законод!$G$11,0)))</f>
        <v>0</v>
      </c>
      <c r="AQ566" s="210">
        <f ca="1">IF(B561="Лікар загальної практики - сімейний лікар",AB566*Законод!$C$11+'01_Доходи'!AC566*Законод!$D$11+'01_Доходи'!AD566*Законод!$E$11+'01_Доходи'!AE566*Законод!$F$11+'01_Доходи'!AF566*Законод!$G$11,IF(B561="Лікар-педіатр",AB566*Законод!$C$11+'01_Доходи'!AC566*Законод!$D$11,IF(B561="Лікар-терапевт",'01_Доходи'!AD566*Законод!$E$11+'01_Доходи'!AE566*Законод!$F$11+'01_Доходи'!AF566*Законод!$G$11,0)))</f>
        <v>0</v>
      </c>
      <c r="AR566" s="211">
        <f t="shared" ref="AR566:AR572" si="83">SUM(AN566:AQ566)</f>
        <v>0</v>
      </c>
    </row>
    <row r="567" spans="1:44" s="50" customFormat="1" ht="31.9" hidden="1" customHeight="1">
      <c r="A567" s="197"/>
      <c r="B567" s="951"/>
      <c r="C567" s="954"/>
      <c r="D567" s="957"/>
      <c r="E567" s="939"/>
      <c r="F567" s="238" t="str">
        <f ca="1">IF(B561="Лікар-педіатр",Законод!$E$17,IF(B561="Лікар загальної практики - сімейний лікар",Законод!$E$21,IF(B561="Лікар-терапевт",Законод!$E$25,"х")))</f>
        <v>х</v>
      </c>
      <c r="G567" s="935" t="s">
        <v>423</v>
      </c>
      <c r="H567" s="936"/>
      <c r="I567" s="936"/>
      <c r="J567" s="936"/>
      <c r="K567" s="937"/>
      <c r="L567" s="196">
        <f ca="1">IF($B$561="Лікар загальної практики - сімейний лікар",IF(L565&lt;Законод!$C$22,0,(IF(AND(L565&gt;=Законод!$E$22,L565&lt;=Законод!$E$23),L565-Законод!$C$22,IF('01_Доходи'!L565&gt;=Законод!$F$22,Законод!$E$24,0)))),IF($B$561="Лікар-педіатр",IF(L565&lt;Законод!$C$18,0,(IF(AND(L565&gt;=Законод!$E$18,L565&lt;=Законод!$E$19),L565-Законод!$C$18,IF('01_Доходи'!L565&gt;=Законод!$F$18,Законод!$E$20,0)))),IF($B$561="Лікар-терапевт",IF(L565&lt;Законод!$C$26,0,(IF(AND(L565&gt;=Законод!$E$26,L565&lt;=Законод!$E$27),L565-Законод!$C$26,IF('01_Доходи'!L565&gt;=Законод!$F$26,Законод!$E$28,0)))),0)))</f>
        <v>0</v>
      </c>
      <c r="M567" s="942"/>
      <c r="N567" s="935" t="s">
        <v>423</v>
      </c>
      <c r="O567" s="936"/>
      <c r="P567" s="936"/>
      <c r="Q567" s="936"/>
      <c r="R567" s="937"/>
      <c r="S567" s="196">
        <f ca="1">IF($B$561="Лікар загальної практики - сімейний лікар",IF(S565&lt;Законод!$C$22,0,(IF(AND(S565&gt;=Законод!$E$22,S565&lt;=Законод!$E$23),S565-Законод!$C$22,IF('01_Доходи'!S565&gt;=Законод!$F$22,Законод!$E$24,0)))),IF($B$561="Лікар-педіатр",IF(S565&lt;Законод!$C$18,0,(IF(AND(S565&gt;=Законод!$E$18,S565&lt;=Законод!$E$19),S565-Законод!$C$18,IF('01_Доходи'!S565&gt;=Законод!$F$18,Законод!$E$20,0)))),IF($B$561="Лікар-терапевт",IF(S565&lt;Законод!$C$26,0,(IF(AND(S565&gt;=Законод!$E$26,S565&lt;=Законод!$E$27),S565-Законод!$C$26,IF('01_Доходи'!S565&gt;=Законод!$F$26,Законод!$E$28,0)))),0)))</f>
        <v>0</v>
      </c>
      <c r="T567" s="942"/>
      <c r="U567" s="935" t="s">
        <v>423</v>
      </c>
      <c r="V567" s="936"/>
      <c r="W567" s="936"/>
      <c r="X567" s="936"/>
      <c r="Y567" s="937"/>
      <c r="Z567" s="196">
        <f ca="1">IF($B$561="Лікар загальної практики - сімейний лікар",IF(Z565&lt;Законод!$C$22,0,(IF(AND(Z565&gt;=Законод!$E$22,Z565&lt;=Законод!$E$23),Z565-Законод!$C$22,IF('01_Доходи'!Z565&gt;=Законод!$F$22,Законод!$E$24,0)))),IF($B$561="Лікар-педіатр",IF(Z565&lt;Законод!$C$18,0,(IF(AND(Z565&gt;=Законод!$E$18,Z565&lt;=Законод!$E$19),Z565-Законод!$C$18,IF('01_Доходи'!Z565&gt;=Законод!$F$18,Законод!$E$20,0)))),IF($B$561="Лікар-терапевт",IF(Z565&lt;Законод!$C$26,0,(IF(AND(Z565&gt;=Законод!$E$26,Z565&lt;=Законод!$E$27),Z565-Законод!$C$26,IF('01_Доходи'!Z565&gt;=Законод!$F$26,Законод!$E$28,0)))),0)))</f>
        <v>0</v>
      </c>
      <c r="AA567" s="942"/>
      <c r="AB567" s="935" t="s">
        <v>423</v>
      </c>
      <c r="AC567" s="936"/>
      <c r="AD567" s="936"/>
      <c r="AE567" s="936"/>
      <c r="AF567" s="937"/>
      <c r="AG567" s="196">
        <f ca="1">IF($B$561="Лікар загальної практики - сімейний лікар",IF(AG565&lt;Законод!$C$22,0,(IF(AND(AG565&gt;=Законод!$E$22,AG565&lt;=Законод!$E$23),AG565-Законод!$C$22,IF('01_Доходи'!AG565&gt;=Законод!$F$22,Законод!$E$24,0)))),IF($B$561="Лікар-педіатр",IF(AG565&lt;Законод!$C$18,0,(IF(AND(AG565&gt;=Законод!$E$18,AG565&lt;=Законод!$E$19),AG565-Законод!$C$18,IF('01_Доходи'!AG565&gt;=Законод!$F$18,Законод!$E$20,0)))),IF($B$561="Лікар-терапевт",IF(AG565&lt;Законод!$C$26,0,(IF(AND(AG565&gt;=Законод!$E$26,AG565&lt;=Законод!$E$27),AG565-Законод!$C$26,IF('01_Доходи'!AG565&gt;=Законод!$F$26,Законод!$E$28,0)))),0)))</f>
        <v>0</v>
      </c>
      <c r="AH567" s="942"/>
      <c r="AI567" s="201"/>
      <c r="AJ567" s="945"/>
      <c r="AK567" s="960"/>
      <c r="AL567" s="960"/>
      <c r="AM567" s="926" t="s">
        <v>452</v>
      </c>
      <c r="AN567" s="210">
        <f ca="1">IF(B561="Лікар загальної практики - сімейний лікар",L567*Законод!$C$9/4*Законод!$E$16,IF(B561="Лікар-педіатр",L567*Законод!$C$9/4*Законод!$E$16,IF(B561="Лікар-терапевт",L567*Законод!$C$9/4*Законод!$E$16,0)))</f>
        <v>0</v>
      </c>
      <c r="AO567" s="210">
        <f ca="1">IF(B561="Лікар загальної практики - сімейний лікар",S567*Законод!$C$9/4*Законод!$E$16,IF(B561="Лікар-педіатр",S567*Законод!$C$9/4*Законод!$E$16,IF(B561="Лікар-терапевт",S567*Законод!$C$9/4*Законод!$E$16,0)))</f>
        <v>0</v>
      </c>
      <c r="AP567" s="210">
        <f ca="1">IF(B561="Лікар загальної практики - сімейний лікар",Z567*Законод!$C$9/4*Законод!$E$16,IF(B561="Лікар-педіатр",Z567*Законод!$C$9/4*Законод!$E$16,IF(B561="Лікар-терапевт",Z567*Законод!$C$9/4*Законод!$E$16,0)))</f>
        <v>0</v>
      </c>
      <c r="AQ567" s="210">
        <f ca="1">IF(B561="Лікар загальної практики - сімейний лікар",AG567*Законод!$C$9/4*Законод!$E$16,IF(B561="Лікар-педіатр",AG567*Законод!$C$9/4*Законод!$E$16,IF(B561="Лікар-терапевт",AG567*Законод!$C$9/4*Законод!$E$16,0)))</f>
        <v>0</v>
      </c>
      <c r="AR567" s="211">
        <f t="shared" si="83"/>
        <v>0</v>
      </c>
    </row>
    <row r="568" spans="1:44" s="50" customFormat="1" ht="31.9" hidden="1" customHeight="1">
      <c r="A568" s="197"/>
      <c r="B568" s="951"/>
      <c r="C568" s="954"/>
      <c r="D568" s="957"/>
      <c r="E568" s="939"/>
      <c r="F568" s="238" t="str">
        <f ca="1">IF(B561="Лікар-педіатр",Законод!$F$17,IF(B561="Лікар загальної практики - сімейний лікар",Законод!$F$21,IF(B561="Лікар-терапевт",Законод!$F$25,"х")))</f>
        <v>х</v>
      </c>
      <c r="G568" s="935" t="s">
        <v>423</v>
      </c>
      <c r="H568" s="936"/>
      <c r="I568" s="936"/>
      <c r="J568" s="936"/>
      <c r="K568" s="937"/>
      <c r="L568" s="196">
        <f ca="1">IF($B$561="Лікар загальної практики - сімейний лікар",IF(L565&lt;Законод!$C$22,0,(IF(AND(L565&gt;=Законод!$F$22,L565&lt;=Законод!$F$23),L565-Законод!$E$23,IF('01_Доходи'!L565&gt;=Законод!$G$22,Законод!$F$24,0)))),IF($B$561="Лікар-педіатр",IF(L565&lt;Законод!$C$18,0,(IF(AND(L565&gt;=Законод!$F$18,L565&lt;=Законод!$F$19),L565-Законод!$E$19,IF('01_Доходи'!L565&gt;=Законод!$G$18,Законод!$F$20,0)))),IF($B$561="Лікар-терапевт",IF(L565&lt;Законод!$C$26,0,(IF(AND(L565&gt;=Законод!$F$26,L565&lt;=Законод!$F$27),L565-Законод!$E$27,IF('01_Доходи'!L565&gt;=Законод!$G$26,Законод!$F$28,0)))),0)))</f>
        <v>0</v>
      </c>
      <c r="M568" s="942"/>
      <c r="N568" s="935" t="s">
        <v>423</v>
      </c>
      <c r="O568" s="936"/>
      <c r="P568" s="936"/>
      <c r="Q568" s="936"/>
      <c r="R568" s="937"/>
      <c r="S568" s="196">
        <f ca="1">IF($B$561="Лікар загальної практики - сімейний лікар",IF(S565&lt;Законод!$C$22,0,(IF(AND(S565&gt;=Законод!$F$22,S565&lt;=Законод!$F$23),S565-Законод!$E$23,IF('01_Доходи'!S565&gt;=Законод!$G$22,Законод!$F$24,0)))),IF($B$561="Лікар-педіатр",IF(S565&lt;Законод!$C$18,0,(IF(AND(S565&gt;=Законод!$F$18,S565&lt;=Законод!$F$19),S565-Законод!$E$19,IF('01_Доходи'!S565&gt;=Законод!$G$18,Законод!$F$20,0)))),IF($B$561="Лікар-терапевт",IF(S565&lt;Законод!$C$26,0,(IF(AND(S565&gt;=Законод!$F$26,S565&lt;=Законод!$F$27),S565-Законод!$E$27,IF('01_Доходи'!S565&gt;=Законод!$G$26,Законод!$F$28,0)))),0)))</f>
        <v>0</v>
      </c>
      <c r="T568" s="942"/>
      <c r="U568" s="935" t="s">
        <v>423</v>
      </c>
      <c r="V568" s="936"/>
      <c r="W568" s="936"/>
      <c r="X568" s="936"/>
      <c r="Y568" s="937"/>
      <c r="Z568" s="196">
        <f ca="1">IF($B$561="Лікар загальної практики - сімейний лікар",IF(Z565&lt;Законод!$C$22,0,(IF(AND(Z565&gt;=Законод!$F$22,Z565&lt;=Законод!$F$23),Z565-Законод!$E$23,IF('01_Доходи'!Z565&gt;=Законод!$G$22,Законод!$F$24,0)))),IF($B$561="Лікар-педіатр",IF(Z565&lt;Законод!$C$18,0,(IF(AND(Z565&gt;=Законод!$F$18,Z565&lt;=Законод!$F$19),Z565-Законод!$E$19,IF('01_Доходи'!Z565&gt;=Законод!$G$18,Законод!$F$20,0)))),IF($B$561="Лікар-терапевт",IF(Z565&lt;Законод!$C$26,0,(IF(AND(Z565&gt;=Законод!$F$26,Z565&lt;=Законод!$F$27),Z565-Законод!$E$27,IF('01_Доходи'!Z565&gt;=Законод!$G$26,Законод!$F$28,0)))),0)))</f>
        <v>0</v>
      </c>
      <c r="AA568" s="942"/>
      <c r="AB568" s="935" t="s">
        <v>423</v>
      </c>
      <c r="AC568" s="936"/>
      <c r="AD568" s="936"/>
      <c r="AE568" s="936"/>
      <c r="AF568" s="937"/>
      <c r="AG568" s="196">
        <f ca="1">IF($B$561="Лікар загальної практики - сімейний лікар",IF(AG565&lt;Законод!$C$22,0,(IF(AND(AG565&gt;=Законод!$F$22,AG565&lt;=Законод!$F$23),AG565-Законод!$E$23,IF('01_Доходи'!AG565&gt;=Законод!$G$22,Законод!$F$24,0)))),IF($B$561="Лікар-педіатр",IF(AG565&lt;Законод!$C$18,0,(IF(AND(AG565&gt;=Законод!$F$18,AG565&lt;=Законод!$F$19),AG565-Законод!$E$19,IF('01_Доходи'!AG565&gt;=Законод!$G$18,Законод!$F$20,0)))),IF($B$561="Лікар-терапевт",IF(AG565&lt;Законод!$C$26,0,(IF(AND(AG565&gt;=Законод!$F$26,AG565&lt;=Законод!$F$27),AG565-Законод!$E$27,IF('01_Доходи'!AG565&gt;=Законод!$G$26,Законод!$F$28,0)))),0)))</f>
        <v>0</v>
      </c>
      <c r="AH568" s="942"/>
      <c r="AI568" s="201"/>
      <c r="AJ568" s="945"/>
      <c r="AK568" s="960"/>
      <c r="AL568" s="960"/>
      <c r="AM568" s="927"/>
      <c r="AN568" s="210">
        <f ca="1">IF(B561="Лікар загальної практики - сімейний лікар",L568*Законод!$C$9/4*Законод!$F$16,IF(B561="Лікар-педіатр",L568*Законод!$C$9/4*Законод!$F$16,IF(B561="Лікар-терапевт",L568*Законод!$C$9/4*Законод!$F$16,0)))</f>
        <v>0</v>
      </c>
      <c r="AO568" s="210">
        <f ca="1">IF(B561="Лікар загальної практики - сімейний лікар",S568*Законод!$C$9/4*Законод!$F$16,IF(B561="Лікар-педіатр",S568*Законод!$C$9/4*Законод!$F$16,IF(B561="Лікар-терапевт",S568*Законод!$C$9/4*Законод!$F$16,0)))</f>
        <v>0</v>
      </c>
      <c r="AP568" s="210">
        <f ca="1">IF(B561="Лікар загальної практики - сімейний лікар",Z568*Законод!$C$9/4*Законод!$F$16,IF(B561="Лікар-педіатр",Z568*Законод!$C$9/4*Законод!$F$16,IF(B561="Лікар-терапевт",Z568*Законод!$C$9/4*Законод!$F$16,0)))</f>
        <v>0</v>
      </c>
      <c r="AQ568" s="210">
        <f ca="1">IF(B561="Лікар загальної практики - сімейний лікар",AG568*Законод!$C$9/4*Законод!$F$16,IF(B561="Лікар-педіатр",AG568*Законод!$C$9/4*Законод!$F$16,IF(B561="Лікар-терапевт",AG568*Законод!$C$9/4*Законод!$F$16,0)))</f>
        <v>0</v>
      </c>
      <c r="AR568" s="211">
        <f t="shared" si="83"/>
        <v>0</v>
      </c>
    </row>
    <row r="569" spans="1:44" s="50" customFormat="1" ht="31.9" hidden="1" customHeight="1">
      <c r="A569" s="197"/>
      <c r="B569" s="951"/>
      <c r="C569" s="954"/>
      <c r="D569" s="957"/>
      <c r="E569" s="939"/>
      <c r="F569" s="238" t="str">
        <f ca="1">IF(B561="Лікар-педіатр",Законод!$G$17,IF(B561="Лікар загальної практики - сімейний лікар",Законод!$G$21,IF(B561="Лікар-терапевт",Законод!$G$25,"х")))</f>
        <v>х</v>
      </c>
      <c r="G569" s="935" t="s">
        <v>423</v>
      </c>
      <c r="H569" s="936"/>
      <c r="I569" s="936"/>
      <c r="J569" s="936"/>
      <c r="K569" s="937"/>
      <c r="L569" s="196">
        <f ca="1">IF($B$561="Лікар загальної практики - сімейний лікар",IF(L565&lt;Законод!$C$22,0,(IF(AND(L565&gt;=Законод!$G$22,L565&lt;=Законод!$G$23),L565-Законод!$F$23,IF('01_Доходи'!L565&gt;=Законод!$H$22,Законод!$G$24,0)))),IF($B$561="Лікар-педіатр",IF(L565&lt;Законод!$C$18,0,(IF(AND(L565&gt;=Законод!$G$18,L565&lt;=Законод!$G$19),L565-Законод!$F$19,IF('01_Доходи'!L565&gt;=Законод!$H$18,Законод!$G$20,0)))),IF($B$561="Лікар-терапевт",IF(L565&lt;Законод!$C$26,0,(IF(AND(L565&gt;=Законод!$G$26,L565&lt;=Законод!$G$27),L565-Законод!$F$27,IF('01_Доходи'!L565&gt;=Законод!$H$26,Законод!$G$28,0)))),0)))</f>
        <v>0</v>
      </c>
      <c r="M569" s="942"/>
      <c r="N569" s="935" t="s">
        <v>423</v>
      </c>
      <c r="O569" s="936"/>
      <c r="P569" s="936"/>
      <c r="Q569" s="936"/>
      <c r="R569" s="937"/>
      <c r="S569" s="196">
        <f ca="1">IF($B$561="Лікар загальної практики - сімейний лікар",IF(S565&lt;Законод!$C$22,0,(IF(AND(S565&gt;=Законод!$G$22,S565&lt;=Законод!$G$23),S565-Законод!$F$23,IF('01_Доходи'!S565&gt;=Законод!$H$22,Законод!$G$24,0)))),IF($B$561="Лікар-педіатр",IF(S565&lt;Законод!$C$18,0,(IF(AND(S565&gt;=Законод!$G$18,S565&lt;=Законод!$G$19),S565-Законод!$F$19,IF('01_Доходи'!S565&gt;=Законод!$H$18,Законод!$G$20,0)))),IF($B$561="Лікар-терапевт",IF(S565&lt;Законод!$C$26,0,(IF(AND(S565&gt;=Законод!$G$26,S565&lt;=Законод!$G$27),S565-Законод!$F$27,IF('01_Доходи'!S565&gt;=Законод!$H$26,Законод!$G$28,0)))),0)))</f>
        <v>0</v>
      </c>
      <c r="T569" s="942"/>
      <c r="U569" s="935" t="s">
        <v>423</v>
      </c>
      <c r="V569" s="936"/>
      <c r="W569" s="936"/>
      <c r="X569" s="936"/>
      <c r="Y569" s="937"/>
      <c r="Z569" s="196">
        <f ca="1">IF($B$561="Лікар загальної практики - сімейний лікар",IF(Z565&lt;Законод!$C$22,0,(IF(AND(Z565&gt;=Законод!$G$22,Z565&lt;=Законод!$G$23),Z565-Законод!$F$23,IF('01_Доходи'!Z565&gt;=Законод!$H$22,Законод!$G$24,0)))),IF($B$561="Лікар-педіатр",IF(Z565&lt;Законод!$C$18,0,(IF(AND(Z565&gt;=Законод!$G$18,Z565&lt;=Законод!$G$19),Z565-Законод!$F$19,IF('01_Доходи'!Z565&gt;=Законод!$H$18,Законод!$G$20,0)))),IF($B$561="Лікар-терапевт",IF(Z565&lt;Законод!$C$26,0,(IF(AND(Z565&gt;=Законод!$G$26,Z565&lt;=Законод!$G$27),Z565-Законод!$F$27,IF('01_Доходи'!Z565&gt;=Законод!$H$26,Законод!$G$28,0)))),0)))</f>
        <v>0</v>
      </c>
      <c r="AA569" s="942"/>
      <c r="AB569" s="935" t="s">
        <v>423</v>
      </c>
      <c r="AC569" s="936"/>
      <c r="AD569" s="936"/>
      <c r="AE569" s="936"/>
      <c r="AF569" s="937"/>
      <c r="AG569" s="196">
        <f ca="1">IF($B$561="Лікар загальної практики - сімейний лікар",IF(AG565&lt;Законод!$C$22,0,(IF(AND(AG565&gt;=Законод!$G$22,AG565&lt;=Законод!$G$23),AG565-Законод!$F$23,IF('01_Доходи'!AG565&gt;=Законод!$H$22,Законод!$G$24,0)))),IF($B$561="Лікар-педіатр",IF(AG565&lt;Законод!$C$18,0,(IF(AND(AG565&gt;=Законод!$G$18,AG565&lt;=Законод!$G$19),AG565-Законод!$F$19,IF('01_Доходи'!AG565&gt;=Законод!$H$18,Законод!$G$20,0)))),IF($B$561="Лікар-терапевт",IF(AG565&lt;Законод!$C$26,0,(IF(AND(AG565&gt;=Законод!$G$26,AG565&lt;=Законод!$G$27),AG565-Законод!$F$27,IF('01_Доходи'!AG565&gt;=Законод!$H$26,Законод!$G$28,0)))),0)))</f>
        <v>0</v>
      </c>
      <c r="AH569" s="942"/>
      <c r="AI569" s="201"/>
      <c r="AJ569" s="945"/>
      <c r="AK569" s="960"/>
      <c r="AL569" s="960"/>
      <c r="AM569" s="927"/>
      <c r="AN569" s="210">
        <f ca="1">IF(B561="Лікар загальної практики - сімейний лікар",L569*Законод!$C$9/4*Законод!$G$16,IF(B561="Лікар-педіатр",L569*Законод!$C$9/4*Законод!$G$16,IF(B561="Лікар-терапевт",L569*Законод!$C$9/4*Законод!$G$16,0)))</f>
        <v>0</v>
      </c>
      <c r="AO569" s="210">
        <f ca="1">IF(B561="Лікар загальної практики - сімейний лікар",S569*Законод!$C$9/4*Законод!$G$16,IF(B561="Лікар-педіатр",S569*Законод!$C$9/4*Законод!$G$16,IF(B561="Лікар-терапевт",S569*Законод!$C$9/4*Законод!$G$16,0)))</f>
        <v>0</v>
      </c>
      <c r="AP569" s="210">
        <f ca="1">IF(B561="Лікар загальної практики - сімейний лікар",Z569*Законод!$C$9/4*Законод!$G$16,IF(B561="Лікар-педіатр",Z569*Законод!$C$9/4*Законод!$G$16,IF(B561="Лікар-терапевт",Z569*Законод!$C$9/4*Законод!$G$16,0)))</f>
        <v>0</v>
      </c>
      <c r="AQ569" s="210">
        <f ca="1">IF(B561="Лікар загальної практики - сімейний лікар",AG569*Законод!$C$9/4*Законод!$G$16,IF(B561="Лікар-педіатр",AG569*Законод!$C$9/4*Законод!$G$16,IF(B561="Лікар-терапевт",AG569*Законод!$C$9/4*Законод!$G$16,0)))</f>
        <v>0</v>
      </c>
      <c r="AR569" s="211">
        <f t="shared" si="83"/>
        <v>0</v>
      </c>
    </row>
    <row r="570" spans="1:44" s="50" customFormat="1" ht="31.9" hidden="1" customHeight="1">
      <c r="A570" s="197"/>
      <c r="B570" s="951"/>
      <c r="C570" s="954"/>
      <c r="D570" s="957"/>
      <c r="E570" s="939"/>
      <c r="F570" s="238" t="str">
        <f ca="1">IF(B561="Лікар-педіатр",Законод!$H$17,IF(B561="Лікар загальної практики - сімейний лікар",Законод!$H$21,IF(B561="Лікар-терапевт",Законод!$H$25,"х")))</f>
        <v>х</v>
      </c>
      <c r="G570" s="935" t="s">
        <v>423</v>
      </c>
      <c r="H570" s="936"/>
      <c r="I570" s="936"/>
      <c r="J570" s="936"/>
      <c r="K570" s="937"/>
      <c r="L570" s="196">
        <f ca="1">IF($B$561="Лікар загальної практики - сімейний лікар",IF(L565&lt;Законод!$C$22,0,(IF(AND(L565&gt;=Законод!$H$22,L565&lt;=Законод!$H$23),L565-Законод!$G$23,IF('01_Доходи'!L565&gt;=Законод!$I$22,Законод!$H$24,0)))),IF($B$561="Лікар-педіатр",IF(L565&lt;Законод!$C$18,0,(IF(AND(L565&gt;=Законод!$H$18,L565&lt;=Законод!$H$19),L565-Законод!$G$19,IF('01_Доходи'!L565&gt;=Законод!$I$18,Законод!$H$20,0)))),IF($B$561="Лікар-терапевт",IF(L565&lt;Законод!$C$26,0,(IF(AND(L565&gt;=Законод!$H$26,L565&lt;=Законод!$H$27),L565-Законод!$G$27,IF(L565&gt;=Законод!$I$26,Законод!$H$28,0)))),0)))</f>
        <v>0</v>
      </c>
      <c r="M570" s="942"/>
      <c r="N570" s="935" t="s">
        <v>423</v>
      </c>
      <c r="O570" s="936"/>
      <c r="P570" s="936"/>
      <c r="Q570" s="936"/>
      <c r="R570" s="937"/>
      <c r="S570" s="196">
        <f ca="1">IF($B$561="Лікар загальної практики - сімейний лікар",IF(S565&lt;Законод!$C$22,0,(IF(AND(S565&gt;=Законод!$H$22,S565&lt;=Законод!$H$23),S565-Законод!$G$23,IF('01_Доходи'!S565&gt;=Законод!$I$22,Законод!$H$24,0)))),IF($B$561="Лікар-педіатр",IF(S565&lt;Законод!$C$18,0,(IF(AND(S565&gt;=Законод!$H$18,S565&lt;=Законод!$H$19),S565-Законод!$G$19,IF('01_Доходи'!S565&gt;=Законод!$I$18,Законод!$H$20,0)))),IF($B$561="Лікар-терапевт",IF(S565&lt;Законод!$C$26,0,(IF(AND(S565&gt;=Законод!$H$26,S565&lt;=Законод!$H$27),S565-Законод!$G$27,IF(S565&gt;=Законод!$I$26,Законод!$H$28,0)))),0)))</f>
        <v>0</v>
      </c>
      <c r="T570" s="942"/>
      <c r="U570" s="935" t="s">
        <v>423</v>
      </c>
      <c r="V570" s="936"/>
      <c r="W570" s="936"/>
      <c r="X570" s="936"/>
      <c r="Y570" s="937"/>
      <c r="Z570" s="196">
        <f ca="1">IF($B$561="Лікар загальної практики - сімейний лікар",IF(Z565&lt;Законод!$C$22,0,(IF(AND(Z565&gt;=Законод!$H$22,Z565&lt;=Законод!$H$23),Z565-Законод!$G$23,IF('01_Доходи'!Z565&gt;=Законод!$I$22,Законод!$H$24,0)))),IF($B$561="Лікар-педіатр",IF(Z565&lt;Законод!$C$18,0,(IF(AND(Z565&gt;=Законод!$H$18,Z565&lt;=Законод!$H$19),Z565-Законод!$G$19,IF('01_Доходи'!Z565&gt;=Законод!$I$18,Законод!$H$20,0)))),IF($B$561="Лікар-терапевт",IF(Z565&lt;Законод!$C$26,0,(IF(AND(Z565&gt;=Законод!$H$26,Z565&lt;=Законод!$H$27),Z565-Законод!$G$27,IF(Z565&gt;=Законод!$I$26,Законод!$H$28,0)))),0)))</f>
        <v>0</v>
      </c>
      <c r="AA570" s="942"/>
      <c r="AB570" s="935" t="s">
        <v>423</v>
      </c>
      <c r="AC570" s="936"/>
      <c r="AD570" s="936"/>
      <c r="AE570" s="936"/>
      <c r="AF570" s="937"/>
      <c r="AG570" s="196">
        <f ca="1">IF($B$561="Лікар загальної практики - сімейний лікар",IF(AG565&lt;Законод!$C$22,0,(IF(AND(AG565&gt;=Законод!$H$22,AG565&lt;=Законод!$H$23),AG565-Законод!$G$23,IF('01_Доходи'!AG565&gt;=Законод!$I$22,Законод!$H$24,0)))),IF($B$561="Лікар-педіатр",IF(AG565&lt;Законод!$C$18,0,(IF(AND(AG565&gt;=Законод!$H$18,AG565&lt;=Законод!$H$19),AG565-Законод!$G$19,IF('01_Доходи'!AG565&gt;=Законод!$I$18,Законод!$H$20,0)))),IF($B$561="Лікар-терапевт",IF(AG565&lt;Законод!$C$26,0,(IF(AND(AG565&gt;=Законод!$H$26,AG565&lt;=Законод!$H$27),AG565-Законод!$G$27,IF(AG565&gt;=Законод!$I$26,Законод!$H$28,0)))),0)))</f>
        <v>0</v>
      </c>
      <c r="AH570" s="942"/>
      <c r="AI570" s="201"/>
      <c r="AJ570" s="945"/>
      <c r="AK570" s="960"/>
      <c r="AL570" s="960"/>
      <c r="AM570" s="927"/>
      <c r="AN570" s="210">
        <f ca="1">IF(B561="Лікар загальної практики - сімейний лікар",L570*Законод!$C$9/4*Законод!$H$16,IF(B561="Лікар-педіатр",L570*Законод!$C$9/4*Законод!$H$16,IF(B561="Лікар-терапевт",L570*Законод!$C$9/4*Законод!$H$16,0)))</f>
        <v>0</v>
      </c>
      <c r="AO570" s="210">
        <f ca="1">IF(B561="Лікар загальної практики - сімейний лікар",S570*Законод!$C$9/4*Законод!$H$16,IF(B561="Лікар-педіатр",S570*Законод!$C$9/4*Законод!$H$16,IF(B561="Лікар-терапевт",S570*Законод!$C$9/4*Законод!$H$16,0)))</f>
        <v>0</v>
      </c>
      <c r="AP570" s="210">
        <f ca="1">IF(B561="Лікар загальної практики - сімейний лікар",Z570*Законод!$C$9/4*Законод!$H$16,IF(B561="Лікар-педіатр",Z570*Законод!$C$9/4*Законод!$H$16,IF(B561="Лікар-терапевт",Z570*Законод!$C$9/4*Законод!$H$16,0)))</f>
        <v>0</v>
      </c>
      <c r="AQ570" s="210">
        <f ca="1">IF(B561="Лікар загальної практики - сімейний лікар",AG570*Законод!$C$9/4*Законод!$H$16,IF(B561="Лікар-педіатр",AG570*Законод!$C$9/4*Законод!$H$16,IF(B561="Лікар-терапевт",AG570*Законод!$C$9/4*Законод!$H$16,0)))</f>
        <v>0</v>
      </c>
      <c r="AR570" s="211">
        <f t="shared" si="83"/>
        <v>0</v>
      </c>
    </row>
    <row r="571" spans="1:44" s="50" customFormat="1" ht="31.9" hidden="1" customHeight="1">
      <c r="A571" s="197"/>
      <c r="B571" s="951"/>
      <c r="C571" s="954"/>
      <c r="D571" s="957"/>
      <c r="E571" s="939"/>
      <c r="F571" s="238" t="str">
        <f ca="1">IF(B561="Лікар-педіатр",Законод!$I$17,IF(B561="Лікар загальної практики - сімейний лікар",Законод!$I$21,IF(B561="Лікар-терапевт",Законод!$I$25,"х")))</f>
        <v>х</v>
      </c>
      <c r="G571" s="935" t="s">
        <v>423</v>
      </c>
      <c r="H571" s="936"/>
      <c r="I571" s="936"/>
      <c r="J571" s="936"/>
      <c r="K571" s="937"/>
      <c r="L571" s="196">
        <f ca="1">IF($B$561="Лікар загальної практики - сімейний лікар",IF(L565&lt;Законод!$C$22,0,(IF(AND(L565&gt;=Законод!$I$22,L565&lt;=Законод!$I$23),L565-Законод!$H$23,IF('01_Доходи'!L565&gt;=Законод!$I$22,Законод!$I$24,0)))),IF($B$561="Лікар-педіатр",IF(L565&lt;Законод!$C$18,0,(IF(AND(L565&gt;=Законод!$I$18,L565&lt;=Законод!$I$19),L565-Законод!$H$19,IF('01_Доходи'!L565&gt;=Законод!$I$18,Законод!$H$20,0)))),IF($B$561="Лікар-терапевт",IF(L565&lt;Законод!$C$26,0,(IF(AND(L565&gt;=Законод!$I$26,L565&lt;=Законод!$I$27),L565-Законод!$H$27,IF('01_Доходи'!L565&gt;=Законод!$I$26,Законод!$H$28,0)))),0)))</f>
        <v>0</v>
      </c>
      <c r="M571" s="942"/>
      <c r="N571" s="935" t="s">
        <v>423</v>
      </c>
      <c r="O571" s="936"/>
      <c r="P571" s="936"/>
      <c r="Q571" s="936"/>
      <c r="R571" s="937"/>
      <c r="S571" s="196">
        <f ca="1">IF($B$561="Лікар загальної практики - сімейний лікар",IF(S565&lt;Законод!$C$22,0,(IF(AND(S565&gt;=Законод!$I$22,S565&lt;=Законод!$I$23),S565-Законод!$H$23,IF('01_Доходи'!S565&gt;=Законод!$I$22,Законод!$I$24,0)))),IF($B$561="Лікар-педіатр",IF(S565&lt;Законод!$C$18,0,(IF(AND(S565&gt;=Законод!$I$18,S565&lt;=Законод!$I$19),S565-Законод!$H$19,IF('01_Доходи'!S565&gt;=Законод!$I$18,Законод!$H$20,0)))),IF($B$561="Лікар-терапевт",IF(S565&lt;Законод!$C$26,0,(IF(AND(S565&gt;=Законод!$I$26,S565&lt;=Законод!$I$27),S565-Законод!$H$27,IF('01_Доходи'!S565&gt;=Законод!$I$26,Законод!$H$28,0)))),0)))</f>
        <v>0</v>
      </c>
      <c r="T571" s="942"/>
      <c r="U571" s="935" t="s">
        <v>423</v>
      </c>
      <c r="V571" s="936"/>
      <c r="W571" s="936"/>
      <c r="X571" s="936"/>
      <c r="Y571" s="937"/>
      <c r="Z571" s="196">
        <f ca="1">IF($B$561="Лікар загальної практики - сімейний лікар",IF(Z565&lt;Законод!$C$22,0,(IF(AND(Z565&gt;=Законод!$I$22,Z565&lt;=Законод!$I$23),Z565-Законод!$H$23,IF('01_Доходи'!Z565&gt;=Законод!$I$22,Законод!$I$24,0)))),IF($B$561="Лікар-педіатр",IF(Z565&lt;Законод!$C$18,0,(IF(AND(Z565&gt;=Законод!$I$18,Z565&lt;=Законод!$I$19),Z565-Законод!$H$19,IF('01_Доходи'!Z565&gt;=Законод!$I$18,Законод!$H$20,0)))),IF($B$561="Лікар-терапевт",IF(Z565&lt;Законод!$C$26,0,(IF(AND(Z565&gt;=Законод!$I$26,Z565&lt;=Законод!$I$27),Z565-Законод!$H$27,IF('01_Доходи'!Z565&gt;=Законод!$I$26,Законод!$H$28,0)))),0)))</f>
        <v>0</v>
      </c>
      <c r="AA571" s="942"/>
      <c r="AB571" s="935" t="s">
        <v>423</v>
      </c>
      <c r="AC571" s="936"/>
      <c r="AD571" s="936"/>
      <c r="AE571" s="936"/>
      <c r="AF571" s="937"/>
      <c r="AG571" s="196">
        <f ca="1">IF($B$561="Лікар загальної практики - сімейний лікар",IF(AG565&lt;Законод!$C$22,0,(IF(AND(AG565&gt;=Законод!$I$22,AG565&lt;=Законод!$I$23),AG565-Законод!$H$23,IF('01_Доходи'!AG565&gt;=Законод!$I$22,Законод!$I$24,0)))),IF($B$561="Лікар-педіатр",IF(AG565&lt;Законод!$C$18,0,(IF(AND(AG565&gt;=Законод!$I$18,AG565&lt;=Законод!$I$19),AG565-Законод!$H$19,IF('01_Доходи'!AG565&gt;=Законод!$I$18,Законод!$H$20,0)))),IF($B$561="Лікар-терапевт",IF(AG565&lt;Законод!$C$26,0,(IF(AND(AG565&gt;=Законод!$I$26,AG565&lt;=Законод!$I$27),AG565-Законод!$H$27,IF('01_Доходи'!AG565&gt;=Законод!$I$26,Законод!$H$28,0)))),0)))</f>
        <v>0</v>
      </c>
      <c r="AH571" s="942"/>
      <c r="AI571" s="201"/>
      <c r="AJ571" s="945"/>
      <c r="AK571" s="960"/>
      <c r="AL571" s="960"/>
      <c r="AM571" s="927"/>
      <c r="AN571" s="210">
        <f ca="1">IF(B561="Лікар загальної практики - сімейний лікар",L571*Законод!$C$9/4*Законод!$I$16,IF(B561="Лікар-педіатр",L571*Законод!$C$9/4*Законод!$I$16,IF(B561="Лікар-терапевт",L571*Законод!$C$9/4*Законод!$I$16,0)))</f>
        <v>0</v>
      </c>
      <c r="AO571" s="210">
        <f ca="1">IF(B561="Лікар загальної практики - сімейний лікар",S571*Законод!$C$9/4*Законод!$I$16,IF(B561="Лікар-педіатр",S571*Законод!$C$9/4*Законод!$I$16,IF(B561="Лікар-терапевт",S571*Законод!$C$9/4*Законод!$I$16,0)))</f>
        <v>0</v>
      </c>
      <c r="AP571" s="210">
        <f ca="1">IF(B561="Лікар загальної практики - сімейний лікар",Z571*Законод!$C$9/4*Законод!$I$16,IF(B561="Лікар-педіатр",Z571*Законод!$C$9/4*Законод!$I$16,IF(B561="Лікар-терапевт",Z571*Законод!$C$9/4*Законод!$I$16,0)))</f>
        <v>0</v>
      </c>
      <c r="AQ571" s="210">
        <f ca="1">IF(B561="Лікар загальної практики - сімейний лікар",AG571*Законод!$C$9/4*Законод!$I$16,IF(B561="Лікар-педіатр",AG571*Законод!$C$9/4*Законод!$I$16,IF(B561="Лікар-терапевт",AG571*Законод!$C$9/4*Законод!$I$16,0)))</f>
        <v>0</v>
      </c>
      <c r="AR571" s="211">
        <f t="shared" si="83"/>
        <v>0</v>
      </c>
    </row>
    <row r="572" spans="1:44" s="218" customFormat="1" ht="31.9" hidden="1" customHeight="1" thickBot="1">
      <c r="A572" s="213"/>
      <c r="B572" s="952"/>
      <c r="C572" s="955"/>
      <c r="D572" s="958"/>
      <c r="E572" s="940"/>
      <c r="F572" s="239" t="str">
        <f ca="1">IF(B561="Лікар-педіатр",Законод!$J$17,IF(B561="Лікар загальної практики - сімейний лікар",Законод!$J$21,IF(B561="Лікар-терапевт",Законод!$J$25,"х")))</f>
        <v>х</v>
      </c>
      <c r="G572" s="932" t="s">
        <v>423</v>
      </c>
      <c r="H572" s="933"/>
      <c r="I572" s="933"/>
      <c r="J572" s="933"/>
      <c r="K572" s="934"/>
      <c r="L572" s="196">
        <f ca="1">IF($B$561="Лікар загальної практики - сімейний лікар",IF(L565&gt;=Законод!$J$22,'01_Доходи'!L565-('01_Доходи'!L566+'01_Доходи'!L567+'01_Доходи'!L568+'01_Доходи'!L569+'01_Доходи'!L570+'01_Доходи'!L571),0),IF($B$561="Лікар-педіатр",IF(L565&gt;=Законод!$J$18,'01_Доходи'!L565-('01_Доходи'!L566+'01_Доходи'!L567+'01_Доходи'!L568+'01_Доходи'!L569+'01_Доходи'!L570+'01_Доходи'!L571),0),IF($B$561="Лікар-терапевт",IF('01_Доходи'!L565&gt;=Законод!$J$26,L565-Законод!$I$27,0),0)))</f>
        <v>0</v>
      </c>
      <c r="M572" s="943"/>
      <c r="N572" s="932" t="s">
        <v>423</v>
      </c>
      <c r="O572" s="933"/>
      <c r="P572" s="933"/>
      <c r="Q572" s="933"/>
      <c r="R572" s="934"/>
      <c r="S572" s="196">
        <f ca="1">IF($B$561="Лікар загальної практики - сімейний лікар",IF(S565&gt;=Законод!$J$22,'01_Доходи'!S565-('01_Доходи'!S566+'01_Доходи'!S567+'01_Доходи'!S568+'01_Доходи'!S569+'01_Доходи'!S570+'01_Доходи'!S571),0),IF($B$561="Лікар-педіатр",IF(S565&gt;=Законод!$J$18,'01_Доходи'!S565-('01_Доходи'!S566+'01_Доходи'!S567+'01_Доходи'!S568+'01_Доходи'!S569+'01_Доходи'!S570+'01_Доходи'!S571),0),IF($B$561="Лікар-терапевт",IF('01_Доходи'!S565&gt;=Законод!$J$26,S565-Законод!$I$27,0),0)))</f>
        <v>0</v>
      </c>
      <c r="T572" s="943"/>
      <c r="U572" s="932" t="s">
        <v>423</v>
      </c>
      <c r="V572" s="933"/>
      <c r="W572" s="933"/>
      <c r="X572" s="933"/>
      <c r="Y572" s="934"/>
      <c r="Z572" s="196">
        <f ca="1">IF($B$561="Лікар загальної практики - сімейний лікар",IF(Z565&gt;=Законод!$J$22,'01_Доходи'!Z565-('01_Доходи'!Z566+'01_Доходи'!Z567+'01_Доходи'!Z568+'01_Доходи'!Z569+'01_Доходи'!Z570+'01_Доходи'!Z571),0),IF($B$561="Лікар-педіатр",IF(Z565&gt;=Законод!$J$18,'01_Доходи'!Z565-('01_Доходи'!Z566+'01_Доходи'!Z567+'01_Доходи'!Z568+'01_Доходи'!Z569+'01_Доходи'!Z570+'01_Доходи'!Z571),0),IF($B$561="Лікар-терапевт",IF('01_Доходи'!Z565&gt;=Законод!$J$26,Z565-Законод!$I$27,0),0)))</f>
        <v>0</v>
      </c>
      <c r="AA572" s="943"/>
      <c r="AB572" s="932" t="s">
        <v>423</v>
      </c>
      <c r="AC572" s="933"/>
      <c r="AD572" s="933"/>
      <c r="AE572" s="933"/>
      <c r="AF572" s="934"/>
      <c r="AG572" s="196">
        <f ca="1">IF($B$561="Лікар загальної практики - сімейний лікар",IF(AG565&gt;=Законод!$J$22,'01_Доходи'!AG565-('01_Доходи'!AG566+'01_Доходи'!AG567+'01_Доходи'!AG568+'01_Доходи'!AG569+'01_Доходи'!AG570+'01_Доходи'!AG571),0),IF($B$561="Лікар-педіатр",IF(AG565&gt;=Законод!$J$18,'01_Доходи'!AG565-('01_Доходи'!AG566+'01_Доходи'!AG567+'01_Доходи'!AG568+'01_Доходи'!AG569+'01_Доходи'!AG570+'01_Доходи'!AG571),0),IF($B$561="Лікар-терапевт",IF('01_Доходи'!AG565&gt;=Законод!$J$26,AG565-Законод!$I$27,0),0)))</f>
        <v>0</v>
      </c>
      <c r="AH572" s="943"/>
      <c r="AI572" s="215"/>
      <c r="AJ572" s="946"/>
      <c r="AK572" s="961"/>
      <c r="AL572" s="961"/>
      <c r="AM572" s="928"/>
      <c r="AN572" s="216">
        <f ca="1">IF(B561="Лікар загальної практики - сімейний лікар",L572*Законод!$C$9/4*Законод!$J$16,IF(B561="Лікар-педіатр",L572*Законод!$C$9/4*Законод!$J$16,IF(B561="Лікар-терапевт",L572*Законод!$C$9/4*Законод!$J$16,0)))</f>
        <v>0</v>
      </c>
      <c r="AO572" s="216">
        <f ca="1">IF(B561="Лікар загальної практики - сімейний лікар",S572*Законод!$C$9/4*Законод!$J$16,IF(B561="Лікар-педіатр",S572*Законод!$C$9/4*Законод!$J$16,IF(B561="Лікар-терапевт",S572*Законод!$C$9/4*Законод!$J$16,0)))</f>
        <v>0</v>
      </c>
      <c r="AP572" s="216">
        <f ca="1">IF(B561="Лікар загальної практики - сімейний лікар",S572*Законод!$C$9/4*Законод!$J$16,IF(B561="Лікар-педіатр",S572*Законод!$C$9/4*Законод!$J$16,IF(B561="Лікар-терапевт",S572*Законод!$C$9/4*Законод!$J$16,0)))</f>
        <v>0</v>
      </c>
      <c r="AQ572" s="216">
        <f ca="1">IF(B561="Лікар загальної практики - сімейний лікар",AG572*Законод!$C$9/4*Законод!$J$16,IF(B561="Лікар-педіатр",AG572*Законод!$C$9/4*Законод!$J$16,IF(B561="Лікар-терапевт",AG572*Законод!$C$9/4*Законод!$J$16,0)))</f>
        <v>0</v>
      </c>
      <c r="AR572" s="217">
        <f t="shared" si="83"/>
        <v>0</v>
      </c>
    </row>
    <row r="573" spans="1:44" s="247" customFormat="1" ht="23.45" hidden="1" customHeight="1" thickBot="1">
      <c r="A573" s="243"/>
      <c r="B573" s="244"/>
      <c r="C573" s="244"/>
      <c r="D573" s="244"/>
      <c r="E573" s="244"/>
      <c r="F573" s="245"/>
      <c r="G573" s="246"/>
      <c r="H573" s="246"/>
      <c r="L573" s="248"/>
      <c r="S573" s="248"/>
      <c r="Z573" s="248"/>
      <c r="AG573" s="248"/>
      <c r="AM573" s="249"/>
      <c r="AR573" s="250"/>
    </row>
    <row r="574" spans="1:44" s="191" customFormat="1" ht="24.6" hidden="1" customHeight="1">
      <c r="A574" s="194">
        <f>A561+1</f>
        <v>42</v>
      </c>
      <c r="B574" s="950"/>
      <c r="C574" s="953"/>
      <c r="D574" s="956"/>
      <c r="E574" s="938"/>
      <c r="F574" s="234" t="s">
        <v>659</v>
      </c>
      <c r="G574" s="196">
        <f>IF($B$574="Лікар-педіатр",G577*L574,IF($B$574="Лікар-терапевт","х",IF($B$574="Лікар загальної практики - сімейний лікар",G577*L574,0)))</f>
        <v>0</v>
      </c>
      <c r="H574" s="196">
        <f>IF($B$574="Лікар-педіатр",H577*L574,IF($B$574="Лікар-терапевт","х",IF($B$574="Лікар загальної практики - сімейний лікар",H577*L574,0)))</f>
        <v>0</v>
      </c>
      <c r="I574" s="196">
        <f>IF($B$574="Лікар-педіатр","x",IF($B$574="Лікар-терапевт",I577*L574,IF($B$574="Лікар загальної практики - сімейний лікар",I577*L574,0)))</f>
        <v>0</v>
      </c>
      <c r="J574" s="196">
        <f>IF($B$574="Лікар-педіатр","x",IF($B$574="Лікар-терапевт",J577*L574,IF($B$574="Лікар загальної практики - сімейний лікар",J577*L574,0)))</f>
        <v>0</v>
      </c>
      <c r="K574" s="196">
        <f>IF($B$574="Лікар-педіатр","x",IF($B$574="Лікар-терапевт",K577*L574,IF($B$574="Лікар загальної практики - сімейний лікар",K577*L574,0)))</f>
        <v>0</v>
      </c>
      <c r="L574" s="557"/>
      <c r="M574" s="941"/>
      <c r="N574" s="196">
        <f>IF($B$574="Лікар-педіатр",N577*S574,IF($B$574="Лікар-терапевт","х",IF($B$574="Лікар загальної практики - сімейний лікар",N577*S574,0)))</f>
        <v>0</v>
      </c>
      <c r="O574" s="196">
        <f>IF($B$574="Лікар-педіатр",O577*S574,IF($B$574="Лікар-терапевт","х",IF($B$574="Лікар загальної практики - сімейний лікар",O577*S574,0)))</f>
        <v>0</v>
      </c>
      <c r="P574" s="196">
        <f>IF($B$574="Лікар-педіатр","x",IF($B$574="Лікар-терапевт",P577*S574,IF($B$574="Лікар загальної практики - сімейний лікар",P577*S574,0)))</f>
        <v>0</v>
      </c>
      <c r="Q574" s="196">
        <f>IF($B$574="Лікар-педіатр","x",IF($B$574="Лікар-терапевт",Q577*S574,IF($B$574="Лікар загальної практики - сімейний лікар",Q577*S574,0)))</f>
        <v>0</v>
      </c>
      <c r="R574" s="196">
        <f>IF($B$574="Лікар-педіатр","x",IF($B$574="Лікар-терапевт",R577*S574,IF($B$574="Лікар загальної практики - сімейний лікар",R577*S574,0)))</f>
        <v>0</v>
      </c>
      <c r="S574" s="557"/>
      <c r="T574" s="941"/>
      <c r="U574" s="196">
        <f>IF($B$574="Лікар-педіатр",U577*Z574,IF($B$574="Лікар-терапевт","х",IF($B$574="Лікар загальної практики - сімейний лікар",U577*Z574,0)))</f>
        <v>0</v>
      </c>
      <c r="V574" s="196">
        <f>IF($B$574="Лікар-педіатр",V577*Z574,IF($B$574="Лікар-терапевт","х",IF($B$574="Лікар загальної практики - сімейний лікар",V577*Z574,0)))</f>
        <v>0</v>
      </c>
      <c r="W574" s="196">
        <f>IF($B$574="Лікар-педіатр","x",IF($B$574="Лікар-терапевт",W577*Z574,IF($B$574="Лікар загальної практики - сімейний лікар",W577*Z574,0)))</f>
        <v>0</v>
      </c>
      <c r="X574" s="196">
        <f>IF($B$574="Лікар-педіатр","x",IF($B$574="Лікар-терапевт",X577*Z574,IF($B$574="Лікар загальної практики - сімейний лікар",X577*Z574,0)))</f>
        <v>0</v>
      </c>
      <c r="Y574" s="196">
        <f>IF($B$574="Лікар-педіатр","x",IF($B$574="Лікар-терапевт",Y577*Z574,IF($B$574="Лікар загальної практики - сімейний лікар",Y577*Z574,0)))</f>
        <v>0</v>
      </c>
      <c r="Z574" s="557"/>
      <c r="AA574" s="941"/>
      <c r="AB574" s="196">
        <f>IF($B$574="Лікар-педіатр",AB577*AG574,IF($B$574="Лікар-терапевт","х",IF($B$574="Лікар загальної практики - сімейний лікар",AB577*AG574,0)))</f>
        <v>0</v>
      </c>
      <c r="AC574" s="196">
        <f>IF($B$574="Лікар-педіатр",AC577*AG574,IF($B$574="Лікар-терапевт","х",IF($B$574="Лікар загальної практики - сімейний лікар",AC577*AG574,0)))</f>
        <v>0</v>
      </c>
      <c r="AD574" s="196">
        <f>IF($B$574="Лікар-педіатр","x",IF($B$574="Лікар-терапевт",AD577*AG574,IF($B$574="Лікар загальної практики - сімейний лікар",AD577*AG574,0)))</f>
        <v>0</v>
      </c>
      <c r="AE574" s="196">
        <f>IF($B$574="Лікар-педіатр","x",IF($B$574="Лікар-терапевт",AE577*AG574,IF($B$574="Лікар загальної практики - сімейний лікар",AE577*AG574,0)))</f>
        <v>0</v>
      </c>
      <c r="AF574" s="196">
        <f>IF($B$574="Лікар-педіатр","x",IF($B$574="Лікар-терапевт",AF577*AG574,IF($B$574="Лікар загальної практики - сімейний лікар",AF577*AG574,0)))</f>
        <v>0</v>
      </c>
      <c r="AG574" s="557"/>
      <c r="AH574" s="941"/>
      <c r="AI574" s="540">
        <f>A574</f>
        <v>42</v>
      </c>
      <c r="AJ574" s="944">
        <f>B574</f>
        <v>0</v>
      </c>
      <c r="AK574" s="959">
        <f>C574</f>
        <v>0</v>
      </c>
      <c r="AL574" s="959">
        <f>D574</f>
        <v>0</v>
      </c>
      <c r="AM574" s="929" t="s">
        <v>79</v>
      </c>
      <c r="AN574" s="947">
        <f>SUM(AN579:AN585)</f>
        <v>0</v>
      </c>
      <c r="AO574" s="947">
        <f>SUM(AO579:AO585)</f>
        <v>0</v>
      </c>
      <c r="AP574" s="947">
        <f>SUM(AP579:AP585)</f>
        <v>0</v>
      </c>
      <c r="AQ574" s="947">
        <f>SUM(AQ579:AQ585)</f>
        <v>0</v>
      </c>
      <c r="AR574" s="962">
        <f>SUM(AN574:AQ578)</f>
        <v>0</v>
      </c>
    </row>
    <row r="575" spans="1:44" s="50" customFormat="1" ht="28.15" hidden="1" customHeight="1">
      <c r="A575" s="197"/>
      <c r="B575" s="951"/>
      <c r="C575" s="954"/>
      <c r="D575" s="957"/>
      <c r="E575" s="939"/>
      <c r="F575" s="234" t="s">
        <v>660</v>
      </c>
      <c r="G575" s="196">
        <f>IF($B$574="Лікар-педіатр",G577*L575,IF($B$574="Лікар-терапевт","х",IF($B$574="Лікар загальної практики - сімейний лікар",G577*L575,0)))</f>
        <v>0</v>
      </c>
      <c r="H575" s="196">
        <f>IF($B$574="Лікар-педіатр",H577*L575,IF($B$574="Лікар-терапевт","х",IF($B$574="Лікар загальної практики - сімейний лікар",H577*L575,0)))</f>
        <v>0</v>
      </c>
      <c r="I575" s="196">
        <f>IF($B$574="Лікар-педіатр","x",IF($B$574="Лікар-терапевт",I577*L575,IF($B$574="Лікар загальної практики - сімейний лікар",I577*L575,0)))</f>
        <v>0</v>
      </c>
      <c r="J575" s="196">
        <f>IF($B$574="Лікар-педіатр","x",IF($B$574="Лікар-терапевт",J577*L575,IF($B$574="Лікар загальної практики - сімейний лікар",J577*L575,0)))</f>
        <v>0</v>
      </c>
      <c r="K575" s="196">
        <f>IF($B$574="Лікар-педіатр","x",IF($B$574="Лікар-терапевт",K577*L575,IF($B$574="Лікар загальної практики - сімейний лікар",K577*L575,0)))</f>
        <v>0</v>
      </c>
      <c r="L575" s="557"/>
      <c r="M575" s="942"/>
      <c r="N575" s="196">
        <f>IF($B$574="Лікар-педіатр",N577*S575,IF($B$574="Лікар-терапевт","х",IF($B$574="Лікар загальної практики - сімейний лікар",N577*S575,0)))</f>
        <v>0</v>
      </c>
      <c r="O575" s="196">
        <f>IF($B$574="Лікар-педіатр",O577*S575,IF($B$574="Лікар-терапевт","х",IF($B$574="Лікар загальної практики - сімейний лікар",O577*S575,0)))</f>
        <v>0</v>
      </c>
      <c r="P575" s="196">
        <f>IF($B$574="Лікар-педіатр","x",IF($B$574="Лікар-терапевт",P577*S575,IF($B$574="Лікар загальної практики - сімейний лікар",P577*S575,0)))</f>
        <v>0</v>
      </c>
      <c r="Q575" s="196">
        <f>IF($B$574="Лікар-педіатр","x",IF($B$574="Лікар-терапевт",Q577*S575,IF($B$574="Лікар загальної практики - сімейний лікар",Q577*S575,0)))</f>
        <v>0</v>
      </c>
      <c r="R575" s="196">
        <f>IF($B$574="Лікар-педіатр","x",IF($B$574="Лікар-терапевт",R577*S575,IF($B$574="Лікар загальної практики - сімейний лікар",R577*S575,0)))</f>
        <v>0</v>
      </c>
      <c r="S575" s="557"/>
      <c r="T575" s="942"/>
      <c r="U575" s="196">
        <f>IF($B$574="Лікар-педіатр",U577*Z575,IF($B$574="Лікар-терапевт","х",IF($B$574="Лікар загальної практики - сімейний лікар",U577*Z575,0)))</f>
        <v>0</v>
      </c>
      <c r="V575" s="196">
        <f>IF($B$574="Лікар-педіатр",V577*Z575,IF($B$574="Лікар-терапевт","х",IF($B$574="Лікар загальної практики - сімейний лікар",V577*Z575,0)))</f>
        <v>0</v>
      </c>
      <c r="W575" s="196">
        <f>IF($B$574="Лікар-педіатр","x",IF($B$574="Лікар-терапевт",W577*Z575,IF($B$574="Лікар загальної практики - сімейний лікар",W577*Z575,0)))</f>
        <v>0</v>
      </c>
      <c r="X575" s="196">
        <f>IF($B$574="Лікар-педіатр","x",IF($B$574="Лікар-терапевт",X577*Z575,IF($B$574="Лікар загальної практики - сімейний лікар",X577*Z575,0)))</f>
        <v>0</v>
      </c>
      <c r="Y575" s="196">
        <f>IF($B$574="Лікар-педіатр","x",IF($B$574="Лікар-терапевт",Y577*Z575,IF($B$574="Лікар загальної практики - сімейний лікар",Y577*Z575,0)))</f>
        <v>0</v>
      </c>
      <c r="Z575" s="557"/>
      <c r="AA575" s="942"/>
      <c r="AB575" s="196">
        <f>IF($B$574="Лікар-педіатр",AB577*AG575,IF($B$574="Лікар-терапевт","х",IF($B$574="Лікар загальної практики - сімейний лікар",AB577*AG575,0)))</f>
        <v>0</v>
      </c>
      <c r="AC575" s="196">
        <f>IF($B$574="Лікар-педіатр",AC577*AG575,IF($B$574="Лікар-терапевт","х",IF($B$574="Лікар загальної практики - сімейний лікар",AC577*AG575,0)))</f>
        <v>0</v>
      </c>
      <c r="AD575" s="196">
        <f>IF($B$574="Лікар-педіатр","x",IF($B$574="Лікар-терапевт",AD577*AG575,IF($B$574="Лікар загальної практики - сімейний лікар",AD577*AG575,0)))</f>
        <v>0</v>
      </c>
      <c r="AE575" s="196">
        <f>IF($B$574="Лікар-педіатр","x",IF($B$574="Лікар-терапевт",AE577*AG575,IF($B$574="Лікар загальної практики - сімейний лікар",AE577*AG575,0)))</f>
        <v>0</v>
      </c>
      <c r="AF575" s="196">
        <f>IF($B$574="Лікар-педіатр","x",IF($B$574="Лікар-терапевт",AF577*AG575,IF($B$574="Лікар загальної практики - сімейний лікар",AF577*AG575,0)))</f>
        <v>0</v>
      </c>
      <c r="AG575" s="557"/>
      <c r="AH575" s="942"/>
      <c r="AI575" s="198"/>
      <c r="AJ575" s="945"/>
      <c r="AK575" s="960"/>
      <c r="AL575" s="960"/>
      <c r="AM575" s="930"/>
      <c r="AN575" s="948"/>
      <c r="AO575" s="948"/>
      <c r="AP575" s="948"/>
      <c r="AQ575" s="948"/>
      <c r="AR575" s="963"/>
    </row>
    <row r="576" spans="1:44" s="90" customFormat="1" ht="31.15" hidden="1" customHeight="1">
      <c r="A576" s="240"/>
      <c r="B576" s="951"/>
      <c r="C576" s="954"/>
      <c r="D576" s="957"/>
      <c r="E576" s="939"/>
      <c r="F576" s="241" t="s">
        <v>661</v>
      </c>
      <c r="G576" s="199">
        <f>IF(B574="Лікар загальної практики - сімейний лікар"," ",IF(B574="Лікар-педіатр"," ",IF(B574="Лікар-терапевт","х",0)))</f>
        <v>0</v>
      </c>
      <c r="H576" s="199">
        <f>IF(B574="Лікар загальної практики - сімейний лікар"," ",IF(B574="Лікар-педіатр"," ",IF(B574="Лікар-терапевт","х",0)))</f>
        <v>0</v>
      </c>
      <c r="I576" s="199">
        <f>IF(B574="Лікар загальної практики - сімейний лікар"," ",IF(B574="Лікар-педіатр","х",IF(B574="Лікар-терапевт"," ",0)))</f>
        <v>0</v>
      </c>
      <c r="J576" s="199">
        <f>IF(B574="Лікар загальної практики - сімейний лікар"," ",IF(B574="Лікар-педіатр","х",IF(B574="Лікар-терапевт"," ",0)))</f>
        <v>0</v>
      </c>
      <c r="K576" s="199">
        <f>IF(B574="Лікар загальної практики - сімейний лікар"," ",IF(B574="Лікар-педіатр","х",IF(B574="Лікар-терапевт"," ",0)))</f>
        <v>0</v>
      </c>
      <c r="L576" s="200">
        <f>SUM(G576:K576)</f>
        <v>0</v>
      </c>
      <c r="M576" s="942"/>
      <c r="N576" s="199">
        <f>IF(B574="Лікар загальної практики - сімейний лікар"," ",IF(B574="Лікар-педіатр"," ",IF(B574="Лікар-терапевт","х",0)))</f>
        <v>0</v>
      </c>
      <c r="O576" s="199">
        <f>IF(B574="Лікар загальної практики - сімейний лікар"," ",IF(B574="Лікар-педіатр"," ",IF(B574="Лікар-терапевт","х",0)))</f>
        <v>0</v>
      </c>
      <c r="P576" s="199">
        <f>IF(B574="Лікар загальної практики - сімейний лікар"," ",IF(B574="Лікар-педіатр","х",IF(B574="Лікар-терапевт"," ",0)))</f>
        <v>0</v>
      </c>
      <c r="Q576" s="199">
        <f>IF(B574="Лікар загальної практики - сімейний лікар"," ",IF(B574="Лікар-педіатр","х",IF(B574="Лікар-терапевт"," ",0)))</f>
        <v>0</v>
      </c>
      <c r="R576" s="199">
        <f>IF(B574="Лікар загальної практики - сімейний лікар"," ",IF(B574="Лікар-педіатр","х",IF(B574="Лікар-терапевт"," ",0)))</f>
        <v>0</v>
      </c>
      <c r="S576" s="200">
        <f>SUM(N576:R576)</f>
        <v>0</v>
      </c>
      <c r="T576" s="942"/>
      <c r="U576" s="199">
        <f>IF(B574="Лікар загальної практики - сімейний лікар"," ",IF(B574="Лікар-педіатр"," ",IF(B574="Лікар-терапевт","х",0)))</f>
        <v>0</v>
      </c>
      <c r="V576" s="199">
        <f>IF(B574="Лікар загальної практики - сімейний лікар"," ",IF(B574="Лікар-педіатр"," ",IF(B574="Лікар-терапевт","х",0)))</f>
        <v>0</v>
      </c>
      <c r="W576" s="199">
        <f>IF(B574="Лікар загальної практики - сімейний лікар"," ",IF(B574="Лікар-педіатр","х",IF(B574="Лікар-терапевт"," ",0)))</f>
        <v>0</v>
      </c>
      <c r="X576" s="199">
        <f>IF(B574="Лікар загальної практики - сімейний лікар"," ",IF(B574="Лікар-педіатр","х",IF(B574="Лікар-терапевт"," ",0)))</f>
        <v>0</v>
      </c>
      <c r="Y576" s="199">
        <f>IF(B574="Лікар загальної практики - сімейний лікар"," ",IF(B574="Лікар-педіатр","х",IF(B574="Лікар-терапевт"," ",0)))</f>
        <v>0</v>
      </c>
      <c r="Z576" s="200">
        <f>SUM(U576:Y576)</f>
        <v>0</v>
      </c>
      <c r="AA576" s="942"/>
      <c r="AB576" s="199">
        <f>IF(B574="Лікар загальної практики - сімейний лікар"," ",IF(B574="Лікар-педіатр"," ",IF(B574="Лікар-терапевт","х",0)))</f>
        <v>0</v>
      </c>
      <c r="AC576" s="199">
        <f>IF(B574="Лікар загальної практики - сімейний лікар"," ",IF(B574="Лікар-педіатр"," ",IF(B574="Лікар-терапевт","х",0)))</f>
        <v>0</v>
      </c>
      <c r="AD576" s="199">
        <f>IF(B574="Лікар загальної практики - сімейний лікар"," ",IF(B574="Лікар-педіатр","х",IF(B574="Лікар-терапевт"," ",0)))</f>
        <v>0</v>
      </c>
      <c r="AE576" s="199">
        <f>IF(B574="Лікар загальної практики - сімейний лікар"," ",IF(B574="Лікар-педіатр","х",IF(B574="Лікар-терапевт"," ",0)))</f>
        <v>0</v>
      </c>
      <c r="AF576" s="199">
        <f>IF(B574="Лікар загальної практики - сімейний лікар"," ",IF(B574="Лікар-педіатр","х",IF(B574="Лікар-терапевт"," ",0)))</f>
        <v>0</v>
      </c>
      <c r="AG576" s="200">
        <f>SUM(AB576:AF576)</f>
        <v>0</v>
      </c>
      <c r="AH576" s="942"/>
      <c r="AI576" s="242"/>
      <c r="AJ576" s="945"/>
      <c r="AK576" s="960"/>
      <c r="AL576" s="960"/>
      <c r="AM576" s="930"/>
      <c r="AN576" s="948"/>
      <c r="AO576" s="948"/>
      <c r="AP576" s="948"/>
      <c r="AQ576" s="948"/>
      <c r="AR576" s="963"/>
    </row>
    <row r="577" spans="1:44" s="50" customFormat="1" ht="31.9" hidden="1" customHeight="1" thickBot="1">
      <c r="A577" s="197"/>
      <c r="B577" s="951"/>
      <c r="C577" s="954"/>
      <c r="D577" s="957"/>
      <c r="E577" s="939"/>
      <c r="F577" s="236" t="s">
        <v>426</v>
      </c>
      <c r="G577" s="203">
        <f>IF($B$574="Лікар-педіатр",G576/L576,IF($B$574="Лікар-терапевт","х",IF($B$574="Лікар загальної практики - сімейний лікар",G576/L576,0)))</f>
        <v>0</v>
      </c>
      <c r="H577" s="203">
        <f>IF($B$574="Лікар-педіатр",H576/L576,IF($B$574="Лікар-терапевт","х",IF($B$574="Лікар загальної практики - сімейний лікар",H576/L576,0)))</f>
        <v>0</v>
      </c>
      <c r="I577" s="203">
        <f>IF($B$574="Лікар-педіатр","x",IF($B$574="Лікар-терапевт",I576/L576,IF($B$574="Лікар загальної практики - сімейний лікар",I576/L576,0)))</f>
        <v>0</v>
      </c>
      <c r="J577" s="203">
        <f>IF($B$574="Лікар-педіатр","x",IF($B$574="Лікар-терапевт",J576/L576,IF($B$574="Лікар загальної практики - сімейний лікар",J576/L576,0)))</f>
        <v>0</v>
      </c>
      <c r="K577" s="203">
        <f>IF($B$574="Лікар-педіатр","x",IF($B$574="Лікар-терапевт",K576/L576,IF($B$574="Лікар загальної практики - сімейний лікар",K576/L576,0)))</f>
        <v>0</v>
      </c>
      <c r="L577" s="203">
        <f>SUM(G577:K577)</f>
        <v>0</v>
      </c>
      <c r="M577" s="942"/>
      <c r="N577" s="203">
        <f>IF($B$574="Лікар-педіатр",N576/S576,IF($B$574="Лікар-терапевт","х",IF($B$574="Лікар загальної практики - сімейний лікар",N576/S576,0)))</f>
        <v>0</v>
      </c>
      <c r="O577" s="203">
        <f>IF($B$574="Лікар-педіатр",O576/S576,IF($B$574="Лікар-терапевт","х",IF($B$574="Лікар загальної практики - сімейний лікар",O576/S576,0)))</f>
        <v>0</v>
      </c>
      <c r="P577" s="203">
        <f>IF($B$574="Лікар-педіатр","x",IF($B$574="Лікар-терапевт",P576/S576,IF($B$574="Лікар загальної практики - сімейний лікар",P576/S576,0)))</f>
        <v>0</v>
      </c>
      <c r="Q577" s="203">
        <f>IF($B$574="Лікар-педіатр","x",IF($B$574="Лікар-терапевт",Q576/S576,IF($B$574="Лікар загальної практики - сімейний лікар",Q576/S576,0)))</f>
        <v>0</v>
      </c>
      <c r="R577" s="203">
        <f>IF($B$574="Лікар-педіатр","x",IF($B$574="Лікар-терапевт",R576/S576,IF($B$574="Лікар загальної практики - сімейний лікар",R576/S576,0)))</f>
        <v>0</v>
      </c>
      <c r="S577" s="203">
        <f>SUM(N577:R577)</f>
        <v>0</v>
      </c>
      <c r="T577" s="942"/>
      <c r="U577" s="203">
        <f>IF($B$574="Лікар-педіатр",U576/Z576,IF($B$574="Лікар-терапевт","х",IF($B$574="Лікар загальної практики - сімейний лікар",U576/Z576,0)))</f>
        <v>0</v>
      </c>
      <c r="V577" s="203">
        <f>IF($B$574="Лікар-педіатр",V576/Z576,IF($B$574="Лікар-терапевт","х",IF($B$574="Лікар загальної практики - сімейний лікар",V576/Z576,0)))</f>
        <v>0</v>
      </c>
      <c r="W577" s="203">
        <f>IF($B$574="Лікар-педіатр","x",IF($B$574="Лікар-терапевт",W576/Z576,IF($B$574="Лікар загальної практики - сімейний лікар",W576/Z576,0)))</f>
        <v>0</v>
      </c>
      <c r="X577" s="203">
        <f>IF($B$574="Лікар-педіатр","x",IF($B$574="Лікар-терапевт",X576/Z576,IF($B$574="Лікар загальної практики - сімейний лікар",X576/Z576,0)))</f>
        <v>0</v>
      </c>
      <c r="Y577" s="203">
        <f>IF($B$574="Лікар-педіатр","x",IF($B$574="Лікар-терапевт",Y576/Z576,IF($B$574="Лікар загальної практики - сімейний лікар",Y576/Z576,0)))</f>
        <v>0</v>
      </c>
      <c r="Z577" s="203">
        <f>SUM(U577:Y577)</f>
        <v>0</v>
      </c>
      <c r="AA577" s="942"/>
      <c r="AB577" s="203">
        <f>IF($B$574="Лікар-педіатр",AB576/AG576,IF($B$574="Лікар-терапевт","х",IF($B$574="Лікар загальної практики - сімейний лікар",AB576/AG576,0)))</f>
        <v>0</v>
      </c>
      <c r="AC577" s="203">
        <f>IF($B$574="Лікар-педіатр",AC576/AG576,IF($B$574="Лікар-терапевт","х",IF($B$574="Лікар загальної практики - сімейний лікар",AC576/AG576,0)))</f>
        <v>0</v>
      </c>
      <c r="AD577" s="203">
        <f>IF($B$574="Лікар-педіатр","x",IF($B$574="Лікар-терапевт",AD576/AG576,IF($B$574="Лікар загальної практики - сімейний лікар",AD576/AG576,0)))</f>
        <v>0</v>
      </c>
      <c r="AE577" s="203">
        <f>IF($B$574="Лікар-педіатр","x",IF($B$574="Лікар-терапевт",AE576/AG576,IF($B$574="Лікар загальної практики - сімейний лікар",AE576/AG576,0)))</f>
        <v>0</v>
      </c>
      <c r="AF577" s="203">
        <f>IF($B$574="Лікар-педіатр","x",IF($B$574="Лікар-терапевт",AF576/AG576,IF($B$574="Лікар загальної практики - сімейний лікар",AF576/AG576,0)))</f>
        <v>0</v>
      </c>
      <c r="AG577" s="203">
        <f>SUM(AB577:AF577)</f>
        <v>0</v>
      </c>
      <c r="AH577" s="942"/>
      <c r="AI577" s="201"/>
      <c r="AJ577" s="945"/>
      <c r="AK577" s="960"/>
      <c r="AL577" s="960"/>
      <c r="AM577" s="930"/>
      <c r="AN577" s="948"/>
      <c r="AO577" s="948"/>
      <c r="AP577" s="948"/>
      <c r="AQ577" s="948"/>
      <c r="AR577" s="963"/>
    </row>
    <row r="578" spans="1:44" s="50" customFormat="1" ht="45" hidden="1" customHeight="1" thickBot="1">
      <c r="A578" s="197"/>
      <c r="B578" s="951"/>
      <c r="C578" s="954"/>
      <c r="D578" s="957"/>
      <c r="E578" s="939"/>
      <c r="F578" s="204" t="s">
        <v>662</v>
      </c>
      <c r="G578" s="205">
        <f>IF($B$574="Лікар загальної практики - сімейний лікар",AVERAGE(G574:G576),IF($B$574="Лікар-педіатр",AVERAGE(G574:G576),IF($B$574="Лікар-терапевт","х",0)))</f>
        <v>0</v>
      </c>
      <c r="H578" s="205">
        <f>IF($B$574="Лікар загальної практики - сімейний лікар",AVERAGE(H574:H576),IF($B$574="Лікар-педіатр",AVERAGE(H574:H576),IF($B$574="Лікар-терапевт","х",0)))</f>
        <v>0</v>
      </c>
      <c r="I578" s="205">
        <f>IF($B$574="Лікар загальної практики - сімейний лікар",AVERAGE(I574:I576),IF($B$574="Лікар-педіатр","x",IF($B$574="Лікар-терапевт",AVERAGE(I574:I576),0)))</f>
        <v>0</v>
      </c>
      <c r="J578" s="205">
        <f>IF($B$574="Лікар загальної практики - сімейний лікар",AVERAGE(J574:J576),IF($B$574="Лікар-педіатр","x",IF($B$574="Лікар-терапевт",AVERAGE(J574:J576),0)))</f>
        <v>0</v>
      </c>
      <c r="K578" s="205">
        <f>IF($B$574="Лікар загальної практики - сімейний лікар",AVERAGE(K574:K576),IF($B$574="Лікар-педіатр","x",IF($B$574="Лікар-терапевт",AVERAGE(K574:K576),0)))</f>
        <v>0</v>
      </c>
      <c r="L578" s="206">
        <f>SUM(G578:K578)</f>
        <v>0</v>
      </c>
      <c r="M578" s="942"/>
      <c r="N578" s="205">
        <f>IF($B$574="Лікар загальної практики - сімейний лікар",AVERAGE(N574:N576),IF($B$574="Лікар-педіатр",AVERAGE(N574:N576),IF($B$574="Лікар-терапевт","х",0)))</f>
        <v>0</v>
      </c>
      <c r="O578" s="205">
        <f>IF($B$574="Лікар загальної практики - сімейний лікар",AVERAGE(O574:O576),IF($B$574="Лікар-педіатр",AVERAGE(O574:O576),IF($B$574="Лікар-терапевт","х",0)))</f>
        <v>0</v>
      </c>
      <c r="P578" s="205">
        <f>IF($B$574="Лікар загальної практики - сімейний лікар",AVERAGE(P574:P576),IF($B$574="Лікар-педіатр","x",IF($B$574="Лікар-терапевт",AVERAGE(P574:P576),0)))</f>
        <v>0</v>
      </c>
      <c r="Q578" s="205">
        <f>IF($B$574="Лікар загальної практики - сімейний лікар",AVERAGE(Q574:Q576),IF($B$574="Лікар-педіатр","x",IF($B$574="Лікар-терапевт",AVERAGE(Q574:Q576),0)))</f>
        <v>0</v>
      </c>
      <c r="R578" s="205">
        <f>IF($B$574="Лікар загальної практики - сімейний лікар",AVERAGE(R574:R576),IF($B$574="Лікар-педіатр","x",IF($B$574="Лікар-терапевт",AVERAGE(R574:R576),0)))</f>
        <v>0</v>
      </c>
      <c r="S578" s="206">
        <f>SUM(N578:R578)</f>
        <v>0</v>
      </c>
      <c r="T578" s="942"/>
      <c r="U578" s="205">
        <f>IF($B$574="Лікар загальної практики - сімейний лікар",AVERAGE(U574:U576),IF($B$574="Лікар-педіатр",AVERAGE(U574:U576),IF($B$574="Лікар-терапевт","х",0)))</f>
        <v>0</v>
      </c>
      <c r="V578" s="205">
        <f>IF($B$574="Лікар загальної практики - сімейний лікар",AVERAGE(V574:V576),IF($B$574="Лікар-педіатр",AVERAGE(V574:V576),IF($B$574="Лікар-терапевт","х",0)))</f>
        <v>0</v>
      </c>
      <c r="W578" s="205">
        <f>IF($B$574="Лікар загальної практики - сімейний лікар",AVERAGE(W574:W576),IF($B$574="Лікар-педіатр","x",IF($B$574="Лікар-терапевт",AVERAGE(W574:W576),0)))</f>
        <v>0</v>
      </c>
      <c r="X578" s="205">
        <f>IF($B$574="Лікар загальної практики - сімейний лікар",AVERAGE(X574:X576),IF($B$574="Лікар-педіатр","x",IF($B$574="Лікар-терапевт",AVERAGE(X574:X576),0)))</f>
        <v>0</v>
      </c>
      <c r="Y578" s="205">
        <f>IF($B$574="Лікар загальної практики - сімейний лікар",AVERAGE(Y574:Y576),IF($B$574="Лікар-педіатр","x",IF($B$574="Лікар-терапевт",AVERAGE(Y574:Y576),0)))</f>
        <v>0</v>
      </c>
      <c r="Z578" s="206">
        <f>SUM(U578:Y578)</f>
        <v>0</v>
      </c>
      <c r="AA578" s="942"/>
      <c r="AB578" s="205">
        <f>IF($B$574="Лікар загальної практики - сімейний лікар",AVERAGE(AB574:AB576),IF($B$574="Лікар-педіатр",AVERAGE(AB574:AB576),IF($B$574="Лікар-терапевт","х",0)))</f>
        <v>0</v>
      </c>
      <c r="AC578" s="205">
        <f>IF($B$574="Лікар загальної практики - сімейний лікар",AVERAGE(AC574:AC576),IF($B$574="Лікар-педіатр",AVERAGE(AC574:AC576),IF($B$574="Лікар-терапевт","х",0)))</f>
        <v>0</v>
      </c>
      <c r="AD578" s="205">
        <f>IF($B$574="Лікар загальної практики - сімейний лікар",AVERAGE(AD574:AD576),IF($B$574="Лікар-педіатр","x",IF($B$574="Лікар-терапевт",AVERAGE(AD574:AD576),0)))</f>
        <v>0</v>
      </c>
      <c r="AE578" s="205">
        <f>IF($B$574="Лікар загальної практики - сімейний лікар",AVERAGE(AE574:AE576),IF($B$574="Лікар-педіатр","x",IF($B$574="Лікар-терапевт",AVERAGE(AE574:AE576),0)))</f>
        <v>0</v>
      </c>
      <c r="AF578" s="205">
        <f>IF($B$574="Лікар загальної практики - сімейний лікар",AVERAGE(AF574:AF576),IF($B$574="Лікар-педіатр","x",IF($B$574="Лікар-терапевт",AVERAGE(AF574:AF576),0)))</f>
        <v>0</v>
      </c>
      <c r="AG578" s="206">
        <f>SUM(AB578:AF578)</f>
        <v>0</v>
      </c>
      <c r="AH578" s="942"/>
      <c r="AI578" s="201"/>
      <c r="AJ578" s="945"/>
      <c r="AK578" s="960"/>
      <c r="AL578" s="960"/>
      <c r="AM578" s="931"/>
      <c r="AN578" s="949"/>
      <c r="AO578" s="949"/>
      <c r="AP578" s="949"/>
      <c r="AQ578" s="949"/>
      <c r="AR578" s="964"/>
    </row>
    <row r="579" spans="1:44" s="50" customFormat="1" ht="40.5" hidden="1">
      <c r="A579" s="197"/>
      <c r="B579" s="951"/>
      <c r="C579" s="954"/>
      <c r="D579" s="957"/>
      <c r="E579" s="939"/>
      <c r="F579" s="237" t="str">
        <f ca="1">IF(B574="Лікар-педіатр",Законод!$C$17,IF(B574="Лікар загальної практики - сімейний лікар",Законод!$C$21,IF(B574="Лікар-терапевт",Законод!$C$25,"х")))</f>
        <v>х</v>
      </c>
      <c r="G579" s="208">
        <f ca="1">IF($B$574="Лікар загальної практики - сімейний лікар",IF(L578&lt;=Законод!$C$22,G578,Законод!$C$22*'01_Доходи'!G577),IF($B$574="Лікар-педіатр",IF(L578&lt;=Законод!$C$18,G578,Законод!$C$18*'01_Доходи'!G577),IF($B$574="Лікар-терапевт","x",0)))</f>
        <v>0</v>
      </c>
      <c r="H579" s="208">
        <f ca="1">IF($B$574="Лікар загальної практики - сімейний лікар",IF(L578&lt;=Законод!$C$22,H578,Законод!$C$22*'01_Доходи'!H577),IF($B$574="Лікар-педіатр",IF(L578&lt;=Законод!$C$18,H578,Законод!$C$18*'01_Доходи'!H577),IF($B$574="Лікар-терапевт","x",0)))</f>
        <v>0</v>
      </c>
      <c r="I579" s="208">
        <f ca="1">IF($B$574="Лікар загальної практики - сімейний лікар",IF(L578&lt;=Законод!$C$22,I578,Законод!$C$22*'01_Доходи'!I577),IF($B$574="Лікар-педіатр","x",IF($B$574="Лікар-терапевт",IF(L578&lt;=Законод!$C$26,I578,Законод!$C$26*'01_Доходи'!I577),0)))</f>
        <v>0</v>
      </c>
      <c r="J579" s="208">
        <f ca="1">IF($B$574="Лікар загальної практики - сімейний лікар",IF(L578&lt;=Законод!$C$22,J578,Законод!$C$22*'01_Доходи'!J577),IF($B$574="Лікар-педіатр","x",IF($B$574="Лікар-терапевт",IF(L578&lt;=Законод!$C$26,J578,Законод!$C$26*'01_Доходи'!J577),0)))</f>
        <v>0</v>
      </c>
      <c r="K579" s="208">
        <f ca="1">IF($B$574="Лікар загальної практики - сімейний лікар",IF(L578&lt;=Законод!$C$22,K578,Законод!$C$22*'01_Доходи'!K577),IF($B$574="Лікар-педіатр","x",IF($B$574="Лікар-терапевт",IF(L578&lt;=Законод!$C$26,K578,Законод!$C$26*'01_Доходи'!K577),0)))</f>
        <v>0</v>
      </c>
      <c r="L579" s="209">
        <f ca="1">SUM(G579:K579)</f>
        <v>0</v>
      </c>
      <c r="M579" s="942"/>
      <c r="N579" s="208">
        <f ca="1">IF($B$574="Лікар загальної практики - сімейний лікар",IF(S578&lt;=Законод!$C$22,N578,Законод!$C$22*'01_Доходи'!N577),IF($B$574="Лікар-педіатр",IF(S578&lt;=Законод!$C$18,N578,Законод!$C$18*'01_Доходи'!N577),IF($B$574="Лікар-терапевт","x",0)))</f>
        <v>0</v>
      </c>
      <c r="O579" s="208">
        <f ca="1">IF($B$574="Лікар загальної практики - сімейний лікар",IF(S578&lt;=Законод!$C$22,O578,Законод!$C$22*'01_Доходи'!O577),IF($B$574="Лікар-педіатр",IF(S578&lt;=Законод!$C$18,O578,Законод!$C$18*'01_Доходи'!O577),IF($B$574="Лікар-терапевт","x",0)))</f>
        <v>0</v>
      </c>
      <c r="P579" s="208">
        <f ca="1">IF($B$574="Лікар загальної практики - сімейний лікар",IF(S578&lt;=Законод!$C$22,P578,Законод!$C$22*'01_Доходи'!P577),IF($B$574="Лікар-педіатр","x",IF($B$574="Лікар-терапевт",IF(S578&lt;=Законод!$C$26,P578,Законод!$C$26*'01_Доходи'!P577),0)))</f>
        <v>0</v>
      </c>
      <c r="Q579" s="208">
        <f ca="1">IF($B$574="Лікар загальної практики - сімейний лікар",IF(S578&lt;=Законод!$C$22,Q578,Законод!$C$22*'01_Доходи'!Q577),IF($B$574="Лікар-педіатр","x",IF($B$574="Лікар-терапевт",IF(S578&lt;=Законод!$C$26,Q578,Законод!$C$26*'01_Доходи'!Q577),0)))</f>
        <v>0</v>
      </c>
      <c r="R579" s="208">
        <f ca="1">IF($B$574="Лікар загальної практики - сімейний лікар",IF(S578&lt;=Законод!$C$22,R578,Законод!$C$22*'01_Доходи'!R577),IF($B$574="Лікар-педіатр","x",IF($B$574="Лікар-терапевт",IF(S578&lt;=Законод!$C$26,R578,Законод!$C$26*'01_Доходи'!R577),0)))</f>
        <v>0</v>
      </c>
      <c r="S579" s="209">
        <f ca="1">SUM(N579:R579)</f>
        <v>0</v>
      </c>
      <c r="T579" s="942"/>
      <c r="U579" s="208">
        <f ca="1">IF($B$574="Лікар загальної практики - сімейний лікар",IF(Z578&lt;=Законод!$C$22,U578,Законод!$C$22*'01_Доходи'!U577),IF($B$574="Лікар-педіатр",IF(Z578&lt;=Законод!$C$18,U578,Законод!$C$18*'01_Доходи'!U577),IF($B$574="Лікар-терапевт","x",0)))</f>
        <v>0</v>
      </c>
      <c r="V579" s="208">
        <f ca="1">IF($B$574="Лікар загальної практики - сімейний лікар",IF(Z578&lt;=Законод!$C$22,V578,Законод!$C$22*'01_Доходи'!V577),IF($B$574="Лікар-педіатр",IF(Z578&lt;=Законод!$C$18,V578,Законод!$C$18*'01_Доходи'!V577),IF($B$574="Лікар-терапевт","x",0)))</f>
        <v>0</v>
      </c>
      <c r="W579" s="208">
        <f ca="1">IF($B$574="Лікар загальної практики - сімейний лікар",IF(Z578&lt;=Законод!$C$22,W578,Законод!$C$22*'01_Доходи'!W577),IF($B$574="Лікар-педіатр","x",IF($B$574="Лікар-терапевт",IF(Z578&lt;=Законод!$C$26,W578,Законод!$C$26*'01_Доходи'!W577),0)))</f>
        <v>0</v>
      </c>
      <c r="X579" s="208">
        <f ca="1">IF($B$574="Лікар загальної практики - сімейний лікар",IF(Z578&lt;=Законод!$C$22,X578,Законод!$C$22*'01_Доходи'!X577),IF($B$574="Лікар-педіатр","x",IF($B$574="Лікар-терапевт",IF(Z578&lt;=Законод!$C$26,X578,Законод!$C$26*'01_Доходи'!X577),0)))</f>
        <v>0</v>
      </c>
      <c r="Y579" s="208">
        <f ca="1">IF($B$574="Лікар загальної практики - сімейний лікар",IF(Z578&lt;=Законод!$C$22,Y578,Законод!$C$22*'01_Доходи'!Y577),IF($B$574="Лікар-педіатр","x",IF($B$574="Лікар-терапевт",IF(Z578&lt;=Законод!$C$26,Y578,Законод!$C$26*'01_Доходи'!Y577),0)))</f>
        <v>0</v>
      </c>
      <c r="Z579" s="209">
        <f ca="1">SUM(U579:Y579)</f>
        <v>0</v>
      </c>
      <c r="AA579" s="942"/>
      <c r="AB579" s="208">
        <f ca="1">IF($B$574="Лікар загальної практики - сімейний лікар",IF(AG578&lt;=Законод!$C$22,AB578,Законод!$C$22*'01_Доходи'!AB577),IF($B$574="Лікар-педіатр",IF(AG578&lt;=Законод!$C$18,AB578,Законод!$C$18*'01_Доходи'!AB577),IF($B$574="Лікар-терапевт","x",0)))</f>
        <v>0</v>
      </c>
      <c r="AC579" s="208">
        <f ca="1">IF($B$574="Лікар загальної практики - сімейний лікар",IF(AG578&lt;=Законод!$C$22,AC578,Законод!$C$22*'01_Доходи'!AC577),IF($B$574="Лікар-педіатр",IF(AG578&lt;=Законод!$C$18,AC578,Законод!$C$18*'01_Доходи'!AC577),IF($B$574="Лікар-терапевт","x",0)))</f>
        <v>0</v>
      </c>
      <c r="AD579" s="208">
        <f ca="1">IF($B$574="Лікар загальної практики - сімейний лікар",IF(AG578&lt;=Законод!$C$22,AD578,Законод!$C$22*'01_Доходи'!AD577),IF($B$574="Лікар-педіатр","x",IF($B$574="Лікар-терапевт",IF(AG578&lt;=Законод!$C$26,AD578,Законод!$C$26*'01_Доходи'!AD577),0)))</f>
        <v>0</v>
      </c>
      <c r="AE579" s="208">
        <f ca="1">IF($B$574="Лікар загальної практики - сімейний лікар",IF(AG578&lt;=Законод!$C$22,AE578,Законод!$C$22*'01_Доходи'!AE577),IF($B$574="Лікар-педіатр","x",IF($B$574="Лікар-терапевт",IF(AG578&lt;=Законод!$C$26,AE578,Законод!$C$26*'01_Доходи'!AE577),0)))</f>
        <v>0</v>
      </c>
      <c r="AF579" s="208">
        <f ca="1">IF($B$574="Лікар загальної практики - сімейний лікар",IF(AG578&lt;=Законод!$C$22,AF578,Законод!$C$22*'01_Доходи'!AF577),IF($B$574="Лікар-педіатр","x",IF($B$574="Лікар-терапевт",IF(AG578&lt;=Законод!$C$26,AF578,Законод!$C$26*'01_Доходи'!AF577),0)))</f>
        <v>0</v>
      </c>
      <c r="AG579" s="209">
        <f ca="1">SUM(AB579:AF579)</f>
        <v>0</v>
      </c>
      <c r="AH579" s="942"/>
      <c r="AI579" s="201"/>
      <c r="AJ579" s="945"/>
      <c r="AK579" s="960"/>
      <c r="AL579" s="960"/>
      <c r="AM579" s="348" t="s">
        <v>451</v>
      </c>
      <c r="AN579" s="210">
        <f ca="1">IF(B574="Лікар загальної практики - сімейний лікар",G579*Законод!$C$11+'01_Доходи'!H579*Законод!$D$11+'01_Доходи'!I579*Законод!$E$11+'01_Доходи'!J579*Законод!$F$11+'01_Доходи'!K579*Законод!$G$11,IF(B574="Лікар-педіатр",G579*Законод!$C$11+'01_Доходи'!H579*Законод!$D$11,IF(B574="Лікар-терапевт",'01_Доходи'!I579*Законод!$E$11+'01_Доходи'!J579*Законод!$F$11+'01_Доходи'!K579*Законод!$G$11,0)))</f>
        <v>0</v>
      </c>
      <c r="AO579" s="210">
        <f ca="1">IF(B574="Лікар загальної практики - сімейний лікар",N579*Законод!$C$11+'01_Доходи'!O579*Законод!$D$11+'01_Доходи'!P579*Законод!$E$11+'01_Доходи'!Q579*Законод!$F$11+'01_Доходи'!R579*Законод!$G$11,IF(B574="Лікар-педіатр",N579*Законод!$C$11+'01_Доходи'!O579*Законод!$D$11,IF(B574="Лікар-терапевт",'01_Доходи'!P579*Законод!$E$11+'01_Доходи'!Q579*Законод!$F$11+'01_Доходи'!R579*Законод!$G$11,0)))</f>
        <v>0</v>
      </c>
      <c r="AP579" s="210">
        <f ca="1">IF(B574="Лікар загальної практики - сімейний лікар",U579*Законод!$C$11+'01_Доходи'!V579*Законод!$D$11+'01_Доходи'!W579*Законод!$E$11+'01_Доходи'!X579*Законод!$F$11+'01_Доходи'!Y579*Законод!$G$11,IF(B574="Лікар-педіатр",U579*Законод!$C$11+'01_Доходи'!V579*Законод!$D$11,IF(B574="Лікар-терапевт",'01_Доходи'!W579*Законод!$E$11+'01_Доходи'!X579*Законод!$F$11+'01_Доходи'!Y579*Законод!$G$11,0)))</f>
        <v>0</v>
      </c>
      <c r="AQ579" s="210">
        <f ca="1">IF(B574="Лікар загальної практики - сімейний лікар",AB579*Законод!$C$11+'01_Доходи'!AC579*Законод!$D$11+'01_Доходи'!AD579*Законод!$E$11+'01_Доходи'!AE579*Законод!$F$11+'01_Доходи'!AF579*Законод!$G$11,IF(B574="Лікар-педіатр",AB579*Законод!$C$11+'01_Доходи'!AC579*Законод!$D$11,IF(B574="Лікар-терапевт",'01_Доходи'!AD579*Законод!$E$11+'01_Доходи'!AE579*Законод!$F$11+'01_Доходи'!AF579*Законод!$G$11,0)))</f>
        <v>0</v>
      </c>
      <c r="AR579" s="211">
        <f t="shared" ref="AR579:AR585" si="84">SUM(AN579:AQ579)</f>
        <v>0</v>
      </c>
    </row>
    <row r="580" spans="1:44" s="50" customFormat="1" ht="31.9" hidden="1" customHeight="1">
      <c r="A580" s="197"/>
      <c r="B580" s="951"/>
      <c r="C580" s="954"/>
      <c r="D580" s="957"/>
      <c r="E580" s="939"/>
      <c r="F580" s="238" t="str">
        <f ca="1">IF(B574="Лікар-педіатр",Законод!$E$17,IF(B574="Лікар загальної практики - сімейний лікар",Законод!$E$21,IF(B574="Лікар-терапевт",Законод!$E$25,"х")))</f>
        <v>х</v>
      </c>
      <c r="G580" s="935" t="s">
        <v>423</v>
      </c>
      <c r="H580" s="936"/>
      <c r="I580" s="936"/>
      <c r="J580" s="936"/>
      <c r="K580" s="937"/>
      <c r="L580" s="196">
        <f ca="1">IF($B$574="Лікар загальної практики - сімейний лікар",IF(L578&lt;Законод!$C$22,0,(IF(AND(L578&gt;=Законод!$E$22,L578&lt;=Законод!$E$23),L578-Законод!$C$22,IF('01_Доходи'!L578&gt;=Законод!$F$22,Законод!$E$24,0)))),IF($B$574="Лікар-педіатр",IF(L578&lt;Законод!$C$18,0,(IF(AND(L578&gt;=Законод!$E$18,L578&lt;=Законод!$E$19),L578-Законод!$C$18,IF('01_Доходи'!L578&gt;=Законод!$F$18,Законод!$E$20,0)))),IF($B$574="Лікар-терапевт",IF(L578&lt;Законод!$C$26,0,(IF(AND(L578&gt;=Законод!$E$26,L578&lt;=Законод!$E$27),L578-Законод!$C$26,IF('01_Доходи'!L578&gt;=Законод!$F$26,Законод!$E$28,0)))),0)))</f>
        <v>0</v>
      </c>
      <c r="M580" s="942"/>
      <c r="N580" s="935" t="s">
        <v>423</v>
      </c>
      <c r="O580" s="936"/>
      <c r="P580" s="936"/>
      <c r="Q580" s="936"/>
      <c r="R580" s="937"/>
      <c r="S580" s="196">
        <f ca="1">IF($B$574="Лікар загальної практики - сімейний лікар",IF(S578&lt;Законод!$C$22,0,(IF(AND(S578&gt;=Законод!$E$22,S578&lt;=Законод!$E$23),S578-Законод!$C$22,IF('01_Доходи'!S578&gt;=Законод!$F$22,Законод!$E$24,0)))),IF($B$574="Лікар-педіатр",IF(S578&lt;Законод!$C$18,0,(IF(AND(S578&gt;=Законод!$E$18,S578&lt;=Законод!$E$19),S578-Законод!$C$18,IF('01_Доходи'!S578&gt;=Законод!$F$18,Законод!$E$20,0)))),IF($B$574="Лікар-терапевт",IF(S578&lt;Законод!$C$26,0,(IF(AND(S578&gt;=Законод!$E$26,S578&lt;=Законод!$E$27),S578-Законод!$C$26,IF('01_Доходи'!S578&gt;=Законод!$F$26,Законод!$E$28,0)))),0)))</f>
        <v>0</v>
      </c>
      <c r="T580" s="942"/>
      <c r="U580" s="935" t="s">
        <v>423</v>
      </c>
      <c r="V580" s="936"/>
      <c r="W580" s="936"/>
      <c r="X580" s="936"/>
      <c r="Y580" s="937"/>
      <c r="Z580" s="196">
        <f ca="1">IF($B$574="Лікар загальної практики - сімейний лікар",IF(Z578&lt;Законод!$C$22,0,(IF(AND(Z578&gt;=Законод!$E$22,Z578&lt;=Законод!$E$23),Z578-Законод!$C$22,IF('01_Доходи'!Z578&gt;=Законод!$F$22,Законод!$E$24,0)))),IF($B$574="Лікар-педіатр",IF(Z578&lt;Законод!$C$18,0,(IF(AND(Z578&gt;=Законод!$E$18,Z578&lt;=Законод!$E$19),Z578-Законод!$C$18,IF('01_Доходи'!Z578&gt;=Законод!$F$18,Законод!$E$20,0)))),IF($B$574="Лікар-терапевт",IF(Z578&lt;Законод!$C$26,0,(IF(AND(Z578&gt;=Законод!$E$26,Z578&lt;=Законод!$E$27),Z578-Законод!$C$26,IF('01_Доходи'!Z578&gt;=Законод!$F$26,Законод!$E$28,0)))),0)))</f>
        <v>0</v>
      </c>
      <c r="AA580" s="942"/>
      <c r="AB580" s="935" t="s">
        <v>423</v>
      </c>
      <c r="AC580" s="936"/>
      <c r="AD580" s="936"/>
      <c r="AE580" s="936"/>
      <c r="AF580" s="937"/>
      <c r="AG580" s="196">
        <f ca="1">IF($B$574="Лікар загальної практики - сімейний лікар",IF(AG578&lt;Законод!$C$22,0,(IF(AND(AG578&gt;=Законод!$E$22,AG578&lt;=Законод!$E$23),AG578-Законод!$C$22,IF('01_Доходи'!AG578&gt;=Законод!$F$22,Законод!$E$24,0)))),IF($B$574="Лікар-педіатр",IF(AG578&lt;Законод!$C$18,0,(IF(AND(AG578&gt;=Законод!$E$18,AG578&lt;=Законод!$E$19),AG578-Законод!$C$18,IF('01_Доходи'!AG578&gt;=Законод!$F$18,Законод!$E$20,0)))),IF($B$574="Лікар-терапевт",IF(AG578&lt;Законод!$C$26,0,(IF(AND(AG578&gt;=Законод!$E$26,AG578&lt;=Законод!$E$27),AG578-Законод!$C$26,IF('01_Доходи'!AG578&gt;=Законод!$F$26,Законод!$E$28,0)))),0)))</f>
        <v>0</v>
      </c>
      <c r="AH580" s="942"/>
      <c r="AI580" s="201"/>
      <c r="AJ580" s="945"/>
      <c r="AK580" s="960"/>
      <c r="AL580" s="960"/>
      <c r="AM580" s="926" t="s">
        <v>452</v>
      </c>
      <c r="AN580" s="210">
        <f ca="1">IF(B574="Лікар загальної практики - сімейний лікар",L580*Законод!$C$9/4*Законод!$E$16,IF(B574="Лікар-педіатр",L580*Законод!$C$9/4*Законод!$E$16,IF(B574="Лікар-терапевт",L580*Законод!$C$9/4*Законод!$E$16,0)))</f>
        <v>0</v>
      </c>
      <c r="AO580" s="210">
        <f ca="1">IF(B574="Лікар загальної практики - сімейний лікар",S580*Законод!$C$9/4*Законод!$E$16,IF(B574="Лікар-педіатр",S580*Законод!$C$9/4*Законод!$E$16,IF(B574="Лікар-терапевт",S580*Законод!$C$9/4*Законод!$E$16,0)))</f>
        <v>0</v>
      </c>
      <c r="AP580" s="210">
        <f ca="1">IF(B574="Лікар загальної практики - сімейний лікар",Z580*Законод!$C$9/4*Законод!$E$16,IF(B574="Лікар-педіатр",Z580*Законод!$C$9/4*Законод!$E$16,IF(B574="Лікар-терапевт",Z580*Законод!$C$9/4*Законод!$E$16,0)))</f>
        <v>0</v>
      </c>
      <c r="AQ580" s="210">
        <f ca="1">IF(B574="Лікар загальної практики - сімейний лікар",AG580*Законод!$C$9/4*Законод!$E$16,IF(B574="Лікар-педіатр",AG580*Законод!$C$9/4*Законод!$E$16,IF(B574="Лікар-терапевт",AG580*Законод!$C$9/4*Законод!$E$16,0)))</f>
        <v>0</v>
      </c>
      <c r="AR580" s="211">
        <f t="shared" si="84"/>
        <v>0</v>
      </c>
    </row>
    <row r="581" spans="1:44" s="50" customFormat="1" ht="31.9" hidden="1" customHeight="1">
      <c r="A581" s="197"/>
      <c r="B581" s="951"/>
      <c r="C581" s="954"/>
      <c r="D581" s="957"/>
      <c r="E581" s="939"/>
      <c r="F581" s="238" t="str">
        <f ca="1">IF(B574="Лікар-педіатр",Законод!$F$17,IF(B574="Лікар загальної практики - сімейний лікар",Законод!$F$21,IF(B574="Лікар-терапевт",Законод!$F$25,"х")))</f>
        <v>х</v>
      </c>
      <c r="G581" s="935" t="s">
        <v>423</v>
      </c>
      <c r="H581" s="936"/>
      <c r="I581" s="936"/>
      <c r="J581" s="936"/>
      <c r="K581" s="937"/>
      <c r="L581" s="196">
        <f ca="1">IF($B$574="Лікар загальної практики - сімейний лікар",IF(L578&lt;Законод!$C$22,0,(IF(AND(L578&gt;=Законод!$F$22,L578&lt;=Законод!$F$23),L578-Законод!$E$23,IF('01_Доходи'!L578&gt;=Законод!$G$22,Законод!$F$24,0)))),IF($B$574="Лікар-педіатр",IF(L578&lt;Законод!$C$18,0,(IF(AND(L578&gt;=Законод!$F$18,L578&lt;=Законод!$F$19),L578-Законод!$E$19,IF('01_Доходи'!L578&gt;=Законод!$G$18,Законод!$F$20,0)))),IF($B$574="Лікар-терапевт",IF(L578&lt;Законод!$C$26,0,(IF(AND(L578&gt;=Законод!$F$26,L578&lt;=Законод!$F$27),L578-Законод!$E$27,IF('01_Доходи'!L578&gt;=Законод!$G$26,Законод!$F$28,0)))),0)))</f>
        <v>0</v>
      </c>
      <c r="M581" s="942"/>
      <c r="N581" s="935" t="s">
        <v>423</v>
      </c>
      <c r="O581" s="936"/>
      <c r="P581" s="936"/>
      <c r="Q581" s="936"/>
      <c r="R581" s="937"/>
      <c r="S581" s="196">
        <f ca="1">IF($B$574="Лікар загальної практики - сімейний лікар",IF(S578&lt;Законод!$C$22,0,(IF(AND(S578&gt;=Законод!$F$22,S578&lt;=Законод!$F$23),S578-Законод!$E$23,IF('01_Доходи'!S578&gt;=Законод!$G$22,Законод!$F$24,0)))),IF($B$574="Лікар-педіатр",IF(S578&lt;Законод!$C$18,0,(IF(AND(S578&gt;=Законод!$F$18,S578&lt;=Законод!$F$19),S578-Законод!$E$19,IF('01_Доходи'!S578&gt;=Законод!$G$18,Законод!$F$20,0)))),IF($B$574="Лікар-терапевт",IF(S578&lt;Законод!$C$26,0,(IF(AND(S578&gt;=Законод!$F$26,S578&lt;=Законод!$F$27),S578-Законод!$E$27,IF('01_Доходи'!S578&gt;=Законод!$G$26,Законод!$F$28,0)))),0)))</f>
        <v>0</v>
      </c>
      <c r="T581" s="942"/>
      <c r="U581" s="935" t="s">
        <v>423</v>
      </c>
      <c r="V581" s="936"/>
      <c r="W581" s="936"/>
      <c r="X581" s="936"/>
      <c r="Y581" s="937"/>
      <c r="Z581" s="196">
        <f ca="1">IF($B$574="Лікар загальної практики - сімейний лікар",IF(Z578&lt;Законод!$C$22,0,(IF(AND(Z578&gt;=Законод!$F$22,Z578&lt;=Законод!$F$23),Z578-Законод!$E$23,IF('01_Доходи'!Z578&gt;=Законод!$G$22,Законод!$F$24,0)))),IF($B$574="Лікар-педіатр",IF(Z578&lt;Законод!$C$18,0,(IF(AND(Z578&gt;=Законод!$F$18,Z578&lt;=Законод!$F$19),Z578-Законод!$E$19,IF('01_Доходи'!Z578&gt;=Законод!$G$18,Законод!$F$20,0)))),IF($B$574="Лікар-терапевт",IF(Z578&lt;Законод!$C$26,0,(IF(AND(Z578&gt;=Законод!$F$26,Z578&lt;=Законод!$F$27),Z578-Законод!$E$27,IF('01_Доходи'!Z578&gt;=Законод!$G$26,Законод!$F$28,0)))),0)))</f>
        <v>0</v>
      </c>
      <c r="AA581" s="942"/>
      <c r="AB581" s="935" t="s">
        <v>423</v>
      </c>
      <c r="AC581" s="936"/>
      <c r="AD581" s="936"/>
      <c r="AE581" s="936"/>
      <c r="AF581" s="937"/>
      <c r="AG581" s="196">
        <f ca="1">IF($B$574="Лікар загальної практики - сімейний лікар",IF(AG578&lt;Законод!$C$22,0,(IF(AND(AG578&gt;=Законод!$F$22,AG578&lt;=Законод!$F$23),AG578-Законод!$E$23,IF('01_Доходи'!AG578&gt;=Законод!$G$22,Законод!$F$24,0)))),IF($B$574="Лікар-педіатр",IF(AG578&lt;Законод!$C$18,0,(IF(AND(AG578&gt;=Законод!$F$18,AG578&lt;=Законод!$F$19),AG578-Законод!$E$19,IF('01_Доходи'!AG578&gt;=Законод!$G$18,Законод!$F$20,0)))),IF($B$574="Лікар-терапевт",IF(AG578&lt;Законод!$C$26,0,(IF(AND(AG578&gt;=Законод!$F$26,AG578&lt;=Законод!$F$27),AG578-Законод!$E$27,IF('01_Доходи'!AG578&gt;=Законод!$G$26,Законод!$F$28,0)))),0)))</f>
        <v>0</v>
      </c>
      <c r="AH581" s="942"/>
      <c r="AI581" s="201"/>
      <c r="AJ581" s="945"/>
      <c r="AK581" s="960"/>
      <c r="AL581" s="960"/>
      <c r="AM581" s="927"/>
      <c r="AN581" s="210">
        <f ca="1">IF(B574="Лікар загальної практики - сімейний лікар",L581*Законод!$C$9/4*Законод!$F$16,IF(B574="Лікар-педіатр",L581*Законод!$C$9/4*Законод!$F$16,IF(B574="Лікар-терапевт",L581*Законод!$C$9/4*Законод!$F$16,0)))</f>
        <v>0</v>
      </c>
      <c r="AO581" s="210">
        <f ca="1">IF(B574="Лікар загальної практики - сімейний лікар",S581*Законод!$C$9/4*Законод!$F$16,IF(B574="Лікар-педіатр",S581*Законод!$C$9/4*Законод!$F$16,IF(B574="Лікар-терапевт",S581*Законод!$C$9/4*Законод!$F$16,0)))</f>
        <v>0</v>
      </c>
      <c r="AP581" s="210">
        <f ca="1">IF(B574="Лікар загальної практики - сімейний лікар",Z581*Законод!$C$9/4*Законод!$F$16,IF(B574="Лікар-педіатр",Z581*Законод!$C$9/4*Законод!$F$16,IF(B574="Лікар-терапевт",Z581*Законод!$C$9/4*Законод!$F$16,0)))</f>
        <v>0</v>
      </c>
      <c r="AQ581" s="210">
        <f ca="1">IF(B574="Лікар загальної практики - сімейний лікар",AG581*Законод!$C$9/4*Законод!$F$16,IF(B574="Лікар-педіатр",AG581*Законод!$C$9/4*Законод!$F$16,IF(B574="Лікар-терапевт",AG581*Законод!$C$9/4*Законод!$F$16,0)))</f>
        <v>0</v>
      </c>
      <c r="AR581" s="211">
        <f t="shared" si="84"/>
        <v>0</v>
      </c>
    </row>
    <row r="582" spans="1:44" s="50" customFormat="1" ht="31.9" hidden="1" customHeight="1">
      <c r="A582" s="197"/>
      <c r="B582" s="951"/>
      <c r="C582" s="954"/>
      <c r="D582" s="957"/>
      <c r="E582" s="939"/>
      <c r="F582" s="238" t="str">
        <f ca="1">IF(B574="Лікар-педіатр",Законод!$G$17,IF(B574="Лікар загальної практики - сімейний лікар",Законод!$G$21,IF(B574="Лікар-терапевт",Законод!$G$25,"х")))</f>
        <v>х</v>
      </c>
      <c r="G582" s="935" t="s">
        <v>423</v>
      </c>
      <c r="H582" s="936"/>
      <c r="I582" s="936"/>
      <c r="J582" s="936"/>
      <c r="K582" s="937"/>
      <c r="L582" s="196">
        <f ca="1">IF($B$574="Лікар загальної практики - сімейний лікар",IF(L578&lt;Законод!$C$22,0,(IF(AND(L578&gt;=Законод!$G$22,L578&lt;=Законод!$G$23),L578-Законод!$F$23,IF('01_Доходи'!L578&gt;=Законод!$H$22,Законод!$G$24,0)))),IF($B$574="Лікар-педіатр",IF(L578&lt;Законод!$C$18,0,(IF(AND(L578&gt;=Законод!$G$18,L578&lt;=Законод!$G$19),L578-Законод!$F$19,IF('01_Доходи'!L578&gt;=Законод!$H$18,Законод!$G$20,0)))),IF($B$574="Лікар-терапевт",IF(L578&lt;Законод!$C$26,0,(IF(AND(L578&gt;=Законод!$G$26,L578&lt;=Законод!$G$27),L578-Законод!$F$27,IF('01_Доходи'!L578&gt;=Законод!$H$26,Законод!$G$28,0)))),0)))</f>
        <v>0</v>
      </c>
      <c r="M582" s="942"/>
      <c r="N582" s="935" t="s">
        <v>423</v>
      </c>
      <c r="O582" s="936"/>
      <c r="P582" s="936"/>
      <c r="Q582" s="936"/>
      <c r="R582" s="937"/>
      <c r="S582" s="196">
        <f ca="1">IF($B$574="Лікар загальної практики - сімейний лікар",IF(S578&lt;Законод!$C$22,0,(IF(AND(S578&gt;=Законод!$G$22,S578&lt;=Законод!$G$23),S578-Законод!$F$23,IF('01_Доходи'!S578&gt;=Законод!$H$22,Законод!$G$24,0)))),IF($B$574="Лікар-педіатр",IF(S578&lt;Законод!$C$18,0,(IF(AND(S578&gt;=Законод!$G$18,S578&lt;=Законод!$G$19),S578-Законод!$F$19,IF('01_Доходи'!S578&gt;=Законод!$H$18,Законод!$G$20,0)))),IF($B$574="Лікар-терапевт",IF(S578&lt;Законод!$C$26,0,(IF(AND(S578&gt;=Законод!$G$26,S578&lt;=Законод!$G$27),S578-Законод!$F$27,IF('01_Доходи'!S578&gt;=Законод!$H$26,Законод!$G$28,0)))),0)))</f>
        <v>0</v>
      </c>
      <c r="T582" s="942"/>
      <c r="U582" s="935" t="s">
        <v>423</v>
      </c>
      <c r="V582" s="936"/>
      <c r="W582" s="936"/>
      <c r="X582" s="936"/>
      <c r="Y582" s="937"/>
      <c r="Z582" s="196">
        <f ca="1">IF($B$574="Лікар загальної практики - сімейний лікар",IF(Z578&lt;Законод!$C$22,0,(IF(AND(Z578&gt;=Законод!$G$22,Z578&lt;=Законод!$G$23),Z578-Законод!$F$23,IF('01_Доходи'!Z578&gt;=Законод!$H$22,Законод!$G$24,0)))),IF($B$574="Лікар-педіатр",IF(Z578&lt;Законод!$C$18,0,(IF(AND(Z578&gt;=Законод!$G$18,Z578&lt;=Законод!$G$19),Z578-Законод!$F$19,IF('01_Доходи'!Z578&gt;=Законод!$H$18,Законод!$G$20,0)))),IF($B$574="Лікар-терапевт",IF(Z578&lt;Законод!$C$26,0,(IF(AND(Z578&gt;=Законод!$G$26,Z578&lt;=Законод!$G$27),Z578-Законод!$F$27,IF('01_Доходи'!Z578&gt;=Законод!$H$26,Законод!$G$28,0)))),0)))</f>
        <v>0</v>
      </c>
      <c r="AA582" s="942"/>
      <c r="AB582" s="935" t="s">
        <v>423</v>
      </c>
      <c r="AC582" s="936"/>
      <c r="AD582" s="936"/>
      <c r="AE582" s="936"/>
      <c r="AF582" s="937"/>
      <c r="AG582" s="196">
        <f ca="1">IF($B$574="Лікар загальної практики - сімейний лікар",IF(AG578&lt;Законод!$C$22,0,(IF(AND(AG578&gt;=Законод!$G$22,AG578&lt;=Законод!$G$23),AG578-Законод!$F$23,IF('01_Доходи'!AG578&gt;=Законод!$H$22,Законод!$G$24,0)))),IF($B$574="Лікар-педіатр",IF(AG578&lt;Законод!$C$18,0,(IF(AND(AG578&gt;=Законод!$G$18,AG578&lt;=Законод!$G$19),AG578-Законод!$F$19,IF('01_Доходи'!AG578&gt;=Законод!$H$18,Законод!$G$20,0)))),IF($B$574="Лікар-терапевт",IF(AG578&lt;Законод!$C$26,0,(IF(AND(AG578&gt;=Законод!$G$26,AG578&lt;=Законод!$G$27),AG578-Законод!$F$27,IF('01_Доходи'!AG578&gt;=Законод!$H$26,Законод!$G$28,0)))),0)))</f>
        <v>0</v>
      </c>
      <c r="AH582" s="942"/>
      <c r="AI582" s="201"/>
      <c r="AJ582" s="945"/>
      <c r="AK582" s="960"/>
      <c r="AL582" s="960"/>
      <c r="AM582" s="927"/>
      <c r="AN582" s="210">
        <f ca="1">IF(B574="Лікар загальної практики - сімейний лікар",L582*Законод!$C$9/4*Законод!$G$16,IF(B574="Лікар-педіатр",L582*Законод!$C$9/4*Законод!$G$16,IF(B574="Лікар-терапевт",L582*Законод!$C$9/4*Законод!$G$16,0)))</f>
        <v>0</v>
      </c>
      <c r="AO582" s="210">
        <f ca="1">IF(B574="Лікар загальної практики - сімейний лікар",S582*Законод!$C$9/4*Законод!$G$16,IF(B574="Лікар-педіатр",S582*Законод!$C$9/4*Законод!$G$16,IF(B574="Лікар-терапевт",S582*Законод!$C$9/4*Законод!$G$16,0)))</f>
        <v>0</v>
      </c>
      <c r="AP582" s="210">
        <f ca="1">IF(B574="Лікар загальної практики - сімейний лікар",Z582*Законод!$C$9/4*Законод!$G$16,IF(B574="Лікар-педіатр",Z582*Законод!$C$9/4*Законод!$G$16,IF(B574="Лікар-терапевт",Z582*Законод!$C$9/4*Законод!$G$16,0)))</f>
        <v>0</v>
      </c>
      <c r="AQ582" s="210">
        <f ca="1">IF(B574="Лікар загальної практики - сімейний лікар",AG582*Законод!$C$9/4*Законод!$G$16,IF(B574="Лікар-педіатр",AG582*Законод!$C$9/4*Законод!$G$16,IF(B574="Лікар-терапевт",AG582*Законод!$C$9/4*Законод!$G$16,0)))</f>
        <v>0</v>
      </c>
      <c r="AR582" s="211">
        <f t="shared" si="84"/>
        <v>0</v>
      </c>
    </row>
    <row r="583" spans="1:44" s="50" customFormat="1" ht="31.9" hidden="1" customHeight="1">
      <c r="A583" s="197"/>
      <c r="B583" s="951"/>
      <c r="C583" s="954"/>
      <c r="D583" s="957"/>
      <c r="E583" s="939"/>
      <c r="F583" s="238" t="str">
        <f ca="1">IF(B574="Лікар-педіатр",Законод!$H$17,IF(B574="Лікар загальної практики - сімейний лікар",Законод!$H$21,IF(B574="Лікар-терапевт",Законод!$H$25,"х")))</f>
        <v>х</v>
      </c>
      <c r="G583" s="935" t="s">
        <v>423</v>
      </c>
      <c r="H583" s="936"/>
      <c r="I583" s="936"/>
      <c r="J583" s="936"/>
      <c r="K583" s="937"/>
      <c r="L583" s="196">
        <f ca="1">IF($B$574="Лікар загальної практики - сімейний лікар",IF(L578&lt;Законод!$C$22,0,(IF(AND(L578&gt;=Законод!$H$22,L578&lt;=Законод!$H$23),L578-Законод!$G$23,IF('01_Доходи'!L578&gt;=Законод!$I$22,Законод!$H$24,0)))),IF($B$574="Лікар-педіатр",IF(L578&lt;Законод!$C$18,0,(IF(AND(L578&gt;=Законод!$H$18,L578&lt;=Законод!$H$19),L578-Законод!$G$19,IF('01_Доходи'!L578&gt;=Законод!$I$18,Законод!$H$20,0)))),IF($B$574="Лікар-терапевт",IF(L578&lt;Законод!$C$26,0,(IF(AND(L578&gt;=Законод!$H$26,L578&lt;=Законод!$H$27),L578-Законод!$G$27,IF(L578&gt;=Законод!$I$26,Законод!$H$28,0)))),0)))</f>
        <v>0</v>
      </c>
      <c r="M583" s="942"/>
      <c r="N583" s="935" t="s">
        <v>423</v>
      </c>
      <c r="O583" s="936"/>
      <c r="P583" s="936"/>
      <c r="Q583" s="936"/>
      <c r="R583" s="937"/>
      <c r="S583" s="196">
        <f ca="1">IF($B$574="Лікар загальної практики - сімейний лікар",IF(S578&lt;Законод!$C$22,0,(IF(AND(S578&gt;=Законод!$H$22,S578&lt;=Законод!$H$23),S578-Законод!$G$23,IF('01_Доходи'!S578&gt;=Законод!$I$22,Законод!$H$24,0)))),IF($B$574="Лікар-педіатр",IF(S578&lt;Законод!$C$18,0,(IF(AND(S578&gt;=Законод!$H$18,S578&lt;=Законод!$H$19),S578-Законод!$G$19,IF('01_Доходи'!S578&gt;=Законод!$I$18,Законод!$H$20,0)))),IF($B$574="Лікар-терапевт",IF(S578&lt;Законод!$C$26,0,(IF(AND(S578&gt;=Законод!$H$26,S578&lt;=Законод!$H$27),S578-Законод!$G$27,IF(S578&gt;=Законод!$I$26,Законод!$H$28,0)))),0)))</f>
        <v>0</v>
      </c>
      <c r="T583" s="942"/>
      <c r="U583" s="935" t="s">
        <v>423</v>
      </c>
      <c r="V583" s="936"/>
      <c r="W583" s="936"/>
      <c r="X583" s="936"/>
      <c r="Y583" s="937"/>
      <c r="Z583" s="196">
        <f ca="1">IF($B$574="Лікар загальної практики - сімейний лікар",IF(Z578&lt;Законод!$C$22,0,(IF(AND(Z578&gt;=Законод!$H$22,Z578&lt;=Законод!$H$23),Z578-Законод!$G$23,IF('01_Доходи'!Z578&gt;=Законод!$I$22,Законод!$H$24,0)))),IF($B$574="Лікар-педіатр",IF(Z578&lt;Законод!$C$18,0,(IF(AND(Z578&gt;=Законод!$H$18,Z578&lt;=Законод!$H$19),Z578-Законод!$G$19,IF('01_Доходи'!Z578&gt;=Законод!$I$18,Законод!$H$20,0)))),IF($B$574="Лікар-терапевт",IF(Z578&lt;Законод!$C$26,0,(IF(AND(Z578&gt;=Законод!$H$26,Z578&lt;=Законод!$H$27),Z578-Законод!$G$27,IF(Z578&gt;=Законод!$I$26,Законод!$H$28,0)))),0)))</f>
        <v>0</v>
      </c>
      <c r="AA583" s="942"/>
      <c r="AB583" s="935" t="s">
        <v>423</v>
      </c>
      <c r="AC583" s="936"/>
      <c r="AD583" s="936"/>
      <c r="AE583" s="936"/>
      <c r="AF583" s="937"/>
      <c r="AG583" s="196">
        <f ca="1">IF($B$574="Лікар загальної практики - сімейний лікар",IF(AG578&lt;Законод!$C$22,0,(IF(AND(AG578&gt;=Законод!$H$22,AG578&lt;=Законод!$H$23),AG578-Законод!$G$23,IF('01_Доходи'!AG578&gt;=Законод!$I$22,Законод!$H$24,0)))),IF($B$574="Лікар-педіатр",IF(AG578&lt;Законод!$C$18,0,(IF(AND(AG578&gt;=Законод!$H$18,AG578&lt;=Законод!$H$19),AG578-Законод!$G$19,IF('01_Доходи'!AG578&gt;=Законод!$I$18,Законод!$H$20,0)))),IF($B$574="Лікар-терапевт",IF(AG578&lt;Законод!$C$26,0,(IF(AND(AG578&gt;=Законод!$H$26,AG578&lt;=Законод!$H$27),AG578-Законод!$G$27,IF(AG578&gt;=Законод!$I$26,Законод!$H$28,0)))),0)))</f>
        <v>0</v>
      </c>
      <c r="AH583" s="942"/>
      <c r="AI583" s="201"/>
      <c r="AJ583" s="945"/>
      <c r="AK583" s="960"/>
      <c r="AL583" s="960"/>
      <c r="AM583" s="927"/>
      <c r="AN583" s="210">
        <f ca="1">IF(B574="Лікар загальної практики - сімейний лікар",L583*Законод!$C$9/4*Законод!$H$16,IF(B574="Лікар-педіатр",L583*Законод!$C$9/4*Законод!$H$16,IF(B574="Лікар-терапевт",L583*Законод!$C$9/4*Законод!$H$16,0)))</f>
        <v>0</v>
      </c>
      <c r="AO583" s="210">
        <f ca="1">IF(B574="Лікар загальної практики - сімейний лікар",S583*Законод!$C$9/4*Законод!$H$16,IF(B574="Лікар-педіатр",S583*Законод!$C$9/4*Законод!$H$16,IF(B574="Лікар-терапевт",S583*Законод!$C$9/4*Законод!$H$16,0)))</f>
        <v>0</v>
      </c>
      <c r="AP583" s="210">
        <f ca="1">IF(B574="Лікар загальної практики - сімейний лікар",Z583*Законод!$C$9/4*Законод!$H$16,IF(B574="Лікар-педіатр",Z583*Законод!$C$9/4*Законод!$H$16,IF(B574="Лікар-терапевт",Z583*Законод!$C$9/4*Законод!$H$16,0)))</f>
        <v>0</v>
      </c>
      <c r="AQ583" s="210">
        <f ca="1">IF(B574="Лікар загальної практики - сімейний лікар",AG583*Законод!$C$9/4*Законод!$H$16,IF(B574="Лікар-педіатр",AG583*Законод!$C$9/4*Законод!$H$16,IF(B574="Лікар-терапевт",AG583*Законод!$C$9/4*Законод!$H$16,0)))</f>
        <v>0</v>
      </c>
      <c r="AR583" s="211">
        <f t="shared" si="84"/>
        <v>0</v>
      </c>
    </row>
    <row r="584" spans="1:44" s="50" customFormat="1" ht="31.9" hidden="1" customHeight="1">
      <c r="A584" s="197"/>
      <c r="B584" s="951"/>
      <c r="C584" s="954"/>
      <c r="D584" s="957"/>
      <c r="E584" s="939"/>
      <c r="F584" s="238" t="str">
        <f ca="1">IF(B574="Лікар-педіатр",Законод!$I$17,IF(B574="Лікар загальної практики - сімейний лікар",Законод!$I$21,IF(B574="Лікар-терапевт",Законод!$I$25,"х")))</f>
        <v>х</v>
      </c>
      <c r="G584" s="935" t="s">
        <v>423</v>
      </c>
      <c r="H584" s="936"/>
      <c r="I584" s="936"/>
      <c r="J584" s="936"/>
      <c r="K584" s="937"/>
      <c r="L584" s="196">
        <f ca="1">IF($B$574="Лікар загальної практики - сімейний лікар",IF(L578&lt;Законод!$C$22,0,(IF(AND(L578&gt;=Законод!$I$22,L578&lt;=Законод!$I$23),L578-Законод!$H$23,IF('01_Доходи'!L578&gt;=Законод!$I$22,Законод!$I$24,0)))),IF($B$574="Лікар-педіатр",IF(L578&lt;Законод!$C$18,0,(IF(AND(L578&gt;=Законод!$I$18,L578&lt;=Законод!$I$19),L578-Законод!$H$19,IF('01_Доходи'!L578&gt;=Законод!$I$18,Законод!$H$20,0)))),IF($B$574="Лікар-терапевт",IF(L578&lt;Законод!$C$26,0,(IF(AND(L578&gt;=Законод!$I$26,L578&lt;=Законод!$I$27),L578-Законод!$H$27,IF('01_Доходи'!L578&gt;=Законод!$I$26,Законод!$H$28,0)))),0)))</f>
        <v>0</v>
      </c>
      <c r="M584" s="942"/>
      <c r="N584" s="935" t="s">
        <v>423</v>
      </c>
      <c r="O584" s="936"/>
      <c r="P584" s="936"/>
      <c r="Q584" s="936"/>
      <c r="R584" s="937"/>
      <c r="S584" s="196">
        <f ca="1">IF($B$574="Лікар загальної практики - сімейний лікар",IF(S578&lt;Законод!$C$22,0,(IF(AND(S578&gt;=Законод!$I$22,S578&lt;=Законод!$I$23),S578-Законод!$H$23,IF('01_Доходи'!S578&gt;=Законод!$I$22,Законод!$I$24,0)))),IF($B$574="Лікар-педіатр",IF(S578&lt;Законод!$C$18,0,(IF(AND(S578&gt;=Законод!$I$18,S578&lt;=Законод!$I$19),S578-Законод!$H$19,IF('01_Доходи'!S578&gt;=Законод!$I$18,Законод!$H$20,0)))),IF($B$574="Лікар-терапевт",IF(S578&lt;Законод!$C$26,0,(IF(AND(S578&gt;=Законод!$I$26,S578&lt;=Законод!$I$27),S578-Законод!$H$27,IF('01_Доходи'!S578&gt;=Законод!$I$26,Законод!$H$28,0)))),0)))</f>
        <v>0</v>
      </c>
      <c r="T584" s="942"/>
      <c r="U584" s="935" t="s">
        <v>423</v>
      </c>
      <c r="V584" s="936"/>
      <c r="W584" s="936"/>
      <c r="X584" s="936"/>
      <c r="Y584" s="937"/>
      <c r="Z584" s="196">
        <f ca="1">IF($B$574="Лікар загальної практики - сімейний лікар",IF(Z578&lt;Законод!$C$22,0,(IF(AND(Z578&gt;=Законод!$I$22,Z578&lt;=Законод!$I$23),Z578-Законод!$H$23,IF('01_Доходи'!Z578&gt;=Законод!$I$22,Законод!$I$24,0)))),IF($B$574="Лікар-педіатр",IF(Z578&lt;Законод!$C$18,0,(IF(AND(Z578&gt;=Законод!$I$18,Z578&lt;=Законод!$I$19),Z578-Законод!$H$19,IF('01_Доходи'!Z578&gt;=Законод!$I$18,Законод!$H$20,0)))),IF($B$574="Лікар-терапевт",IF(Z578&lt;Законод!$C$26,0,(IF(AND(Z578&gt;=Законод!$I$26,Z578&lt;=Законод!$I$27),Z578-Законод!$H$27,IF('01_Доходи'!Z578&gt;=Законод!$I$26,Законод!$H$28,0)))),0)))</f>
        <v>0</v>
      </c>
      <c r="AA584" s="942"/>
      <c r="AB584" s="935" t="s">
        <v>423</v>
      </c>
      <c r="AC584" s="936"/>
      <c r="AD584" s="936"/>
      <c r="AE584" s="936"/>
      <c r="AF584" s="937"/>
      <c r="AG584" s="196">
        <f ca="1">IF($B$574="Лікар загальної практики - сімейний лікар",IF(AG578&lt;Законод!$C$22,0,(IF(AND(AG578&gt;=Законод!$I$22,AG578&lt;=Законод!$I$23),AG578-Законод!$H$23,IF('01_Доходи'!AG578&gt;=Законод!$I$22,Законод!$I$24,0)))),IF($B$574="Лікар-педіатр",IF(AG578&lt;Законод!$C$18,0,(IF(AND(AG578&gt;=Законод!$I$18,AG578&lt;=Законод!$I$19),AG578-Законод!$H$19,IF('01_Доходи'!AG578&gt;=Законод!$I$18,Законод!$H$20,0)))),IF($B$574="Лікар-терапевт",IF(AG578&lt;Законод!$C$26,0,(IF(AND(AG578&gt;=Законод!$I$26,AG578&lt;=Законод!$I$27),AG578-Законод!$H$27,IF('01_Доходи'!AG578&gt;=Законод!$I$26,Законод!$H$28,0)))),0)))</f>
        <v>0</v>
      </c>
      <c r="AH584" s="942"/>
      <c r="AI584" s="201"/>
      <c r="AJ584" s="945"/>
      <c r="AK584" s="960"/>
      <c r="AL584" s="960"/>
      <c r="AM584" s="927"/>
      <c r="AN584" s="210">
        <f ca="1">IF(B574="Лікар загальної практики - сімейний лікар",L584*Законод!$C$9/4*Законод!$I$16,IF(B574="Лікар-педіатр",L584*Законод!$C$9/4*Законод!$I$16,IF(B574="Лікар-терапевт",L584*Законод!$C$9/4*Законод!$I$16,0)))</f>
        <v>0</v>
      </c>
      <c r="AO584" s="210">
        <f ca="1">IF(B574="Лікар загальної практики - сімейний лікар",S584*Законод!$C$9/4*Законод!$I$16,IF(B574="Лікар-педіатр",S584*Законод!$C$9/4*Законод!$I$16,IF(B574="Лікар-терапевт",S584*Законод!$C$9/4*Законод!$I$16,0)))</f>
        <v>0</v>
      </c>
      <c r="AP584" s="210">
        <f ca="1">IF(B574="Лікар загальної практики - сімейний лікар",Z584*Законод!$C$9/4*Законод!$I$16,IF(B574="Лікар-педіатр",Z584*Законод!$C$9/4*Законод!$I$16,IF(B574="Лікар-терапевт",Z584*Законод!$C$9/4*Законод!$I$16,0)))</f>
        <v>0</v>
      </c>
      <c r="AQ584" s="210">
        <f ca="1">IF(B574="Лікар загальної практики - сімейний лікар",AG584*Законод!$C$9/4*Законод!$I$16,IF(B574="Лікар-педіатр",AG584*Законод!$C$9/4*Законод!$I$16,IF(B574="Лікар-терапевт",AG584*Законод!$C$9/4*Законод!$I$16,0)))</f>
        <v>0</v>
      </c>
      <c r="AR584" s="211">
        <f t="shared" si="84"/>
        <v>0</v>
      </c>
    </row>
    <row r="585" spans="1:44" s="218" customFormat="1" ht="31.9" hidden="1" customHeight="1" thickBot="1">
      <c r="A585" s="213"/>
      <c r="B585" s="952"/>
      <c r="C585" s="955"/>
      <c r="D585" s="958"/>
      <c r="E585" s="940"/>
      <c r="F585" s="239" t="str">
        <f ca="1">IF(B574="Лікар-педіатр",Законод!$J$17,IF(B574="Лікар загальної практики - сімейний лікар",Законод!$J$21,IF(B574="Лікар-терапевт",Законод!$J$25,"х")))</f>
        <v>х</v>
      </c>
      <c r="G585" s="932" t="s">
        <v>423</v>
      </c>
      <c r="H585" s="933"/>
      <c r="I585" s="933"/>
      <c r="J585" s="933"/>
      <c r="K585" s="934"/>
      <c r="L585" s="196">
        <f ca="1">IF($B$574="Лікар загальної практики - сімейний лікар",IF(L578&gt;=Законод!$J$22,'01_Доходи'!L578-('01_Доходи'!L579+'01_Доходи'!L580+'01_Доходи'!L581+'01_Доходи'!L582+'01_Доходи'!L583+'01_Доходи'!L584),0),IF($B$574="Лікар-педіатр",IF(L578&gt;=Законод!$J$18,'01_Доходи'!L578-('01_Доходи'!L579+'01_Доходи'!L580+'01_Доходи'!L581+'01_Доходи'!L582+'01_Доходи'!L583+'01_Доходи'!L584),0),IF($B$574="Лікар-терапевт",IF('01_Доходи'!L578&gt;=Законод!$J$26,L578-Законод!$I$27,0),0)))</f>
        <v>0</v>
      </c>
      <c r="M585" s="943"/>
      <c r="N585" s="932" t="s">
        <v>423</v>
      </c>
      <c r="O585" s="933"/>
      <c r="P585" s="933"/>
      <c r="Q585" s="933"/>
      <c r="R585" s="934"/>
      <c r="S585" s="196">
        <f ca="1">IF($B$574="Лікар загальної практики - сімейний лікар",IF(S578&gt;=Законод!$J$22,'01_Доходи'!S578-('01_Доходи'!S579+'01_Доходи'!S580+'01_Доходи'!S581+'01_Доходи'!S582+'01_Доходи'!S583+'01_Доходи'!S584),0),IF($B$574="Лікар-педіатр",IF(S578&gt;=Законод!$J$18,'01_Доходи'!S578-('01_Доходи'!S579+'01_Доходи'!S580+'01_Доходи'!S581+'01_Доходи'!S582+'01_Доходи'!S583+'01_Доходи'!S584),0),IF($B$574="Лікар-терапевт",IF('01_Доходи'!S578&gt;=Законод!$J$26,S578-Законод!$I$27,0),0)))</f>
        <v>0</v>
      </c>
      <c r="T585" s="943"/>
      <c r="U585" s="932" t="s">
        <v>423</v>
      </c>
      <c r="V585" s="933"/>
      <c r="W585" s="933"/>
      <c r="X585" s="933"/>
      <c r="Y585" s="934"/>
      <c r="Z585" s="196">
        <f ca="1">IF($B$574="Лікар загальної практики - сімейний лікар",IF(Z578&gt;=Законод!$J$22,'01_Доходи'!Z578-('01_Доходи'!Z579+'01_Доходи'!Z580+'01_Доходи'!Z581+'01_Доходи'!Z582+'01_Доходи'!Z583+'01_Доходи'!Z584),0),IF($B$574="Лікар-педіатр",IF(Z578&gt;=Законод!$J$18,'01_Доходи'!Z578-('01_Доходи'!Z579+'01_Доходи'!Z580+'01_Доходи'!Z581+'01_Доходи'!Z582+'01_Доходи'!Z583+'01_Доходи'!Z584),0),IF($B$574="Лікар-терапевт",IF('01_Доходи'!Z578&gt;=Законод!$J$26,Z578-Законод!$I$27,0),0)))</f>
        <v>0</v>
      </c>
      <c r="AA585" s="943"/>
      <c r="AB585" s="932" t="s">
        <v>423</v>
      </c>
      <c r="AC585" s="933"/>
      <c r="AD585" s="933"/>
      <c r="AE585" s="933"/>
      <c r="AF585" s="934"/>
      <c r="AG585" s="196">
        <f ca="1">IF($B$574="Лікар загальної практики - сімейний лікар",IF(AG578&gt;=Законод!$J$22,'01_Доходи'!AG578-('01_Доходи'!AG579+'01_Доходи'!AG580+'01_Доходи'!AG581+'01_Доходи'!AG582+'01_Доходи'!AG583+'01_Доходи'!AG584),0),IF($B$574="Лікар-педіатр",IF(AG578&gt;=Законод!$J$18,'01_Доходи'!AG578-('01_Доходи'!AG579+'01_Доходи'!AG580+'01_Доходи'!AG581+'01_Доходи'!AG582+'01_Доходи'!AG583+'01_Доходи'!AG584),0),IF($B$574="Лікар-терапевт",IF('01_Доходи'!AG578&gt;=Законод!$J$26,AG578-Законод!$I$27,0),0)))</f>
        <v>0</v>
      </c>
      <c r="AH585" s="943"/>
      <c r="AI585" s="215"/>
      <c r="AJ585" s="946"/>
      <c r="AK585" s="961"/>
      <c r="AL585" s="961"/>
      <c r="AM585" s="928"/>
      <c r="AN585" s="216">
        <f ca="1">IF(B574="Лікар загальної практики - сімейний лікар",L585*Законод!$C$9/4*Законод!$J$16,IF(B574="Лікар-педіатр",L585*Законод!$C$9/4*Законод!$J$16,IF(B574="Лікар-терапевт",L585*Законод!$C$9/4*Законод!$J$16,0)))</f>
        <v>0</v>
      </c>
      <c r="AO585" s="216">
        <f ca="1">IF(B574="Лікар загальної практики - сімейний лікар",S585*Законод!$C$9/4*Законод!$J$16,IF(B574="Лікар-педіатр",S585*Законод!$C$9/4*Законод!$J$16,IF(B574="Лікар-терапевт",S585*Законод!$C$9/4*Законод!$J$16,0)))</f>
        <v>0</v>
      </c>
      <c r="AP585" s="216">
        <f ca="1">IF(B574="Лікар загальної практики - сімейний лікар",S585*Законод!$C$9/4*Законод!$J$16,IF(B574="Лікар-педіатр",S585*Законод!$C$9/4*Законод!$J$16,IF(B574="Лікар-терапевт",S585*Законод!$C$9/4*Законод!$J$16,0)))</f>
        <v>0</v>
      </c>
      <c r="AQ585" s="216">
        <f ca="1">IF(B574="Лікар загальної практики - сімейний лікар",AG585*Законод!$C$9/4*Законод!$J$16,IF(B574="Лікар-педіатр",AG585*Законод!$C$9/4*Законод!$J$16,IF(B574="Лікар-терапевт",AG585*Законод!$C$9/4*Законод!$J$16,0)))</f>
        <v>0</v>
      </c>
      <c r="AR585" s="217">
        <f t="shared" si="84"/>
        <v>0</v>
      </c>
    </row>
    <row r="586" spans="1:44" s="247" customFormat="1" ht="23.45" hidden="1" customHeight="1" thickBot="1">
      <c r="A586" s="243"/>
      <c r="B586" s="244"/>
      <c r="C586" s="244"/>
      <c r="D586" s="244"/>
      <c r="E586" s="244"/>
      <c r="F586" s="245"/>
      <c r="G586" s="246"/>
      <c r="H586" s="246"/>
      <c r="L586" s="248"/>
      <c r="S586" s="248"/>
      <c r="Z586" s="248"/>
      <c r="AG586" s="248"/>
      <c r="AM586" s="249"/>
      <c r="AR586" s="250"/>
    </row>
    <row r="587" spans="1:44" s="191" customFormat="1" ht="24.6" hidden="1" customHeight="1">
      <c r="A587" s="194">
        <f>A574+1</f>
        <v>43</v>
      </c>
      <c r="B587" s="950"/>
      <c r="C587" s="953"/>
      <c r="D587" s="956"/>
      <c r="E587" s="938"/>
      <c r="F587" s="234" t="s">
        <v>659</v>
      </c>
      <c r="G587" s="196">
        <f>IF($B$587="Лікар-педіатр",G590*L587,IF($B$587="Лікар-терапевт","х",IF($B$587="Лікар загальної практики - сімейний лікар",G590*L587,0)))</f>
        <v>0</v>
      </c>
      <c r="H587" s="196">
        <f>IF($B$587="Лікар-педіатр",H590*L587,IF($B$587="Лікар-терапевт","х",IF($B$587="Лікар загальної практики - сімейний лікар",H590*L587,0)))</f>
        <v>0</v>
      </c>
      <c r="I587" s="196">
        <f>IF($B$587="Лікар-педіатр","x",IF($B$587="Лікар-терапевт",I590*L587,IF($B$587="Лікар загальної практики - сімейний лікар",I590*L587,0)))</f>
        <v>0</v>
      </c>
      <c r="J587" s="196">
        <f>IF($B$587="Лікар-педіатр","x",IF($B$587="Лікар-терапевт",J590*L587,IF($B$587="Лікар загальної практики - сімейний лікар",J590*L587,0)))</f>
        <v>0</v>
      </c>
      <c r="K587" s="196">
        <f>IF($B$587="Лікар-педіатр","x",IF($B$587="Лікар-терапевт",K590*L587,IF($B$587="Лікар загальної практики - сімейний лікар",K590*L587,0)))</f>
        <v>0</v>
      </c>
      <c r="L587" s="557"/>
      <c r="M587" s="941"/>
      <c r="N587" s="196">
        <f>IF($B$587="Лікар-педіатр",N590*S587,IF($B$587="Лікар-терапевт","х",IF($B$587="Лікар загальної практики - сімейний лікар",N590*S587,0)))</f>
        <v>0</v>
      </c>
      <c r="O587" s="196">
        <f>IF($B$587="Лікар-педіатр",O590*S587,IF($B$587="Лікар-терапевт","х",IF($B$587="Лікар загальної практики - сімейний лікар",O590*S587,0)))</f>
        <v>0</v>
      </c>
      <c r="P587" s="196">
        <f>IF($B$587="Лікар-педіатр","x",IF($B$587="Лікар-терапевт",P590*S587,IF($B$587="Лікар загальної практики - сімейний лікар",P590*S587,0)))</f>
        <v>0</v>
      </c>
      <c r="Q587" s="196">
        <f>IF($B$587="Лікар-педіатр","x",IF($B$587="Лікар-терапевт",Q590*S587,IF($B$587="Лікар загальної практики - сімейний лікар",Q590*S587,0)))</f>
        <v>0</v>
      </c>
      <c r="R587" s="196">
        <f>IF($B$587="Лікар-педіатр","x",IF($B$587="Лікар-терапевт",R590*S587,IF($B$587="Лікар загальної практики - сімейний лікар",R590*S587,0)))</f>
        <v>0</v>
      </c>
      <c r="S587" s="557"/>
      <c r="T587" s="941"/>
      <c r="U587" s="196">
        <f>IF($B$587="Лікар-педіатр",U590*Z587,IF($B$587="Лікар-терапевт","х",IF($B$587="Лікар загальної практики - сімейний лікар",U590*Z587,0)))</f>
        <v>0</v>
      </c>
      <c r="V587" s="196">
        <f>IF($B$587="Лікар-педіатр",V590*Z587,IF($B$587="Лікар-терапевт","х",IF($B$587="Лікар загальної практики - сімейний лікар",V590*Z587,0)))</f>
        <v>0</v>
      </c>
      <c r="W587" s="196">
        <f>IF($B$587="Лікар-педіатр","x",IF($B$587="Лікар-терапевт",W590*Z587,IF($B$587="Лікар загальної практики - сімейний лікар",W590*Z587,0)))</f>
        <v>0</v>
      </c>
      <c r="X587" s="196">
        <f>IF($B$587="Лікар-педіатр","x",IF($B$587="Лікар-терапевт",X590*Z587,IF($B$587="Лікар загальної практики - сімейний лікар",X590*Z587,0)))</f>
        <v>0</v>
      </c>
      <c r="Y587" s="196">
        <f>IF($B$587="Лікар-педіатр","x",IF($B$587="Лікар-терапевт",Y590*Z587,IF($B$587="Лікар загальної практики - сімейний лікар",Y590*Z587,0)))</f>
        <v>0</v>
      </c>
      <c r="Z587" s="557"/>
      <c r="AA587" s="941"/>
      <c r="AB587" s="196">
        <f>IF($B$587="Лікар-педіатр",AB590*AG587,IF($B$587="Лікар-терапевт","х",IF($B$587="Лікар загальної практики - сімейний лікар",AB590*AG587,0)))</f>
        <v>0</v>
      </c>
      <c r="AC587" s="196">
        <f>IF($B$587="Лікар-педіатр",AC590*AG587,IF($B$587="Лікар-терапевт","х",IF($B$587="Лікар загальної практики - сімейний лікар",AC590*AG587,0)))</f>
        <v>0</v>
      </c>
      <c r="AD587" s="196">
        <f>IF($B$587="Лікар-педіатр","x",IF($B$587="Лікар-терапевт",AD590*AG587,IF($B$587="Лікар загальної практики - сімейний лікар",AD590*AG587,0)))</f>
        <v>0</v>
      </c>
      <c r="AE587" s="196">
        <f>IF($B$587="Лікар-педіатр","x",IF($B$587="Лікар-терапевт",AE590*AG587,IF($B$587="Лікар загальної практики - сімейний лікар",AE590*AG587,0)))</f>
        <v>0</v>
      </c>
      <c r="AF587" s="196">
        <f>IF($B$587="Лікар-педіатр","x",IF($B$587="Лікар-терапевт",AF590*AG587,IF($B$587="Лікар загальної практики - сімейний лікар",AF590*AG587,0)))</f>
        <v>0</v>
      </c>
      <c r="AG587" s="557"/>
      <c r="AH587" s="941"/>
      <c r="AI587" s="540">
        <f>A587</f>
        <v>43</v>
      </c>
      <c r="AJ587" s="944">
        <f>B587</f>
        <v>0</v>
      </c>
      <c r="AK587" s="959">
        <f>C587</f>
        <v>0</v>
      </c>
      <c r="AL587" s="959">
        <f>D587</f>
        <v>0</v>
      </c>
      <c r="AM587" s="929" t="s">
        <v>79</v>
      </c>
      <c r="AN587" s="947">
        <f>SUM(AN592:AN598)</f>
        <v>0</v>
      </c>
      <c r="AO587" s="947">
        <f>SUM(AO592:AO598)</f>
        <v>0</v>
      </c>
      <c r="AP587" s="947">
        <f>SUM(AP592:AP598)</f>
        <v>0</v>
      </c>
      <c r="AQ587" s="947">
        <f>SUM(AQ592:AQ598)</f>
        <v>0</v>
      </c>
      <c r="AR587" s="962">
        <f>SUM(AN587:AQ591)</f>
        <v>0</v>
      </c>
    </row>
    <row r="588" spans="1:44" s="50" customFormat="1" ht="28.15" hidden="1" customHeight="1">
      <c r="A588" s="197"/>
      <c r="B588" s="951"/>
      <c r="C588" s="954"/>
      <c r="D588" s="957"/>
      <c r="E588" s="939"/>
      <c r="F588" s="234" t="s">
        <v>660</v>
      </c>
      <c r="G588" s="196">
        <f>IF($B$587="Лікар-педіатр",G590*L588,IF($B$587="Лікар-терапевт","х",IF($B$587="Лікар загальної практики - сімейний лікар",G590*L588,0)))</f>
        <v>0</v>
      </c>
      <c r="H588" s="196">
        <f>IF($B$587="Лікар-педіатр",H590*L588,IF($B$587="Лікар-терапевт","х",IF($B$587="Лікар загальної практики - сімейний лікар",H590*L588,0)))</f>
        <v>0</v>
      </c>
      <c r="I588" s="196">
        <f>IF($B$587="Лікар-педіатр","x",IF($B$587="Лікар-терапевт",I590*L588,IF($B$587="Лікар загальної практики - сімейний лікар",I590*L588,0)))</f>
        <v>0</v>
      </c>
      <c r="J588" s="196">
        <f>IF($B$587="Лікар-педіатр","x",IF($B$587="Лікар-терапевт",J590*L588,IF($B$587="Лікар загальної практики - сімейний лікар",J590*L588,0)))</f>
        <v>0</v>
      </c>
      <c r="K588" s="196">
        <f>IF($B$587="Лікар-педіатр","x",IF($B$587="Лікар-терапевт",K590*L588,IF($B$587="Лікар загальної практики - сімейний лікар",K590*L588,0)))</f>
        <v>0</v>
      </c>
      <c r="L588" s="557"/>
      <c r="M588" s="942"/>
      <c r="N588" s="196">
        <f>IF($B$587="Лікар-педіатр",N590*S588,IF($B$587="Лікар-терапевт","х",IF($B$587="Лікар загальної практики - сімейний лікар",N590*S588,0)))</f>
        <v>0</v>
      </c>
      <c r="O588" s="196">
        <f>IF($B$587="Лікар-педіатр",O590*S588,IF($B$587="Лікар-терапевт","х",IF($B$587="Лікар загальної практики - сімейний лікар",O590*S588,0)))</f>
        <v>0</v>
      </c>
      <c r="P588" s="196">
        <f>IF($B$587="Лікар-педіатр","x",IF($B$587="Лікар-терапевт",P590*S588,IF($B$587="Лікар загальної практики - сімейний лікар",P590*S588,0)))</f>
        <v>0</v>
      </c>
      <c r="Q588" s="196">
        <f>IF($B$587="Лікар-педіатр","x",IF($B$587="Лікар-терапевт",Q590*S588,IF($B$587="Лікар загальної практики - сімейний лікар",Q590*S588,0)))</f>
        <v>0</v>
      </c>
      <c r="R588" s="196">
        <f>IF($B$587="Лікар-педіатр","x",IF($B$587="Лікар-терапевт",R590*S588,IF($B$587="Лікар загальної практики - сімейний лікар",R590*S588,0)))</f>
        <v>0</v>
      </c>
      <c r="S588" s="557"/>
      <c r="T588" s="942"/>
      <c r="U588" s="196">
        <f>IF($B$587="Лікар-педіатр",U590*Z588,IF($B$587="Лікар-терапевт","х",IF($B$587="Лікар загальної практики - сімейний лікар",U590*Z588,0)))</f>
        <v>0</v>
      </c>
      <c r="V588" s="196">
        <f>IF($B$587="Лікар-педіатр",V590*Z588,IF($B$587="Лікар-терапевт","х",IF($B$587="Лікар загальної практики - сімейний лікар",V590*Z588,0)))</f>
        <v>0</v>
      </c>
      <c r="W588" s="196">
        <f>IF($B$587="Лікар-педіатр","x",IF($B$587="Лікар-терапевт",W590*Z588,IF($B$587="Лікар загальної практики - сімейний лікар",W590*Z588,0)))</f>
        <v>0</v>
      </c>
      <c r="X588" s="196">
        <f>IF($B$587="Лікар-педіатр","x",IF($B$587="Лікар-терапевт",X590*Z588,IF($B$587="Лікар загальної практики - сімейний лікар",X590*Z588,0)))</f>
        <v>0</v>
      </c>
      <c r="Y588" s="196">
        <f>IF($B$587="Лікар-педіатр","x",IF($B$587="Лікар-терапевт",Y590*Z588,IF($B$587="Лікар загальної практики - сімейний лікар",Y590*Z588,0)))</f>
        <v>0</v>
      </c>
      <c r="Z588" s="557"/>
      <c r="AA588" s="942"/>
      <c r="AB588" s="196">
        <f>IF($B$587="Лікар-педіатр",AB590*AG588,IF($B$587="Лікар-терапевт","х",IF($B$587="Лікар загальної практики - сімейний лікар",AB590*AG588,0)))</f>
        <v>0</v>
      </c>
      <c r="AC588" s="196">
        <f>IF($B$587="Лікар-педіатр",AC590*AG588,IF($B$587="Лікар-терапевт","х",IF($B$587="Лікар загальної практики - сімейний лікар",AC590*AG588,0)))</f>
        <v>0</v>
      </c>
      <c r="AD588" s="196">
        <f>IF($B$587="Лікар-педіатр","x",IF($B$587="Лікар-терапевт",AD590*AG588,IF($B$587="Лікар загальної практики - сімейний лікар",AD590*AG588,0)))</f>
        <v>0</v>
      </c>
      <c r="AE588" s="196">
        <f>IF($B$587="Лікар-педіатр","x",IF($B$587="Лікар-терапевт",AE590*AG588,IF($B$587="Лікар загальної практики - сімейний лікар",AE590*AG588,0)))</f>
        <v>0</v>
      </c>
      <c r="AF588" s="196">
        <f>IF($B$587="Лікар-педіатр","x",IF($B$587="Лікар-терапевт",AF590*AG588,IF($B$587="Лікар загальної практики - сімейний лікар",AF590*AG588,0)))</f>
        <v>0</v>
      </c>
      <c r="AG588" s="557"/>
      <c r="AH588" s="942"/>
      <c r="AI588" s="198"/>
      <c r="AJ588" s="945"/>
      <c r="AK588" s="960"/>
      <c r="AL588" s="960"/>
      <c r="AM588" s="930"/>
      <c r="AN588" s="948"/>
      <c r="AO588" s="948"/>
      <c r="AP588" s="948"/>
      <c r="AQ588" s="948"/>
      <c r="AR588" s="963"/>
    </row>
    <row r="589" spans="1:44" s="90" customFormat="1" ht="31.15" hidden="1" customHeight="1">
      <c r="A589" s="240"/>
      <c r="B589" s="951"/>
      <c r="C589" s="954"/>
      <c r="D589" s="957"/>
      <c r="E589" s="939"/>
      <c r="F589" s="241" t="s">
        <v>661</v>
      </c>
      <c r="G589" s="199">
        <f>IF(B587="Лікар загальної практики - сімейний лікар"," ",IF(B587="Лікар-педіатр"," ",IF(B587="Лікар-терапевт","х",0)))</f>
        <v>0</v>
      </c>
      <c r="H589" s="199">
        <f>IF(B587="Лікар загальної практики - сімейний лікар"," ",IF(B587="Лікар-педіатр"," ",IF(B587="Лікар-терапевт","х",0)))</f>
        <v>0</v>
      </c>
      <c r="I589" s="199">
        <f>IF(B587="Лікар загальної практики - сімейний лікар"," ",IF(B587="Лікар-педіатр","х",IF(B587="Лікар-терапевт"," ",0)))</f>
        <v>0</v>
      </c>
      <c r="J589" s="199">
        <f>IF(B587="Лікар загальної практики - сімейний лікар"," ",IF(B587="Лікар-педіатр","х",IF(B587="Лікар-терапевт"," ",0)))</f>
        <v>0</v>
      </c>
      <c r="K589" s="199">
        <f>IF(B587="Лікар загальної практики - сімейний лікар"," ",IF(B587="Лікар-педіатр","х",IF(B587="Лікар-терапевт"," ",0)))</f>
        <v>0</v>
      </c>
      <c r="L589" s="200">
        <f>SUM(G589:K589)</f>
        <v>0</v>
      </c>
      <c r="M589" s="942"/>
      <c r="N589" s="199">
        <f>IF(B587="Лікар загальної практики - сімейний лікар"," ",IF(B587="Лікар-педіатр"," ",IF(B587="Лікар-терапевт","х",0)))</f>
        <v>0</v>
      </c>
      <c r="O589" s="199">
        <f>IF(B587="Лікар загальної практики - сімейний лікар"," ",IF(B587="Лікар-педіатр"," ",IF(B587="Лікар-терапевт","х",0)))</f>
        <v>0</v>
      </c>
      <c r="P589" s="199">
        <f>IF(B587="Лікар загальної практики - сімейний лікар"," ",IF(B587="Лікар-педіатр","х",IF(B587="Лікар-терапевт"," ",0)))</f>
        <v>0</v>
      </c>
      <c r="Q589" s="199">
        <f>IF(B587="Лікар загальної практики - сімейний лікар"," ",IF(B587="Лікар-педіатр","х",IF(B587="Лікар-терапевт"," ",0)))</f>
        <v>0</v>
      </c>
      <c r="R589" s="199">
        <f>IF(B587="Лікар загальної практики - сімейний лікар"," ",IF(B587="Лікар-педіатр","х",IF(B587="Лікар-терапевт"," ",0)))</f>
        <v>0</v>
      </c>
      <c r="S589" s="200">
        <f>SUM(N589:R589)</f>
        <v>0</v>
      </c>
      <c r="T589" s="942"/>
      <c r="U589" s="199">
        <f>IF(B587="Лікар загальної практики - сімейний лікар"," ",IF(B587="Лікар-педіатр"," ",IF(B587="Лікар-терапевт","х",0)))</f>
        <v>0</v>
      </c>
      <c r="V589" s="199">
        <f>IF(B587="Лікар загальної практики - сімейний лікар"," ",IF(B587="Лікар-педіатр"," ",IF(B587="Лікар-терапевт","х",0)))</f>
        <v>0</v>
      </c>
      <c r="W589" s="199">
        <f>IF(B587="Лікар загальної практики - сімейний лікар"," ",IF(B587="Лікар-педіатр","х",IF(B587="Лікар-терапевт"," ",0)))</f>
        <v>0</v>
      </c>
      <c r="X589" s="199">
        <f>IF(B587="Лікар загальної практики - сімейний лікар"," ",IF(B587="Лікар-педіатр","х",IF(B587="Лікар-терапевт"," ",0)))</f>
        <v>0</v>
      </c>
      <c r="Y589" s="199">
        <f>IF(B587="Лікар загальної практики - сімейний лікар"," ",IF(B587="Лікар-педіатр","х",IF(B587="Лікар-терапевт"," ",0)))</f>
        <v>0</v>
      </c>
      <c r="Z589" s="200">
        <f>SUM(U589:Y589)</f>
        <v>0</v>
      </c>
      <c r="AA589" s="942"/>
      <c r="AB589" s="199">
        <f>IF(B587="Лікар загальної практики - сімейний лікар"," ",IF(B587="Лікар-педіатр"," ",IF(B587="Лікар-терапевт","х",0)))</f>
        <v>0</v>
      </c>
      <c r="AC589" s="199">
        <f>IF(B587="Лікар загальної практики - сімейний лікар"," ",IF(B587="Лікар-педіатр"," ",IF(B587="Лікар-терапевт","х",0)))</f>
        <v>0</v>
      </c>
      <c r="AD589" s="199">
        <f>IF(B587="Лікар загальної практики - сімейний лікар"," ",IF(B587="Лікар-педіатр","х",IF(B587="Лікар-терапевт"," ",0)))</f>
        <v>0</v>
      </c>
      <c r="AE589" s="199">
        <f>IF(B587="Лікар загальної практики - сімейний лікар"," ",IF(B587="Лікар-педіатр","х",IF(B587="Лікар-терапевт"," ",0)))</f>
        <v>0</v>
      </c>
      <c r="AF589" s="199">
        <f>IF(B587="Лікар загальної практики - сімейний лікар"," ",IF(B587="Лікар-педіатр","х",IF(B587="Лікар-терапевт"," ",0)))</f>
        <v>0</v>
      </c>
      <c r="AG589" s="200">
        <f>SUM(AB589:AF589)</f>
        <v>0</v>
      </c>
      <c r="AH589" s="942"/>
      <c r="AI589" s="242"/>
      <c r="AJ589" s="945"/>
      <c r="AK589" s="960"/>
      <c r="AL589" s="960"/>
      <c r="AM589" s="930"/>
      <c r="AN589" s="948"/>
      <c r="AO589" s="948"/>
      <c r="AP589" s="948"/>
      <c r="AQ589" s="948"/>
      <c r="AR589" s="963"/>
    </row>
    <row r="590" spans="1:44" s="50" customFormat="1" ht="31.9" hidden="1" customHeight="1" thickBot="1">
      <c r="A590" s="197"/>
      <c r="B590" s="951"/>
      <c r="C590" s="954"/>
      <c r="D590" s="957"/>
      <c r="E590" s="939"/>
      <c r="F590" s="236" t="s">
        <v>426</v>
      </c>
      <c r="G590" s="203">
        <f>IF($B$587="Лікар-педіатр",G589/L589,IF($B$587="Лікар-терапевт","х",IF($B$587="Лікар загальної практики - сімейний лікар",G589/L589,0)))</f>
        <v>0</v>
      </c>
      <c r="H590" s="203">
        <f>IF($B$587="Лікар-педіатр",H589/L589,IF($B$587="Лікар-терапевт","х",IF($B$587="Лікар загальної практики - сімейний лікар",H589/L589,0)))</f>
        <v>0</v>
      </c>
      <c r="I590" s="203">
        <f>IF($B$587="Лікар-педіатр","x",IF($B$587="Лікар-терапевт",I589/L589,IF($B$587="Лікар загальної практики - сімейний лікар",I589/L589,0)))</f>
        <v>0</v>
      </c>
      <c r="J590" s="203">
        <f>IF($B$587="Лікар-педіатр","x",IF($B$587="Лікар-терапевт",J589/L589,IF($B$587="Лікар загальної практики - сімейний лікар",J589/L589,0)))</f>
        <v>0</v>
      </c>
      <c r="K590" s="203">
        <f>IF($B$587="Лікар-педіатр","x",IF($B$587="Лікар-терапевт",K589/L589,IF($B$587="Лікар загальної практики - сімейний лікар",K589/L589,0)))</f>
        <v>0</v>
      </c>
      <c r="L590" s="203">
        <f>SUM(G590:K590)</f>
        <v>0</v>
      </c>
      <c r="M590" s="942"/>
      <c r="N590" s="203">
        <f>IF($B$587="Лікар-педіатр",N589/S589,IF($B$587="Лікар-терапевт","х",IF($B$587="Лікар загальної практики - сімейний лікар",N589/S589,0)))</f>
        <v>0</v>
      </c>
      <c r="O590" s="203">
        <f>IF($B$587="Лікар-педіатр",O589/S589,IF($B$587="Лікар-терапевт","х",IF($B$587="Лікар загальної практики - сімейний лікар",O589/S589,0)))</f>
        <v>0</v>
      </c>
      <c r="P590" s="203">
        <f>IF($B$587="Лікар-педіатр","x",IF($B$587="Лікар-терапевт",P589/S589,IF($B$587="Лікар загальної практики - сімейний лікар",P589/S589,0)))</f>
        <v>0</v>
      </c>
      <c r="Q590" s="203">
        <f>IF($B$587="Лікар-педіатр","x",IF($B$587="Лікар-терапевт",Q589/S589,IF($B$587="Лікар загальної практики - сімейний лікар",Q589/S589,0)))</f>
        <v>0</v>
      </c>
      <c r="R590" s="203">
        <f>IF($B$587="Лікар-педіатр","x",IF($B$587="Лікар-терапевт",R589/S589,IF($B$587="Лікар загальної практики - сімейний лікар",R589/S589,0)))</f>
        <v>0</v>
      </c>
      <c r="S590" s="203">
        <f>SUM(N590:R590)</f>
        <v>0</v>
      </c>
      <c r="T590" s="942"/>
      <c r="U590" s="203">
        <f>IF($B$587="Лікар-педіатр",U589/Z589,IF($B$587="Лікар-терапевт","х",IF($B$587="Лікар загальної практики - сімейний лікар",U589/Z589,0)))</f>
        <v>0</v>
      </c>
      <c r="V590" s="203">
        <f>IF($B$587="Лікар-педіатр",V589/Z589,IF($B$587="Лікар-терапевт","х",IF($B$587="Лікар загальної практики - сімейний лікар",V589/Z589,0)))</f>
        <v>0</v>
      </c>
      <c r="W590" s="203">
        <f>IF($B$587="Лікар-педіатр","x",IF($B$587="Лікар-терапевт",W589/Z589,IF($B$587="Лікар загальної практики - сімейний лікар",W589/Z589,0)))</f>
        <v>0</v>
      </c>
      <c r="X590" s="203">
        <f>IF($B$587="Лікар-педіатр","x",IF($B$587="Лікар-терапевт",X589/Z589,IF($B$587="Лікар загальної практики - сімейний лікар",X589/Z589,0)))</f>
        <v>0</v>
      </c>
      <c r="Y590" s="203">
        <f>IF($B$587="Лікар-педіатр","x",IF($B$587="Лікар-терапевт",Y589/Z589,IF($B$587="Лікар загальної практики - сімейний лікар",Y589/Z589,0)))</f>
        <v>0</v>
      </c>
      <c r="Z590" s="203">
        <f>SUM(U590:Y590)</f>
        <v>0</v>
      </c>
      <c r="AA590" s="942"/>
      <c r="AB590" s="203">
        <f>IF($B$587="Лікар-педіатр",AB589/AG589,IF($B$587="Лікар-терапевт","х",IF($B$587="Лікар загальної практики - сімейний лікар",AB589/AG589,0)))</f>
        <v>0</v>
      </c>
      <c r="AC590" s="203">
        <f>IF($B$587="Лікар-педіатр",AC589/AG589,IF($B$587="Лікар-терапевт","х",IF($B$587="Лікар загальної практики - сімейний лікар",AC589/AG589,0)))</f>
        <v>0</v>
      </c>
      <c r="AD590" s="203">
        <f>IF($B$587="Лікар-педіатр","x",IF($B$587="Лікар-терапевт",AD589/AG589,IF($B$587="Лікар загальної практики - сімейний лікар",AD589/AG589,0)))</f>
        <v>0</v>
      </c>
      <c r="AE590" s="203">
        <f>IF($B$587="Лікар-педіатр","x",IF($B$587="Лікар-терапевт",AE589/AG589,IF($B$587="Лікар загальної практики - сімейний лікар",AE589/AG589,0)))</f>
        <v>0</v>
      </c>
      <c r="AF590" s="203">
        <f>IF($B$587="Лікар-педіатр","x",IF($B$587="Лікар-терапевт",AF589/AG589,IF($B$587="Лікар загальної практики - сімейний лікар",AF589/AG589,0)))</f>
        <v>0</v>
      </c>
      <c r="AG590" s="203">
        <f>SUM(AB590:AF590)</f>
        <v>0</v>
      </c>
      <c r="AH590" s="942"/>
      <c r="AI590" s="201"/>
      <c r="AJ590" s="945"/>
      <c r="AK590" s="960"/>
      <c r="AL590" s="960"/>
      <c r="AM590" s="930"/>
      <c r="AN590" s="948"/>
      <c r="AO590" s="948"/>
      <c r="AP590" s="948"/>
      <c r="AQ590" s="948"/>
      <c r="AR590" s="963"/>
    </row>
    <row r="591" spans="1:44" s="50" customFormat="1" ht="45" hidden="1" customHeight="1" thickBot="1">
      <c r="A591" s="197"/>
      <c r="B591" s="951"/>
      <c r="C591" s="954"/>
      <c r="D591" s="957"/>
      <c r="E591" s="939"/>
      <c r="F591" s="204" t="s">
        <v>662</v>
      </c>
      <c r="G591" s="205">
        <f>IF($B$587="Лікар загальної практики - сімейний лікар",AVERAGE(G587:G589),IF($B$587="Лікар-педіатр",AVERAGE(G587:G589),IF($B$587="Лікар-терапевт","х",0)))</f>
        <v>0</v>
      </c>
      <c r="H591" s="205">
        <f>IF($B$587="Лікар загальної практики - сімейний лікар",AVERAGE(H587:H589),IF($B$587="Лікар-педіатр",AVERAGE(H587:H589),IF($B$587="Лікар-терапевт","х",0)))</f>
        <v>0</v>
      </c>
      <c r="I591" s="205">
        <f>IF($B$587="Лікар загальної практики - сімейний лікар",AVERAGE(I587:I589),IF($B$587="Лікар-педіатр","x",IF($B$587="Лікар-терапевт",AVERAGE(I587:I589),0)))</f>
        <v>0</v>
      </c>
      <c r="J591" s="205">
        <f>IF($B$587="Лікар загальної практики - сімейний лікар",AVERAGE(J587:J589),IF($B$587="Лікар-педіатр","x",IF($B$587="Лікар-терапевт",AVERAGE(J587:J589),0)))</f>
        <v>0</v>
      </c>
      <c r="K591" s="205">
        <f>IF($B$587="Лікар загальної практики - сімейний лікар",AVERAGE(K587:K589),IF($B$587="Лікар-педіатр","x",IF($B$587="Лікар-терапевт",AVERAGE(K587:K589),0)))</f>
        <v>0</v>
      </c>
      <c r="L591" s="206">
        <f>SUM(G591:K591)</f>
        <v>0</v>
      </c>
      <c r="M591" s="942"/>
      <c r="N591" s="205">
        <f>IF($B$587="Лікар загальної практики - сімейний лікар",AVERAGE(N587:N589),IF($B$587="Лікар-педіатр",AVERAGE(N587:N589),IF($B$587="Лікар-терапевт","х",0)))</f>
        <v>0</v>
      </c>
      <c r="O591" s="205">
        <f>IF($B$587="Лікар загальної практики - сімейний лікар",AVERAGE(O587:O589),IF($B$587="Лікар-педіатр",AVERAGE(O587:O589),IF($B$587="Лікар-терапевт","х",0)))</f>
        <v>0</v>
      </c>
      <c r="P591" s="205">
        <f>IF($B$587="Лікар загальної практики - сімейний лікар",AVERAGE(P587:P589),IF($B$587="Лікар-педіатр","x",IF($B$587="Лікар-терапевт",AVERAGE(P587:P589),0)))</f>
        <v>0</v>
      </c>
      <c r="Q591" s="205">
        <f>IF($B$587="Лікар загальної практики - сімейний лікар",AVERAGE(Q587:Q589),IF($B$587="Лікар-педіатр","x",IF($B$587="Лікар-терапевт",AVERAGE(Q587:Q589),0)))</f>
        <v>0</v>
      </c>
      <c r="R591" s="205">
        <f>IF($B$587="Лікар загальної практики - сімейний лікар",AVERAGE(R587:R589),IF($B$587="Лікар-педіатр","x",IF($B$587="Лікар-терапевт",AVERAGE(R587:R589),0)))</f>
        <v>0</v>
      </c>
      <c r="S591" s="206">
        <f>SUM(N591:R591)</f>
        <v>0</v>
      </c>
      <c r="T591" s="942"/>
      <c r="U591" s="205">
        <f>IF($B$587="Лікар загальної практики - сімейний лікар",AVERAGE(U587:U589),IF($B$587="Лікар-педіатр",AVERAGE(U587:U589),IF($B$587="Лікар-терапевт","х",0)))</f>
        <v>0</v>
      </c>
      <c r="V591" s="205">
        <f>IF($B$587="Лікар загальної практики - сімейний лікар",AVERAGE(V587:V589),IF($B$587="Лікар-педіатр",AVERAGE(V587:V589),IF($B$587="Лікар-терапевт","х",0)))</f>
        <v>0</v>
      </c>
      <c r="W591" s="205">
        <f>IF($B$587="Лікар загальної практики - сімейний лікар",AVERAGE(W587:W589),IF($B$587="Лікар-педіатр","x",IF($B$587="Лікар-терапевт",AVERAGE(W587:W589),0)))</f>
        <v>0</v>
      </c>
      <c r="X591" s="205">
        <f>IF($B$587="Лікар загальної практики - сімейний лікар",AVERAGE(X587:X589),IF($B$587="Лікар-педіатр","x",IF($B$587="Лікар-терапевт",AVERAGE(X587:X589),0)))</f>
        <v>0</v>
      </c>
      <c r="Y591" s="205">
        <f>IF($B$587="Лікар загальної практики - сімейний лікар",AVERAGE(Y587:Y589),IF($B$587="Лікар-педіатр","x",IF($B$587="Лікар-терапевт",AVERAGE(Y587:Y589),0)))</f>
        <v>0</v>
      </c>
      <c r="Z591" s="206">
        <f>SUM(U591:Y591)</f>
        <v>0</v>
      </c>
      <c r="AA591" s="942"/>
      <c r="AB591" s="205">
        <f>IF($B$587="Лікар загальної практики - сімейний лікар",AVERAGE(AB587:AB589),IF($B$587="Лікар-педіатр",AVERAGE(AB587:AB589),IF($B$587="Лікар-терапевт","х",0)))</f>
        <v>0</v>
      </c>
      <c r="AC591" s="205">
        <f>IF($B$587="Лікар загальної практики - сімейний лікар",AVERAGE(AC587:AC589),IF($B$587="Лікар-педіатр",AVERAGE(AC587:AC589),IF($B$587="Лікар-терапевт","х",0)))</f>
        <v>0</v>
      </c>
      <c r="AD591" s="205">
        <f>IF($B$587="Лікар загальної практики - сімейний лікар",AVERAGE(AD587:AD589),IF($B$587="Лікар-педіатр","x",IF($B$587="Лікар-терапевт",AVERAGE(AD587:AD589),0)))</f>
        <v>0</v>
      </c>
      <c r="AE591" s="205">
        <f>IF($B$587="Лікар загальної практики - сімейний лікар",AVERAGE(AE587:AE589),IF($B$587="Лікар-педіатр","x",IF($B$587="Лікар-терапевт",AVERAGE(AE587:AE589),0)))</f>
        <v>0</v>
      </c>
      <c r="AF591" s="205">
        <f>IF($B$587="Лікар загальної практики - сімейний лікар",AVERAGE(AF587:AF589),IF($B$587="Лікар-педіатр","x",IF($B$587="Лікар-терапевт",AVERAGE(AF587:AF589),0)))</f>
        <v>0</v>
      </c>
      <c r="AG591" s="206">
        <f>SUM(AB591:AF591)</f>
        <v>0</v>
      </c>
      <c r="AH591" s="942"/>
      <c r="AI591" s="201"/>
      <c r="AJ591" s="945"/>
      <c r="AK591" s="960"/>
      <c r="AL591" s="960"/>
      <c r="AM591" s="931"/>
      <c r="AN591" s="949"/>
      <c r="AO591" s="949"/>
      <c r="AP591" s="949"/>
      <c r="AQ591" s="949"/>
      <c r="AR591" s="964"/>
    </row>
    <row r="592" spans="1:44" s="50" customFormat="1" ht="40.5" hidden="1">
      <c r="A592" s="197"/>
      <c r="B592" s="951"/>
      <c r="C592" s="954"/>
      <c r="D592" s="957"/>
      <c r="E592" s="939"/>
      <c r="F592" s="237" t="str">
        <f ca="1">IF(B587="Лікар-педіатр",Законод!$C$17,IF(B587="Лікар загальної практики - сімейний лікар",Законод!$C$21,IF(B587="Лікар-терапевт",Законод!$C$25,"х")))</f>
        <v>х</v>
      </c>
      <c r="G592" s="208">
        <f ca="1">IF($B$587="Лікар загальної практики - сімейний лікар",IF(L591&lt;=Законод!$C$22,G591,Законод!$C$22*'01_Доходи'!G590),IF($B$587="Лікар-педіатр",IF(L591&lt;=Законод!$C$18,G591,Законод!$C$18*'01_Доходи'!G590),IF($B$587="Лікар-терапевт","x",0)))</f>
        <v>0</v>
      </c>
      <c r="H592" s="208">
        <f ca="1">IF($B$587="Лікар загальної практики - сімейний лікар",IF(L591&lt;=Законод!$C$22,H591,Законод!$C$22*'01_Доходи'!H590),IF($B$587="Лікар-педіатр",IF(L591&lt;=Законод!$C$18,H591,Законод!$C$18*'01_Доходи'!H590),IF($B$587="Лікар-терапевт","x",0)))</f>
        <v>0</v>
      </c>
      <c r="I592" s="208">
        <f ca="1">IF($B$587="Лікар загальної практики - сімейний лікар",IF(L591&lt;=Законод!$C$22,I591,Законод!$C$22*'01_Доходи'!I590),IF($B$587="Лікар-педіатр","x",IF($B$587="Лікар-терапевт",IF(L591&lt;=Законод!$C$26,I591,Законод!$C$26*'01_Доходи'!I590),0)))</f>
        <v>0</v>
      </c>
      <c r="J592" s="208">
        <f ca="1">IF($B$587="Лікар загальної практики - сімейний лікар",IF(L591&lt;=Законод!$C$22,J591,Законод!$C$22*'01_Доходи'!J590),IF($B$587="Лікар-педіатр","x",IF($B$587="Лікар-терапевт",IF(L591&lt;=Законод!$C$26,J591,Законод!$C$26*'01_Доходи'!J590),0)))</f>
        <v>0</v>
      </c>
      <c r="K592" s="208">
        <f ca="1">IF($B$587="Лікар загальної практики - сімейний лікар",IF(L591&lt;=Законод!$C$22,K591,Законод!$C$22*'01_Доходи'!K590),IF($B$587="Лікар-педіатр","x",IF($B$587="Лікар-терапевт",IF(L591&lt;=Законод!$C$26,K591,Законод!$C$26*'01_Доходи'!K590),0)))</f>
        <v>0</v>
      </c>
      <c r="L592" s="209">
        <f ca="1">SUM(G592:K592)</f>
        <v>0</v>
      </c>
      <c r="M592" s="942"/>
      <c r="N592" s="208">
        <f ca="1">IF($B$587="Лікар загальної практики - сімейний лікар",IF(S591&lt;=Законод!$C$22,N591,Законод!$C$22*'01_Доходи'!N590),IF($B$587="Лікар-педіатр",IF(S591&lt;=Законод!$C$18,N591,Законод!$C$18*'01_Доходи'!N590),IF($B$587="Лікар-терапевт","x",0)))</f>
        <v>0</v>
      </c>
      <c r="O592" s="208">
        <f ca="1">IF($B$587="Лікар загальної практики - сімейний лікар",IF(S591&lt;=Законод!$C$22,O591,Законод!$C$22*'01_Доходи'!O590),IF($B$587="Лікар-педіатр",IF(S591&lt;=Законод!$C$18,O591,Законод!$C$18*'01_Доходи'!O590),IF($B$587="Лікар-терапевт","x",0)))</f>
        <v>0</v>
      </c>
      <c r="P592" s="208">
        <f ca="1">IF($B$587="Лікар загальної практики - сімейний лікар",IF(S591&lt;=Законод!$C$22,P591,Законод!$C$22*'01_Доходи'!P590),IF($B$587="Лікар-педіатр","x",IF($B$587="Лікар-терапевт",IF(S591&lt;=Законод!$C$26,P591,Законод!$C$26*'01_Доходи'!P590),0)))</f>
        <v>0</v>
      </c>
      <c r="Q592" s="208">
        <f ca="1">IF($B$587="Лікар загальної практики - сімейний лікар",IF(S591&lt;=Законод!$C$22,Q591,Законод!$C$22*'01_Доходи'!Q590),IF($B$587="Лікар-педіатр","x",IF($B$587="Лікар-терапевт",IF(S591&lt;=Законод!$C$26,Q591,Законод!$C$26*'01_Доходи'!Q590),0)))</f>
        <v>0</v>
      </c>
      <c r="R592" s="208">
        <f ca="1">IF($B$587="Лікар загальної практики - сімейний лікар",IF(S591&lt;=Законод!$C$22,R591,Законод!$C$22*'01_Доходи'!R590),IF($B$587="Лікар-педіатр","x",IF($B$587="Лікар-терапевт",IF(S591&lt;=Законод!$C$26,R591,Законод!$C$26*'01_Доходи'!R590),0)))</f>
        <v>0</v>
      </c>
      <c r="S592" s="209">
        <f ca="1">SUM(N592:R592)</f>
        <v>0</v>
      </c>
      <c r="T592" s="942"/>
      <c r="U592" s="208">
        <f ca="1">IF($B$587="Лікар загальної практики - сімейний лікар",IF(Z591&lt;=Законод!$C$22,U591,Законод!$C$22*'01_Доходи'!U590),IF($B$587="Лікар-педіатр",IF(Z591&lt;=Законод!$C$18,U591,Законод!$C$18*'01_Доходи'!U590),IF($B$587="Лікар-терапевт","x",0)))</f>
        <v>0</v>
      </c>
      <c r="V592" s="208">
        <f ca="1">IF($B$587="Лікар загальної практики - сімейний лікар",IF(Z591&lt;=Законод!$C$22,V591,Законод!$C$22*'01_Доходи'!V590),IF($B$587="Лікар-педіатр",IF(Z591&lt;=Законод!$C$18,V591,Законод!$C$18*'01_Доходи'!V590),IF($B$587="Лікар-терапевт","x",0)))</f>
        <v>0</v>
      </c>
      <c r="W592" s="208">
        <f ca="1">IF($B$587="Лікар загальної практики - сімейний лікар",IF(Z591&lt;=Законод!$C$22,W591,Законод!$C$22*'01_Доходи'!W590),IF($B$587="Лікар-педіатр","x",IF($B$587="Лікар-терапевт",IF(Z591&lt;=Законод!$C$26,W591,Законод!$C$26*'01_Доходи'!W590),0)))</f>
        <v>0</v>
      </c>
      <c r="X592" s="208">
        <f ca="1">IF($B$587="Лікар загальної практики - сімейний лікар",IF(Z591&lt;=Законод!$C$22,X591,Законод!$C$22*'01_Доходи'!X590),IF($B$587="Лікар-педіатр","x",IF($B$587="Лікар-терапевт",IF(Z591&lt;=Законод!$C$26,X591,Законод!$C$26*'01_Доходи'!X590),0)))</f>
        <v>0</v>
      </c>
      <c r="Y592" s="208">
        <f ca="1">IF($B$587="Лікар загальної практики - сімейний лікар",IF(Z591&lt;=Законод!$C$22,Y591,Законод!$C$22*'01_Доходи'!Y590),IF($B$587="Лікар-педіатр","x",IF($B$587="Лікар-терапевт",IF(Z591&lt;=Законод!$C$26,Y591,Законод!$C$26*'01_Доходи'!Y590),0)))</f>
        <v>0</v>
      </c>
      <c r="Z592" s="209">
        <f ca="1">SUM(U592:Y592)</f>
        <v>0</v>
      </c>
      <c r="AA592" s="942"/>
      <c r="AB592" s="208">
        <f ca="1">IF($B$587="Лікар загальної практики - сімейний лікар",IF(AG591&lt;=Законод!$C$22,AB591,Законод!$C$22*'01_Доходи'!AB590),IF($B$587="Лікар-педіатр",IF(AG591&lt;=Законод!$C$18,AB591,Законод!$C$18*'01_Доходи'!AB590),IF($B$587="Лікар-терапевт","x",0)))</f>
        <v>0</v>
      </c>
      <c r="AC592" s="208">
        <f ca="1">IF($B$587="Лікар загальної практики - сімейний лікар",IF(AG591&lt;=Законод!$C$22,AC591,Законод!$C$22*'01_Доходи'!AC590),IF($B$587="Лікар-педіатр",IF(AG591&lt;=Законод!$C$18,AC591,Законод!$C$18*'01_Доходи'!AC590),IF($B$587="Лікар-терапевт","x",0)))</f>
        <v>0</v>
      </c>
      <c r="AD592" s="208">
        <f ca="1">IF($B$587="Лікар загальної практики - сімейний лікар",IF(AG591&lt;=Законод!$C$22,AD591,Законод!$C$22*'01_Доходи'!AD590),IF($B$587="Лікар-педіатр","x",IF($B$587="Лікар-терапевт",IF(AG591&lt;=Законод!$C$26,AD591,Законод!$C$26*'01_Доходи'!AD590),0)))</f>
        <v>0</v>
      </c>
      <c r="AE592" s="208">
        <f ca="1">IF($B$587="Лікар загальної практики - сімейний лікар",IF(AG591&lt;=Законод!$C$22,AE591,Законод!$C$22*'01_Доходи'!AE590),IF($B$587="Лікар-педіатр","x",IF($B$587="Лікар-терапевт",IF(AG591&lt;=Законод!$C$26,AE591,Законод!$C$26*'01_Доходи'!AE590),0)))</f>
        <v>0</v>
      </c>
      <c r="AF592" s="208">
        <f ca="1">IF($B$587="Лікар загальної практики - сімейний лікар",IF(AG591&lt;=Законод!$C$22,AF591,Законод!$C$22*'01_Доходи'!AF590),IF($B$587="Лікар-педіатр","x",IF($B$587="Лікар-терапевт",IF(AG591&lt;=Законод!$C$26,AF591,Законод!$C$26*'01_Доходи'!AF590),0)))</f>
        <v>0</v>
      </c>
      <c r="AG592" s="209">
        <f ca="1">SUM(AB592:AF592)</f>
        <v>0</v>
      </c>
      <c r="AH592" s="942"/>
      <c r="AI592" s="201"/>
      <c r="AJ592" s="945"/>
      <c r="AK592" s="960"/>
      <c r="AL592" s="960"/>
      <c r="AM592" s="348" t="s">
        <v>451</v>
      </c>
      <c r="AN592" s="210">
        <f ca="1">IF(B587="Лікар загальної практики - сімейний лікар",G592*Законод!$C$11+'01_Доходи'!H592*Законод!$D$11+'01_Доходи'!I592*Законод!$E$11+'01_Доходи'!J592*Законод!$F$11+'01_Доходи'!K592*Законод!$G$11,IF(B587="Лікар-педіатр",G592*Законод!$C$11+'01_Доходи'!H592*Законод!$D$11,IF(B587="Лікар-терапевт",'01_Доходи'!I592*Законод!$E$11+'01_Доходи'!J592*Законод!$F$11+'01_Доходи'!K592*Законод!$G$11,0)))</f>
        <v>0</v>
      </c>
      <c r="AO592" s="210">
        <f ca="1">IF(B587="Лікар загальної практики - сімейний лікар",N592*Законод!$C$11+'01_Доходи'!O592*Законод!$D$11+'01_Доходи'!P592*Законод!$E$11+'01_Доходи'!Q592*Законод!$F$11+'01_Доходи'!R592*Законод!$G$11,IF(B587="Лікар-педіатр",N592*Законод!$C$11+'01_Доходи'!O592*Законод!$D$11,IF(B587="Лікар-терапевт",'01_Доходи'!P592*Законод!$E$11+'01_Доходи'!Q592*Законод!$F$11+'01_Доходи'!R592*Законод!$G$11,0)))</f>
        <v>0</v>
      </c>
      <c r="AP592" s="210">
        <f ca="1">IF(B587="Лікар загальної практики - сімейний лікар",U592*Законод!$C$11+'01_Доходи'!V592*Законод!$D$11+'01_Доходи'!W592*Законод!$E$11+'01_Доходи'!X592*Законод!$F$11+'01_Доходи'!Y592*Законод!$G$11,IF(B587="Лікар-педіатр",U592*Законод!$C$11+'01_Доходи'!V592*Законод!$D$11,IF(B587="Лікар-терапевт",'01_Доходи'!W592*Законод!$E$11+'01_Доходи'!X592*Законод!$F$11+'01_Доходи'!Y592*Законод!$G$11,0)))</f>
        <v>0</v>
      </c>
      <c r="AQ592" s="210">
        <f ca="1">IF(B587="Лікар загальної практики - сімейний лікар",AB592*Законод!$C$11+'01_Доходи'!AC592*Законод!$D$11+'01_Доходи'!AD592*Законод!$E$11+'01_Доходи'!AE592*Законод!$F$11+'01_Доходи'!AF592*Законод!$G$11,IF(B587="Лікар-педіатр",AB592*Законод!$C$11+'01_Доходи'!AC592*Законод!$D$11,IF(B587="Лікар-терапевт",'01_Доходи'!AD592*Законод!$E$11+'01_Доходи'!AE592*Законод!$F$11+'01_Доходи'!AF592*Законод!$G$11,0)))</f>
        <v>0</v>
      </c>
      <c r="AR592" s="211">
        <f t="shared" ref="AR592:AR598" si="85">SUM(AN592:AQ592)</f>
        <v>0</v>
      </c>
    </row>
    <row r="593" spans="1:44" s="50" customFormat="1" ht="31.9" hidden="1" customHeight="1">
      <c r="A593" s="197"/>
      <c r="B593" s="951"/>
      <c r="C593" s="954"/>
      <c r="D593" s="957"/>
      <c r="E593" s="939"/>
      <c r="F593" s="238" t="str">
        <f ca="1">IF(B587="Лікар-педіатр",Законод!$E$17,IF(B587="Лікар загальної практики - сімейний лікар",Законод!$E$21,IF(B587="Лікар-терапевт",Законод!$E$25,"х")))</f>
        <v>х</v>
      </c>
      <c r="G593" s="935" t="s">
        <v>423</v>
      </c>
      <c r="H593" s="936"/>
      <c r="I593" s="936"/>
      <c r="J593" s="936"/>
      <c r="K593" s="937"/>
      <c r="L593" s="196">
        <f ca="1">IF($B$587="Лікар загальної практики - сімейний лікар",IF(L591&lt;Законод!$C$22,0,(IF(AND(L591&gt;=Законод!$E$22,L591&lt;=Законод!$E$23),L591-Законод!$C$22,IF('01_Доходи'!L591&gt;=Законод!$F$22,Законод!$E$24,0)))),IF($B$587="Лікар-педіатр",IF(L591&lt;Законод!$C$18,0,(IF(AND(L591&gt;=Законод!$E$18,L591&lt;=Законод!$E$19),L591-Законод!$C$18,IF('01_Доходи'!L591&gt;=Законод!$F$18,Законод!$E$20,0)))),IF($B$587="Лікар-терапевт",IF(L591&lt;Законод!$C$26,0,(IF(AND(L591&gt;=Законод!$E$26,L591&lt;=Законод!$E$27),L591-Законод!$C$26,IF('01_Доходи'!L591&gt;=Законод!$F$26,Законод!$E$28,0)))),0)))</f>
        <v>0</v>
      </c>
      <c r="M593" s="942"/>
      <c r="N593" s="935" t="s">
        <v>423</v>
      </c>
      <c r="O593" s="936"/>
      <c r="P593" s="936"/>
      <c r="Q593" s="936"/>
      <c r="R593" s="937"/>
      <c r="S593" s="196">
        <f ca="1">IF($B$587="Лікар загальної практики - сімейний лікар",IF(S591&lt;Законод!$C$22,0,(IF(AND(S591&gt;=Законод!$E$22,S591&lt;=Законод!$E$23),S591-Законод!$C$22,IF('01_Доходи'!S591&gt;=Законод!$F$22,Законод!$E$24,0)))),IF($B$587="Лікар-педіатр",IF(S591&lt;Законод!$C$18,0,(IF(AND(S591&gt;=Законод!$E$18,S591&lt;=Законод!$E$19),S591-Законод!$C$18,IF('01_Доходи'!S591&gt;=Законод!$F$18,Законод!$E$20,0)))),IF($B$587="Лікар-терапевт",IF(S591&lt;Законод!$C$26,0,(IF(AND(S591&gt;=Законод!$E$26,S591&lt;=Законод!$E$27),S591-Законод!$C$26,IF('01_Доходи'!S591&gt;=Законод!$F$26,Законод!$E$28,0)))),0)))</f>
        <v>0</v>
      </c>
      <c r="T593" s="942"/>
      <c r="U593" s="935" t="s">
        <v>423</v>
      </c>
      <c r="V593" s="936"/>
      <c r="W593" s="936"/>
      <c r="X593" s="936"/>
      <c r="Y593" s="937"/>
      <c r="Z593" s="196">
        <f ca="1">IF($B$587="Лікар загальної практики - сімейний лікар",IF(Z591&lt;Законод!$C$22,0,(IF(AND(Z591&gt;=Законод!$E$22,Z591&lt;=Законод!$E$23),Z591-Законод!$C$22,IF('01_Доходи'!Z591&gt;=Законод!$F$22,Законод!$E$24,0)))),IF($B$587="Лікар-педіатр",IF(Z591&lt;Законод!$C$18,0,(IF(AND(Z591&gt;=Законод!$E$18,Z591&lt;=Законод!$E$19),Z591-Законод!$C$18,IF('01_Доходи'!Z591&gt;=Законод!$F$18,Законод!$E$20,0)))),IF($B$587="Лікар-терапевт",IF(Z591&lt;Законод!$C$26,0,(IF(AND(Z591&gt;=Законод!$E$26,Z591&lt;=Законод!$E$27),Z591-Законод!$C$26,IF('01_Доходи'!Z591&gt;=Законод!$F$26,Законод!$E$28,0)))),0)))</f>
        <v>0</v>
      </c>
      <c r="AA593" s="942"/>
      <c r="AB593" s="935" t="s">
        <v>423</v>
      </c>
      <c r="AC593" s="936"/>
      <c r="AD593" s="936"/>
      <c r="AE593" s="936"/>
      <c r="AF593" s="937"/>
      <c r="AG593" s="196">
        <f ca="1">IF($B$587="Лікар загальної практики - сімейний лікар",IF(AG591&lt;Законод!$C$22,0,(IF(AND(AG591&gt;=Законод!$E$22,AG591&lt;=Законод!$E$23),AG591-Законод!$C$22,IF('01_Доходи'!AG591&gt;=Законод!$F$22,Законод!$E$24,0)))),IF($B$587="Лікар-педіатр",IF(AG591&lt;Законод!$C$18,0,(IF(AND(AG591&gt;=Законод!$E$18,AG591&lt;=Законод!$E$19),AG591-Законод!$C$18,IF('01_Доходи'!AG591&gt;=Законод!$F$18,Законод!$E$20,0)))),IF($B$587="Лікар-терапевт",IF(AG591&lt;Законод!$C$26,0,(IF(AND(AG591&gt;=Законод!$E$26,AG591&lt;=Законод!$E$27),AG591-Законод!$C$26,IF('01_Доходи'!AG591&gt;=Законод!$F$26,Законод!$E$28,0)))),0)))</f>
        <v>0</v>
      </c>
      <c r="AH593" s="942"/>
      <c r="AI593" s="201"/>
      <c r="AJ593" s="945"/>
      <c r="AK593" s="960"/>
      <c r="AL593" s="960"/>
      <c r="AM593" s="926" t="s">
        <v>452</v>
      </c>
      <c r="AN593" s="210">
        <f ca="1">IF(B587="Лікар загальної практики - сімейний лікар",L593*Законод!$C$9/4*Законод!$E$16,IF(B587="Лікар-педіатр",L593*Законод!$C$9/4*Законод!$E$16,IF(B587="Лікар-терапевт",L593*Законод!$C$9/4*Законод!$E$16,0)))</f>
        <v>0</v>
      </c>
      <c r="AO593" s="210">
        <f ca="1">IF(B587="Лікар загальної практики - сімейний лікар",S593*Законод!$C$9/4*Законод!$E$16,IF(B587="Лікар-педіатр",S593*Законод!$C$9/4*Законод!$E$16,IF(B587="Лікар-терапевт",S593*Законод!$C$9/4*Законод!$E$16,0)))</f>
        <v>0</v>
      </c>
      <c r="AP593" s="210">
        <f ca="1">IF(B587="Лікар загальної практики - сімейний лікар",Z593*Законод!$C$9/4*Законод!$E$16,IF(B587="Лікар-педіатр",Z593*Законод!$C$9/4*Законод!$E$16,IF(B587="Лікар-терапевт",Z593*Законод!$C$9/4*Законод!$E$16,0)))</f>
        <v>0</v>
      </c>
      <c r="AQ593" s="210">
        <f ca="1">IF(B587="Лікар загальної практики - сімейний лікар",AG593*Законод!$C$9/4*Законод!$E$16,IF(B587="Лікар-педіатр",AG593*Законод!$C$9/4*Законод!$E$16,IF(B587="Лікар-терапевт",AG593*Законод!$C$9/4*Законод!$E$16,0)))</f>
        <v>0</v>
      </c>
      <c r="AR593" s="211">
        <f t="shared" si="85"/>
        <v>0</v>
      </c>
    </row>
    <row r="594" spans="1:44" s="50" customFormat="1" ht="31.9" hidden="1" customHeight="1">
      <c r="A594" s="197"/>
      <c r="B594" s="951"/>
      <c r="C594" s="954"/>
      <c r="D594" s="957"/>
      <c r="E594" s="939"/>
      <c r="F594" s="238" t="str">
        <f ca="1">IF(B587="Лікар-педіатр",Законод!$F$17,IF(B587="Лікар загальної практики - сімейний лікар",Законод!$F$21,IF(B587="Лікар-терапевт",Законод!$F$25,"х")))</f>
        <v>х</v>
      </c>
      <c r="G594" s="935" t="s">
        <v>423</v>
      </c>
      <c r="H594" s="936"/>
      <c r="I594" s="936"/>
      <c r="J594" s="936"/>
      <c r="K594" s="937"/>
      <c r="L594" s="196">
        <f ca="1">IF($B$587="Лікар загальної практики - сімейний лікар",IF(L591&lt;Законод!$C$22,0,(IF(AND(L591&gt;=Законод!$F$22,L591&lt;=Законод!$F$23),L591-Законод!$E$23,IF('01_Доходи'!L591&gt;=Законод!$G$22,Законод!$F$24,0)))),IF($B$587="Лікар-педіатр",IF(L591&lt;Законод!$C$18,0,(IF(AND(L591&gt;=Законод!$F$18,L591&lt;=Законод!$F$19),L591-Законод!$E$19,IF('01_Доходи'!L591&gt;=Законод!$G$18,Законод!$F$20,0)))),IF($B$587="Лікар-терапевт",IF(L591&lt;Законод!$C$26,0,(IF(AND(L591&gt;=Законод!$F$26,L591&lt;=Законод!$F$27),L591-Законод!$E$27,IF('01_Доходи'!L591&gt;=Законод!$G$26,Законод!$F$28,0)))),0)))</f>
        <v>0</v>
      </c>
      <c r="M594" s="942"/>
      <c r="N594" s="935" t="s">
        <v>423</v>
      </c>
      <c r="O594" s="936"/>
      <c r="P594" s="936"/>
      <c r="Q594" s="936"/>
      <c r="R594" s="937"/>
      <c r="S594" s="196">
        <f ca="1">IF($B$587="Лікар загальної практики - сімейний лікар",IF(S591&lt;Законод!$C$22,0,(IF(AND(S591&gt;=Законод!$F$22,S591&lt;=Законод!$F$23),S591-Законод!$E$23,IF('01_Доходи'!S591&gt;=Законод!$G$22,Законод!$F$24,0)))),IF($B$587="Лікар-педіатр",IF(S591&lt;Законод!$C$18,0,(IF(AND(S591&gt;=Законод!$F$18,S591&lt;=Законод!$F$19),S591-Законод!$E$19,IF('01_Доходи'!S591&gt;=Законод!$G$18,Законод!$F$20,0)))),IF($B$587="Лікар-терапевт",IF(S591&lt;Законод!$C$26,0,(IF(AND(S591&gt;=Законод!$F$26,S591&lt;=Законод!$F$27),S591-Законод!$E$27,IF('01_Доходи'!S591&gt;=Законод!$G$26,Законод!$F$28,0)))),0)))</f>
        <v>0</v>
      </c>
      <c r="T594" s="942"/>
      <c r="U594" s="935" t="s">
        <v>423</v>
      </c>
      <c r="V594" s="936"/>
      <c r="W594" s="936"/>
      <c r="X594" s="936"/>
      <c r="Y594" s="937"/>
      <c r="Z594" s="196">
        <f ca="1">IF($B$587="Лікар загальної практики - сімейний лікар",IF(Z591&lt;Законод!$C$22,0,(IF(AND(Z591&gt;=Законод!$F$22,Z591&lt;=Законод!$F$23),Z591-Законод!$E$23,IF('01_Доходи'!Z591&gt;=Законод!$G$22,Законод!$F$24,0)))),IF($B$587="Лікар-педіатр",IF(Z591&lt;Законод!$C$18,0,(IF(AND(Z591&gt;=Законод!$F$18,Z591&lt;=Законод!$F$19),Z591-Законод!$E$19,IF('01_Доходи'!Z591&gt;=Законод!$G$18,Законод!$F$20,0)))),IF($B$587="Лікар-терапевт",IF(Z591&lt;Законод!$C$26,0,(IF(AND(Z591&gt;=Законод!$F$26,Z591&lt;=Законод!$F$27),Z591-Законод!$E$27,IF('01_Доходи'!Z591&gt;=Законод!$G$26,Законод!$F$28,0)))),0)))</f>
        <v>0</v>
      </c>
      <c r="AA594" s="942"/>
      <c r="AB594" s="935" t="s">
        <v>423</v>
      </c>
      <c r="AC594" s="936"/>
      <c r="AD594" s="936"/>
      <c r="AE594" s="936"/>
      <c r="AF594" s="937"/>
      <c r="AG594" s="196">
        <f ca="1">IF($B$587="Лікар загальної практики - сімейний лікар",IF(AG591&lt;Законод!$C$22,0,(IF(AND(AG591&gt;=Законод!$F$22,AG591&lt;=Законод!$F$23),AG591-Законод!$E$23,IF('01_Доходи'!AG591&gt;=Законод!$G$22,Законод!$F$24,0)))),IF($B$587="Лікар-педіатр",IF(AG591&lt;Законод!$C$18,0,(IF(AND(AG591&gt;=Законод!$F$18,AG591&lt;=Законод!$F$19),AG591-Законод!$E$19,IF('01_Доходи'!AG591&gt;=Законод!$G$18,Законод!$F$20,0)))),IF($B$587="Лікар-терапевт",IF(AG591&lt;Законод!$C$26,0,(IF(AND(AG591&gt;=Законод!$F$26,AG591&lt;=Законод!$F$27),AG591-Законод!$E$27,IF('01_Доходи'!AG591&gt;=Законод!$G$26,Законод!$F$28,0)))),0)))</f>
        <v>0</v>
      </c>
      <c r="AH594" s="942"/>
      <c r="AI594" s="201"/>
      <c r="AJ594" s="945"/>
      <c r="AK594" s="960"/>
      <c r="AL594" s="960"/>
      <c r="AM594" s="927"/>
      <c r="AN594" s="210">
        <f ca="1">IF(B587="Лікар загальної практики - сімейний лікар",L594*Законод!$C$9/4*Законод!$F$16,IF(B587="Лікар-педіатр",L594*Законод!$C$9/4*Законод!$F$16,IF(B587="Лікар-терапевт",L594*Законод!$C$9/4*Законод!$F$16,0)))</f>
        <v>0</v>
      </c>
      <c r="AO594" s="210">
        <f ca="1">IF(B587="Лікар загальної практики - сімейний лікар",S594*Законод!$C$9/4*Законод!$F$16,IF(B587="Лікар-педіатр",S594*Законод!$C$9/4*Законод!$F$16,IF(B587="Лікар-терапевт",S594*Законод!$C$9/4*Законод!$F$16,0)))</f>
        <v>0</v>
      </c>
      <c r="AP594" s="210">
        <f ca="1">IF(B587="Лікар загальної практики - сімейний лікар",Z594*Законод!$C$9/4*Законод!$F$16,IF(B587="Лікар-педіатр",Z594*Законод!$C$9/4*Законод!$F$16,IF(B587="Лікар-терапевт",Z594*Законод!$C$9/4*Законод!$F$16,0)))</f>
        <v>0</v>
      </c>
      <c r="AQ594" s="210">
        <f ca="1">IF(B587="Лікар загальної практики - сімейний лікар",AG594*Законод!$C$9/4*Законод!$F$16,IF(B587="Лікар-педіатр",AG594*Законод!$C$9/4*Законод!$F$16,IF(B587="Лікар-терапевт",AG594*Законод!$C$9/4*Законод!$F$16,0)))</f>
        <v>0</v>
      </c>
      <c r="AR594" s="211">
        <f t="shared" si="85"/>
        <v>0</v>
      </c>
    </row>
    <row r="595" spans="1:44" s="50" customFormat="1" ht="31.9" hidden="1" customHeight="1">
      <c r="A595" s="197"/>
      <c r="B595" s="951"/>
      <c r="C595" s="954"/>
      <c r="D595" s="957"/>
      <c r="E595" s="939"/>
      <c r="F595" s="238" t="str">
        <f ca="1">IF(B587="Лікар-педіатр",Законод!$G$17,IF(B587="Лікар загальної практики - сімейний лікар",Законод!$G$21,IF(B587="Лікар-терапевт",Законод!$G$25,"х")))</f>
        <v>х</v>
      </c>
      <c r="G595" s="935" t="s">
        <v>423</v>
      </c>
      <c r="H595" s="936"/>
      <c r="I595" s="936"/>
      <c r="J595" s="936"/>
      <c r="K595" s="937"/>
      <c r="L595" s="196">
        <f ca="1">IF($B$587="Лікар загальної практики - сімейний лікар",IF(L591&lt;Законод!$C$22,0,(IF(AND(L591&gt;=Законод!$G$22,L591&lt;=Законод!$G$23),L591-Законод!$F$23,IF('01_Доходи'!L591&gt;=Законод!$H$22,Законод!$G$24,0)))),IF($B$587="Лікар-педіатр",IF(L591&lt;Законод!$C$18,0,(IF(AND(L591&gt;=Законод!$G$18,L591&lt;=Законод!$G$19),L591-Законод!$F$19,IF('01_Доходи'!L591&gt;=Законод!$H$18,Законод!$G$20,0)))),IF($B$587="Лікар-терапевт",IF(L591&lt;Законод!$C$26,0,(IF(AND(L591&gt;=Законод!$G$26,L591&lt;=Законод!$G$27),L591-Законод!$F$27,IF('01_Доходи'!L591&gt;=Законод!$H$26,Законод!$G$28,0)))),0)))</f>
        <v>0</v>
      </c>
      <c r="M595" s="942"/>
      <c r="N595" s="935" t="s">
        <v>423</v>
      </c>
      <c r="O595" s="936"/>
      <c r="P595" s="936"/>
      <c r="Q595" s="936"/>
      <c r="R595" s="937"/>
      <c r="S595" s="196">
        <f ca="1">IF($B$587="Лікар загальної практики - сімейний лікар",IF(S591&lt;Законод!$C$22,0,(IF(AND(S591&gt;=Законод!$G$22,S591&lt;=Законод!$G$23),S591-Законод!$F$23,IF('01_Доходи'!S591&gt;=Законод!$H$22,Законод!$G$24,0)))),IF($B$587="Лікар-педіатр",IF(S591&lt;Законод!$C$18,0,(IF(AND(S591&gt;=Законод!$G$18,S591&lt;=Законод!$G$19),S591-Законод!$F$19,IF('01_Доходи'!S591&gt;=Законод!$H$18,Законод!$G$20,0)))),IF($B$587="Лікар-терапевт",IF(S591&lt;Законод!$C$26,0,(IF(AND(S591&gt;=Законод!$G$26,S591&lt;=Законод!$G$27),S591-Законод!$F$27,IF('01_Доходи'!S591&gt;=Законод!$H$26,Законод!$G$28,0)))),0)))</f>
        <v>0</v>
      </c>
      <c r="T595" s="942"/>
      <c r="U595" s="935" t="s">
        <v>423</v>
      </c>
      <c r="V595" s="936"/>
      <c r="W595" s="936"/>
      <c r="X595" s="936"/>
      <c r="Y595" s="937"/>
      <c r="Z595" s="196">
        <f ca="1">IF($B$587="Лікар загальної практики - сімейний лікар",IF(Z591&lt;Законод!$C$22,0,(IF(AND(Z591&gt;=Законод!$G$22,Z591&lt;=Законод!$G$23),Z591-Законод!$F$23,IF('01_Доходи'!Z591&gt;=Законод!$H$22,Законод!$G$24,0)))),IF($B$587="Лікар-педіатр",IF(Z591&lt;Законод!$C$18,0,(IF(AND(Z591&gt;=Законод!$G$18,Z591&lt;=Законод!$G$19),Z591-Законод!$F$19,IF('01_Доходи'!Z591&gt;=Законод!$H$18,Законод!$G$20,0)))),IF($B$587="Лікар-терапевт",IF(Z591&lt;Законод!$C$26,0,(IF(AND(Z591&gt;=Законод!$G$26,Z591&lt;=Законод!$G$27),Z591-Законод!$F$27,IF('01_Доходи'!Z591&gt;=Законод!$H$26,Законод!$G$28,0)))),0)))</f>
        <v>0</v>
      </c>
      <c r="AA595" s="942"/>
      <c r="AB595" s="935" t="s">
        <v>423</v>
      </c>
      <c r="AC595" s="936"/>
      <c r="AD595" s="936"/>
      <c r="AE595" s="936"/>
      <c r="AF595" s="937"/>
      <c r="AG595" s="196">
        <f ca="1">IF($B$587="Лікар загальної практики - сімейний лікар",IF(AG591&lt;Законод!$C$22,0,(IF(AND(AG591&gt;=Законод!$G$22,AG591&lt;=Законод!$G$23),AG591-Законод!$F$23,IF('01_Доходи'!AG591&gt;=Законод!$H$22,Законод!$G$24,0)))),IF($B$587="Лікар-педіатр",IF(AG591&lt;Законод!$C$18,0,(IF(AND(AG591&gt;=Законод!$G$18,AG591&lt;=Законод!$G$19),AG591-Законод!$F$19,IF('01_Доходи'!AG591&gt;=Законод!$H$18,Законод!$G$20,0)))),IF($B$587="Лікар-терапевт",IF(AG591&lt;Законод!$C$26,0,(IF(AND(AG591&gt;=Законод!$G$26,AG591&lt;=Законод!$G$27),AG591-Законод!$F$27,IF('01_Доходи'!AG591&gt;=Законод!$H$26,Законод!$G$28,0)))),0)))</f>
        <v>0</v>
      </c>
      <c r="AH595" s="942"/>
      <c r="AI595" s="201"/>
      <c r="AJ595" s="945"/>
      <c r="AK595" s="960"/>
      <c r="AL595" s="960"/>
      <c r="AM595" s="927"/>
      <c r="AN595" s="210">
        <f ca="1">IF(B587="Лікар загальної практики - сімейний лікар",L595*Законод!$C$9/4*Законод!$G$16,IF(B587="Лікар-педіатр",L595*Законод!$C$9/4*Законод!$G$16,IF(B587="Лікар-терапевт",L595*Законод!$C$9/4*Законод!$G$16,0)))</f>
        <v>0</v>
      </c>
      <c r="AO595" s="210">
        <f ca="1">IF(B587="Лікар загальної практики - сімейний лікар",S595*Законод!$C$9/4*Законод!$G$16,IF(B587="Лікар-педіатр",S595*Законод!$C$9/4*Законод!$G$16,IF(B587="Лікар-терапевт",S595*Законод!$C$9/4*Законод!$G$16,0)))</f>
        <v>0</v>
      </c>
      <c r="AP595" s="210">
        <f ca="1">IF(B587="Лікар загальної практики - сімейний лікар",Z595*Законод!$C$9/4*Законод!$G$16,IF(B587="Лікар-педіатр",Z595*Законод!$C$9/4*Законод!$G$16,IF(B587="Лікар-терапевт",Z595*Законод!$C$9/4*Законод!$G$16,0)))</f>
        <v>0</v>
      </c>
      <c r="AQ595" s="210">
        <f ca="1">IF(B587="Лікар загальної практики - сімейний лікар",AG595*Законод!$C$9/4*Законод!$G$16,IF(B587="Лікар-педіатр",AG595*Законод!$C$9/4*Законод!$G$16,IF(B587="Лікар-терапевт",AG595*Законод!$C$9/4*Законод!$G$16,0)))</f>
        <v>0</v>
      </c>
      <c r="AR595" s="211">
        <f t="shared" si="85"/>
        <v>0</v>
      </c>
    </row>
    <row r="596" spans="1:44" s="50" customFormat="1" ht="31.9" hidden="1" customHeight="1">
      <c r="A596" s="197"/>
      <c r="B596" s="951"/>
      <c r="C596" s="954"/>
      <c r="D596" s="957"/>
      <c r="E596" s="939"/>
      <c r="F596" s="238" t="str">
        <f ca="1">IF(B587="Лікар-педіатр",Законод!$H$17,IF(B587="Лікар загальної практики - сімейний лікар",Законод!$H$21,IF(B587="Лікар-терапевт",Законод!$H$25,"х")))</f>
        <v>х</v>
      </c>
      <c r="G596" s="935" t="s">
        <v>423</v>
      </c>
      <c r="H596" s="936"/>
      <c r="I596" s="936"/>
      <c r="J596" s="936"/>
      <c r="K596" s="937"/>
      <c r="L596" s="196">
        <f ca="1">IF($B$587="Лікар загальної практики - сімейний лікар",IF(L591&lt;Законод!$C$22,0,(IF(AND(L591&gt;=Законод!$H$22,L591&lt;=Законод!$H$23),L591-Законод!$G$23,IF('01_Доходи'!L591&gt;=Законод!$I$22,Законод!$H$24,0)))),IF($B$587="Лікар-педіатр",IF(L591&lt;Законод!$C$18,0,(IF(AND(L591&gt;=Законод!$H$18,L591&lt;=Законод!$H$19),L591-Законод!$G$19,IF('01_Доходи'!L591&gt;=Законод!$I$18,Законод!$H$20,0)))),IF($B$587="Лікар-терапевт",IF(L591&lt;Законод!$C$26,0,(IF(AND(L591&gt;=Законод!$H$26,L591&lt;=Законод!$H$27),L591-Законод!$G$27,IF(L591&gt;=Законод!$I$26,Законод!$H$28,0)))),0)))</f>
        <v>0</v>
      </c>
      <c r="M596" s="942"/>
      <c r="N596" s="935" t="s">
        <v>423</v>
      </c>
      <c r="O596" s="936"/>
      <c r="P596" s="936"/>
      <c r="Q596" s="936"/>
      <c r="R596" s="937"/>
      <c r="S596" s="196">
        <f ca="1">IF($B$587="Лікар загальної практики - сімейний лікар",IF(S591&lt;Законод!$C$22,0,(IF(AND(S591&gt;=Законод!$H$22,S591&lt;=Законод!$H$23),S591-Законод!$G$23,IF('01_Доходи'!S591&gt;=Законод!$I$22,Законод!$H$24,0)))),IF($B$587="Лікар-педіатр",IF(S591&lt;Законод!$C$18,0,(IF(AND(S591&gt;=Законод!$H$18,S591&lt;=Законод!$H$19),S591-Законод!$G$19,IF('01_Доходи'!S591&gt;=Законод!$I$18,Законод!$H$20,0)))),IF($B$587="Лікар-терапевт",IF(S591&lt;Законод!$C$26,0,(IF(AND(S591&gt;=Законод!$H$26,S591&lt;=Законод!$H$27),S591-Законод!$G$27,IF(S591&gt;=Законод!$I$26,Законод!$H$28,0)))),0)))</f>
        <v>0</v>
      </c>
      <c r="T596" s="942"/>
      <c r="U596" s="935" t="s">
        <v>423</v>
      </c>
      <c r="V596" s="936"/>
      <c r="W596" s="936"/>
      <c r="X596" s="936"/>
      <c r="Y596" s="937"/>
      <c r="Z596" s="196">
        <f ca="1">IF($B$587="Лікар загальної практики - сімейний лікар",IF(Z591&lt;Законод!$C$22,0,(IF(AND(Z591&gt;=Законод!$H$22,Z591&lt;=Законод!$H$23),Z591-Законод!$G$23,IF('01_Доходи'!Z591&gt;=Законод!$I$22,Законод!$H$24,0)))),IF($B$587="Лікар-педіатр",IF(Z591&lt;Законод!$C$18,0,(IF(AND(Z591&gt;=Законод!$H$18,Z591&lt;=Законод!$H$19),Z591-Законод!$G$19,IF('01_Доходи'!Z591&gt;=Законод!$I$18,Законод!$H$20,0)))),IF($B$587="Лікар-терапевт",IF(Z591&lt;Законод!$C$26,0,(IF(AND(Z591&gt;=Законод!$H$26,Z591&lt;=Законод!$H$27),Z591-Законод!$G$27,IF(Z591&gt;=Законод!$I$26,Законод!$H$28,0)))),0)))</f>
        <v>0</v>
      </c>
      <c r="AA596" s="942"/>
      <c r="AB596" s="935" t="s">
        <v>423</v>
      </c>
      <c r="AC596" s="936"/>
      <c r="AD596" s="936"/>
      <c r="AE596" s="936"/>
      <c r="AF596" s="937"/>
      <c r="AG596" s="196">
        <f ca="1">IF($B$587="Лікар загальної практики - сімейний лікар",IF(AG591&lt;Законод!$C$22,0,(IF(AND(AG591&gt;=Законод!$H$22,AG591&lt;=Законод!$H$23),AG591-Законод!$G$23,IF('01_Доходи'!AG591&gt;=Законод!$I$22,Законод!$H$24,0)))),IF($B$587="Лікар-педіатр",IF(AG591&lt;Законод!$C$18,0,(IF(AND(AG591&gt;=Законод!$H$18,AG591&lt;=Законод!$H$19),AG591-Законод!$G$19,IF('01_Доходи'!AG591&gt;=Законод!$I$18,Законод!$H$20,0)))),IF($B$587="Лікар-терапевт",IF(AG591&lt;Законод!$C$26,0,(IF(AND(AG591&gt;=Законод!$H$26,AG591&lt;=Законод!$H$27),AG591-Законод!$G$27,IF(AG591&gt;=Законод!$I$26,Законод!$H$28,0)))),0)))</f>
        <v>0</v>
      </c>
      <c r="AH596" s="942"/>
      <c r="AI596" s="201"/>
      <c r="AJ596" s="945"/>
      <c r="AK596" s="960"/>
      <c r="AL596" s="960"/>
      <c r="AM596" s="927"/>
      <c r="AN596" s="210">
        <f ca="1">IF(B587="Лікар загальної практики - сімейний лікар",L596*Законод!$C$9/4*Законод!$H$16,IF(B587="Лікар-педіатр",L596*Законод!$C$9/4*Законод!$H$16,IF(B587="Лікар-терапевт",L596*Законод!$C$9/4*Законод!$H$16,0)))</f>
        <v>0</v>
      </c>
      <c r="AO596" s="210">
        <f ca="1">IF(B587="Лікар загальної практики - сімейний лікар",S596*Законод!$C$9/4*Законод!$H$16,IF(B587="Лікар-педіатр",S596*Законод!$C$9/4*Законод!$H$16,IF(B587="Лікар-терапевт",S596*Законод!$C$9/4*Законод!$H$16,0)))</f>
        <v>0</v>
      </c>
      <c r="AP596" s="210">
        <f ca="1">IF(B587="Лікар загальної практики - сімейний лікар",Z596*Законод!$C$9/4*Законод!$H$16,IF(B587="Лікар-педіатр",Z596*Законод!$C$9/4*Законод!$H$16,IF(B587="Лікар-терапевт",Z596*Законод!$C$9/4*Законод!$H$16,0)))</f>
        <v>0</v>
      </c>
      <c r="AQ596" s="210">
        <f ca="1">IF(B587="Лікар загальної практики - сімейний лікар",AG596*Законод!$C$9/4*Законод!$H$16,IF(B587="Лікар-педіатр",AG596*Законод!$C$9/4*Законод!$H$16,IF(B587="Лікар-терапевт",AG596*Законод!$C$9/4*Законод!$H$16,0)))</f>
        <v>0</v>
      </c>
      <c r="AR596" s="211">
        <f t="shared" si="85"/>
        <v>0</v>
      </c>
    </row>
    <row r="597" spans="1:44" s="50" customFormat="1" ht="31.9" hidden="1" customHeight="1">
      <c r="A597" s="197"/>
      <c r="B597" s="951"/>
      <c r="C597" s="954"/>
      <c r="D597" s="957"/>
      <c r="E597" s="939"/>
      <c r="F597" s="238" t="str">
        <f ca="1">IF(B587="Лікар-педіатр",Законод!$I$17,IF(B587="Лікар загальної практики - сімейний лікар",Законод!$I$21,IF(B587="Лікар-терапевт",Законод!$I$25,"х")))</f>
        <v>х</v>
      </c>
      <c r="G597" s="935" t="s">
        <v>423</v>
      </c>
      <c r="H597" s="936"/>
      <c r="I597" s="936"/>
      <c r="J597" s="936"/>
      <c r="K597" s="937"/>
      <c r="L597" s="196">
        <f ca="1">IF($B$587="Лікар загальної практики - сімейний лікар",IF(L591&lt;Законод!$C$22,0,(IF(AND(L591&gt;=Законод!$I$22,L591&lt;=Законод!$I$23),L591-Законод!$H$23,IF('01_Доходи'!L591&gt;=Законод!$I$22,Законод!$I$24,0)))),IF($B$587="Лікар-педіатр",IF(L591&lt;Законод!$C$18,0,(IF(AND(L591&gt;=Законод!$I$18,L591&lt;=Законод!$I$19),L591-Законод!$H$19,IF('01_Доходи'!L591&gt;=Законод!$I$18,Законод!$H$20,0)))),IF($B$587="Лікар-терапевт",IF(L591&lt;Законод!$C$26,0,(IF(AND(L591&gt;=Законод!$I$26,L591&lt;=Законод!$I$27),L591-Законод!$H$27,IF('01_Доходи'!L591&gt;=Законод!$I$26,Законод!$H$28,0)))),0)))</f>
        <v>0</v>
      </c>
      <c r="M597" s="942"/>
      <c r="N597" s="935" t="s">
        <v>423</v>
      </c>
      <c r="O597" s="936"/>
      <c r="P597" s="936"/>
      <c r="Q597" s="936"/>
      <c r="R597" s="937"/>
      <c r="S597" s="196">
        <f ca="1">IF($B$587="Лікар загальної практики - сімейний лікар",IF(S591&lt;Законод!$C$22,0,(IF(AND(S591&gt;=Законод!$I$22,S591&lt;=Законод!$I$23),S591-Законод!$H$23,IF('01_Доходи'!S591&gt;=Законод!$I$22,Законод!$I$24,0)))),IF($B$587="Лікар-педіатр",IF(S591&lt;Законод!$C$18,0,(IF(AND(S591&gt;=Законод!$I$18,S591&lt;=Законод!$I$19),S591-Законод!$H$19,IF('01_Доходи'!S591&gt;=Законод!$I$18,Законод!$H$20,0)))),IF($B$587="Лікар-терапевт",IF(S591&lt;Законод!$C$26,0,(IF(AND(S591&gt;=Законод!$I$26,S591&lt;=Законод!$I$27),S591-Законод!$H$27,IF('01_Доходи'!S591&gt;=Законод!$I$26,Законод!$H$28,0)))),0)))</f>
        <v>0</v>
      </c>
      <c r="T597" s="942"/>
      <c r="U597" s="935" t="s">
        <v>423</v>
      </c>
      <c r="V597" s="936"/>
      <c r="W597" s="936"/>
      <c r="X597" s="936"/>
      <c r="Y597" s="937"/>
      <c r="Z597" s="196">
        <f ca="1">IF($B$587="Лікар загальної практики - сімейний лікар",IF(Z591&lt;Законод!$C$22,0,(IF(AND(Z591&gt;=Законод!$I$22,Z591&lt;=Законод!$I$23),Z591-Законод!$H$23,IF('01_Доходи'!Z591&gt;=Законод!$I$22,Законод!$I$24,0)))),IF($B$587="Лікар-педіатр",IF(Z591&lt;Законод!$C$18,0,(IF(AND(Z591&gt;=Законод!$I$18,Z591&lt;=Законод!$I$19),Z591-Законод!$H$19,IF('01_Доходи'!Z591&gt;=Законод!$I$18,Законод!$H$20,0)))),IF($B$587="Лікар-терапевт",IF(Z591&lt;Законод!$C$26,0,(IF(AND(Z591&gt;=Законод!$I$26,Z591&lt;=Законод!$I$27),Z591-Законод!$H$27,IF('01_Доходи'!Z591&gt;=Законод!$I$26,Законод!$H$28,0)))),0)))</f>
        <v>0</v>
      </c>
      <c r="AA597" s="942"/>
      <c r="AB597" s="935" t="s">
        <v>423</v>
      </c>
      <c r="AC597" s="936"/>
      <c r="AD597" s="936"/>
      <c r="AE597" s="936"/>
      <c r="AF597" s="937"/>
      <c r="AG597" s="196">
        <f ca="1">IF($B$587="Лікар загальної практики - сімейний лікар",IF(AG591&lt;Законод!$C$22,0,(IF(AND(AG591&gt;=Законод!$I$22,AG591&lt;=Законод!$I$23),AG591-Законод!$H$23,IF('01_Доходи'!AG591&gt;=Законод!$I$22,Законод!$I$24,0)))),IF($B$587="Лікар-педіатр",IF(AG591&lt;Законод!$C$18,0,(IF(AND(AG591&gt;=Законод!$I$18,AG591&lt;=Законод!$I$19),AG591-Законод!$H$19,IF('01_Доходи'!AG591&gt;=Законод!$I$18,Законод!$H$20,0)))),IF($B$587="Лікар-терапевт",IF(AG591&lt;Законод!$C$26,0,(IF(AND(AG591&gt;=Законод!$I$26,AG591&lt;=Законод!$I$27),AG591-Законод!$H$27,IF('01_Доходи'!AG591&gt;=Законод!$I$26,Законод!$H$28,0)))),0)))</f>
        <v>0</v>
      </c>
      <c r="AH597" s="942"/>
      <c r="AI597" s="201"/>
      <c r="AJ597" s="945"/>
      <c r="AK597" s="960"/>
      <c r="AL597" s="960"/>
      <c r="AM597" s="927"/>
      <c r="AN597" s="210">
        <f ca="1">IF(B587="Лікар загальної практики - сімейний лікар",L597*Законод!$C$9/4*Законод!$I$16,IF(B587="Лікар-педіатр",L597*Законод!$C$9/4*Законод!$I$16,IF(B587="Лікар-терапевт",L597*Законод!$C$9/4*Законод!$I$16,0)))</f>
        <v>0</v>
      </c>
      <c r="AO597" s="210">
        <f ca="1">IF(B587="Лікар загальної практики - сімейний лікар",S597*Законод!$C$9/4*Законод!$I$16,IF(B587="Лікар-педіатр",S597*Законод!$C$9/4*Законод!$I$16,IF(B587="Лікар-терапевт",S597*Законод!$C$9/4*Законод!$I$16,0)))</f>
        <v>0</v>
      </c>
      <c r="AP597" s="210">
        <f ca="1">IF(B587="Лікар загальної практики - сімейний лікар",Z597*Законод!$C$9/4*Законод!$I$16,IF(B587="Лікар-педіатр",Z597*Законод!$C$9/4*Законод!$I$16,IF(B587="Лікар-терапевт",Z597*Законод!$C$9/4*Законод!$I$16,0)))</f>
        <v>0</v>
      </c>
      <c r="AQ597" s="210">
        <f ca="1">IF(B587="Лікар загальної практики - сімейний лікар",AG597*Законод!$C$9/4*Законод!$I$16,IF(B587="Лікар-педіатр",AG597*Законод!$C$9/4*Законод!$I$16,IF(B587="Лікар-терапевт",AG597*Законод!$C$9/4*Законод!$I$16,0)))</f>
        <v>0</v>
      </c>
      <c r="AR597" s="211">
        <f t="shared" si="85"/>
        <v>0</v>
      </c>
    </row>
    <row r="598" spans="1:44" s="218" customFormat="1" ht="31.9" hidden="1" customHeight="1" thickBot="1">
      <c r="A598" s="213"/>
      <c r="B598" s="952"/>
      <c r="C598" s="955"/>
      <c r="D598" s="958"/>
      <c r="E598" s="940"/>
      <c r="F598" s="239" t="str">
        <f ca="1">IF(B587="Лікар-педіатр",Законод!$J$17,IF(B587="Лікар загальної практики - сімейний лікар",Законод!$J$21,IF(B587="Лікар-терапевт",Законод!$J$25,"х")))</f>
        <v>х</v>
      </c>
      <c r="G598" s="932" t="s">
        <v>423</v>
      </c>
      <c r="H598" s="933"/>
      <c r="I598" s="933"/>
      <c r="J598" s="933"/>
      <c r="K598" s="934"/>
      <c r="L598" s="196">
        <f ca="1">IF($B$587="Лікар загальної практики - сімейний лікар",IF(L591&gt;=Законод!$J$22,'01_Доходи'!L591-('01_Доходи'!L592+'01_Доходи'!L593+'01_Доходи'!L594+'01_Доходи'!L595+'01_Доходи'!L596+'01_Доходи'!L597),0),IF($B$587="Лікар-педіатр",IF(L591&gt;=Законод!$J$18,'01_Доходи'!L591-('01_Доходи'!L592+'01_Доходи'!L593+'01_Доходи'!L594+'01_Доходи'!L595+'01_Доходи'!L596+'01_Доходи'!L597),0),IF($B$587="Лікар-терапевт",IF('01_Доходи'!L591&gt;=Законод!$J$26,L591-Законод!$I$27,0),0)))</f>
        <v>0</v>
      </c>
      <c r="M598" s="943"/>
      <c r="N598" s="932" t="s">
        <v>423</v>
      </c>
      <c r="O598" s="933"/>
      <c r="P598" s="933"/>
      <c r="Q598" s="933"/>
      <c r="R598" s="934"/>
      <c r="S598" s="196">
        <f ca="1">IF($B$587="Лікар загальної практики - сімейний лікар",IF(S591&gt;=Законод!$J$22,'01_Доходи'!S591-('01_Доходи'!S592+'01_Доходи'!S593+'01_Доходи'!S594+'01_Доходи'!S595+'01_Доходи'!S596+'01_Доходи'!S597),0),IF($B$587="Лікар-педіатр",IF(S591&gt;=Законод!$J$18,'01_Доходи'!S591-('01_Доходи'!S592+'01_Доходи'!S593+'01_Доходи'!S594+'01_Доходи'!S595+'01_Доходи'!S596+'01_Доходи'!S597),0),IF($B$587="Лікар-терапевт",IF('01_Доходи'!S591&gt;=Законод!$J$26,S591-Законод!$I$27,0),0)))</f>
        <v>0</v>
      </c>
      <c r="T598" s="943"/>
      <c r="U598" s="932" t="s">
        <v>423</v>
      </c>
      <c r="V598" s="933"/>
      <c r="W598" s="933"/>
      <c r="X598" s="933"/>
      <c r="Y598" s="934"/>
      <c r="Z598" s="196">
        <f ca="1">IF($B$587="Лікар загальної практики - сімейний лікар",IF(Z591&gt;=Законод!$J$22,'01_Доходи'!Z591-('01_Доходи'!Z592+'01_Доходи'!Z593+'01_Доходи'!Z594+'01_Доходи'!Z595+'01_Доходи'!Z596+'01_Доходи'!Z597),0),IF($B$587="Лікар-педіатр",IF(Z591&gt;=Законод!$J$18,'01_Доходи'!Z591-('01_Доходи'!Z592+'01_Доходи'!Z593+'01_Доходи'!Z594+'01_Доходи'!Z595+'01_Доходи'!Z596+'01_Доходи'!Z597),0),IF($B$587="Лікар-терапевт",IF('01_Доходи'!Z591&gt;=Законод!$J$26,Z591-Законод!$I$27,0),0)))</f>
        <v>0</v>
      </c>
      <c r="AA598" s="943"/>
      <c r="AB598" s="932" t="s">
        <v>423</v>
      </c>
      <c r="AC598" s="933"/>
      <c r="AD598" s="933"/>
      <c r="AE598" s="933"/>
      <c r="AF598" s="934"/>
      <c r="AG598" s="196">
        <f ca="1">IF($B$587="Лікар загальної практики - сімейний лікар",IF(AG591&gt;=Законод!$J$22,'01_Доходи'!AG591-('01_Доходи'!AG592+'01_Доходи'!AG593+'01_Доходи'!AG594+'01_Доходи'!AG595+'01_Доходи'!AG596+'01_Доходи'!AG597),0),IF($B$587="Лікар-педіатр",IF(AG591&gt;=Законод!$J$18,'01_Доходи'!AG591-('01_Доходи'!AG592+'01_Доходи'!AG593+'01_Доходи'!AG594+'01_Доходи'!AG595+'01_Доходи'!AG596+'01_Доходи'!AG597),0),IF($B$587="Лікар-терапевт",IF('01_Доходи'!AG591&gt;=Законод!$J$26,AG591-Законод!$I$27,0),0)))</f>
        <v>0</v>
      </c>
      <c r="AH598" s="943"/>
      <c r="AI598" s="215"/>
      <c r="AJ598" s="946"/>
      <c r="AK598" s="961"/>
      <c r="AL598" s="961"/>
      <c r="AM598" s="928"/>
      <c r="AN598" s="216">
        <f ca="1">IF(B587="Лікар загальної практики - сімейний лікар",L598*Законод!$C$9/4*Законод!$J$16,IF(B587="Лікар-педіатр",L598*Законод!$C$9/4*Законод!$J$16,IF(B587="Лікар-терапевт",L598*Законод!$C$9/4*Законод!$J$16,0)))</f>
        <v>0</v>
      </c>
      <c r="AO598" s="216">
        <f ca="1">IF(B587="Лікар загальної практики - сімейний лікар",S598*Законод!$C$9/4*Законод!$J$16,IF(B587="Лікар-педіатр",S598*Законод!$C$9/4*Законод!$J$16,IF(B587="Лікар-терапевт",S598*Законод!$C$9/4*Законод!$J$16,0)))</f>
        <v>0</v>
      </c>
      <c r="AP598" s="216">
        <f ca="1">IF(B587="Лікар загальної практики - сімейний лікар",S598*Законод!$C$9/4*Законод!$J$16,IF(B587="Лікар-педіатр",S598*Законод!$C$9/4*Законод!$J$16,IF(B587="Лікар-терапевт",S598*Законод!$C$9/4*Законод!$J$16,0)))</f>
        <v>0</v>
      </c>
      <c r="AQ598" s="216">
        <f ca="1">IF(B587="Лікар загальної практики - сімейний лікар",AG598*Законод!$C$9/4*Законод!$J$16,IF(B587="Лікар-педіатр",AG598*Законод!$C$9/4*Законод!$J$16,IF(B587="Лікар-терапевт",AG598*Законод!$C$9/4*Законод!$J$16,0)))</f>
        <v>0</v>
      </c>
      <c r="AR598" s="217">
        <f t="shared" si="85"/>
        <v>0</v>
      </c>
    </row>
    <row r="599" spans="1:44" s="247" customFormat="1" ht="23.45" hidden="1" customHeight="1" thickBot="1">
      <c r="A599" s="243"/>
      <c r="B599" s="244"/>
      <c r="C599" s="244"/>
      <c r="D599" s="244"/>
      <c r="E599" s="244"/>
      <c r="F599" s="245"/>
      <c r="G599" s="246"/>
      <c r="H599" s="246"/>
      <c r="L599" s="248"/>
      <c r="S599" s="248"/>
      <c r="Z599" s="248"/>
      <c r="AG599" s="248"/>
      <c r="AM599" s="249"/>
      <c r="AR599" s="250"/>
    </row>
    <row r="600" spans="1:44" s="191" customFormat="1" ht="24.6" hidden="1" customHeight="1">
      <c r="A600" s="194">
        <f>A587+1</f>
        <v>44</v>
      </c>
      <c r="B600" s="950"/>
      <c r="C600" s="953"/>
      <c r="D600" s="956"/>
      <c r="E600" s="938"/>
      <c r="F600" s="234" t="s">
        <v>659</v>
      </c>
      <c r="G600" s="196">
        <f>IF($B$600="Лікар-педіатр",G603*L600,IF($B$600="Лікар-терапевт","х",IF($B$600="Лікар загальної практики - сімейний лікар",G603*L600,0)))</f>
        <v>0</v>
      </c>
      <c r="H600" s="196">
        <f>IF($B$600="Лікар-педіатр",H603*L600,IF($B$600="Лікар-терапевт","х",IF($B$600="Лікар загальної практики - сімейний лікар",H603*L600,0)))</f>
        <v>0</v>
      </c>
      <c r="I600" s="196">
        <f>IF($B$600="Лікар-педіатр","x",IF($B$600="Лікар-терапевт",I603*L600,IF($B$600="Лікар загальної практики - сімейний лікар",I603*L600,0)))</f>
        <v>0</v>
      </c>
      <c r="J600" s="196">
        <f>IF($B$600="Лікар-педіатр","x",IF($B$600="Лікар-терапевт",J603*L600,IF($B$600="Лікар загальної практики - сімейний лікар",J603*L600,0)))</f>
        <v>0</v>
      </c>
      <c r="K600" s="196">
        <f>IF($B$600="Лікар-педіатр","x",IF($B$600="Лікар-терапевт",K603*L600,IF($B$600="Лікар загальної практики - сімейний лікар",K603*L600,0)))</f>
        <v>0</v>
      </c>
      <c r="L600" s="557"/>
      <c r="M600" s="941"/>
      <c r="N600" s="196">
        <f>IF($B$600="Лікар-педіатр",N603*S600,IF($B$600="Лікар-терапевт","х",IF($B$600="Лікар загальної практики - сімейний лікар",N603*S600,0)))</f>
        <v>0</v>
      </c>
      <c r="O600" s="196">
        <f>IF($B$600="Лікар-педіатр",O603*S600,IF($B$600="Лікар-терапевт","х",IF($B$600="Лікар загальної практики - сімейний лікар",O603*S600,0)))</f>
        <v>0</v>
      </c>
      <c r="P600" s="196">
        <f>IF($B$600="Лікар-педіатр","x",IF($B$600="Лікар-терапевт",P603*S600,IF($B$600="Лікар загальної практики - сімейний лікар",P603*S600,0)))</f>
        <v>0</v>
      </c>
      <c r="Q600" s="196">
        <f>IF($B$600="Лікар-педіатр","x",IF($B$600="Лікар-терапевт",Q603*S600,IF($B$600="Лікар загальної практики - сімейний лікар",Q603*S600,0)))</f>
        <v>0</v>
      </c>
      <c r="R600" s="196">
        <f>IF($B$600="Лікар-педіатр","x",IF($B$600="Лікар-терапевт",R603*S600,IF($B$600="Лікар загальної практики - сімейний лікар",R603*S600,0)))</f>
        <v>0</v>
      </c>
      <c r="S600" s="557"/>
      <c r="T600" s="941"/>
      <c r="U600" s="196">
        <f>IF($B$600="Лікар-педіатр",U603*Z600,IF($B$600="Лікар-терапевт","х",IF($B$600="Лікар загальної практики - сімейний лікар",U603*Z600,0)))</f>
        <v>0</v>
      </c>
      <c r="V600" s="196">
        <f>IF($B$600="Лікар-педіатр",V603*Z600,IF($B$600="Лікар-терапевт","х",IF($B$600="Лікар загальної практики - сімейний лікар",V603*Z600,0)))</f>
        <v>0</v>
      </c>
      <c r="W600" s="196">
        <f>IF($B$600="Лікар-педіатр","x",IF($B$600="Лікар-терапевт",W603*Z600,IF($B$600="Лікар загальної практики - сімейний лікар",W603*Z600,0)))</f>
        <v>0</v>
      </c>
      <c r="X600" s="196">
        <f>IF($B$600="Лікар-педіатр","x",IF($B$600="Лікар-терапевт",X603*Z600,IF($B$600="Лікар загальної практики - сімейний лікар",X603*Z600,0)))</f>
        <v>0</v>
      </c>
      <c r="Y600" s="196">
        <f>IF($B$600="Лікар-педіатр","x",IF($B$600="Лікар-терапевт",Y603*Z600,IF($B$600="Лікар загальної практики - сімейний лікар",Y603*Z600,0)))</f>
        <v>0</v>
      </c>
      <c r="Z600" s="557"/>
      <c r="AA600" s="941"/>
      <c r="AB600" s="196">
        <f>IF($B$600="Лікар-педіатр",AB603*AG600,IF($B$600="Лікар-терапевт","х",IF($B$600="Лікар загальної практики - сімейний лікар",AB603*AG600,0)))</f>
        <v>0</v>
      </c>
      <c r="AC600" s="196">
        <f>IF($B$600="Лікар-педіатр",AC603*AG600,IF($B$600="Лікар-терапевт","х",IF($B$600="Лікар загальної практики - сімейний лікар",AC603*AG600,0)))</f>
        <v>0</v>
      </c>
      <c r="AD600" s="196">
        <f>IF($B$600="Лікар-педіатр","x",IF($B$600="Лікар-терапевт",AD603*AG600,IF($B$600="Лікар загальної практики - сімейний лікар",AD603*AG600,0)))</f>
        <v>0</v>
      </c>
      <c r="AE600" s="196">
        <f>IF($B$600="Лікар-педіатр","x",IF($B$600="Лікар-терапевт",AE603*AG600,IF($B$600="Лікар загальної практики - сімейний лікар",AE603*AG600,0)))</f>
        <v>0</v>
      </c>
      <c r="AF600" s="196">
        <f>IF($B$600="Лікар-педіатр","x",IF($B$600="Лікар-терапевт",AF603*AG600,IF($B$600="Лікар загальної практики - сімейний лікар",AF603*AG600,0)))</f>
        <v>0</v>
      </c>
      <c r="AG600" s="557"/>
      <c r="AH600" s="941"/>
      <c r="AI600" s="540">
        <f>A600</f>
        <v>44</v>
      </c>
      <c r="AJ600" s="944">
        <f>B600</f>
        <v>0</v>
      </c>
      <c r="AK600" s="959">
        <f>C600</f>
        <v>0</v>
      </c>
      <c r="AL600" s="959">
        <f>D600</f>
        <v>0</v>
      </c>
      <c r="AM600" s="929" t="s">
        <v>79</v>
      </c>
      <c r="AN600" s="947">
        <f>SUM(AN605:AN611)</f>
        <v>0</v>
      </c>
      <c r="AO600" s="947">
        <f>SUM(AO605:AO611)</f>
        <v>0</v>
      </c>
      <c r="AP600" s="947">
        <f>SUM(AP605:AP611)</f>
        <v>0</v>
      </c>
      <c r="AQ600" s="947">
        <f>SUM(AQ605:AQ611)</f>
        <v>0</v>
      </c>
      <c r="AR600" s="962">
        <f>SUM(AN600:AQ604)</f>
        <v>0</v>
      </c>
    </row>
    <row r="601" spans="1:44" s="50" customFormat="1" ht="28.15" hidden="1" customHeight="1">
      <c r="A601" s="197"/>
      <c r="B601" s="951"/>
      <c r="C601" s="954"/>
      <c r="D601" s="957"/>
      <c r="E601" s="939"/>
      <c r="F601" s="234" t="s">
        <v>660</v>
      </c>
      <c r="G601" s="196">
        <f>IF($B$600="Лікар-педіатр",G603*L601,IF($B$600="Лікар-терапевт","х",IF($B$600="Лікар загальної практики - сімейний лікар",G603*L601,0)))</f>
        <v>0</v>
      </c>
      <c r="H601" s="196">
        <f>IF($B$600="Лікар-педіатр",H603*L601,IF($B$600="Лікар-терапевт","х",IF($B$600="Лікар загальної практики - сімейний лікар",H603*L601,0)))</f>
        <v>0</v>
      </c>
      <c r="I601" s="196">
        <f>IF($B$600="Лікар-педіатр","x",IF($B$600="Лікар-терапевт",I603*L601,IF($B$600="Лікар загальної практики - сімейний лікар",I603*L601,0)))</f>
        <v>0</v>
      </c>
      <c r="J601" s="196">
        <f>IF($B$600="Лікар-педіатр","x",IF($B$600="Лікар-терапевт",J603*L601,IF($B$600="Лікар загальної практики - сімейний лікар",J603*L601,0)))</f>
        <v>0</v>
      </c>
      <c r="K601" s="196">
        <f>IF($B$600="Лікар-педіатр","x",IF($B$600="Лікар-терапевт",K603*L601,IF($B$600="Лікар загальної практики - сімейний лікар",K603*L601,0)))</f>
        <v>0</v>
      </c>
      <c r="L601" s="557"/>
      <c r="M601" s="942"/>
      <c r="N601" s="196">
        <f>IF($B$600="Лікар-педіатр",N603*S601,IF($B$600="Лікар-терапевт","х",IF($B$600="Лікар загальної практики - сімейний лікар",N603*S601,0)))</f>
        <v>0</v>
      </c>
      <c r="O601" s="196">
        <f>IF($B$600="Лікар-педіатр",O603*S601,IF($B$600="Лікар-терапевт","х",IF($B$600="Лікар загальної практики - сімейний лікар",O603*S601,0)))</f>
        <v>0</v>
      </c>
      <c r="P601" s="196">
        <f>IF($B$600="Лікар-педіатр","x",IF($B$600="Лікар-терапевт",P603*S601,IF($B$600="Лікар загальної практики - сімейний лікар",P603*S601,0)))</f>
        <v>0</v>
      </c>
      <c r="Q601" s="196">
        <f>IF($B$600="Лікар-педіатр","x",IF($B$600="Лікар-терапевт",Q603*S601,IF($B$600="Лікар загальної практики - сімейний лікар",Q603*S601,0)))</f>
        <v>0</v>
      </c>
      <c r="R601" s="196">
        <f>IF($B$600="Лікар-педіатр","x",IF($B$600="Лікар-терапевт",R603*S601,IF($B$600="Лікар загальної практики - сімейний лікар",R603*S601,0)))</f>
        <v>0</v>
      </c>
      <c r="S601" s="557"/>
      <c r="T601" s="942"/>
      <c r="U601" s="196">
        <f>IF($B$600="Лікар-педіатр",U603*Z601,IF($B$600="Лікар-терапевт","х",IF($B$600="Лікар загальної практики - сімейний лікар",U603*Z601,0)))</f>
        <v>0</v>
      </c>
      <c r="V601" s="196">
        <f>IF($B$600="Лікар-педіатр",V603*Z601,IF($B$600="Лікар-терапевт","х",IF($B$600="Лікар загальної практики - сімейний лікар",V603*Z601,0)))</f>
        <v>0</v>
      </c>
      <c r="W601" s="196">
        <f>IF($B$600="Лікар-педіатр","x",IF($B$600="Лікар-терапевт",W603*Z601,IF($B$600="Лікар загальної практики - сімейний лікар",W603*Z601,0)))</f>
        <v>0</v>
      </c>
      <c r="X601" s="196">
        <f>IF($B$600="Лікар-педіатр","x",IF($B$600="Лікар-терапевт",X603*Z601,IF($B$600="Лікар загальної практики - сімейний лікар",X603*Z601,0)))</f>
        <v>0</v>
      </c>
      <c r="Y601" s="196">
        <f>IF($B$600="Лікар-педіатр","x",IF($B$600="Лікар-терапевт",Y603*Z601,IF($B$600="Лікар загальної практики - сімейний лікар",Y603*Z601,0)))</f>
        <v>0</v>
      </c>
      <c r="Z601" s="557"/>
      <c r="AA601" s="942"/>
      <c r="AB601" s="196">
        <f>IF($B$600="Лікар-педіатр",AB603*AG601,IF($B$600="Лікар-терапевт","х",IF($B$600="Лікар загальної практики - сімейний лікар",AB603*AG601,0)))</f>
        <v>0</v>
      </c>
      <c r="AC601" s="196">
        <f>IF($B$600="Лікар-педіатр",AC603*AG601,IF($B$600="Лікар-терапевт","х",IF($B$600="Лікар загальної практики - сімейний лікар",AC603*AG601,0)))</f>
        <v>0</v>
      </c>
      <c r="AD601" s="196">
        <f>IF($B$600="Лікар-педіатр","x",IF($B$600="Лікар-терапевт",AD603*AG601,IF($B$600="Лікар загальної практики - сімейний лікар",AD603*AG601,0)))</f>
        <v>0</v>
      </c>
      <c r="AE601" s="196">
        <f>IF($B$600="Лікар-педіатр","x",IF($B$600="Лікар-терапевт",AE603*AG601,IF($B$600="Лікар загальної практики - сімейний лікар",AE603*AG601,0)))</f>
        <v>0</v>
      </c>
      <c r="AF601" s="196">
        <f>IF($B$600="Лікар-педіатр","x",IF($B$600="Лікар-терапевт",AF603*AG601,IF($B$600="Лікар загальної практики - сімейний лікар",AF603*AG601,0)))</f>
        <v>0</v>
      </c>
      <c r="AG601" s="557"/>
      <c r="AH601" s="942"/>
      <c r="AI601" s="198"/>
      <c r="AJ601" s="945"/>
      <c r="AK601" s="960"/>
      <c r="AL601" s="960"/>
      <c r="AM601" s="930"/>
      <c r="AN601" s="948"/>
      <c r="AO601" s="948"/>
      <c r="AP601" s="948"/>
      <c r="AQ601" s="948"/>
      <c r="AR601" s="963"/>
    </row>
    <row r="602" spans="1:44" s="90" customFormat="1" ht="31.15" hidden="1" customHeight="1">
      <c r="A602" s="240"/>
      <c r="B602" s="951"/>
      <c r="C602" s="954"/>
      <c r="D602" s="957"/>
      <c r="E602" s="939"/>
      <c r="F602" s="241" t="s">
        <v>661</v>
      </c>
      <c r="G602" s="199">
        <f>IF(B600="Лікар загальної практики - сімейний лікар"," ",IF(B600="Лікар-педіатр"," ",IF(B600="Лікар-терапевт","х",0)))</f>
        <v>0</v>
      </c>
      <c r="H602" s="199">
        <f>IF(B600="Лікар загальної практики - сімейний лікар"," ",IF(B600="Лікар-педіатр"," ",IF(B600="Лікар-терапевт","х",0)))</f>
        <v>0</v>
      </c>
      <c r="I602" s="199">
        <f>IF(B600="Лікар загальної практики - сімейний лікар"," ",IF(B600="Лікар-педіатр","х",IF(B600="Лікар-терапевт"," ",0)))</f>
        <v>0</v>
      </c>
      <c r="J602" s="199">
        <f>IF(B600="Лікар загальної практики - сімейний лікар"," ",IF(B600="Лікар-педіатр","х",IF(B600="Лікар-терапевт"," ",0)))</f>
        <v>0</v>
      </c>
      <c r="K602" s="199">
        <f>IF(B600="Лікар загальної практики - сімейний лікар"," ",IF(B600="Лікар-педіатр","х",IF(B600="Лікар-терапевт"," ",0)))</f>
        <v>0</v>
      </c>
      <c r="L602" s="200">
        <f>SUM(G602:K602)</f>
        <v>0</v>
      </c>
      <c r="M602" s="942"/>
      <c r="N602" s="199">
        <f>IF(B600="Лікар загальної практики - сімейний лікар"," ",IF(B600="Лікар-педіатр"," ",IF(B600="Лікар-терапевт","х",0)))</f>
        <v>0</v>
      </c>
      <c r="O602" s="199">
        <f>IF(B600="Лікар загальної практики - сімейний лікар"," ",IF(B600="Лікар-педіатр"," ",IF(B600="Лікар-терапевт","х",0)))</f>
        <v>0</v>
      </c>
      <c r="P602" s="199">
        <f>IF(B600="Лікар загальної практики - сімейний лікар"," ",IF(B600="Лікар-педіатр","х",IF(B600="Лікар-терапевт"," ",0)))</f>
        <v>0</v>
      </c>
      <c r="Q602" s="199">
        <f>IF(B600="Лікар загальної практики - сімейний лікар"," ",IF(B600="Лікар-педіатр","х",IF(B600="Лікар-терапевт"," ",0)))</f>
        <v>0</v>
      </c>
      <c r="R602" s="199">
        <f>IF(B600="Лікар загальної практики - сімейний лікар"," ",IF(B600="Лікар-педіатр","х",IF(B600="Лікар-терапевт"," ",0)))</f>
        <v>0</v>
      </c>
      <c r="S602" s="200">
        <f>SUM(N602:R602)</f>
        <v>0</v>
      </c>
      <c r="T602" s="942"/>
      <c r="U602" s="199">
        <f>IF(B600="Лікар загальної практики - сімейний лікар"," ",IF(B600="Лікар-педіатр"," ",IF(B600="Лікар-терапевт","х",0)))</f>
        <v>0</v>
      </c>
      <c r="V602" s="199">
        <f>IF(B600="Лікар загальної практики - сімейний лікар"," ",IF(B600="Лікар-педіатр"," ",IF(B600="Лікар-терапевт","х",0)))</f>
        <v>0</v>
      </c>
      <c r="W602" s="199">
        <f>IF(B600="Лікар загальної практики - сімейний лікар"," ",IF(B600="Лікар-педіатр","х",IF(B600="Лікар-терапевт"," ",0)))</f>
        <v>0</v>
      </c>
      <c r="X602" s="199">
        <f>IF(B600="Лікар загальної практики - сімейний лікар"," ",IF(B600="Лікар-педіатр","х",IF(B600="Лікар-терапевт"," ",0)))</f>
        <v>0</v>
      </c>
      <c r="Y602" s="199">
        <f>IF(B600="Лікар загальної практики - сімейний лікар"," ",IF(B600="Лікар-педіатр","х",IF(B600="Лікар-терапевт"," ",0)))</f>
        <v>0</v>
      </c>
      <c r="Z602" s="200">
        <f>SUM(U602:Y602)</f>
        <v>0</v>
      </c>
      <c r="AA602" s="942"/>
      <c r="AB602" s="199">
        <f>IF(B600="Лікар загальної практики - сімейний лікар"," ",IF(B600="Лікар-педіатр"," ",IF(B600="Лікар-терапевт","х",0)))</f>
        <v>0</v>
      </c>
      <c r="AC602" s="199">
        <f>IF(B600="Лікар загальної практики - сімейний лікар"," ",IF(B600="Лікар-педіатр"," ",IF(B600="Лікар-терапевт","х",0)))</f>
        <v>0</v>
      </c>
      <c r="AD602" s="199">
        <f>IF(B600="Лікар загальної практики - сімейний лікар"," ",IF(B600="Лікар-педіатр","х",IF(B600="Лікар-терапевт"," ",0)))</f>
        <v>0</v>
      </c>
      <c r="AE602" s="199">
        <f>IF(B600="Лікар загальної практики - сімейний лікар"," ",IF(B600="Лікар-педіатр","х",IF(B600="Лікар-терапевт"," ",0)))</f>
        <v>0</v>
      </c>
      <c r="AF602" s="199">
        <f>IF(B600="Лікар загальної практики - сімейний лікар"," ",IF(B600="Лікар-педіатр","х",IF(B600="Лікар-терапевт"," ",0)))</f>
        <v>0</v>
      </c>
      <c r="AG602" s="200">
        <f>SUM(AB602:AF602)</f>
        <v>0</v>
      </c>
      <c r="AH602" s="942"/>
      <c r="AI602" s="242"/>
      <c r="AJ602" s="945"/>
      <c r="AK602" s="960"/>
      <c r="AL602" s="960"/>
      <c r="AM602" s="930"/>
      <c r="AN602" s="948"/>
      <c r="AO602" s="948"/>
      <c r="AP602" s="948"/>
      <c r="AQ602" s="948"/>
      <c r="AR602" s="963"/>
    </row>
    <row r="603" spans="1:44" s="50" customFormat="1" ht="31.9" hidden="1" customHeight="1" thickBot="1">
      <c r="A603" s="197"/>
      <c r="B603" s="951"/>
      <c r="C603" s="954"/>
      <c r="D603" s="957"/>
      <c r="E603" s="939"/>
      <c r="F603" s="236" t="s">
        <v>426</v>
      </c>
      <c r="G603" s="203">
        <f>IF($B$600="Лікар-педіатр",G602/L602,IF($B$600="Лікар-терапевт","х",IF($B$600="Лікар загальної практики - сімейний лікар",G602/L602,0)))</f>
        <v>0</v>
      </c>
      <c r="H603" s="203">
        <f>IF($B$600="Лікар-педіатр",H602/L602,IF($B$600="Лікар-терапевт","х",IF($B$600="Лікар загальної практики - сімейний лікар",H602/L602,0)))</f>
        <v>0</v>
      </c>
      <c r="I603" s="203">
        <f>IF($B$600="Лікар-педіатр","x",IF($B$600="Лікар-терапевт",I602/L602,IF($B$600="Лікар загальної практики - сімейний лікар",I602/L602,0)))</f>
        <v>0</v>
      </c>
      <c r="J603" s="203">
        <f>IF($B$600="Лікар-педіатр","x",IF($B$600="Лікар-терапевт",J602/L602,IF($B$600="Лікар загальної практики - сімейний лікар",J602/L602,0)))</f>
        <v>0</v>
      </c>
      <c r="K603" s="203">
        <f>IF($B$600="Лікар-педіатр","x",IF($B$600="Лікар-терапевт",K602/L602,IF($B$600="Лікар загальної практики - сімейний лікар",K602/L602,0)))</f>
        <v>0</v>
      </c>
      <c r="L603" s="203">
        <f>SUM(G603:K603)</f>
        <v>0</v>
      </c>
      <c r="M603" s="942"/>
      <c r="N603" s="203">
        <f>IF($B$600="Лікар-педіатр",N602/S602,IF($B$600="Лікар-терапевт","х",IF($B$600="Лікар загальної практики - сімейний лікар",N602/S602,0)))</f>
        <v>0</v>
      </c>
      <c r="O603" s="203">
        <f>IF($B$600="Лікар-педіатр",O602/S602,IF($B$600="Лікар-терапевт","х",IF($B$600="Лікар загальної практики - сімейний лікар",O602/S602,0)))</f>
        <v>0</v>
      </c>
      <c r="P603" s="203">
        <f>IF($B$600="Лікар-педіатр","x",IF($B$600="Лікар-терапевт",P602/S602,IF($B$600="Лікар загальної практики - сімейний лікар",P602/S602,0)))</f>
        <v>0</v>
      </c>
      <c r="Q603" s="203">
        <f>IF($B$600="Лікар-педіатр","x",IF($B$600="Лікар-терапевт",Q602/S602,IF($B$600="Лікар загальної практики - сімейний лікар",Q602/S602,0)))</f>
        <v>0</v>
      </c>
      <c r="R603" s="203">
        <f>IF($B$600="Лікар-педіатр","x",IF($B$600="Лікар-терапевт",R602/S602,IF($B$600="Лікар загальної практики - сімейний лікар",R602/S602,0)))</f>
        <v>0</v>
      </c>
      <c r="S603" s="203">
        <f>SUM(N603:R603)</f>
        <v>0</v>
      </c>
      <c r="T603" s="942"/>
      <c r="U603" s="203">
        <f>IF($B$600="Лікар-педіатр",U602/Z602,IF($B$600="Лікар-терапевт","х",IF($B$600="Лікар загальної практики - сімейний лікар",U602/Z602,0)))</f>
        <v>0</v>
      </c>
      <c r="V603" s="203">
        <f>IF($B$600="Лікар-педіатр",V602/Z602,IF($B$600="Лікар-терапевт","х",IF($B$600="Лікар загальної практики - сімейний лікар",V602/Z602,0)))</f>
        <v>0</v>
      </c>
      <c r="W603" s="203">
        <f>IF($B$600="Лікар-педіатр","x",IF($B$600="Лікар-терапевт",W602/Z602,IF($B$600="Лікар загальної практики - сімейний лікар",W602/Z602,0)))</f>
        <v>0</v>
      </c>
      <c r="X603" s="203">
        <f>IF($B$600="Лікар-педіатр","x",IF($B$600="Лікар-терапевт",X602/Z602,IF($B$600="Лікар загальної практики - сімейний лікар",X602/Z602,0)))</f>
        <v>0</v>
      </c>
      <c r="Y603" s="203">
        <f>IF($B$600="Лікар-педіатр","x",IF($B$600="Лікар-терапевт",Y602/Z602,IF($B$600="Лікар загальної практики - сімейний лікар",Y602/Z602,0)))</f>
        <v>0</v>
      </c>
      <c r="Z603" s="203">
        <f>SUM(U603:Y603)</f>
        <v>0</v>
      </c>
      <c r="AA603" s="942"/>
      <c r="AB603" s="203">
        <f>IF($B$600="Лікар-педіатр",AB602/AG602,IF($B$600="Лікар-терапевт","х",IF($B$600="Лікар загальної практики - сімейний лікар",AB602/AG602,0)))</f>
        <v>0</v>
      </c>
      <c r="AC603" s="203">
        <f>IF($B$600="Лікар-педіатр",AC602/AG602,IF($B$600="Лікар-терапевт","х",IF($B$600="Лікар загальної практики - сімейний лікар",AC602/AG602,0)))</f>
        <v>0</v>
      </c>
      <c r="AD603" s="203">
        <f>IF($B$600="Лікар-педіатр","x",IF($B$600="Лікар-терапевт",AD602/AG602,IF($B$600="Лікар загальної практики - сімейний лікар",AD602/AG602,0)))</f>
        <v>0</v>
      </c>
      <c r="AE603" s="203">
        <f>IF($B$600="Лікар-педіатр","x",IF($B$600="Лікар-терапевт",AE602/AG602,IF($B$600="Лікар загальної практики - сімейний лікар",AE602/AG602,0)))</f>
        <v>0</v>
      </c>
      <c r="AF603" s="203">
        <f>IF($B$600="Лікар-педіатр","x",IF($B$600="Лікар-терапевт",AF602/AG602,IF($B$600="Лікар загальної практики - сімейний лікар",AF602/AG602,0)))</f>
        <v>0</v>
      </c>
      <c r="AG603" s="203">
        <f>SUM(AB603:AF603)</f>
        <v>0</v>
      </c>
      <c r="AH603" s="942"/>
      <c r="AI603" s="201"/>
      <c r="AJ603" s="945"/>
      <c r="AK603" s="960"/>
      <c r="AL603" s="960"/>
      <c r="AM603" s="930"/>
      <c r="AN603" s="948"/>
      <c r="AO603" s="948"/>
      <c r="AP603" s="948"/>
      <c r="AQ603" s="948"/>
      <c r="AR603" s="963"/>
    </row>
    <row r="604" spans="1:44" s="50" customFormat="1" ht="45" hidden="1" customHeight="1" thickBot="1">
      <c r="A604" s="197"/>
      <c r="B604" s="951"/>
      <c r="C604" s="954"/>
      <c r="D604" s="957"/>
      <c r="E604" s="939"/>
      <c r="F604" s="204" t="s">
        <v>662</v>
      </c>
      <c r="G604" s="205">
        <f>IF($B$600="Лікар загальної практики - сімейний лікар",AVERAGE(G600:G602),IF($B$600="Лікар-педіатр",AVERAGE(G600:G602),IF($B$600="Лікар-терапевт","х",0)))</f>
        <v>0</v>
      </c>
      <c r="H604" s="205">
        <f>IF($B$600="Лікар загальної практики - сімейний лікар",AVERAGE(H600:H602),IF($B$600="Лікар-педіатр",AVERAGE(H600:H602),IF($B$600="Лікар-терапевт","х",0)))</f>
        <v>0</v>
      </c>
      <c r="I604" s="205">
        <f>IF($B$600="Лікар загальної практики - сімейний лікар",AVERAGE(I600:I602),IF($B$600="Лікар-педіатр","x",IF($B$600="Лікар-терапевт",AVERAGE(I600:I602),0)))</f>
        <v>0</v>
      </c>
      <c r="J604" s="205">
        <f>IF($B$600="Лікар загальної практики - сімейний лікар",AVERAGE(J600:J602),IF($B$600="Лікар-педіатр","x",IF($B$600="Лікар-терапевт",AVERAGE(J600:J602),0)))</f>
        <v>0</v>
      </c>
      <c r="K604" s="205">
        <f>IF($B$600="Лікар загальної практики - сімейний лікар",AVERAGE(K600:K602),IF($B$600="Лікар-педіатр","x",IF($B$600="Лікар-терапевт",AVERAGE(K600:K602),0)))</f>
        <v>0</v>
      </c>
      <c r="L604" s="206">
        <f>SUM(G604:K604)</f>
        <v>0</v>
      </c>
      <c r="M604" s="942"/>
      <c r="N604" s="205">
        <f>IF($B$600="Лікар загальної практики - сімейний лікар",AVERAGE(N600:N602),IF($B$600="Лікар-педіатр",AVERAGE(N600:N602),IF($B$600="Лікар-терапевт","х",0)))</f>
        <v>0</v>
      </c>
      <c r="O604" s="205">
        <f>IF($B$600="Лікар загальної практики - сімейний лікар",AVERAGE(O600:O602),IF($B$600="Лікар-педіатр",AVERAGE(O600:O602),IF($B$600="Лікар-терапевт","х",0)))</f>
        <v>0</v>
      </c>
      <c r="P604" s="205">
        <f>IF($B$600="Лікар загальної практики - сімейний лікар",AVERAGE(P600:P602),IF($B$600="Лікар-педіатр","x",IF($B$600="Лікар-терапевт",AVERAGE(P600:P602),0)))</f>
        <v>0</v>
      </c>
      <c r="Q604" s="205">
        <f>IF($B$600="Лікар загальної практики - сімейний лікар",AVERAGE(Q600:Q602),IF($B$600="Лікар-педіатр","x",IF($B$600="Лікар-терапевт",AVERAGE(Q600:Q602),0)))</f>
        <v>0</v>
      </c>
      <c r="R604" s="205">
        <f>IF($B$600="Лікар загальної практики - сімейний лікар",AVERAGE(R600:R602),IF($B$600="Лікар-педіатр","x",IF($B$600="Лікар-терапевт",AVERAGE(R600:R602),0)))</f>
        <v>0</v>
      </c>
      <c r="S604" s="206">
        <f>SUM(N604:R604)</f>
        <v>0</v>
      </c>
      <c r="T604" s="942"/>
      <c r="U604" s="205">
        <f>IF($B$600="Лікар загальної практики - сімейний лікар",AVERAGE(U600:U602),IF($B$600="Лікар-педіатр",AVERAGE(U600:U602),IF($B$600="Лікар-терапевт","х",0)))</f>
        <v>0</v>
      </c>
      <c r="V604" s="205">
        <f>IF($B$600="Лікар загальної практики - сімейний лікар",AVERAGE(V600:V602),IF($B$600="Лікар-педіатр",AVERAGE(V600:V602),IF($B$600="Лікар-терапевт","х",0)))</f>
        <v>0</v>
      </c>
      <c r="W604" s="205">
        <f>IF($B$600="Лікар загальної практики - сімейний лікар",AVERAGE(W600:W602),IF($B$600="Лікар-педіатр","x",IF($B$600="Лікар-терапевт",AVERAGE(W600:W602),0)))</f>
        <v>0</v>
      </c>
      <c r="X604" s="205">
        <f>IF($B$600="Лікар загальної практики - сімейний лікар",AVERAGE(X600:X602),IF($B$600="Лікар-педіатр","x",IF($B$600="Лікар-терапевт",AVERAGE(X600:X602),0)))</f>
        <v>0</v>
      </c>
      <c r="Y604" s="205">
        <f>IF($B$600="Лікар загальної практики - сімейний лікар",AVERAGE(Y600:Y602),IF($B$600="Лікар-педіатр","x",IF($B$600="Лікар-терапевт",AVERAGE(Y600:Y602),0)))</f>
        <v>0</v>
      </c>
      <c r="Z604" s="206">
        <f>SUM(U604:Y604)</f>
        <v>0</v>
      </c>
      <c r="AA604" s="942"/>
      <c r="AB604" s="205">
        <f>IF($B$600="Лікар загальної практики - сімейний лікар",AVERAGE(AB600:AB602),IF($B$600="Лікар-педіатр",AVERAGE(AB600:AB602),IF($B$600="Лікар-терапевт","х",0)))</f>
        <v>0</v>
      </c>
      <c r="AC604" s="205">
        <f>IF($B$600="Лікар загальної практики - сімейний лікар",AVERAGE(AC600:AC602),IF($B$600="Лікар-педіатр",AVERAGE(AC600:AC602),IF($B$600="Лікар-терапевт","х",0)))</f>
        <v>0</v>
      </c>
      <c r="AD604" s="205">
        <f>IF($B$600="Лікар загальної практики - сімейний лікар",AVERAGE(AD600:AD602),IF($B$600="Лікар-педіатр","x",IF($B$600="Лікар-терапевт",AVERAGE(AD600:AD602),0)))</f>
        <v>0</v>
      </c>
      <c r="AE604" s="205">
        <f>IF($B$600="Лікар загальної практики - сімейний лікар",AVERAGE(AE600:AE602),IF($B$600="Лікар-педіатр","x",IF($B$600="Лікар-терапевт",AVERAGE(AE600:AE602),0)))</f>
        <v>0</v>
      </c>
      <c r="AF604" s="205">
        <f>IF($B$600="Лікар загальної практики - сімейний лікар",AVERAGE(AF600:AF602),IF($B$600="Лікар-педіатр","x",IF($B$600="Лікар-терапевт",AVERAGE(AF600:AF602),0)))</f>
        <v>0</v>
      </c>
      <c r="AG604" s="206">
        <f>SUM(AB604:AF604)</f>
        <v>0</v>
      </c>
      <c r="AH604" s="942"/>
      <c r="AI604" s="201"/>
      <c r="AJ604" s="945"/>
      <c r="AK604" s="960"/>
      <c r="AL604" s="960"/>
      <c r="AM604" s="931"/>
      <c r="AN604" s="949"/>
      <c r="AO604" s="949"/>
      <c r="AP604" s="949"/>
      <c r="AQ604" s="949"/>
      <c r="AR604" s="964"/>
    </row>
    <row r="605" spans="1:44" s="50" customFormat="1" ht="40.5" hidden="1">
      <c r="A605" s="197"/>
      <c r="B605" s="951"/>
      <c r="C605" s="954"/>
      <c r="D605" s="957"/>
      <c r="E605" s="939"/>
      <c r="F605" s="237" t="str">
        <f ca="1">IF(B600="Лікар-педіатр",Законод!$C$17,IF(B600="Лікар загальної практики - сімейний лікар",Законод!$C$21,IF(B600="Лікар-терапевт",Законод!$C$25,"х")))</f>
        <v>х</v>
      </c>
      <c r="G605" s="208">
        <f ca="1">IF($B$600="Лікар загальної практики - сімейний лікар",IF(L604&lt;=Законод!$C$22,G604,Законод!$C$22*'01_Доходи'!G603),IF($B$600="Лікар-педіатр",IF(L604&lt;=Законод!$C$18,G604,Законод!$C$18*'01_Доходи'!G603),IF($B$600="Лікар-терапевт","x",0)))</f>
        <v>0</v>
      </c>
      <c r="H605" s="208">
        <f ca="1">IF($B$600="Лікар загальної практики - сімейний лікар",IF(L604&lt;=Законод!$C$22,H604,Законод!$C$22*'01_Доходи'!H603),IF($B$600="Лікар-педіатр",IF(L604&lt;=Законод!$C$18,H604,Законод!$C$18*'01_Доходи'!H603),IF($B$600="Лікар-терапевт","x",0)))</f>
        <v>0</v>
      </c>
      <c r="I605" s="208">
        <f ca="1">IF($B$600="Лікар загальної практики - сімейний лікар",IF(L604&lt;=Законод!$C$22,I604,Законод!$C$22*'01_Доходи'!I603),IF($B$600="Лікар-педіатр","x",IF($B$600="Лікар-терапевт",IF(L604&lt;=Законод!$C$26,I604,Законод!$C$26*'01_Доходи'!I603),0)))</f>
        <v>0</v>
      </c>
      <c r="J605" s="208">
        <f ca="1">IF($B$600="Лікар загальної практики - сімейний лікар",IF(L604&lt;=Законод!$C$22,J604,Законод!$C$22*'01_Доходи'!J603),IF($B$600="Лікар-педіатр","x",IF($B$600="Лікар-терапевт",IF(L604&lt;=Законод!$C$26,J604,Законод!$C$26*'01_Доходи'!J603),0)))</f>
        <v>0</v>
      </c>
      <c r="K605" s="208">
        <f ca="1">IF($B$600="Лікар загальної практики - сімейний лікар",IF(L604&lt;=Законод!$C$22,K604,Законод!$C$22*'01_Доходи'!K603),IF($B$600="Лікар-педіатр","x",IF($B$600="Лікар-терапевт",IF(L604&lt;=Законод!$C$26,K604,Законод!$C$26*'01_Доходи'!K603),0)))</f>
        <v>0</v>
      </c>
      <c r="L605" s="209">
        <f ca="1">SUM(G605:K605)</f>
        <v>0</v>
      </c>
      <c r="M605" s="942"/>
      <c r="N605" s="208">
        <f ca="1">IF($B$600="Лікар загальної практики - сімейний лікар",IF(S604&lt;=Законод!$C$22,N604,Законод!$C$22*'01_Доходи'!N603),IF($B$600="Лікар-педіатр",IF(S604&lt;=Законод!$C$18,N604,Законод!$C$18*'01_Доходи'!N603),IF($B$600="Лікар-терапевт","x",0)))</f>
        <v>0</v>
      </c>
      <c r="O605" s="208">
        <f ca="1">IF($B$600="Лікар загальної практики - сімейний лікар",IF(S604&lt;=Законод!$C$22,O604,Законод!$C$22*'01_Доходи'!O603),IF($B$600="Лікар-педіатр",IF(S604&lt;=Законод!$C$18,O604,Законод!$C$18*'01_Доходи'!O603),IF($B$600="Лікар-терапевт","x",0)))</f>
        <v>0</v>
      </c>
      <c r="P605" s="208">
        <f ca="1">IF($B$600="Лікар загальної практики - сімейний лікар",IF(S604&lt;=Законод!$C$22,P604,Законод!$C$22*'01_Доходи'!P603),IF($B$600="Лікар-педіатр","x",IF($B$600="Лікар-терапевт",IF(S604&lt;=Законод!$C$26,P604,Законод!$C$26*'01_Доходи'!P603),0)))</f>
        <v>0</v>
      </c>
      <c r="Q605" s="208">
        <f ca="1">IF($B$600="Лікар загальної практики - сімейний лікар",IF(S604&lt;=Законод!$C$22,Q604,Законод!$C$22*'01_Доходи'!Q603),IF($B$600="Лікар-педіатр","x",IF($B$600="Лікар-терапевт",IF(S604&lt;=Законод!$C$26,Q604,Законод!$C$26*'01_Доходи'!Q603),0)))</f>
        <v>0</v>
      </c>
      <c r="R605" s="208">
        <f ca="1">IF($B$600="Лікар загальної практики - сімейний лікар",IF(S604&lt;=Законод!$C$22,R604,Законод!$C$22*'01_Доходи'!R603),IF($B$600="Лікар-педіатр","x",IF($B$600="Лікар-терапевт",IF(S604&lt;=Законод!$C$26,R604,Законод!$C$26*'01_Доходи'!R603),0)))</f>
        <v>0</v>
      </c>
      <c r="S605" s="209">
        <f ca="1">SUM(N605:R605)</f>
        <v>0</v>
      </c>
      <c r="T605" s="942"/>
      <c r="U605" s="208">
        <f ca="1">IF($B$600="Лікар загальної практики - сімейний лікар",IF(Z604&lt;=Законод!$C$22,U604,Законод!$C$22*'01_Доходи'!U603),IF($B$600="Лікар-педіатр",IF(Z604&lt;=Законод!$C$18,U604,Законод!$C$18*'01_Доходи'!U603),IF($B$600="Лікар-терапевт","x",0)))</f>
        <v>0</v>
      </c>
      <c r="V605" s="208">
        <f ca="1">IF($B$600="Лікар загальної практики - сімейний лікар",IF(Z604&lt;=Законод!$C$22,V604,Законод!$C$22*'01_Доходи'!V603),IF($B$600="Лікар-педіатр",IF(Z604&lt;=Законод!$C$18,V604,Законод!$C$18*'01_Доходи'!V603),IF($B$600="Лікар-терапевт","x",0)))</f>
        <v>0</v>
      </c>
      <c r="W605" s="208">
        <f ca="1">IF($B$600="Лікар загальної практики - сімейний лікар",IF(Z604&lt;=Законод!$C$22,W604,Законод!$C$22*'01_Доходи'!W603),IF($B$600="Лікар-педіатр","x",IF($B$600="Лікар-терапевт",IF(Z604&lt;=Законод!$C$26,W604,Законод!$C$26*'01_Доходи'!W603),0)))</f>
        <v>0</v>
      </c>
      <c r="X605" s="208">
        <f ca="1">IF($B$600="Лікар загальної практики - сімейний лікар",IF(Z604&lt;=Законод!$C$22,X604,Законод!$C$22*'01_Доходи'!X603),IF($B$600="Лікар-педіатр","x",IF($B$600="Лікар-терапевт",IF(Z604&lt;=Законод!$C$26,X604,Законод!$C$26*'01_Доходи'!X603),0)))</f>
        <v>0</v>
      </c>
      <c r="Y605" s="208">
        <f ca="1">IF($B$600="Лікар загальної практики - сімейний лікар",IF(Z604&lt;=Законод!$C$22,Y604,Законод!$C$22*'01_Доходи'!Y603),IF($B$600="Лікар-педіатр","x",IF($B$600="Лікар-терапевт",IF(Z604&lt;=Законод!$C$26,Y604,Законод!$C$26*'01_Доходи'!Y603),0)))</f>
        <v>0</v>
      </c>
      <c r="Z605" s="209">
        <f ca="1">SUM(U605:Y605)</f>
        <v>0</v>
      </c>
      <c r="AA605" s="942"/>
      <c r="AB605" s="208">
        <f ca="1">IF($B$600="Лікар загальної практики - сімейний лікар",IF(AG604&lt;=Законод!$C$22,AB604,Законод!$C$22*'01_Доходи'!AB603),IF($B$600="Лікар-педіатр",IF(AG604&lt;=Законод!$C$18,AB604,Законод!$C$18*'01_Доходи'!AB603),IF($B$600="Лікар-терапевт","x",0)))</f>
        <v>0</v>
      </c>
      <c r="AC605" s="208">
        <f ca="1">IF($B$600="Лікар загальної практики - сімейний лікар",IF(AG604&lt;=Законод!$C$22,AC604,Законод!$C$22*'01_Доходи'!AC603),IF($B$600="Лікар-педіатр",IF(AG604&lt;=Законод!$C$18,AC604,Законод!$C$18*'01_Доходи'!AC603),IF($B$600="Лікар-терапевт","x",0)))</f>
        <v>0</v>
      </c>
      <c r="AD605" s="208">
        <f ca="1">IF($B$600="Лікар загальної практики - сімейний лікар",IF(AG604&lt;=Законод!$C$22,AD604,Законод!$C$22*'01_Доходи'!AD603),IF($B$600="Лікар-педіатр","x",IF($B$600="Лікар-терапевт",IF(AG604&lt;=Законод!$C$26,AD604,Законод!$C$26*'01_Доходи'!AD603),0)))</f>
        <v>0</v>
      </c>
      <c r="AE605" s="208">
        <f ca="1">IF($B$600="Лікар загальної практики - сімейний лікар",IF(AG604&lt;=Законод!$C$22,AE604,Законод!$C$22*'01_Доходи'!AE603),IF($B$600="Лікар-педіатр","x",IF($B$600="Лікар-терапевт",IF(AG604&lt;=Законод!$C$26,AE604,Законод!$C$26*'01_Доходи'!AE603),0)))</f>
        <v>0</v>
      </c>
      <c r="AF605" s="208">
        <f ca="1">IF($B$600="Лікар загальної практики - сімейний лікар",IF(AG604&lt;=Законод!$C$22,AF604,Законод!$C$22*'01_Доходи'!AF603),IF($B$600="Лікар-педіатр","x",IF($B$600="Лікар-терапевт",IF(AG604&lt;=Законод!$C$26,AF604,Законод!$C$26*'01_Доходи'!AF603),0)))</f>
        <v>0</v>
      </c>
      <c r="AG605" s="209">
        <f ca="1">SUM(AB605:AF605)</f>
        <v>0</v>
      </c>
      <c r="AH605" s="942"/>
      <c r="AI605" s="201"/>
      <c r="AJ605" s="945"/>
      <c r="AK605" s="960"/>
      <c r="AL605" s="960"/>
      <c r="AM605" s="348" t="s">
        <v>451</v>
      </c>
      <c r="AN605" s="210">
        <f ca="1">IF(B600="Лікар загальної практики - сімейний лікар",G605*Законод!$C$11+'01_Доходи'!H605*Законод!$D$11+'01_Доходи'!I605*Законод!$E$11+'01_Доходи'!J605*Законод!$F$11+'01_Доходи'!K605*Законод!$G$11,IF(B600="Лікар-педіатр",G605*Законод!$C$11+'01_Доходи'!H605*Законод!$D$11,IF(B600="Лікар-терапевт",'01_Доходи'!I605*Законод!$E$11+'01_Доходи'!J605*Законод!$F$11+'01_Доходи'!K605*Законод!$G$11,0)))</f>
        <v>0</v>
      </c>
      <c r="AO605" s="210">
        <f ca="1">IF(B600="Лікар загальної практики - сімейний лікар",N605*Законод!$C$11+'01_Доходи'!O605*Законод!$D$11+'01_Доходи'!P605*Законод!$E$11+'01_Доходи'!Q605*Законод!$F$11+'01_Доходи'!R605*Законод!$G$11,IF(B600="Лікар-педіатр",N605*Законод!$C$11+'01_Доходи'!O605*Законод!$D$11,IF(B600="Лікар-терапевт",'01_Доходи'!P605*Законод!$E$11+'01_Доходи'!Q605*Законод!$F$11+'01_Доходи'!R605*Законод!$G$11,0)))</f>
        <v>0</v>
      </c>
      <c r="AP605" s="210">
        <f ca="1">IF(B600="Лікар загальної практики - сімейний лікар",U605*Законод!$C$11+'01_Доходи'!V605*Законод!$D$11+'01_Доходи'!W605*Законод!$E$11+'01_Доходи'!X605*Законод!$F$11+'01_Доходи'!Y605*Законод!$G$11,IF(B600="Лікар-педіатр",U605*Законод!$C$11+'01_Доходи'!V605*Законод!$D$11,IF(B600="Лікар-терапевт",'01_Доходи'!W605*Законод!$E$11+'01_Доходи'!X605*Законод!$F$11+'01_Доходи'!Y605*Законод!$G$11,0)))</f>
        <v>0</v>
      </c>
      <c r="AQ605" s="210">
        <f ca="1">IF(B600="Лікар загальної практики - сімейний лікар",AB605*Законод!$C$11+'01_Доходи'!AC605*Законод!$D$11+'01_Доходи'!AD605*Законод!$E$11+'01_Доходи'!AE605*Законод!$F$11+'01_Доходи'!AF605*Законод!$G$11,IF(B600="Лікар-педіатр",AB605*Законод!$C$11+'01_Доходи'!AC605*Законод!$D$11,IF(B600="Лікар-терапевт",'01_Доходи'!AD605*Законод!$E$11+'01_Доходи'!AE605*Законод!$F$11+'01_Доходи'!AF605*Законод!$G$11,0)))</f>
        <v>0</v>
      </c>
      <c r="AR605" s="211">
        <f t="shared" ref="AR605:AR611" si="86">SUM(AN605:AQ605)</f>
        <v>0</v>
      </c>
    </row>
    <row r="606" spans="1:44" s="50" customFormat="1" ht="31.9" hidden="1" customHeight="1">
      <c r="A606" s="197"/>
      <c r="B606" s="951"/>
      <c r="C606" s="954"/>
      <c r="D606" s="957"/>
      <c r="E606" s="939"/>
      <c r="F606" s="238" t="str">
        <f ca="1">IF(B600="Лікар-педіатр",Законод!$E$17,IF(B600="Лікар загальної практики - сімейний лікар",Законод!$E$21,IF(B600="Лікар-терапевт",Законод!$E$25,"х")))</f>
        <v>х</v>
      </c>
      <c r="G606" s="935" t="s">
        <v>423</v>
      </c>
      <c r="H606" s="936"/>
      <c r="I606" s="936"/>
      <c r="J606" s="936"/>
      <c r="K606" s="937"/>
      <c r="L606" s="196">
        <f ca="1">IF($B$600="Лікар загальної практики - сімейний лікар",IF(L604&lt;Законод!$C$22,0,(IF(AND(L604&gt;=Законод!$E$22,L604&lt;=Законод!$E$23),L604-Законод!$C$22,IF('01_Доходи'!L604&gt;=Законод!$F$22,Законод!$E$24,0)))),IF($B$600="Лікар-педіатр",IF(L604&lt;Законод!$C$18,0,(IF(AND(L604&gt;=Законод!$E$18,L604&lt;=Законод!$E$19),L604-Законод!$C$18,IF('01_Доходи'!L604&gt;=Законод!$F$18,Законод!$E$20,0)))),IF($B$600="Лікар-терапевт",IF(L604&lt;Законод!$C$26,0,(IF(AND(L604&gt;=Законод!$E$26,L604&lt;=Законод!$E$27),L604-Законод!$C$26,IF('01_Доходи'!L604&gt;=Законод!$F$26,Законод!$E$28,0)))),0)))</f>
        <v>0</v>
      </c>
      <c r="M606" s="942"/>
      <c r="N606" s="935" t="s">
        <v>423</v>
      </c>
      <c r="O606" s="936"/>
      <c r="P606" s="936"/>
      <c r="Q606" s="936"/>
      <c r="R606" s="937"/>
      <c r="S606" s="196">
        <f ca="1">IF($B$600="Лікар загальної практики - сімейний лікар",IF(S604&lt;Законод!$C$22,0,(IF(AND(S604&gt;=Законод!$E$22,S604&lt;=Законод!$E$23),S604-Законод!$C$22,IF('01_Доходи'!S604&gt;=Законод!$F$22,Законод!$E$24,0)))),IF($B$600="Лікар-педіатр",IF(S604&lt;Законод!$C$18,0,(IF(AND(S604&gt;=Законод!$E$18,S604&lt;=Законод!$E$19),S604-Законод!$C$18,IF('01_Доходи'!S604&gt;=Законод!$F$18,Законод!$E$20,0)))),IF($B$600="Лікар-терапевт",IF(S604&lt;Законод!$C$26,0,(IF(AND(S604&gt;=Законод!$E$26,S604&lt;=Законод!$E$27),S604-Законод!$C$26,IF('01_Доходи'!S604&gt;=Законод!$F$26,Законод!$E$28,0)))),0)))</f>
        <v>0</v>
      </c>
      <c r="T606" s="942"/>
      <c r="U606" s="935" t="s">
        <v>423</v>
      </c>
      <c r="V606" s="936"/>
      <c r="W606" s="936"/>
      <c r="X606" s="936"/>
      <c r="Y606" s="937"/>
      <c r="Z606" s="196">
        <f ca="1">IF($B$600="Лікар загальної практики - сімейний лікар",IF(Z604&lt;Законод!$C$22,0,(IF(AND(Z604&gt;=Законод!$E$22,Z604&lt;=Законод!$E$23),Z604-Законод!$C$22,IF('01_Доходи'!Z604&gt;=Законод!$F$22,Законод!$E$24,0)))),IF($B$600="Лікар-педіатр",IF(Z604&lt;Законод!$C$18,0,(IF(AND(Z604&gt;=Законод!$E$18,Z604&lt;=Законод!$E$19),Z604-Законод!$C$18,IF('01_Доходи'!Z604&gt;=Законод!$F$18,Законод!$E$20,0)))),IF($B$600="Лікар-терапевт",IF(Z604&lt;Законод!$C$26,0,(IF(AND(Z604&gt;=Законод!$E$26,Z604&lt;=Законод!$E$27),Z604-Законод!$C$26,IF('01_Доходи'!Z604&gt;=Законод!$F$26,Законод!$E$28,0)))),0)))</f>
        <v>0</v>
      </c>
      <c r="AA606" s="942"/>
      <c r="AB606" s="935" t="s">
        <v>423</v>
      </c>
      <c r="AC606" s="936"/>
      <c r="AD606" s="936"/>
      <c r="AE606" s="936"/>
      <c r="AF606" s="937"/>
      <c r="AG606" s="196">
        <f ca="1">IF($B$600="Лікар загальної практики - сімейний лікар",IF(AG604&lt;Законод!$C$22,0,(IF(AND(AG604&gt;=Законод!$E$22,AG604&lt;=Законод!$E$23),AG604-Законод!$C$22,IF('01_Доходи'!AG604&gt;=Законод!$F$22,Законод!$E$24,0)))),IF($B$600="Лікар-педіатр",IF(AG604&lt;Законод!$C$18,0,(IF(AND(AG604&gt;=Законод!$E$18,AG604&lt;=Законод!$E$19),AG604-Законод!$C$18,IF('01_Доходи'!AG604&gt;=Законод!$F$18,Законод!$E$20,0)))),IF($B$600="Лікар-терапевт",IF(AG604&lt;Законод!$C$26,0,(IF(AND(AG604&gt;=Законод!$E$26,AG604&lt;=Законод!$E$27),AG604-Законод!$C$26,IF('01_Доходи'!AG604&gt;=Законод!$F$26,Законод!$E$28,0)))),0)))</f>
        <v>0</v>
      </c>
      <c r="AH606" s="942"/>
      <c r="AI606" s="201"/>
      <c r="AJ606" s="945"/>
      <c r="AK606" s="960"/>
      <c r="AL606" s="960"/>
      <c r="AM606" s="926" t="s">
        <v>452</v>
      </c>
      <c r="AN606" s="210">
        <f ca="1">IF(B600="Лікар загальної практики - сімейний лікар",L606*Законод!$C$9/4*Законод!$E$16,IF(B600="Лікар-педіатр",L606*Законод!$C$9/4*Законод!$E$16,IF(B600="Лікар-терапевт",L606*Законод!$C$9/4*Законод!$E$16,0)))</f>
        <v>0</v>
      </c>
      <c r="AO606" s="210">
        <f ca="1">IF(B600="Лікар загальної практики - сімейний лікар",S606*Законод!$C$9/4*Законод!$E$16,IF(B600="Лікар-педіатр",S606*Законод!$C$9/4*Законод!$E$16,IF(B600="Лікар-терапевт",S606*Законод!$C$9/4*Законод!$E$16,0)))</f>
        <v>0</v>
      </c>
      <c r="AP606" s="210">
        <f ca="1">IF(B600="Лікар загальної практики - сімейний лікар",Z606*Законод!$C$9/4*Законод!$E$16,IF(B600="Лікар-педіатр",Z606*Законод!$C$9/4*Законод!$E$16,IF(B600="Лікар-терапевт",Z606*Законод!$C$9/4*Законод!$E$16,0)))</f>
        <v>0</v>
      </c>
      <c r="AQ606" s="210">
        <f ca="1">IF(B600="Лікар загальної практики - сімейний лікар",AG606*Законод!$C$9/4*Законод!$E$16,IF(B600="Лікар-педіатр",AG606*Законод!$C$9/4*Законод!$E$16,IF(B600="Лікар-терапевт",AG606*Законод!$C$9/4*Законод!$E$16,0)))</f>
        <v>0</v>
      </c>
      <c r="AR606" s="211">
        <f t="shared" si="86"/>
        <v>0</v>
      </c>
    </row>
    <row r="607" spans="1:44" s="50" customFormat="1" ht="31.9" hidden="1" customHeight="1">
      <c r="A607" s="197"/>
      <c r="B607" s="951"/>
      <c r="C607" s="954"/>
      <c r="D607" s="957"/>
      <c r="E607" s="939"/>
      <c r="F607" s="238" t="str">
        <f ca="1">IF(B600="Лікар-педіатр",Законод!$F$17,IF(B600="Лікар загальної практики - сімейний лікар",Законод!$F$21,IF(B600="Лікар-терапевт",Законод!$F$25,"х")))</f>
        <v>х</v>
      </c>
      <c r="G607" s="935" t="s">
        <v>423</v>
      </c>
      <c r="H607" s="936"/>
      <c r="I607" s="936"/>
      <c r="J607" s="936"/>
      <c r="K607" s="937"/>
      <c r="L607" s="196">
        <f ca="1">IF($B$600="Лікар загальної практики - сімейний лікар",IF(L604&lt;Законод!$C$22,0,(IF(AND(L604&gt;=Законод!$F$22,L604&lt;=Законод!$F$23),L604-Законод!$E$23,IF('01_Доходи'!L604&gt;=Законод!$G$22,Законод!$F$24,0)))),IF($B$600="Лікар-педіатр",IF(L604&lt;Законод!$C$18,0,(IF(AND(L604&gt;=Законод!$F$18,L604&lt;=Законод!$F$19),L604-Законод!$E$19,IF('01_Доходи'!L604&gt;=Законод!$G$18,Законод!$F$20,0)))),IF($B$600="Лікар-терапевт",IF(L604&lt;Законод!$C$26,0,(IF(AND(L604&gt;=Законод!$F$26,L604&lt;=Законод!$F$27),L604-Законод!$E$27,IF('01_Доходи'!L604&gt;=Законод!$G$26,Законод!$F$28,0)))),0)))</f>
        <v>0</v>
      </c>
      <c r="M607" s="942"/>
      <c r="N607" s="935" t="s">
        <v>423</v>
      </c>
      <c r="O607" s="936"/>
      <c r="P607" s="936"/>
      <c r="Q607" s="936"/>
      <c r="R607" s="937"/>
      <c r="S607" s="196">
        <f ca="1">IF($B$600="Лікар загальної практики - сімейний лікар",IF(S604&lt;Законод!$C$22,0,(IF(AND(S604&gt;=Законод!$F$22,S604&lt;=Законод!$F$23),S604-Законод!$E$23,IF('01_Доходи'!S604&gt;=Законод!$G$22,Законод!$F$24,0)))),IF($B$600="Лікар-педіатр",IF(S604&lt;Законод!$C$18,0,(IF(AND(S604&gt;=Законод!$F$18,S604&lt;=Законод!$F$19),S604-Законод!$E$19,IF('01_Доходи'!S604&gt;=Законод!$G$18,Законод!$F$20,0)))),IF($B$600="Лікар-терапевт",IF(S604&lt;Законод!$C$26,0,(IF(AND(S604&gt;=Законод!$F$26,S604&lt;=Законод!$F$27),S604-Законод!$E$27,IF('01_Доходи'!S604&gt;=Законод!$G$26,Законод!$F$28,0)))),0)))</f>
        <v>0</v>
      </c>
      <c r="T607" s="942"/>
      <c r="U607" s="935" t="s">
        <v>423</v>
      </c>
      <c r="V607" s="936"/>
      <c r="W607" s="936"/>
      <c r="X607" s="936"/>
      <c r="Y607" s="937"/>
      <c r="Z607" s="196">
        <f ca="1">IF($B$600="Лікар загальної практики - сімейний лікар",IF(Z604&lt;Законод!$C$22,0,(IF(AND(Z604&gt;=Законод!$F$22,Z604&lt;=Законод!$F$23),Z604-Законод!$E$23,IF('01_Доходи'!Z604&gt;=Законод!$G$22,Законод!$F$24,0)))),IF($B$600="Лікар-педіатр",IF(Z604&lt;Законод!$C$18,0,(IF(AND(Z604&gt;=Законод!$F$18,Z604&lt;=Законод!$F$19),Z604-Законод!$E$19,IF('01_Доходи'!Z604&gt;=Законод!$G$18,Законод!$F$20,0)))),IF($B$600="Лікар-терапевт",IF(Z604&lt;Законод!$C$26,0,(IF(AND(Z604&gt;=Законод!$F$26,Z604&lt;=Законод!$F$27),Z604-Законод!$E$27,IF('01_Доходи'!Z604&gt;=Законод!$G$26,Законод!$F$28,0)))),0)))</f>
        <v>0</v>
      </c>
      <c r="AA607" s="942"/>
      <c r="AB607" s="935" t="s">
        <v>423</v>
      </c>
      <c r="AC607" s="936"/>
      <c r="AD607" s="936"/>
      <c r="AE607" s="936"/>
      <c r="AF607" s="937"/>
      <c r="AG607" s="196">
        <f ca="1">IF($B$600="Лікар загальної практики - сімейний лікар",IF(AG604&lt;Законод!$C$22,0,(IF(AND(AG604&gt;=Законод!$F$22,AG604&lt;=Законод!$F$23),AG604-Законод!$E$23,IF('01_Доходи'!AG604&gt;=Законод!$G$22,Законод!$F$24,0)))),IF($B$600="Лікар-педіатр",IF(AG604&lt;Законод!$C$18,0,(IF(AND(AG604&gt;=Законод!$F$18,AG604&lt;=Законод!$F$19),AG604-Законод!$E$19,IF('01_Доходи'!AG604&gt;=Законод!$G$18,Законод!$F$20,0)))),IF($B$600="Лікар-терапевт",IF(AG604&lt;Законод!$C$26,0,(IF(AND(AG604&gt;=Законод!$F$26,AG604&lt;=Законод!$F$27),AG604-Законод!$E$27,IF('01_Доходи'!AG604&gt;=Законод!$G$26,Законод!$F$28,0)))),0)))</f>
        <v>0</v>
      </c>
      <c r="AH607" s="942"/>
      <c r="AI607" s="201"/>
      <c r="AJ607" s="945"/>
      <c r="AK607" s="960"/>
      <c r="AL607" s="960"/>
      <c r="AM607" s="927"/>
      <c r="AN607" s="210">
        <f ca="1">IF(B600="Лікар загальної практики - сімейний лікар",L607*Законод!$C$9/4*Законод!$F$16,IF(B600="Лікар-педіатр",L607*Законод!$C$9/4*Законод!$F$16,IF(B600="Лікар-терапевт",L607*Законод!$C$9/4*Законод!$F$16,0)))</f>
        <v>0</v>
      </c>
      <c r="AO607" s="210">
        <f ca="1">IF(B600="Лікар загальної практики - сімейний лікар",S607*Законод!$C$9/4*Законод!$F$16,IF(B600="Лікар-педіатр",S607*Законод!$C$9/4*Законод!$F$16,IF(B600="Лікар-терапевт",S607*Законод!$C$9/4*Законод!$F$16,0)))</f>
        <v>0</v>
      </c>
      <c r="AP607" s="210">
        <f ca="1">IF(B600="Лікар загальної практики - сімейний лікар",Z607*Законод!$C$9/4*Законод!$F$16,IF(B600="Лікар-педіатр",Z607*Законод!$C$9/4*Законод!$F$16,IF(B600="Лікар-терапевт",Z607*Законод!$C$9/4*Законод!$F$16,0)))</f>
        <v>0</v>
      </c>
      <c r="AQ607" s="210">
        <f ca="1">IF(B600="Лікар загальної практики - сімейний лікар",AG607*Законод!$C$9/4*Законод!$F$16,IF(B600="Лікар-педіатр",AG607*Законод!$C$9/4*Законод!$F$16,IF(B600="Лікар-терапевт",AG607*Законод!$C$9/4*Законод!$F$16,0)))</f>
        <v>0</v>
      </c>
      <c r="AR607" s="211">
        <f t="shared" si="86"/>
        <v>0</v>
      </c>
    </row>
    <row r="608" spans="1:44" s="50" customFormat="1" ht="31.9" hidden="1" customHeight="1">
      <c r="A608" s="197"/>
      <c r="B608" s="951"/>
      <c r="C608" s="954"/>
      <c r="D608" s="957"/>
      <c r="E608" s="939"/>
      <c r="F608" s="238" t="str">
        <f ca="1">IF(B600="Лікар-педіатр",Законод!$G$17,IF(B600="Лікар загальної практики - сімейний лікар",Законод!$G$21,IF(B600="Лікар-терапевт",Законод!$G$25,"х")))</f>
        <v>х</v>
      </c>
      <c r="G608" s="935" t="s">
        <v>423</v>
      </c>
      <c r="H608" s="936"/>
      <c r="I608" s="936"/>
      <c r="J608" s="936"/>
      <c r="K608" s="937"/>
      <c r="L608" s="196">
        <f ca="1">IF($B$600="Лікар загальної практики - сімейний лікар",IF(L604&lt;Законод!$C$22,0,(IF(AND(L604&gt;=Законод!$G$22,L604&lt;=Законод!$G$23),L604-Законод!$F$23,IF('01_Доходи'!L604&gt;=Законод!$H$22,Законод!$G$24,0)))),IF($B$600="Лікар-педіатр",IF(L604&lt;Законод!$C$18,0,(IF(AND(L604&gt;=Законод!$G$18,L604&lt;=Законод!$G$19),L604-Законод!$F$19,IF('01_Доходи'!L604&gt;=Законод!$H$18,Законод!$G$20,0)))),IF($B$600="Лікар-терапевт",IF(L604&lt;Законод!$C$26,0,(IF(AND(L604&gt;=Законод!$G$26,L604&lt;=Законод!$G$27),L604-Законод!$F$27,IF('01_Доходи'!L604&gt;=Законод!$H$26,Законод!$G$28,0)))),0)))</f>
        <v>0</v>
      </c>
      <c r="M608" s="942"/>
      <c r="N608" s="935" t="s">
        <v>423</v>
      </c>
      <c r="O608" s="936"/>
      <c r="P608" s="936"/>
      <c r="Q608" s="936"/>
      <c r="R608" s="937"/>
      <c r="S608" s="196">
        <f ca="1">IF($B$600="Лікар загальної практики - сімейний лікар",IF(S604&lt;Законод!$C$22,0,(IF(AND(S604&gt;=Законод!$G$22,S604&lt;=Законод!$G$23),S604-Законод!$F$23,IF('01_Доходи'!S604&gt;=Законод!$H$22,Законод!$G$24,0)))),IF($B$600="Лікар-педіатр",IF(S604&lt;Законод!$C$18,0,(IF(AND(S604&gt;=Законод!$G$18,S604&lt;=Законод!$G$19),S604-Законод!$F$19,IF('01_Доходи'!S604&gt;=Законод!$H$18,Законод!$G$20,0)))),IF($B$600="Лікар-терапевт",IF(S604&lt;Законод!$C$26,0,(IF(AND(S604&gt;=Законод!$G$26,S604&lt;=Законод!$G$27),S604-Законод!$F$27,IF('01_Доходи'!S604&gt;=Законод!$H$26,Законод!$G$28,0)))),0)))</f>
        <v>0</v>
      </c>
      <c r="T608" s="942"/>
      <c r="U608" s="935" t="s">
        <v>423</v>
      </c>
      <c r="V608" s="936"/>
      <c r="W608" s="936"/>
      <c r="X608" s="936"/>
      <c r="Y608" s="937"/>
      <c r="Z608" s="196">
        <f ca="1">IF($B$600="Лікар загальної практики - сімейний лікар",IF(Z604&lt;Законод!$C$22,0,(IF(AND(Z604&gt;=Законод!$G$22,Z604&lt;=Законод!$G$23),Z604-Законод!$F$23,IF('01_Доходи'!Z604&gt;=Законод!$H$22,Законод!$G$24,0)))),IF($B$600="Лікар-педіатр",IF(Z604&lt;Законод!$C$18,0,(IF(AND(Z604&gt;=Законод!$G$18,Z604&lt;=Законод!$G$19),Z604-Законод!$F$19,IF('01_Доходи'!Z604&gt;=Законод!$H$18,Законод!$G$20,0)))),IF($B$600="Лікар-терапевт",IF(Z604&lt;Законод!$C$26,0,(IF(AND(Z604&gt;=Законод!$G$26,Z604&lt;=Законод!$G$27),Z604-Законод!$F$27,IF('01_Доходи'!Z604&gt;=Законод!$H$26,Законод!$G$28,0)))),0)))</f>
        <v>0</v>
      </c>
      <c r="AA608" s="942"/>
      <c r="AB608" s="935" t="s">
        <v>423</v>
      </c>
      <c r="AC608" s="936"/>
      <c r="AD608" s="936"/>
      <c r="AE608" s="936"/>
      <c r="AF608" s="937"/>
      <c r="AG608" s="196">
        <f ca="1">IF($B$600="Лікар загальної практики - сімейний лікар",IF(AG604&lt;Законод!$C$22,0,(IF(AND(AG604&gt;=Законод!$G$22,AG604&lt;=Законод!$G$23),AG604-Законод!$F$23,IF('01_Доходи'!AG604&gt;=Законод!$H$22,Законод!$G$24,0)))),IF($B$600="Лікар-педіатр",IF(AG604&lt;Законод!$C$18,0,(IF(AND(AG604&gt;=Законод!$G$18,AG604&lt;=Законод!$G$19),AG604-Законод!$F$19,IF('01_Доходи'!AG604&gt;=Законод!$H$18,Законод!$G$20,0)))),IF($B$600="Лікар-терапевт",IF(AG604&lt;Законод!$C$26,0,(IF(AND(AG604&gt;=Законод!$G$26,AG604&lt;=Законод!$G$27),AG604-Законод!$F$27,IF('01_Доходи'!AG604&gt;=Законод!$H$26,Законод!$G$28,0)))),0)))</f>
        <v>0</v>
      </c>
      <c r="AH608" s="942"/>
      <c r="AI608" s="201"/>
      <c r="AJ608" s="945"/>
      <c r="AK608" s="960"/>
      <c r="AL608" s="960"/>
      <c r="AM608" s="927"/>
      <c r="AN608" s="210">
        <f ca="1">IF(B600="Лікар загальної практики - сімейний лікар",L608*Законод!$C$9/4*Законод!$G$16,IF(B600="Лікар-педіатр",L608*Законод!$C$9/4*Законод!$G$16,IF(B600="Лікар-терапевт",L608*Законод!$C$9/4*Законод!$G$16,0)))</f>
        <v>0</v>
      </c>
      <c r="AO608" s="210">
        <f ca="1">IF(B600="Лікар загальної практики - сімейний лікар",S608*Законод!$C$9/4*Законод!$G$16,IF(B600="Лікар-педіатр",S608*Законод!$C$9/4*Законод!$G$16,IF(B600="Лікар-терапевт",S608*Законод!$C$9/4*Законод!$G$16,0)))</f>
        <v>0</v>
      </c>
      <c r="AP608" s="210">
        <f ca="1">IF(B600="Лікар загальної практики - сімейний лікар",Z608*Законод!$C$9/4*Законод!$G$16,IF(B600="Лікар-педіатр",Z608*Законод!$C$9/4*Законод!$G$16,IF(B600="Лікар-терапевт",Z608*Законод!$C$9/4*Законод!$G$16,0)))</f>
        <v>0</v>
      </c>
      <c r="AQ608" s="210">
        <f ca="1">IF(B600="Лікар загальної практики - сімейний лікар",AG608*Законод!$C$9/4*Законод!$G$16,IF(B600="Лікар-педіатр",AG608*Законод!$C$9/4*Законод!$G$16,IF(B600="Лікар-терапевт",AG608*Законод!$C$9/4*Законод!$G$16,0)))</f>
        <v>0</v>
      </c>
      <c r="AR608" s="211">
        <f t="shared" si="86"/>
        <v>0</v>
      </c>
    </row>
    <row r="609" spans="1:44" s="50" customFormat="1" ht="31.9" hidden="1" customHeight="1">
      <c r="A609" s="197"/>
      <c r="B609" s="951"/>
      <c r="C609" s="954"/>
      <c r="D609" s="957"/>
      <c r="E609" s="939"/>
      <c r="F609" s="238" t="str">
        <f ca="1">IF(B600="Лікар-педіатр",Законод!$H$17,IF(B600="Лікар загальної практики - сімейний лікар",Законод!$H$21,IF(B600="Лікар-терапевт",Законод!$H$25,"х")))</f>
        <v>х</v>
      </c>
      <c r="G609" s="935" t="s">
        <v>423</v>
      </c>
      <c r="H609" s="936"/>
      <c r="I609" s="936"/>
      <c r="J609" s="936"/>
      <c r="K609" s="937"/>
      <c r="L609" s="196">
        <f ca="1">IF($B$600="Лікар загальної практики - сімейний лікар",IF(L604&lt;Законод!$C$22,0,(IF(AND(L604&gt;=Законод!$H$22,L604&lt;=Законод!$H$23),L604-Законод!$G$23,IF('01_Доходи'!L604&gt;=Законод!$I$22,Законод!$H$24,0)))),IF($B$600="Лікар-педіатр",IF(L604&lt;Законод!$C$18,0,(IF(AND(L604&gt;=Законод!$H$18,L604&lt;=Законод!$H$19),L604-Законод!$G$19,IF('01_Доходи'!L604&gt;=Законод!$I$18,Законод!$H$20,0)))),IF($B$600="Лікар-терапевт",IF(L604&lt;Законод!$C$26,0,(IF(AND(L604&gt;=Законод!$H$26,L604&lt;=Законод!$H$27),L604-Законод!$G$27,IF(L604&gt;=Законод!$I$26,Законод!$H$28,0)))),0)))</f>
        <v>0</v>
      </c>
      <c r="M609" s="942"/>
      <c r="N609" s="935" t="s">
        <v>423</v>
      </c>
      <c r="O609" s="936"/>
      <c r="P609" s="936"/>
      <c r="Q609" s="936"/>
      <c r="R609" s="937"/>
      <c r="S609" s="196">
        <f ca="1">IF($B$600="Лікар загальної практики - сімейний лікар",IF(S604&lt;Законод!$C$22,0,(IF(AND(S604&gt;=Законод!$H$22,S604&lt;=Законод!$H$23),S604-Законод!$G$23,IF('01_Доходи'!S604&gt;=Законод!$I$22,Законод!$H$24,0)))),IF($B$600="Лікар-педіатр",IF(S604&lt;Законод!$C$18,0,(IF(AND(S604&gt;=Законод!$H$18,S604&lt;=Законод!$H$19),S604-Законод!$G$19,IF('01_Доходи'!S604&gt;=Законод!$I$18,Законод!$H$20,0)))),IF($B$600="Лікар-терапевт",IF(S604&lt;Законод!$C$26,0,(IF(AND(S604&gt;=Законод!$H$26,S604&lt;=Законод!$H$27),S604-Законод!$G$27,IF(S604&gt;=Законод!$I$26,Законод!$H$28,0)))),0)))</f>
        <v>0</v>
      </c>
      <c r="T609" s="942"/>
      <c r="U609" s="935" t="s">
        <v>423</v>
      </c>
      <c r="V609" s="936"/>
      <c r="W609" s="936"/>
      <c r="X609" s="936"/>
      <c r="Y609" s="937"/>
      <c r="Z609" s="196">
        <f ca="1">IF($B$600="Лікар загальної практики - сімейний лікар",IF(Z604&lt;Законод!$C$22,0,(IF(AND(Z604&gt;=Законод!$H$22,Z604&lt;=Законод!$H$23),Z604-Законод!$G$23,IF('01_Доходи'!Z604&gt;=Законод!$I$22,Законод!$H$24,0)))),IF($B$600="Лікар-педіатр",IF(Z604&lt;Законод!$C$18,0,(IF(AND(Z604&gt;=Законод!$H$18,Z604&lt;=Законод!$H$19),Z604-Законод!$G$19,IF('01_Доходи'!Z604&gt;=Законод!$I$18,Законод!$H$20,0)))),IF($B$600="Лікар-терапевт",IF(Z604&lt;Законод!$C$26,0,(IF(AND(Z604&gt;=Законод!$H$26,Z604&lt;=Законод!$H$27),Z604-Законод!$G$27,IF(Z604&gt;=Законод!$I$26,Законод!$H$28,0)))),0)))</f>
        <v>0</v>
      </c>
      <c r="AA609" s="942"/>
      <c r="AB609" s="935" t="s">
        <v>423</v>
      </c>
      <c r="AC609" s="936"/>
      <c r="AD609" s="936"/>
      <c r="AE609" s="936"/>
      <c r="AF609" s="937"/>
      <c r="AG609" s="196">
        <f ca="1">IF($B$600="Лікар загальної практики - сімейний лікар",IF(AG604&lt;Законод!$C$22,0,(IF(AND(AG604&gt;=Законод!$H$22,AG604&lt;=Законод!$H$23),AG604-Законод!$G$23,IF('01_Доходи'!AG604&gt;=Законод!$I$22,Законод!$H$24,0)))),IF($B$600="Лікар-педіатр",IF(AG604&lt;Законод!$C$18,0,(IF(AND(AG604&gt;=Законод!$H$18,AG604&lt;=Законод!$H$19),AG604-Законод!$G$19,IF('01_Доходи'!AG604&gt;=Законод!$I$18,Законод!$H$20,0)))),IF($B$600="Лікар-терапевт",IF(AG604&lt;Законод!$C$26,0,(IF(AND(AG604&gt;=Законод!$H$26,AG604&lt;=Законод!$H$27),AG604-Законод!$G$27,IF(AG604&gt;=Законод!$I$26,Законод!$H$28,0)))),0)))</f>
        <v>0</v>
      </c>
      <c r="AH609" s="942"/>
      <c r="AI609" s="201"/>
      <c r="AJ609" s="945"/>
      <c r="AK609" s="960"/>
      <c r="AL609" s="960"/>
      <c r="AM609" s="927"/>
      <c r="AN609" s="210">
        <f ca="1">IF(B600="Лікар загальної практики - сімейний лікар",L609*Законод!$C$9/4*Законод!$H$16,IF(B600="Лікар-педіатр",L609*Законод!$C$9/4*Законод!$H$16,IF(B600="Лікар-терапевт",L609*Законод!$C$9/4*Законод!$H$16,0)))</f>
        <v>0</v>
      </c>
      <c r="AO609" s="210">
        <f ca="1">IF(B600="Лікар загальної практики - сімейний лікар",S609*Законод!$C$9/4*Законод!$H$16,IF(B600="Лікар-педіатр",S609*Законод!$C$9/4*Законод!$H$16,IF(B600="Лікар-терапевт",S609*Законод!$C$9/4*Законод!$H$16,0)))</f>
        <v>0</v>
      </c>
      <c r="AP609" s="210">
        <f ca="1">IF(B600="Лікар загальної практики - сімейний лікар",Z609*Законод!$C$9/4*Законод!$H$16,IF(B600="Лікар-педіатр",Z609*Законод!$C$9/4*Законод!$H$16,IF(B600="Лікар-терапевт",Z609*Законод!$C$9/4*Законод!$H$16,0)))</f>
        <v>0</v>
      </c>
      <c r="AQ609" s="210">
        <f ca="1">IF(B600="Лікар загальної практики - сімейний лікар",AG609*Законод!$C$9/4*Законод!$H$16,IF(B600="Лікар-педіатр",AG609*Законод!$C$9/4*Законод!$H$16,IF(B600="Лікар-терапевт",AG609*Законод!$C$9/4*Законод!$H$16,0)))</f>
        <v>0</v>
      </c>
      <c r="AR609" s="211">
        <f t="shared" si="86"/>
        <v>0</v>
      </c>
    </row>
    <row r="610" spans="1:44" s="50" customFormat="1" ht="31.9" hidden="1" customHeight="1">
      <c r="A610" s="197"/>
      <c r="B610" s="951"/>
      <c r="C610" s="954"/>
      <c r="D610" s="957"/>
      <c r="E610" s="939"/>
      <c r="F610" s="238" t="str">
        <f ca="1">IF(B600="Лікар-педіатр",Законод!$I$17,IF(B600="Лікар загальної практики - сімейний лікар",Законод!$I$21,IF(B600="Лікар-терапевт",Законод!$I$25,"х")))</f>
        <v>х</v>
      </c>
      <c r="G610" s="935" t="s">
        <v>423</v>
      </c>
      <c r="H610" s="936"/>
      <c r="I610" s="936"/>
      <c r="J610" s="936"/>
      <c r="K610" s="937"/>
      <c r="L610" s="196">
        <f ca="1">IF($B$600="Лікар загальної практики - сімейний лікар",IF(L604&lt;Законод!$C$22,0,(IF(AND(L604&gt;=Законод!$I$22,L604&lt;=Законод!$I$23),L604-Законод!$H$23,IF('01_Доходи'!L604&gt;=Законод!$I$22,Законод!$I$24,0)))),IF($B$600="Лікар-педіатр",IF(L604&lt;Законод!$C$18,0,(IF(AND(L604&gt;=Законод!$I$18,L604&lt;=Законод!$I$19),L604-Законод!$H$19,IF('01_Доходи'!L604&gt;=Законод!$I$18,Законод!$H$20,0)))),IF($B$600="Лікар-терапевт",IF(L604&lt;Законод!$C$26,0,(IF(AND(L604&gt;=Законод!$I$26,L604&lt;=Законод!$I$27),L604-Законод!$H$27,IF('01_Доходи'!L604&gt;=Законод!$I$26,Законод!$H$28,0)))),0)))</f>
        <v>0</v>
      </c>
      <c r="M610" s="942"/>
      <c r="N610" s="935" t="s">
        <v>423</v>
      </c>
      <c r="O610" s="936"/>
      <c r="P610" s="936"/>
      <c r="Q610" s="936"/>
      <c r="R610" s="937"/>
      <c r="S610" s="196">
        <f ca="1">IF($B$600="Лікар загальної практики - сімейний лікар",IF(S604&lt;Законод!$C$22,0,(IF(AND(S604&gt;=Законод!$I$22,S604&lt;=Законод!$I$23),S604-Законод!$H$23,IF('01_Доходи'!S604&gt;=Законод!$I$22,Законод!$I$24,0)))),IF($B$600="Лікар-педіатр",IF(S604&lt;Законод!$C$18,0,(IF(AND(S604&gt;=Законод!$I$18,S604&lt;=Законод!$I$19),S604-Законод!$H$19,IF('01_Доходи'!S604&gt;=Законод!$I$18,Законод!$H$20,0)))),IF($B$600="Лікар-терапевт",IF(S604&lt;Законод!$C$26,0,(IF(AND(S604&gt;=Законод!$I$26,S604&lt;=Законод!$I$27),S604-Законод!$H$27,IF('01_Доходи'!S604&gt;=Законод!$I$26,Законод!$H$28,0)))),0)))</f>
        <v>0</v>
      </c>
      <c r="T610" s="942"/>
      <c r="U610" s="935" t="s">
        <v>423</v>
      </c>
      <c r="V610" s="936"/>
      <c r="W610" s="936"/>
      <c r="X610" s="936"/>
      <c r="Y610" s="937"/>
      <c r="Z610" s="196">
        <f ca="1">IF($B$600="Лікар загальної практики - сімейний лікар",IF(Z604&lt;Законод!$C$22,0,(IF(AND(Z604&gt;=Законод!$I$22,Z604&lt;=Законод!$I$23),Z604-Законод!$H$23,IF('01_Доходи'!Z604&gt;=Законод!$I$22,Законод!$I$24,0)))),IF($B$600="Лікар-педіатр",IF(Z604&lt;Законод!$C$18,0,(IF(AND(Z604&gt;=Законод!$I$18,Z604&lt;=Законод!$I$19),Z604-Законод!$H$19,IF('01_Доходи'!Z604&gt;=Законод!$I$18,Законод!$H$20,0)))),IF($B$600="Лікар-терапевт",IF(Z604&lt;Законод!$C$26,0,(IF(AND(Z604&gt;=Законод!$I$26,Z604&lt;=Законод!$I$27),Z604-Законод!$H$27,IF('01_Доходи'!Z604&gt;=Законод!$I$26,Законод!$H$28,0)))),0)))</f>
        <v>0</v>
      </c>
      <c r="AA610" s="942"/>
      <c r="AB610" s="935" t="s">
        <v>423</v>
      </c>
      <c r="AC610" s="936"/>
      <c r="AD610" s="936"/>
      <c r="AE610" s="936"/>
      <c r="AF610" s="937"/>
      <c r="AG610" s="196">
        <f ca="1">IF($B$600="Лікар загальної практики - сімейний лікар",IF(AG604&lt;Законод!$C$22,0,(IF(AND(AG604&gt;=Законод!$I$22,AG604&lt;=Законод!$I$23),AG604-Законод!$H$23,IF('01_Доходи'!AG604&gt;=Законод!$I$22,Законод!$I$24,0)))),IF($B$600="Лікар-педіатр",IF(AG604&lt;Законод!$C$18,0,(IF(AND(AG604&gt;=Законод!$I$18,AG604&lt;=Законод!$I$19),AG604-Законод!$H$19,IF('01_Доходи'!AG604&gt;=Законод!$I$18,Законод!$H$20,0)))),IF($B$600="Лікар-терапевт",IF(AG604&lt;Законод!$C$26,0,(IF(AND(AG604&gt;=Законод!$I$26,AG604&lt;=Законод!$I$27),AG604-Законод!$H$27,IF('01_Доходи'!AG604&gt;=Законод!$I$26,Законод!$H$28,0)))),0)))</f>
        <v>0</v>
      </c>
      <c r="AH610" s="942"/>
      <c r="AI610" s="201"/>
      <c r="AJ610" s="945"/>
      <c r="AK610" s="960"/>
      <c r="AL610" s="960"/>
      <c r="AM610" s="927"/>
      <c r="AN610" s="210">
        <f ca="1">IF(B600="Лікар загальної практики - сімейний лікар",L610*Законод!$C$9/4*Законод!$I$16,IF(B600="Лікар-педіатр",L610*Законод!$C$9/4*Законод!$I$16,IF(B600="Лікар-терапевт",L610*Законод!$C$9/4*Законод!$I$16,0)))</f>
        <v>0</v>
      </c>
      <c r="AO610" s="210">
        <f ca="1">IF(B600="Лікар загальної практики - сімейний лікар",S610*Законод!$C$9/4*Законод!$I$16,IF(B600="Лікар-педіатр",S610*Законод!$C$9/4*Законод!$I$16,IF(B600="Лікар-терапевт",S610*Законод!$C$9/4*Законод!$I$16,0)))</f>
        <v>0</v>
      </c>
      <c r="AP610" s="210">
        <f ca="1">IF(B600="Лікар загальної практики - сімейний лікар",Z610*Законод!$C$9/4*Законод!$I$16,IF(B600="Лікар-педіатр",Z610*Законод!$C$9/4*Законод!$I$16,IF(B600="Лікар-терапевт",Z610*Законод!$C$9/4*Законод!$I$16,0)))</f>
        <v>0</v>
      </c>
      <c r="AQ610" s="210">
        <f ca="1">IF(B600="Лікар загальної практики - сімейний лікар",AG610*Законод!$C$9/4*Законод!$I$16,IF(B600="Лікар-педіатр",AG610*Законод!$C$9/4*Законод!$I$16,IF(B600="Лікар-терапевт",AG610*Законод!$C$9/4*Законод!$I$16,0)))</f>
        <v>0</v>
      </c>
      <c r="AR610" s="211">
        <f t="shared" si="86"/>
        <v>0</v>
      </c>
    </row>
    <row r="611" spans="1:44" s="218" customFormat="1" ht="31.9" hidden="1" customHeight="1" thickBot="1">
      <c r="A611" s="213"/>
      <c r="B611" s="952"/>
      <c r="C611" s="955"/>
      <c r="D611" s="958"/>
      <c r="E611" s="940"/>
      <c r="F611" s="239" t="str">
        <f ca="1">IF(B600="Лікар-педіатр",Законод!$J$17,IF(B600="Лікар загальної практики - сімейний лікар",Законод!$J$21,IF(B600="Лікар-терапевт",Законод!$J$25,"х")))</f>
        <v>х</v>
      </c>
      <c r="G611" s="932" t="s">
        <v>423</v>
      </c>
      <c r="H611" s="933"/>
      <c r="I611" s="933"/>
      <c r="J611" s="933"/>
      <c r="K611" s="934"/>
      <c r="L611" s="196">
        <f ca="1">IF($B$600="Лікар загальної практики - сімейний лікар",IF(L604&gt;=Законод!$J$22,'01_Доходи'!L604-('01_Доходи'!L605+'01_Доходи'!L606+'01_Доходи'!L607+'01_Доходи'!L608+'01_Доходи'!L609+'01_Доходи'!L610),0),IF($B$600="Лікар-педіатр",IF(L604&gt;=Законод!$J$18,'01_Доходи'!L604-('01_Доходи'!L605+'01_Доходи'!L606+'01_Доходи'!L607+'01_Доходи'!L608+'01_Доходи'!L609+'01_Доходи'!L610),0),IF($B$600="Лікар-терапевт",IF('01_Доходи'!L604&gt;=Законод!$J$26,L604-Законод!$I$27,0),0)))</f>
        <v>0</v>
      </c>
      <c r="M611" s="943"/>
      <c r="N611" s="932" t="s">
        <v>423</v>
      </c>
      <c r="O611" s="933"/>
      <c r="P611" s="933"/>
      <c r="Q611" s="933"/>
      <c r="R611" s="934"/>
      <c r="S611" s="196">
        <f ca="1">IF($B$600="Лікар загальної практики - сімейний лікар",IF(S604&gt;=Законод!$J$22,'01_Доходи'!S604-('01_Доходи'!S605+'01_Доходи'!S606+'01_Доходи'!S607+'01_Доходи'!S608+'01_Доходи'!S609+'01_Доходи'!S610),0),IF($B$600="Лікар-педіатр",IF(S604&gt;=Законод!$J$18,'01_Доходи'!S604-('01_Доходи'!S605+'01_Доходи'!S606+'01_Доходи'!S607+'01_Доходи'!S608+'01_Доходи'!S609+'01_Доходи'!S610),0),IF($B$600="Лікар-терапевт",IF('01_Доходи'!S604&gt;=Законод!$J$26,S604-Законод!$I$27,0),0)))</f>
        <v>0</v>
      </c>
      <c r="T611" s="943"/>
      <c r="U611" s="932" t="s">
        <v>423</v>
      </c>
      <c r="V611" s="933"/>
      <c r="W611" s="933"/>
      <c r="X611" s="933"/>
      <c r="Y611" s="934"/>
      <c r="Z611" s="196">
        <f ca="1">IF($B$600="Лікар загальної практики - сімейний лікар",IF(Z604&gt;=Законод!$J$22,'01_Доходи'!Z604-('01_Доходи'!Z605+'01_Доходи'!Z606+'01_Доходи'!Z607+'01_Доходи'!Z608+'01_Доходи'!Z609+'01_Доходи'!Z610),0),IF($B$600="Лікар-педіатр",IF(Z604&gt;=Законод!$J$18,'01_Доходи'!Z604-('01_Доходи'!Z605+'01_Доходи'!Z606+'01_Доходи'!Z607+'01_Доходи'!Z608+'01_Доходи'!Z609+'01_Доходи'!Z610),0),IF($B$600="Лікар-терапевт",IF('01_Доходи'!Z604&gt;=Законод!$J$26,Z604-Законод!$I$27,0),0)))</f>
        <v>0</v>
      </c>
      <c r="AA611" s="943"/>
      <c r="AB611" s="932" t="s">
        <v>423</v>
      </c>
      <c r="AC611" s="933"/>
      <c r="AD611" s="933"/>
      <c r="AE611" s="933"/>
      <c r="AF611" s="934"/>
      <c r="AG611" s="196">
        <f ca="1">IF($B$600="Лікар загальної практики - сімейний лікар",IF(AG604&gt;=Законод!$J$22,'01_Доходи'!AG604-('01_Доходи'!AG605+'01_Доходи'!AG606+'01_Доходи'!AG607+'01_Доходи'!AG608+'01_Доходи'!AG609+'01_Доходи'!AG610),0),IF($B$600="Лікар-педіатр",IF(AG604&gt;=Законод!$J$18,'01_Доходи'!AG604-('01_Доходи'!AG605+'01_Доходи'!AG606+'01_Доходи'!AG607+'01_Доходи'!AG608+'01_Доходи'!AG609+'01_Доходи'!AG610),0),IF($B$600="Лікар-терапевт",IF('01_Доходи'!AG604&gt;=Законод!$J$26,AG604-Законод!$I$27,0),0)))</f>
        <v>0</v>
      </c>
      <c r="AH611" s="943"/>
      <c r="AI611" s="215"/>
      <c r="AJ611" s="946"/>
      <c r="AK611" s="961"/>
      <c r="AL611" s="961"/>
      <c r="AM611" s="928"/>
      <c r="AN611" s="216">
        <f ca="1">IF(B600="Лікар загальної практики - сімейний лікар",L611*Законод!$C$9/4*Законод!$J$16,IF(B600="Лікар-педіатр",L611*Законод!$C$9/4*Законод!$J$16,IF(B600="Лікар-терапевт",L611*Законод!$C$9/4*Законод!$J$16,0)))</f>
        <v>0</v>
      </c>
      <c r="AO611" s="216">
        <f ca="1">IF(B600="Лікар загальної практики - сімейний лікар",S611*Законод!$C$9/4*Законод!$J$16,IF(B600="Лікар-педіатр",S611*Законод!$C$9/4*Законод!$J$16,IF(B600="Лікар-терапевт",S611*Законод!$C$9/4*Законод!$J$16,0)))</f>
        <v>0</v>
      </c>
      <c r="AP611" s="216">
        <f ca="1">IF(B600="Лікар загальної практики - сімейний лікар",S611*Законод!$C$9/4*Законод!$J$16,IF(B600="Лікар-педіатр",S611*Законод!$C$9/4*Законод!$J$16,IF(B600="Лікар-терапевт",S611*Законод!$C$9/4*Законод!$J$16,0)))</f>
        <v>0</v>
      </c>
      <c r="AQ611" s="216">
        <f ca="1">IF(B600="Лікар загальної практики - сімейний лікар",AG611*Законод!$C$9/4*Законод!$J$16,IF(B600="Лікар-педіатр",AG611*Законод!$C$9/4*Законод!$J$16,IF(B600="Лікар-терапевт",AG611*Законод!$C$9/4*Законод!$J$16,0)))</f>
        <v>0</v>
      </c>
      <c r="AR611" s="217">
        <f t="shared" si="86"/>
        <v>0</v>
      </c>
    </row>
    <row r="612" spans="1:44" s="247" customFormat="1" ht="23.45" hidden="1" customHeight="1" thickBot="1">
      <c r="A612" s="243"/>
      <c r="B612" s="244"/>
      <c r="C612" s="244"/>
      <c r="D612" s="244"/>
      <c r="E612" s="244"/>
      <c r="F612" s="245"/>
      <c r="G612" s="246"/>
      <c r="H612" s="246"/>
      <c r="L612" s="248"/>
      <c r="S612" s="248"/>
      <c r="Z612" s="248"/>
      <c r="AG612" s="248"/>
      <c r="AM612" s="249"/>
      <c r="AR612" s="250"/>
    </row>
    <row r="613" spans="1:44" s="191" customFormat="1" ht="24.6" hidden="1" customHeight="1">
      <c r="A613" s="194">
        <f>A600+1</f>
        <v>45</v>
      </c>
      <c r="B613" s="950"/>
      <c r="C613" s="953"/>
      <c r="D613" s="956"/>
      <c r="E613" s="938"/>
      <c r="F613" s="234" t="s">
        <v>659</v>
      </c>
      <c r="G613" s="196">
        <f>IF($B$613="Лікар-педіатр",G616*L613,IF($B$613="Лікар-терапевт","х",IF($B$613="Лікар загальної практики - сімейний лікар",G616*L613,0)))</f>
        <v>0</v>
      </c>
      <c r="H613" s="196">
        <f>IF($B$613="Лікар-педіатр",H616*L613,IF($B$613="Лікар-терапевт","х",IF($B$613="Лікар загальної практики - сімейний лікар",H616*L613,0)))</f>
        <v>0</v>
      </c>
      <c r="I613" s="196">
        <f>IF($B$613="Лікар-педіатр","x",IF($B$613="Лікар-терапевт",I616*L613,IF($B$613="Лікар загальної практики - сімейний лікар",I616*L613,0)))</f>
        <v>0</v>
      </c>
      <c r="J613" s="196">
        <f>IF($B$613="Лікар-педіатр","x",IF($B$613="Лікар-терапевт",J616*L613,IF($B$613="Лікар загальної практики - сімейний лікар",J616*L613,0)))</f>
        <v>0</v>
      </c>
      <c r="K613" s="196">
        <f>IF($B$613="Лікар-педіатр","x",IF($B$613="Лікар-терапевт",K616*L613,IF($B$613="Лікар загальної практики - сімейний лікар",K616*L613,0)))</f>
        <v>0</v>
      </c>
      <c r="L613" s="557"/>
      <c r="M613" s="941"/>
      <c r="N613" s="196">
        <f>IF($B$613="Лікар-педіатр",N616*S613,IF($B$613="Лікар-терапевт","х",IF($B$613="Лікар загальної практики - сімейний лікар",N616*S613,0)))</f>
        <v>0</v>
      </c>
      <c r="O613" s="196">
        <f>IF($B$613="Лікар-педіатр",O616*S613,IF($B$613="Лікар-терапевт","х",IF($B$613="Лікар загальної практики - сімейний лікар",O616*S613,0)))</f>
        <v>0</v>
      </c>
      <c r="P613" s="196">
        <f>IF($B$613="Лікар-педіатр","x",IF($B$613="Лікар-терапевт",P616*S613,IF($B$613="Лікар загальної практики - сімейний лікар",P616*S613,0)))</f>
        <v>0</v>
      </c>
      <c r="Q613" s="196">
        <f>IF($B$613="Лікар-педіатр","x",IF($B$613="Лікар-терапевт",Q616*S613,IF($B$613="Лікар загальної практики - сімейний лікар",Q616*S613,0)))</f>
        <v>0</v>
      </c>
      <c r="R613" s="196">
        <f>IF($B$613="Лікар-педіатр","x",IF($B$613="Лікар-терапевт",R616*S613,IF($B$613="Лікар загальної практики - сімейний лікар",R616*S613,0)))</f>
        <v>0</v>
      </c>
      <c r="S613" s="557"/>
      <c r="T613" s="941"/>
      <c r="U613" s="196">
        <f>IF($B$613="Лікар-педіатр",U616*Z613,IF($B$613="Лікар-терапевт","х",IF($B$613="Лікар загальної практики - сімейний лікар",U616*Z613,0)))</f>
        <v>0</v>
      </c>
      <c r="V613" s="196">
        <f>IF($B$613="Лікар-педіатр",V616*Z613,IF($B$613="Лікар-терапевт","х",IF($B$613="Лікар загальної практики - сімейний лікар",V616*Z613,0)))</f>
        <v>0</v>
      </c>
      <c r="W613" s="196">
        <f>IF($B$613="Лікар-педіатр","x",IF($B$613="Лікар-терапевт",W616*Z613,IF($B$613="Лікар загальної практики - сімейний лікар",W616*Z613,0)))</f>
        <v>0</v>
      </c>
      <c r="X613" s="196">
        <f>IF($B$613="Лікар-педіатр","x",IF($B$613="Лікар-терапевт",X616*Z613,IF($B$613="Лікар загальної практики - сімейний лікар",X616*Z613,0)))</f>
        <v>0</v>
      </c>
      <c r="Y613" s="196">
        <f>IF($B$613="Лікар-педіатр","x",IF($B$613="Лікар-терапевт",Y616*Z613,IF($B$613="Лікар загальної практики - сімейний лікар",Y616*Z613,0)))</f>
        <v>0</v>
      </c>
      <c r="Z613" s="557"/>
      <c r="AA613" s="941"/>
      <c r="AB613" s="196">
        <f>IF($B$613="Лікар-педіатр",AB616*AG613,IF($B$613="Лікар-терапевт","х",IF($B$613="Лікар загальної практики - сімейний лікар",AB616*AG613,0)))</f>
        <v>0</v>
      </c>
      <c r="AC613" s="196">
        <f>IF($B$613="Лікар-педіатр",AC616*AG613,IF($B$613="Лікар-терапевт","х",IF($B$613="Лікар загальної практики - сімейний лікар",AC616*AG613,0)))</f>
        <v>0</v>
      </c>
      <c r="AD613" s="196">
        <f>IF($B$613="Лікар-педіатр","x",IF($B$613="Лікар-терапевт",AD616*AG613,IF($B$613="Лікар загальної практики - сімейний лікар",AD616*AG613,0)))</f>
        <v>0</v>
      </c>
      <c r="AE613" s="196">
        <f>IF($B$613="Лікар-педіатр","x",IF($B$613="Лікар-терапевт",AE616*AG613,IF($B$613="Лікар загальної практики - сімейний лікар",AE616*AG613,0)))</f>
        <v>0</v>
      </c>
      <c r="AF613" s="196">
        <f>IF($B$613="Лікар-педіатр","x",IF($B$613="Лікар-терапевт",AF616*AG613,IF($B$613="Лікар загальної практики - сімейний лікар",AF616*AG613,0)))</f>
        <v>0</v>
      </c>
      <c r="AG613" s="557"/>
      <c r="AH613" s="941"/>
      <c r="AI613" s="540">
        <f>A613</f>
        <v>45</v>
      </c>
      <c r="AJ613" s="944">
        <f>B613</f>
        <v>0</v>
      </c>
      <c r="AK613" s="959">
        <f>C613</f>
        <v>0</v>
      </c>
      <c r="AL613" s="959">
        <f>D613</f>
        <v>0</v>
      </c>
      <c r="AM613" s="929" t="s">
        <v>79</v>
      </c>
      <c r="AN613" s="947">
        <f>SUM(AN618:AN624)</f>
        <v>0</v>
      </c>
      <c r="AO613" s="947">
        <f>SUM(AO618:AO624)</f>
        <v>0</v>
      </c>
      <c r="AP613" s="947">
        <f>SUM(AP618:AP624)</f>
        <v>0</v>
      </c>
      <c r="AQ613" s="947">
        <f>SUM(AQ618:AQ624)</f>
        <v>0</v>
      </c>
      <c r="AR613" s="962">
        <f>SUM(AN613:AQ617)</f>
        <v>0</v>
      </c>
    </row>
    <row r="614" spans="1:44" s="50" customFormat="1" ht="28.15" hidden="1" customHeight="1">
      <c r="A614" s="197"/>
      <c r="B614" s="951"/>
      <c r="C614" s="954"/>
      <c r="D614" s="957"/>
      <c r="E614" s="939"/>
      <c r="F614" s="234" t="s">
        <v>660</v>
      </c>
      <c r="G614" s="196">
        <f>IF($B$613="Лікар-педіатр",G616*L614,IF($B$613="Лікар-терапевт","х",IF($B$613="Лікар загальної практики - сімейний лікар",G616*L614,0)))</f>
        <v>0</v>
      </c>
      <c r="H614" s="196">
        <f>IF($B$613="Лікар-педіатр",H616*L614,IF($B$613="Лікар-терапевт","х",IF($B$613="Лікар загальної практики - сімейний лікар",H616*L614,0)))</f>
        <v>0</v>
      </c>
      <c r="I614" s="196">
        <f>IF($B$613="Лікар-педіатр","x",IF($B$613="Лікар-терапевт",I616*L614,IF($B$613="Лікар загальної практики - сімейний лікар",I616*L614,0)))</f>
        <v>0</v>
      </c>
      <c r="J614" s="196">
        <f>IF($B$613="Лікар-педіатр","x",IF($B$613="Лікар-терапевт",J616*L614,IF($B$613="Лікар загальної практики - сімейний лікар",J616*L614,0)))</f>
        <v>0</v>
      </c>
      <c r="K614" s="196">
        <f>IF($B$613="Лікар-педіатр","x",IF($B$613="Лікар-терапевт",K616*L614,IF($B$613="Лікар загальної практики - сімейний лікар",K616*L614,0)))</f>
        <v>0</v>
      </c>
      <c r="L614" s="557"/>
      <c r="M614" s="942"/>
      <c r="N614" s="196">
        <f>IF($B$613="Лікар-педіатр",N616*S614,IF($B$613="Лікар-терапевт","х",IF($B$613="Лікар загальної практики - сімейний лікар",N616*S614,0)))</f>
        <v>0</v>
      </c>
      <c r="O614" s="196">
        <f>IF($B$613="Лікар-педіатр",O616*S614,IF($B$613="Лікар-терапевт","х",IF($B$613="Лікар загальної практики - сімейний лікар",O616*S614,0)))</f>
        <v>0</v>
      </c>
      <c r="P614" s="196">
        <f>IF($B$613="Лікар-педіатр","x",IF($B$613="Лікар-терапевт",P616*S614,IF($B$613="Лікар загальної практики - сімейний лікар",P616*S614,0)))</f>
        <v>0</v>
      </c>
      <c r="Q614" s="196">
        <f>IF($B$613="Лікар-педіатр","x",IF($B$613="Лікар-терапевт",Q616*S614,IF($B$613="Лікар загальної практики - сімейний лікар",Q616*S614,0)))</f>
        <v>0</v>
      </c>
      <c r="R614" s="196">
        <f>IF($B$613="Лікар-педіатр","x",IF($B$613="Лікар-терапевт",R616*S614,IF($B$613="Лікар загальної практики - сімейний лікар",R616*S614,0)))</f>
        <v>0</v>
      </c>
      <c r="S614" s="557"/>
      <c r="T614" s="942"/>
      <c r="U614" s="196">
        <f>IF($B$613="Лікар-педіатр",U616*Z614,IF($B$613="Лікар-терапевт","х",IF($B$613="Лікар загальної практики - сімейний лікар",U616*Z614,0)))</f>
        <v>0</v>
      </c>
      <c r="V614" s="196">
        <f>IF($B$613="Лікар-педіатр",V616*Z614,IF($B$613="Лікар-терапевт","х",IF($B$613="Лікар загальної практики - сімейний лікар",V616*Z614,0)))</f>
        <v>0</v>
      </c>
      <c r="W614" s="196">
        <f>IF($B$613="Лікар-педіатр","x",IF($B$613="Лікар-терапевт",W616*Z614,IF($B$613="Лікар загальної практики - сімейний лікар",W616*Z614,0)))</f>
        <v>0</v>
      </c>
      <c r="X614" s="196">
        <f>IF($B$613="Лікар-педіатр","x",IF($B$613="Лікар-терапевт",X616*Z614,IF($B$613="Лікар загальної практики - сімейний лікар",X616*Z614,0)))</f>
        <v>0</v>
      </c>
      <c r="Y614" s="196">
        <f>IF($B$613="Лікар-педіатр","x",IF($B$613="Лікар-терапевт",Y616*Z614,IF($B$613="Лікар загальної практики - сімейний лікар",Y616*Z614,0)))</f>
        <v>0</v>
      </c>
      <c r="Z614" s="557"/>
      <c r="AA614" s="942"/>
      <c r="AB614" s="196">
        <f>IF($B$613="Лікар-педіатр",AB616*AG614,IF($B$613="Лікар-терапевт","х",IF($B$613="Лікар загальної практики - сімейний лікар",AB616*AG614,0)))</f>
        <v>0</v>
      </c>
      <c r="AC614" s="196">
        <f>IF($B$613="Лікар-педіатр",AC616*AG614,IF($B$613="Лікар-терапевт","х",IF($B$613="Лікар загальної практики - сімейний лікар",AC616*AG614,0)))</f>
        <v>0</v>
      </c>
      <c r="AD614" s="196">
        <f>IF($B$613="Лікар-педіатр","x",IF($B$613="Лікар-терапевт",AD616*AG614,IF($B$613="Лікар загальної практики - сімейний лікар",AD616*AG614,0)))</f>
        <v>0</v>
      </c>
      <c r="AE614" s="196">
        <f>IF($B$613="Лікар-педіатр","x",IF($B$613="Лікар-терапевт",AE616*AG614,IF($B$613="Лікар загальної практики - сімейний лікар",AE616*AG614,0)))</f>
        <v>0</v>
      </c>
      <c r="AF614" s="196">
        <f>IF($B$613="Лікар-педіатр","x",IF($B$613="Лікар-терапевт",AF616*AG614,IF($B$613="Лікар загальної практики - сімейний лікар",AF616*AG614,0)))</f>
        <v>0</v>
      </c>
      <c r="AG614" s="557"/>
      <c r="AH614" s="942"/>
      <c r="AI614" s="198"/>
      <c r="AJ614" s="945"/>
      <c r="AK614" s="960"/>
      <c r="AL614" s="960"/>
      <c r="AM614" s="930"/>
      <c r="AN614" s="948"/>
      <c r="AO614" s="948"/>
      <c r="AP614" s="948"/>
      <c r="AQ614" s="948"/>
      <c r="AR614" s="963"/>
    </row>
    <row r="615" spans="1:44" s="90" customFormat="1" ht="31.15" hidden="1" customHeight="1">
      <c r="A615" s="240"/>
      <c r="B615" s="951"/>
      <c r="C615" s="954"/>
      <c r="D615" s="957"/>
      <c r="E615" s="939"/>
      <c r="F615" s="241" t="s">
        <v>661</v>
      </c>
      <c r="G615" s="199">
        <f>IF(B613="Лікар загальної практики - сімейний лікар"," ",IF(B613="Лікар-педіатр"," ",IF(B613="Лікар-терапевт","х",0)))</f>
        <v>0</v>
      </c>
      <c r="H615" s="199">
        <f>IF(B613="Лікар загальної практики - сімейний лікар"," ",IF(B613="Лікар-педіатр"," ",IF(B613="Лікар-терапевт","х",0)))</f>
        <v>0</v>
      </c>
      <c r="I615" s="199">
        <f>IF(B613="Лікар загальної практики - сімейний лікар"," ",IF(B613="Лікар-педіатр","х",IF(B613="Лікар-терапевт"," ",0)))</f>
        <v>0</v>
      </c>
      <c r="J615" s="199">
        <f>IF(B613="Лікар загальної практики - сімейний лікар"," ",IF(B613="Лікар-педіатр","х",IF(B613="Лікар-терапевт"," ",0)))</f>
        <v>0</v>
      </c>
      <c r="K615" s="199">
        <f>IF(B613="Лікар загальної практики - сімейний лікар"," ",IF(B613="Лікар-педіатр","х",IF(B613="Лікар-терапевт"," ",0)))</f>
        <v>0</v>
      </c>
      <c r="L615" s="200">
        <f>SUM(G615:K615)</f>
        <v>0</v>
      </c>
      <c r="M615" s="942"/>
      <c r="N615" s="199">
        <f>IF(B613="Лікар загальної практики - сімейний лікар"," ",IF(B613="Лікар-педіатр"," ",IF(B613="Лікар-терапевт","х",0)))</f>
        <v>0</v>
      </c>
      <c r="O615" s="199">
        <f>IF(B613="Лікар загальної практики - сімейний лікар"," ",IF(B613="Лікар-педіатр"," ",IF(B613="Лікар-терапевт","х",0)))</f>
        <v>0</v>
      </c>
      <c r="P615" s="199">
        <f>IF(B613="Лікар загальної практики - сімейний лікар"," ",IF(B613="Лікар-педіатр","х",IF(B613="Лікар-терапевт"," ",0)))</f>
        <v>0</v>
      </c>
      <c r="Q615" s="199">
        <f>IF(B613="Лікар загальної практики - сімейний лікар"," ",IF(B613="Лікар-педіатр","х",IF(B613="Лікар-терапевт"," ",0)))</f>
        <v>0</v>
      </c>
      <c r="R615" s="199">
        <f>IF(B613="Лікар загальної практики - сімейний лікар"," ",IF(B613="Лікар-педіатр","х",IF(B613="Лікар-терапевт"," ",0)))</f>
        <v>0</v>
      </c>
      <c r="S615" s="200">
        <f>SUM(N615:R615)</f>
        <v>0</v>
      </c>
      <c r="T615" s="942"/>
      <c r="U615" s="199">
        <f>IF(B613="Лікар загальної практики - сімейний лікар"," ",IF(B613="Лікар-педіатр"," ",IF(B613="Лікар-терапевт","х",0)))</f>
        <v>0</v>
      </c>
      <c r="V615" s="199">
        <f>IF(B613="Лікар загальної практики - сімейний лікар"," ",IF(B613="Лікар-педіатр"," ",IF(B613="Лікар-терапевт","х",0)))</f>
        <v>0</v>
      </c>
      <c r="W615" s="199">
        <f>IF(B613="Лікар загальної практики - сімейний лікар"," ",IF(B613="Лікар-педіатр","х",IF(B613="Лікар-терапевт"," ",0)))</f>
        <v>0</v>
      </c>
      <c r="X615" s="199">
        <f>IF(B613="Лікар загальної практики - сімейний лікар"," ",IF(B613="Лікар-педіатр","х",IF(B613="Лікар-терапевт"," ",0)))</f>
        <v>0</v>
      </c>
      <c r="Y615" s="199">
        <f>IF(B613="Лікар загальної практики - сімейний лікар"," ",IF(B613="Лікар-педіатр","х",IF(B613="Лікар-терапевт"," ",0)))</f>
        <v>0</v>
      </c>
      <c r="Z615" s="200">
        <f>SUM(U615:Y615)</f>
        <v>0</v>
      </c>
      <c r="AA615" s="942"/>
      <c r="AB615" s="199">
        <f>IF(B613="Лікар загальної практики - сімейний лікар"," ",IF(B613="Лікар-педіатр"," ",IF(B613="Лікар-терапевт","х",0)))</f>
        <v>0</v>
      </c>
      <c r="AC615" s="199">
        <f>IF(B613="Лікар загальної практики - сімейний лікар"," ",IF(B613="Лікар-педіатр"," ",IF(B613="Лікар-терапевт","х",0)))</f>
        <v>0</v>
      </c>
      <c r="AD615" s="199">
        <f>IF(B613="Лікар загальної практики - сімейний лікар"," ",IF(B613="Лікар-педіатр","х",IF(B613="Лікар-терапевт"," ",0)))</f>
        <v>0</v>
      </c>
      <c r="AE615" s="199">
        <f>IF(B613="Лікар загальної практики - сімейний лікар"," ",IF(B613="Лікар-педіатр","х",IF(B613="Лікар-терапевт"," ",0)))</f>
        <v>0</v>
      </c>
      <c r="AF615" s="199">
        <f>IF(B613="Лікар загальної практики - сімейний лікар"," ",IF(B613="Лікар-педіатр","х",IF(B613="Лікар-терапевт"," ",0)))</f>
        <v>0</v>
      </c>
      <c r="AG615" s="200">
        <f>SUM(AB615:AF615)</f>
        <v>0</v>
      </c>
      <c r="AH615" s="942"/>
      <c r="AI615" s="242"/>
      <c r="AJ615" s="945"/>
      <c r="AK615" s="960"/>
      <c r="AL615" s="960"/>
      <c r="AM615" s="930"/>
      <c r="AN615" s="948"/>
      <c r="AO615" s="948"/>
      <c r="AP615" s="948"/>
      <c r="AQ615" s="948"/>
      <c r="AR615" s="963"/>
    </row>
    <row r="616" spans="1:44" s="50" customFormat="1" ht="31.9" hidden="1" customHeight="1" thickBot="1">
      <c r="A616" s="197"/>
      <c r="B616" s="951"/>
      <c r="C616" s="954"/>
      <c r="D616" s="957"/>
      <c r="E616" s="939"/>
      <c r="F616" s="236" t="s">
        <v>426</v>
      </c>
      <c r="G616" s="203">
        <f>IF($B$613="Лікар-педіатр",G615/L615,IF($B$613="Лікар-терапевт","х",IF($B$613="Лікар загальної практики - сімейний лікар",G615/L615,0)))</f>
        <v>0</v>
      </c>
      <c r="H616" s="203">
        <f>IF($B$613="Лікар-педіатр",H615/L615,IF($B$613="Лікар-терапевт","х",IF($B$613="Лікар загальної практики - сімейний лікар",H615/L615,0)))</f>
        <v>0</v>
      </c>
      <c r="I616" s="203">
        <f>IF($B$613="Лікар-педіатр","x",IF($B$613="Лікар-терапевт",I615/L615,IF($B$613="Лікар загальної практики - сімейний лікар",I615/L615,0)))</f>
        <v>0</v>
      </c>
      <c r="J616" s="203">
        <f>IF($B$613="Лікар-педіатр","x",IF($B$613="Лікар-терапевт",J615/L615,IF($B$613="Лікар загальної практики - сімейний лікар",J615/L615,0)))</f>
        <v>0</v>
      </c>
      <c r="K616" s="203">
        <f>IF($B$613="Лікар-педіатр","x",IF($B$613="Лікар-терапевт",K615/L615,IF($B$613="Лікар загальної практики - сімейний лікар",K615/L615,0)))</f>
        <v>0</v>
      </c>
      <c r="L616" s="203">
        <f>SUM(G616:K616)</f>
        <v>0</v>
      </c>
      <c r="M616" s="942"/>
      <c r="N616" s="203">
        <f>IF($B$613="Лікар-педіатр",N615/S615,IF($B$613="Лікар-терапевт","х",IF($B$613="Лікар загальної практики - сімейний лікар",N615/S615,0)))</f>
        <v>0</v>
      </c>
      <c r="O616" s="203">
        <f>IF($B$613="Лікар-педіатр",O615/S615,IF($B$613="Лікар-терапевт","х",IF($B$613="Лікар загальної практики - сімейний лікар",O615/S615,0)))</f>
        <v>0</v>
      </c>
      <c r="P616" s="203">
        <f>IF($B$613="Лікар-педіатр","x",IF($B$613="Лікар-терапевт",P615/S615,IF($B$613="Лікар загальної практики - сімейний лікар",P615/S615,0)))</f>
        <v>0</v>
      </c>
      <c r="Q616" s="203">
        <f>IF($B$613="Лікар-педіатр","x",IF($B$613="Лікар-терапевт",Q615/S615,IF($B$613="Лікар загальної практики - сімейний лікар",Q615/S615,0)))</f>
        <v>0</v>
      </c>
      <c r="R616" s="203">
        <f>IF($B$613="Лікар-педіатр","x",IF($B$613="Лікар-терапевт",R615/S615,IF($B$613="Лікар загальної практики - сімейний лікар",R615/S615,0)))</f>
        <v>0</v>
      </c>
      <c r="S616" s="203">
        <f>SUM(N616:R616)</f>
        <v>0</v>
      </c>
      <c r="T616" s="942"/>
      <c r="U616" s="203">
        <f>IF($B$613="Лікар-педіатр",U615/Z615,IF($B$613="Лікар-терапевт","х",IF($B$613="Лікар загальної практики - сімейний лікар",U615/Z615,0)))</f>
        <v>0</v>
      </c>
      <c r="V616" s="203">
        <f>IF($B$613="Лікар-педіатр",V615/Z615,IF($B$613="Лікар-терапевт","х",IF($B$613="Лікар загальної практики - сімейний лікар",V615/Z615,0)))</f>
        <v>0</v>
      </c>
      <c r="W616" s="203">
        <f>IF($B$613="Лікар-педіатр","x",IF($B$613="Лікар-терапевт",W615/Z615,IF($B$613="Лікар загальної практики - сімейний лікар",W615/Z615,0)))</f>
        <v>0</v>
      </c>
      <c r="X616" s="203">
        <f>IF($B$613="Лікар-педіатр","x",IF($B$613="Лікар-терапевт",X615/Z615,IF($B$613="Лікар загальної практики - сімейний лікар",X615/Z615,0)))</f>
        <v>0</v>
      </c>
      <c r="Y616" s="203">
        <f>IF($B$613="Лікар-педіатр","x",IF($B$613="Лікар-терапевт",Y615/Z615,IF($B$613="Лікар загальної практики - сімейний лікар",Y615/Z615,0)))</f>
        <v>0</v>
      </c>
      <c r="Z616" s="203">
        <f>SUM(U616:Y616)</f>
        <v>0</v>
      </c>
      <c r="AA616" s="942"/>
      <c r="AB616" s="203">
        <f>IF($B$613="Лікар-педіатр",AB615/AG615,IF($B$613="Лікар-терапевт","х",IF($B$613="Лікар загальної практики - сімейний лікар",AB615/AG615,0)))</f>
        <v>0</v>
      </c>
      <c r="AC616" s="203">
        <f>IF($B$613="Лікар-педіатр",AC615/AG615,IF($B$613="Лікар-терапевт","х",IF($B$613="Лікар загальної практики - сімейний лікар",AC615/AG615,0)))</f>
        <v>0</v>
      </c>
      <c r="AD616" s="203">
        <f>IF($B$613="Лікар-педіатр","x",IF($B$613="Лікар-терапевт",AD615/AG615,IF($B$613="Лікар загальної практики - сімейний лікар",AD615/AG615,0)))</f>
        <v>0</v>
      </c>
      <c r="AE616" s="203">
        <f>IF($B$613="Лікар-педіатр","x",IF($B$613="Лікар-терапевт",AE615/AG615,IF($B$613="Лікар загальної практики - сімейний лікар",AE615/AG615,0)))</f>
        <v>0</v>
      </c>
      <c r="AF616" s="203">
        <f>IF($B$613="Лікар-педіатр","x",IF($B$613="Лікар-терапевт",AF615/AG615,IF($B$613="Лікар загальної практики - сімейний лікар",AF615/AG615,0)))</f>
        <v>0</v>
      </c>
      <c r="AG616" s="203">
        <f>SUM(AB616:AF616)</f>
        <v>0</v>
      </c>
      <c r="AH616" s="942"/>
      <c r="AI616" s="201"/>
      <c r="AJ616" s="945"/>
      <c r="AK616" s="960"/>
      <c r="AL616" s="960"/>
      <c r="AM616" s="930"/>
      <c r="AN616" s="948"/>
      <c r="AO616" s="948"/>
      <c r="AP616" s="948"/>
      <c r="AQ616" s="948"/>
      <c r="AR616" s="963"/>
    </row>
    <row r="617" spans="1:44" s="50" customFormat="1" ht="45" hidden="1" customHeight="1" thickBot="1">
      <c r="A617" s="197"/>
      <c r="B617" s="951"/>
      <c r="C617" s="954"/>
      <c r="D617" s="957"/>
      <c r="E617" s="939"/>
      <c r="F617" s="204" t="s">
        <v>662</v>
      </c>
      <c r="G617" s="205">
        <f>IF($B$613="Лікар загальної практики - сімейний лікар",AVERAGE(G613:G615),IF($B$613="Лікар-педіатр",AVERAGE(G613:G615),IF($B$613="Лікар-терапевт","х",0)))</f>
        <v>0</v>
      </c>
      <c r="H617" s="205">
        <f>IF($B$613="Лікар загальної практики - сімейний лікар",AVERAGE(H613:H615),IF($B$613="Лікар-педіатр",AVERAGE(H613:H615),IF($B$613="Лікар-терапевт","х",0)))</f>
        <v>0</v>
      </c>
      <c r="I617" s="205">
        <f>IF($B$613="Лікар загальної практики - сімейний лікар",AVERAGE(I613:I615),IF($B$613="Лікар-педіатр","x",IF($B$613="Лікар-терапевт",AVERAGE(I613:I615),0)))</f>
        <v>0</v>
      </c>
      <c r="J617" s="205">
        <f>IF($B$613="Лікар загальної практики - сімейний лікар",AVERAGE(J613:J615),IF($B$613="Лікар-педіатр","x",IF($B$613="Лікар-терапевт",AVERAGE(J613:J615),0)))</f>
        <v>0</v>
      </c>
      <c r="K617" s="205">
        <f>IF($B$613="Лікар загальної практики - сімейний лікар",AVERAGE(K613:K615),IF($B$613="Лікар-педіатр","x",IF($B$613="Лікар-терапевт",AVERAGE(K613:K615),0)))</f>
        <v>0</v>
      </c>
      <c r="L617" s="206">
        <f>SUM(G617:K617)</f>
        <v>0</v>
      </c>
      <c r="M617" s="942"/>
      <c r="N617" s="205">
        <f>IF($B$613="Лікар загальної практики - сімейний лікар",AVERAGE(N613:N615),IF($B$613="Лікар-педіатр",AVERAGE(N613:N615),IF($B$613="Лікар-терапевт","х",0)))</f>
        <v>0</v>
      </c>
      <c r="O617" s="205">
        <f>IF($B$613="Лікар загальної практики - сімейний лікар",AVERAGE(O613:O615),IF($B$613="Лікар-педіатр",AVERAGE(O613:O615),IF($B$613="Лікар-терапевт","х",0)))</f>
        <v>0</v>
      </c>
      <c r="P617" s="205">
        <f>IF($B$613="Лікар загальної практики - сімейний лікар",AVERAGE(P613:P615),IF($B$613="Лікар-педіатр","x",IF($B$613="Лікар-терапевт",AVERAGE(P613:P615),0)))</f>
        <v>0</v>
      </c>
      <c r="Q617" s="205">
        <f>IF($B$613="Лікар загальної практики - сімейний лікар",AVERAGE(Q613:Q615),IF($B$613="Лікар-педіатр","x",IF($B$613="Лікар-терапевт",AVERAGE(Q613:Q615),0)))</f>
        <v>0</v>
      </c>
      <c r="R617" s="205">
        <f>IF($B$613="Лікар загальної практики - сімейний лікар",AVERAGE(R613:R615),IF($B$613="Лікар-педіатр","x",IF($B$613="Лікар-терапевт",AVERAGE(R613:R615),0)))</f>
        <v>0</v>
      </c>
      <c r="S617" s="206">
        <f>SUM(N617:R617)</f>
        <v>0</v>
      </c>
      <c r="T617" s="942"/>
      <c r="U617" s="205">
        <f>IF($B$613="Лікар загальної практики - сімейний лікар",AVERAGE(U613:U615),IF($B$613="Лікар-педіатр",AVERAGE(U613:U615),IF($B$613="Лікар-терапевт","х",0)))</f>
        <v>0</v>
      </c>
      <c r="V617" s="205">
        <f>IF($B$613="Лікар загальної практики - сімейний лікар",AVERAGE(V613:V615),IF($B$613="Лікар-педіатр",AVERAGE(V613:V615),IF($B$613="Лікар-терапевт","х",0)))</f>
        <v>0</v>
      </c>
      <c r="W617" s="205">
        <f>IF($B$613="Лікар загальної практики - сімейний лікар",AVERAGE(W613:W615),IF($B$613="Лікар-педіатр","x",IF($B$613="Лікар-терапевт",AVERAGE(W613:W615),0)))</f>
        <v>0</v>
      </c>
      <c r="X617" s="205">
        <f>IF($B$613="Лікар загальної практики - сімейний лікар",AVERAGE(X613:X615),IF($B$613="Лікар-педіатр","x",IF($B$613="Лікар-терапевт",AVERAGE(X613:X615),0)))</f>
        <v>0</v>
      </c>
      <c r="Y617" s="205">
        <f>IF($B$613="Лікар загальної практики - сімейний лікар",AVERAGE(Y613:Y615),IF($B$613="Лікар-педіатр","x",IF($B$613="Лікар-терапевт",AVERAGE(Y613:Y615),0)))</f>
        <v>0</v>
      </c>
      <c r="Z617" s="206">
        <f>SUM(U617:Y617)</f>
        <v>0</v>
      </c>
      <c r="AA617" s="942"/>
      <c r="AB617" s="205">
        <f>IF($B$613="Лікар загальної практики - сімейний лікар",AVERAGE(AB613:AB615),IF($B$613="Лікар-педіатр",AVERAGE(AB613:AB615),IF($B$613="Лікар-терапевт","х",0)))</f>
        <v>0</v>
      </c>
      <c r="AC617" s="205">
        <f>IF($B$613="Лікар загальної практики - сімейний лікар",AVERAGE(AC613:AC615),IF($B$613="Лікар-педіатр",AVERAGE(AC613:AC615),IF($B$613="Лікар-терапевт","х",0)))</f>
        <v>0</v>
      </c>
      <c r="AD617" s="205">
        <f>IF($B$613="Лікар загальної практики - сімейний лікар",AVERAGE(AD613:AD615),IF($B$613="Лікар-педіатр","x",IF($B$613="Лікар-терапевт",AVERAGE(AD613:AD615),0)))</f>
        <v>0</v>
      </c>
      <c r="AE617" s="205">
        <f>IF($B$613="Лікар загальної практики - сімейний лікар",AVERAGE(AE613:AE615),IF($B$613="Лікар-педіатр","x",IF($B$613="Лікар-терапевт",AVERAGE(AE613:AE615),0)))</f>
        <v>0</v>
      </c>
      <c r="AF617" s="205">
        <f>IF($B$613="Лікар загальної практики - сімейний лікар",AVERAGE(AF613:AF615),IF($B$613="Лікар-педіатр","x",IF($B$613="Лікар-терапевт",AVERAGE(AF613:AF615),0)))</f>
        <v>0</v>
      </c>
      <c r="AG617" s="206">
        <f>SUM(AB617:AF617)</f>
        <v>0</v>
      </c>
      <c r="AH617" s="942"/>
      <c r="AI617" s="201"/>
      <c r="AJ617" s="945"/>
      <c r="AK617" s="960"/>
      <c r="AL617" s="960"/>
      <c r="AM617" s="931"/>
      <c r="AN617" s="949"/>
      <c r="AO617" s="949"/>
      <c r="AP617" s="949"/>
      <c r="AQ617" s="949"/>
      <c r="AR617" s="964"/>
    </row>
    <row r="618" spans="1:44" s="50" customFormat="1" ht="40.5" hidden="1">
      <c r="A618" s="197"/>
      <c r="B618" s="951"/>
      <c r="C618" s="954"/>
      <c r="D618" s="957"/>
      <c r="E618" s="939"/>
      <c r="F618" s="237" t="str">
        <f ca="1">IF(B613="Лікар-педіатр",Законод!$C$17,IF(B613="Лікар загальної практики - сімейний лікар",Законод!$C$21,IF(B613="Лікар-терапевт",Законод!$C$25,"х")))</f>
        <v>х</v>
      </c>
      <c r="G618" s="208">
        <f ca="1">IF($B$613="Лікар загальної практики - сімейний лікар",IF(L617&lt;=Законод!$C$22,G617,Законод!$C$22*'01_Доходи'!G616),IF($B$613="Лікар-педіатр",IF(L617&lt;=Законод!$C$18,G617,Законод!$C$18*'01_Доходи'!G616),IF($B$613="Лікар-терапевт","x",0)))</f>
        <v>0</v>
      </c>
      <c r="H618" s="208">
        <f ca="1">IF($B$613="Лікар загальної практики - сімейний лікар",IF(L617&lt;=Законод!$C$22,H617,Законод!$C$22*'01_Доходи'!H616),IF($B$613="Лікар-педіатр",IF(L617&lt;=Законод!$C$18,H617,Законод!$C$18*'01_Доходи'!H616),IF($B$613="Лікар-терапевт","x",0)))</f>
        <v>0</v>
      </c>
      <c r="I618" s="208">
        <f ca="1">IF($B$613="Лікар загальної практики - сімейний лікар",IF(L617&lt;=Законод!$C$22,I617,Законод!$C$22*'01_Доходи'!I616),IF($B$613="Лікар-педіатр","x",IF($B$613="Лікар-терапевт",IF(L617&lt;=Законод!$C$26,I617,Законод!$C$26*'01_Доходи'!I616),0)))</f>
        <v>0</v>
      </c>
      <c r="J618" s="208">
        <f ca="1">IF($B$613="Лікар загальної практики - сімейний лікар",IF(L617&lt;=Законод!$C$22,J617,Законод!$C$22*'01_Доходи'!J616),IF($B$613="Лікар-педіатр","x",IF($B$613="Лікар-терапевт",IF(L617&lt;=Законод!$C$26,J617,Законод!$C$26*'01_Доходи'!J616),0)))</f>
        <v>0</v>
      </c>
      <c r="K618" s="208">
        <f ca="1">IF($B$613="Лікар загальної практики - сімейний лікар",IF(L617&lt;=Законод!$C$22,K617,Законод!$C$22*'01_Доходи'!K616),IF($B$613="Лікар-педіатр","x",IF($B$613="Лікар-терапевт",IF(L617&lt;=Законод!$C$26,K617,Законод!$C$26*'01_Доходи'!K616),0)))</f>
        <v>0</v>
      </c>
      <c r="L618" s="209">
        <f ca="1">SUM(G618:K618)</f>
        <v>0</v>
      </c>
      <c r="M618" s="942"/>
      <c r="N618" s="208">
        <f ca="1">IF($B$613="Лікар загальної практики - сімейний лікар",IF(S617&lt;=Законод!$C$22,N617,Законод!$C$22*'01_Доходи'!N616),IF($B$613="Лікар-педіатр",IF(S617&lt;=Законод!$C$18,N617,Законод!$C$18*'01_Доходи'!N616),IF($B$613="Лікар-терапевт","x",0)))</f>
        <v>0</v>
      </c>
      <c r="O618" s="208">
        <f ca="1">IF($B$613="Лікар загальної практики - сімейний лікар",IF(S617&lt;=Законод!$C$22,O617,Законод!$C$22*'01_Доходи'!O616),IF($B$613="Лікар-педіатр",IF(S617&lt;=Законод!$C$18,O617,Законод!$C$18*'01_Доходи'!O616),IF($B$613="Лікар-терапевт","x",0)))</f>
        <v>0</v>
      </c>
      <c r="P618" s="208">
        <f ca="1">IF($B$613="Лікар загальної практики - сімейний лікар",IF(S617&lt;=Законод!$C$22,P617,Законод!$C$22*'01_Доходи'!P616),IF($B$613="Лікар-педіатр","x",IF($B$613="Лікар-терапевт",IF(S617&lt;=Законод!$C$26,P617,Законод!$C$26*'01_Доходи'!P616),0)))</f>
        <v>0</v>
      </c>
      <c r="Q618" s="208">
        <f ca="1">IF($B$613="Лікар загальної практики - сімейний лікар",IF(S617&lt;=Законод!$C$22,Q617,Законод!$C$22*'01_Доходи'!Q616),IF($B$613="Лікар-педіатр","x",IF($B$613="Лікар-терапевт",IF(S617&lt;=Законод!$C$26,Q617,Законод!$C$26*'01_Доходи'!Q616),0)))</f>
        <v>0</v>
      </c>
      <c r="R618" s="208">
        <f ca="1">IF($B$613="Лікар загальної практики - сімейний лікар",IF(S617&lt;=Законод!$C$22,R617,Законод!$C$22*'01_Доходи'!R616),IF($B$613="Лікар-педіатр","x",IF($B$613="Лікар-терапевт",IF(S617&lt;=Законод!$C$26,R617,Законод!$C$26*'01_Доходи'!R616),0)))</f>
        <v>0</v>
      </c>
      <c r="S618" s="209">
        <f ca="1">SUM(N618:R618)</f>
        <v>0</v>
      </c>
      <c r="T618" s="942"/>
      <c r="U618" s="208">
        <f ca="1">IF($B$613="Лікар загальної практики - сімейний лікар",IF(Z617&lt;=Законод!$C$22,U617,Законод!$C$22*'01_Доходи'!U616),IF($B$613="Лікар-педіатр",IF(Z617&lt;=Законод!$C$18,U617,Законод!$C$18*'01_Доходи'!U616),IF($B$613="Лікар-терапевт","x",0)))</f>
        <v>0</v>
      </c>
      <c r="V618" s="208">
        <f ca="1">IF($B$613="Лікар загальної практики - сімейний лікар",IF(Z617&lt;=Законод!$C$22,V617,Законод!$C$22*'01_Доходи'!V616),IF($B$613="Лікар-педіатр",IF(Z617&lt;=Законод!$C$18,V617,Законод!$C$18*'01_Доходи'!V616),IF($B$613="Лікар-терапевт","x",0)))</f>
        <v>0</v>
      </c>
      <c r="W618" s="208">
        <f ca="1">IF($B$613="Лікар загальної практики - сімейний лікар",IF(Z617&lt;=Законод!$C$22,W617,Законод!$C$22*'01_Доходи'!W616),IF($B$613="Лікар-педіатр","x",IF($B$613="Лікар-терапевт",IF(Z617&lt;=Законод!$C$26,W617,Законод!$C$26*'01_Доходи'!W616),0)))</f>
        <v>0</v>
      </c>
      <c r="X618" s="208">
        <f ca="1">IF($B$613="Лікар загальної практики - сімейний лікар",IF(Z617&lt;=Законод!$C$22,X617,Законод!$C$22*'01_Доходи'!X616),IF($B$613="Лікар-педіатр","x",IF($B$613="Лікар-терапевт",IF(Z617&lt;=Законод!$C$26,X617,Законод!$C$26*'01_Доходи'!X616),0)))</f>
        <v>0</v>
      </c>
      <c r="Y618" s="208">
        <f ca="1">IF($B$613="Лікар загальної практики - сімейний лікар",IF(Z617&lt;=Законод!$C$22,Y617,Законод!$C$22*'01_Доходи'!Y616),IF($B$613="Лікар-педіатр","x",IF($B$613="Лікар-терапевт",IF(Z617&lt;=Законод!$C$26,Y617,Законод!$C$26*'01_Доходи'!Y616),0)))</f>
        <v>0</v>
      </c>
      <c r="Z618" s="209">
        <f ca="1">SUM(U618:Y618)</f>
        <v>0</v>
      </c>
      <c r="AA618" s="942"/>
      <c r="AB618" s="208">
        <f ca="1">IF($B$613="Лікар загальної практики - сімейний лікар",IF(AG617&lt;=Законод!$C$22,AB617,Законод!$C$22*'01_Доходи'!AB616),IF($B$613="Лікар-педіатр",IF(AG617&lt;=Законод!$C$18,AB617,Законод!$C$18*'01_Доходи'!AB616),IF($B$613="Лікар-терапевт","x",0)))</f>
        <v>0</v>
      </c>
      <c r="AC618" s="208">
        <f ca="1">IF($B$613="Лікар загальної практики - сімейний лікар",IF(AG617&lt;=Законод!$C$22,AC617,Законод!$C$22*'01_Доходи'!AC616),IF($B$613="Лікар-педіатр",IF(AG617&lt;=Законод!$C$18,AC617,Законод!$C$18*'01_Доходи'!AC616),IF($B$613="Лікар-терапевт","x",0)))</f>
        <v>0</v>
      </c>
      <c r="AD618" s="208">
        <f ca="1">IF($B$613="Лікар загальної практики - сімейний лікар",IF(AG617&lt;=Законод!$C$22,AD617,Законод!$C$22*'01_Доходи'!AD616),IF($B$613="Лікар-педіатр","x",IF($B$613="Лікар-терапевт",IF(AG617&lt;=Законод!$C$26,AD617,Законод!$C$26*'01_Доходи'!AD616),0)))</f>
        <v>0</v>
      </c>
      <c r="AE618" s="208">
        <f ca="1">IF($B$613="Лікар загальної практики - сімейний лікар",IF(AG617&lt;=Законод!$C$22,AE617,Законод!$C$22*'01_Доходи'!AE616),IF($B$613="Лікар-педіатр","x",IF($B$613="Лікар-терапевт",IF(AG617&lt;=Законод!$C$26,AE617,Законод!$C$26*'01_Доходи'!AE616),0)))</f>
        <v>0</v>
      </c>
      <c r="AF618" s="208">
        <f ca="1">IF($B$613="Лікар загальної практики - сімейний лікар",IF(AG617&lt;=Законод!$C$22,AF617,Законод!$C$22*'01_Доходи'!AF616),IF($B$613="Лікар-педіатр","x",IF($B$613="Лікар-терапевт",IF(AG617&lt;=Законод!$C$26,AF617,Законод!$C$26*'01_Доходи'!AF616),0)))</f>
        <v>0</v>
      </c>
      <c r="AG618" s="209">
        <f ca="1">SUM(AB618:AF618)</f>
        <v>0</v>
      </c>
      <c r="AH618" s="942"/>
      <c r="AI618" s="201"/>
      <c r="AJ618" s="945"/>
      <c r="AK618" s="960"/>
      <c r="AL618" s="960"/>
      <c r="AM618" s="348" t="s">
        <v>451</v>
      </c>
      <c r="AN618" s="210">
        <f ca="1">IF(B613="Лікар загальної практики - сімейний лікар",G618*Законод!$C$11+'01_Доходи'!H618*Законод!$D$11+'01_Доходи'!I618*Законод!$E$11+'01_Доходи'!J618*Законод!$F$11+'01_Доходи'!K618*Законод!$G$11,IF(B613="Лікар-педіатр",G618*Законод!$C$11+'01_Доходи'!H618*Законод!$D$11,IF(B613="Лікар-терапевт",'01_Доходи'!I618*Законод!$E$11+'01_Доходи'!J618*Законод!$F$11+'01_Доходи'!K618*Законод!$G$11,0)))</f>
        <v>0</v>
      </c>
      <c r="AO618" s="210">
        <f ca="1">IF(B613="Лікар загальної практики - сімейний лікар",N618*Законод!$C$11+'01_Доходи'!O618*Законод!$D$11+'01_Доходи'!P618*Законод!$E$11+'01_Доходи'!Q618*Законод!$F$11+'01_Доходи'!R618*Законод!$G$11,IF(B613="Лікар-педіатр",N618*Законод!$C$11+'01_Доходи'!O618*Законод!$D$11,IF(B613="Лікар-терапевт",'01_Доходи'!P618*Законод!$E$11+'01_Доходи'!Q618*Законод!$F$11+'01_Доходи'!R618*Законод!$G$11,0)))</f>
        <v>0</v>
      </c>
      <c r="AP618" s="210">
        <f ca="1">IF(B613="Лікар загальної практики - сімейний лікар",U618*Законод!$C$11+'01_Доходи'!V618*Законод!$D$11+'01_Доходи'!W618*Законод!$E$11+'01_Доходи'!X618*Законод!$F$11+'01_Доходи'!Y618*Законод!$G$11,IF(B613="Лікар-педіатр",U618*Законод!$C$11+'01_Доходи'!V618*Законод!$D$11,IF(B613="Лікар-терапевт",'01_Доходи'!W618*Законод!$E$11+'01_Доходи'!X618*Законод!$F$11+'01_Доходи'!Y618*Законод!$G$11,0)))</f>
        <v>0</v>
      </c>
      <c r="AQ618" s="210">
        <f ca="1">IF(B613="Лікар загальної практики - сімейний лікар",AB618*Законод!$C$11+'01_Доходи'!AC618*Законод!$D$11+'01_Доходи'!AD618*Законод!$E$11+'01_Доходи'!AE618*Законод!$F$11+'01_Доходи'!AF618*Законод!$G$11,IF(B613="Лікар-педіатр",AB618*Законод!$C$11+'01_Доходи'!AC618*Законод!$D$11,IF(B613="Лікар-терапевт",'01_Доходи'!AD618*Законод!$E$11+'01_Доходи'!AE618*Законод!$F$11+'01_Доходи'!AF618*Законод!$G$11,0)))</f>
        <v>0</v>
      </c>
      <c r="AR618" s="211">
        <f t="shared" ref="AR618:AR624" si="87">SUM(AN618:AQ618)</f>
        <v>0</v>
      </c>
    </row>
    <row r="619" spans="1:44" s="50" customFormat="1" ht="31.9" hidden="1" customHeight="1">
      <c r="A619" s="197"/>
      <c r="B619" s="951"/>
      <c r="C619" s="954"/>
      <c r="D619" s="957"/>
      <c r="E619" s="939"/>
      <c r="F619" s="238" t="str">
        <f ca="1">IF(B613="Лікар-педіатр",Законод!$E$17,IF(B613="Лікар загальної практики - сімейний лікар",Законод!$E$21,IF(B613="Лікар-терапевт",Законод!$E$25,"х")))</f>
        <v>х</v>
      </c>
      <c r="G619" s="935" t="s">
        <v>423</v>
      </c>
      <c r="H619" s="936"/>
      <c r="I619" s="936"/>
      <c r="J619" s="936"/>
      <c r="K619" s="937"/>
      <c r="L619" s="196">
        <f ca="1">IF($B$613="Лікар загальної практики - сімейний лікар",IF(L617&lt;Законод!$C$22,0,(IF(AND(L617&gt;=Законод!$E$22,L617&lt;=Законод!$E$23),L617-Законод!$C$22,IF('01_Доходи'!L617&gt;=Законод!$F$22,Законод!$E$24,0)))),IF($B$613="Лікар-педіатр",IF(L617&lt;Законод!$C$18,0,(IF(AND(L617&gt;=Законод!$E$18,L617&lt;=Законод!$E$19),L617-Законод!$C$18,IF('01_Доходи'!L617&gt;=Законод!$F$18,Законод!$E$20,0)))),IF($B$613="Лікар-терапевт",IF(L617&lt;Законод!$C$26,0,(IF(AND(L617&gt;=Законод!$E$26,L617&lt;=Законод!$E$27),L617-Законод!$C$26,IF('01_Доходи'!L617&gt;=Законод!$F$26,Законод!$E$28,0)))),0)))</f>
        <v>0</v>
      </c>
      <c r="M619" s="942"/>
      <c r="N619" s="935" t="s">
        <v>423</v>
      </c>
      <c r="O619" s="936"/>
      <c r="P619" s="936"/>
      <c r="Q619" s="936"/>
      <c r="R619" s="937"/>
      <c r="S619" s="196">
        <f ca="1">IF($B$613="Лікар загальної практики - сімейний лікар",IF(S617&lt;Законод!$C$22,0,(IF(AND(S617&gt;=Законод!$E$22,S617&lt;=Законод!$E$23),S617-Законод!$C$22,IF('01_Доходи'!S617&gt;=Законод!$F$22,Законод!$E$24,0)))),IF($B$613="Лікар-педіатр",IF(S617&lt;Законод!$C$18,0,(IF(AND(S617&gt;=Законод!$E$18,S617&lt;=Законод!$E$19),S617-Законод!$C$18,IF('01_Доходи'!S617&gt;=Законод!$F$18,Законод!$E$20,0)))),IF($B$613="Лікар-терапевт",IF(S617&lt;Законод!$C$26,0,(IF(AND(S617&gt;=Законод!$E$26,S617&lt;=Законод!$E$27),S617-Законод!$C$26,IF('01_Доходи'!S617&gt;=Законод!$F$26,Законод!$E$28,0)))),0)))</f>
        <v>0</v>
      </c>
      <c r="T619" s="942"/>
      <c r="U619" s="935" t="s">
        <v>423</v>
      </c>
      <c r="V619" s="936"/>
      <c r="W619" s="936"/>
      <c r="X619" s="936"/>
      <c r="Y619" s="937"/>
      <c r="Z619" s="196">
        <f ca="1">IF($B$613="Лікар загальної практики - сімейний лікар",IF(Z617&lt;Законод!$C$22,0,(IF(AND(Z617&gt;=Законод!$E$22,Z617&lt;=Законод!$E$23),Z617-Законод!$C$22,IF('01_Доходи'!Z617&gt;=Законод!$F$22,Законод!$E$24,0)))),IF($B$613="Лікар-педіатр",IF(Z617&lt;Законод!$C$18,0,(IF(AND(Z617&gt;=Законод!$E$18,Z617&lt;=Законод!$E$19),Z617-Законод!$C$18,IF('01_Доходи'!Z617&gt;=Законод!$F$18,Законод!$E$20,0)))),IF($B$613="Лікар-терапевт",IF(Z617&lt;Законод!$C$26,0,(IF(AND(Z617&gt;=Законод!$E$26,Z617&lt;=Законод!$E$27),Z617-Законод!$C$26,IF('01_Доходи'!Z617&gt;=Законод!$F$26,Законод!$E$28,0)))),0)))</f>
        <v>0</v>
      </c>
      <c r="AA619" s="942"/>
      <c r="AB619" s="935" t="s">
        <v>423</v>
      </c>
      <c r="AC619" s="936"/>
      <c r="AD619" s="936"/>
      <c r="AE619" s="936"/>
      <c r="AF619" s="937"/>
      <c r="AG619" s="196">
        <f ca="1">IF($B$613="Лікар загальної практики - сімейний лікар",IF(AG617&lt;Законод!$C$22,0,(IF(AND(AG617&gt;=Законод!$E$22,AG617&lt;=Законод!$E$23),AG617-Законод!$C$22,IF('01_Доходи'!AG617&gt;=Законод!$F$22,Законод!$E$24,0)))),IF($B$613="Лікар-педіатр",IF(AG617&lt;Законод!$C$18,0,(IF(AND(AG617&gt;=Законод!$E$18,AG617&lt;=Законод!$E$19),AG617-Законод!$C$18,IF('01_Доходи'!AG617&gt;=Законод!$F$18,Законод!$E$20,0)))),IF($B$613="Лікар-терапевт",IF(AG617&lt;Законод!$C$26,0,(IF(AND(AG617&gt;=Законод!$E$26,AG617&lt;=Законод!$E$27),AG617-Законод!$C$26,IF('01_Доходи'!AG617&gt;=Законод!$F$26,Законод!$E$28,0)))),0)))</f>
        <v>0</v>
      </c>
      <c r="AH619" s="942"/>
      <c r="AI619" s="201"/>
      <c r="AJ619" s="945"/>
      <c r="AK619" s="960"/>
      <c r="AL619" s="960"/>
      <c r="AM619" s="926" t="s">
        <v>452</v>
      </c>
      <c r="AN619" s="210">
        <f ca="1">IF(B613="Лікар загальної практики - сімейний лікар",L619*Законод!$C$9/4*Законод!$E$16,IF(B613="Лікар-педіатр",L619*Законод!$C$9/4*Законод!$E$16,IF(B613="Лікар-терапевт",L619*Законод!$C$9/4*Законод!$E$16,0)))</f>
        <v>0</v>
      </c>
      <c r="AO619" s="210">
        <f ca="1">IF(B613="Лікар загальної практики - сімейний лікар",S619*Законод!$C$9/4*Законод!$E$16,IF(B613="Лікар-педіатр",S619*Законод!$C$9/4*Законод!$E$16,IF(B613="Лікар-терапевт",S619*Законод!$C$9/4*Законод!$E$16,0)))</f>
        <v>0</v>
      </c>
      <c r="AP619" s="210">
        <f ca="1">IF(B613="Лікар загальної практики - сімейний лікар",Z619*Законод!$C$9/4*Законод!$E$16,IF(B613="Лікар-педіатр",Z619*Законод!$C$9/4*Законод!$E$16,IF(B613="Лікар-терапевт",Z619*Законод!$C$9/4*Законод!$E$16,0)))</f>
        <v>0</v>
      </c>
      <c r="AQ619" s="210">
        <f ca="1">IF(B613="Лікар загальної практики - сімейний лікар",AG619*Законод!$C$9/4*Законод!$E$16,IF(B613="Лікар-педіатр",AG619*Законод!$C$9/4*Законод!$E$16,IF(B613="Лікар-терапевт",AG619*Законод!$C$9/4*Законод!$E$16,0)))</f>
        <v>0</v>
      </c>
      <c r="AR619" s="211">
        <f t="shared" si="87"/>
        <v>0</v>
      </c>
    </row>
    <row r="620" spans="1:44" s="50" customFormat="1" ht="31.9" hidden="1" customHeight="1">
      <c r="A620" s="197"/>
      <c r="B620" s="951"/>
      <c r="C620" s="954"/>
      <c r="D620" s="957"/>
      <c r="E620" s="939"/>
      <c r="F620" s="238" t="str">
        <f ca="1">IF(B613="Лікар-педіатр",Законод!$F$17,IF(B613="Лікар загальної практики - сімейний лікар",Законод!$F$21,IF(B613="Лікар-терапевт",Законод!$F$25,"х")))</f>
        <v>х</v>
      </c>
      <c r="G620" s="935" t="s">
        <v>423</v>
      </c>
      <c r="H620" s="936"/>
      <c r="I620" s="936"/>
      <c r="J620" s="936"/>
      <c r="K620" s="937"/>
      <c r="L620" s="196">
        <f ca="1">IF($B$613="Лікар загальної практики - сімейний лікар",IF(L617&lt;Законод!$C$22,0,(IF(AND(L617&gt;=Законод!$F$22,L617&lt;=Законод!$F$23),L617-Законод!$E$23,IF('01_Доходи'!L617&gt;=Законод!$G$22,Законод!$F$24,0)))),IF($B$613="Лікар-педіатр",IF(L617&lt;Законод!$C$18,0,(IF(AND(L617&gt;=Законод!$F$18,L617&lt;=Законод!$F$19),L617-Законод!$E$19,IF('01_Доходи'!L617&gt;=Законод!$G$18,Законод!$F$20,0)))),IF($B$613="Лікар-терапевт",IF(L617&lt;Законод!$C$26,0,(IF(AND(L617&gt;=Законод!$F$26,L617&lt;=Законод!$F$27),L617-Законод!$E$27,IF('01_Доходи'!L617&gt;=Законод!$G$26,Законод!$F$28,0)))),0)))</f>
        <v>0</v>
      </c>
      <c r="M620" s="942"/>
      <c r="N620" s="935" t="s">
        <v>423</v>
      </c>
      <c r="O620" s="936"/>
      <c r="P620" s="936"/>
      <c r="Q620" s="936"/>
      <c r="R620" s="937"/>
      <c r="S620" s="196">
        <f ca="1">IF($B$613="Лікар загальної практики - сімейний лікар",IF(S617&lt;Законод!$C$22,0,(IF(AND(S617&gt;=Законод!$F$22,S617&lt;=Законод!$F$23),S617-Законод!$E$23,IF('01_Доходи'!S617&gt;=Законод!$G$22,Законод!$F$24,0)))),IF($B$613="Лікар-педіатр",IF(S617&lt;Законод!$C$18,0,(IF(AND(S617&gt;=Законод!$F$18,S617&lt;=Законод!$F$19),S617-Законод!$E$19,IF('01_Доходи'!S617&gt;=Законод!$G$18,Законод!$F$20,0)))),IF($B$613="Лікар-терапевт",IF(S617&lt;Законод!$C$26,0,(IF(AND(S617&gt;=Законод!$F$26,S617&lt;=Законод!$F$27),S617-Законод!$E$27,IF('01_Доходи'!S617&gt;=Законод!$G$26,Законод!$F$28,0)))),0)))</f>
        <v>0</v>
      </c>
      <c r="T620" s="942"/>
      <c r="U620" s="935" t="s">
        <v>423</v>
      </c>
      <c r="V620" s="936"/>
      <c r="W620" s="936"/>
      <c r="X620" s="936"/>
      <c r="Y620" s="937"/>
      <c r="Z620" s="196">
        <f ca="1">IF($B$613="Лікар загальної практики - сімейний лікар",IF(Z617&lt;Законод!$C$22,0,(IF(AND(Z617&gt;=Законод!$F$22,Z617&lt;=Законод!$F$23),Z617-Законод!$E$23,IF('01_Доходи'!Z617&gt;=Законод!$G$22,Законод!$F$24,0)))),IF($B$613="Лікар-педіатр",IF(Z617&lt;Законод!$C$18,0,(IF(AND(Z617&gt;=Законод!$F$18,Z617&lt;=Законод!$F$19),Z617-Законод!$E$19,IF('01_Доходи'!Z617&gt;=Законод!$G$18,Законод!$F$20,0)))),IF($B$613="Лікар-терапевт",IF(Z617&lt;Законод!$C$26,0,(IF(AND(Z617&gt;=Законод!$F$26,Z617&lt;=Законод!$F$27),Z617-Законод!$E$27,IF('01_Доходи'!Z617&gt;=Законод!$G$26,Законод!$F$28,0)))),0)))</f>
        <v>0</v>
      </c>
      <c r="AA620" s="942"/>
      <c r="AB620" s="935" t="s">
        <v>423</v>
      </c>
      <c r="AC620" s="936"/>
      <c r="AD620" s="936"/>
      <c r="AE620" s="936"/>
      <c r="AF620" s="937"/>
      <c r="AG620" s="196">
        <f ca="1">IF($B$613="Лікар загальної практики - сімейний лікар",IF(AG617&lt;Законод!$C$22,0,(IF(AND(AG617&gt;=Законод!$F$22,AG617&lt;=Законод!$F$23),AG617-Законод!$E$23,IF('01_Доходи'!AG617&gt;=Законод!$G$22,Законод!$F$24,0)))),IF($B$613="Лікар-педіатр",IF(AG617&lt;Законод!$C$18,0,(IF(AND(AG617&gt;=Законод!$F$18,AG617&lt;=Законод!$F$19),AG617-Законод!$E$19,IF('01_Доходи'!AG617&gt;=Законод!$G$18,Законод!$F$20,0)))),IF($B$613="Лікар-терапевт",IF(AG617&lt;Законод!$C$26,0,(IF(AND(AG617&gt;=Законод!$F$26,AG617&lt;=Законод!$F$27),AG617-Законод!$E$27,IF('01_Доходи'!AG617&gt;=Законод!$G$26,Законод!$F$28,0)))),0)))</f>
        <v>0</v>
      </c>
      <c r="AH620" s="942"/>
      <c r="AI620" s="201"/>
      <c r="AJ620" s="945"/>
      <c r="AK620" s="960"/>
      <c r="AL620" s="960"/>
      <c r="AM620" s="927"/>
      <c r="AN620" s="210">
        <f ca="1">IF(B613="Лікар загальної практики - сімейний лікар",L620*Законод!$C$9/4*Законод!$F$16,IF(B613="Лікар-педіатр",L620*Законод!$C$9/4*Законод!$F$16,IF(B613="Лікар-терапевт",L620*Законод!$C$9/4*Законод!$F$16,0)))</f>
        <v>0</v>
      </c>
      <c r="AO620" s="210">
        <f ca="1">IF(B613="Лікар загальної практики - сімейний лікар",S620*Законод!$C$9/4*Законод!$F$16,IF(B613="Лікар-педіатр",S620*Законод!$C$9/4*Законод!$F$16,IF(B613="Лікар-терапевт",S620*Законод!$C$9/4*Законод!$F$16,0)))</f>
        <v>0</v>
      </c>
      <c r="AP620" s="210">
        <f ca="1">IF(B613="Лікар загальної практики - сімейний лікар",Z620*Законод!$C$9/4*Законод!$F$16,IF(B613="Лікар-педіатр",Z620*Законод!$C$9/4*Законод!$F$16,IF(B613="Лікар-терапевт",Z620*Законод!$C$9/4*Законод!$F$16,0)))</f>
        <v>0</v>
      </c>
      <c r="AQ620" s="210">
        <f ca="1">IF(B613="Лікар загальної практики - сімейний лікар",AG620*Законод!$C$9/4*Законод!$F$16,IF(B613="Лікар-педіатр",AG620*Законод!$C$9/4*Законод!$F$16,IF(B613="Лікар-терапевт",AG620*Законод!$C$9/4*Законод!$F$16,0)))</f>
        <v>0</v>
      </c>
      <c r="AR620" s="211">
        <f t="shared" si="87"/>
        <v>0</v>
      </c>
    </row>
    <row r="621" spans="1:44" s="50" customFormat="1" ht="31.9" hidden="1" customHeight="1">
      <c r="A621" s="197"/>
      <c r="B621" s="951"/>
      <c r="C621" s="954"/>
      <c r="D621" s="957"/>
      <c r="E621" s="939"/>
      <c r="F621" s="238" t="str">
        <f ca="1">IF(B613="Лікар-педіатр",Законод!$G$17,IF(B613="Лікар загальної практики - сімейний лікар",Законод!$G$21,IF(B613="Лікар-терапевт",Законод!$G$25,"х")))</f>
        <v>х</v>
      </c>
      <c r="G621" s="935" t="s">
        <v>423</v>
      </c>
      <c r="H621" s="936"/>
      <c r="I621" s="936"/>
      <c r="J621" s="936"/>
      <c r="K621" s="937"/>
      <c r="L621" s="196">
        <f ca="1">IF($B$613="Лікар загальної практики - сімейний лікар",IF(L617&lt;Законод!$C$22,0,(IF(AND(L617&gt;=Законод!$G$22,L617&lt;=Законод!$G$23),L617-Законод!$F$23,IF('01_Доходи'!L617&gt;=Законод!$H$22,Законод!$G$24,0)))),IF($B$613="Лікар-педіатр",IF(L617&lt;Законод!$C$18,0,(IF(AND(L617&gt;=Законод!$G$18,L617&lt;=Законод!$G$19),L617-Законод!$F$19,IF('01_Доходи'!L617&gt;=Законод!$H$18,Законод!$G$20,0)))),IF($B$613="Лікар-терапевт",IF(L617&lt;Законод!$C$26,0,(IF(AND(L617&gt;=Законод!$G$26,L617&lt;=Законод!$G$27),L617-Законод!$F$27,IF('01_Доходи'!L617&gt;=Законод!$H$26,Законод!$G$28,0)))),0)))</f>
        <v>0</v>
      </c>
      <c r="M621" s="942"/>
      <c r="N621" s="935" t="s">
        <v>423</v>
      </c>
      <c r="O621" s="936"/>
      <c r="P621" s="936"/>
      <c r="Q621" s="936"/>
      <c r="R621" s="937"/>
      <c r="S621" s="196">
        <f ca="1">IF($B$613="Лікар загальної практики - сімейний лікар",IF(S617&lt;Законод!$C$22,0,(IF(AND(S617&gt;=Законод!$G$22,S617&lt;=Законод!$G$23),S617-Законод!$F$23,IF('01_Доходи'!S617&gt;=Законод!$H$22,Законод!$G$24,0)))),IF($B$613="Лікар-педіатр",IF(S617&lt;Законод!$C$18,0,(IF(AND(S617&gt;=Законод!$G$18,S617&lt;=Законод!$G$19),S617-Законод!$F$19,IF('01_Доходи'!S617&gt;=Законод!$H$18,Законод!$G$20,0)))),IF($B$613="Лікар-терапевт",IF(S617&lt;Законод!$C$26,0,(IF(AND(S617&gt;=Законод!$G$26,S617&lt;=Законод!$G$27),S617-Законод!$F$27,IF('01_Доходи'!S617&gt;=Законод!$H$26,Законод!$G$28,0)))),0)))</f>
        <v>0</v>
      </c>
      <c r="T621" s="942"/>
      <c r="U621" s="935" t="s">
        <v>423</v>
      </c>
      <c r="V621" s="936"/>
      <c r="W621" s="936"/>
      <c r="X621" s="936"/>
      <c r="Y621" s="937"/>
      <c r="Z621" s="196">
        <f ca="1">IF($B$613="Лікар загальної практики - сімейний лікар",IF(Z617&lt;Законод!$C$22,0,(IF(AND(Z617&gt;=Законод!$G$22,Z617&lt;=Законод!$G$23),Z617-Законод!$F$23,IF('01_Доходи'!Z617&gt;=Законод!$H$22,Законод!$G$24,0)))),IF($B$613="Лікар-педіатр",IF(Z617&lt;Законод!$C$18,0,(IF(AND(Z617&gt;=Законод!$G$18,Z617&lt;=Законод!$G$19),Z617-Законод!$F$19,IF('01_Доходи'!Z617&gt;=Законод!$H$18,Законод!$G$20,0)))),IF($B$613="Лікар-терапевт",IF(Z617&lt;Законод!$C$26,0,(IF(AND(Z617&gt;=Законод!$G$26,Z617&lt;=Законод!$G$27),Z617-Законод!$F$27,IF('01_Доходи'!Z617&gt;=Законод!$H$26,Законод!$G$28,0)))),0)))</f>
        <v>0</v>
      </c>
      <c r="AA621" s="942"/>
      <c r="AB621" s="935" t="s">
        <v>423</v>
      </c>
      <c r="AC621" s="936"/>
      <c r="AD621" s="936"/>
      <c r="AE621" s="936"/>
      <c r="AF621" s="937"/>
      <c r="AG621" s="196">
        <f ca="1">IF($B$613="Лікар загальної практики - сімейний лікар",IF(AG617&lt;Законод!$C$22,0,(IF(AND(AG617&gt;=Законод!$G$22,AG617&lt;=Законод!$G$23),AG617-Законод!$F$23,IF('01_Доходи'!AG617&gt;=Законод!$H$22,Законод!$G$24,0)))),IF($B$613="Лікар-педіатр",IF(AG617&lt;Законод!$C$18,0,(IF(AND(AG617&gt;=Законод!$G$18,AG617&lt;=Законод!$G$19),AG617-Законод!$F$19,IF('01_Доходи'!AG617&gt;=Законод!$H$18,Законод!$G$20,0)))),IF($B$613="Лікар-терапевт",IF(AG617&lt;Законод!$C$26,0,(IF(AND(AG617&gt;=Законод!$G$26,AG617&lt;=Законод!$G$27),AG617-Законод!$F$27,IF('01_Доходи'!AG617&gt;=Законод!$H$26,Законод!$G$28,0)))),0)))</f>
        <v>0</v>
      </c>
      <c r="AH621" s="942"/>
      <c r="AI621" s="201"/>
      <c r="AJ621" s="945"/>
      <c r="AK621" s="960"/>
      <c r="AL621" s="960"/>
      <c r="AM621" s="927"/>
      <c r="AN621" s="210">
        <f ca="1">IF(B613="Лікар загальної практики - сімейний лікар",L621*Законод!$C$9/4*Законод!$G$16,IF(B613="Лікар-педіатр",L621*Законод!$C$9/4*Законод!$G$16,IF(B613="Лікар-терапевт",L621*Законод!$C$9/4*Законод!$G$16,0)))</f>
        <v>0</v>
      </c>
      <c r="AO621" s="210">
        <f ca="1">IF(B613="Лікар загальної практики - сімейний лікар",S621*Законод!$C$9/4*Законод!$G$16,IF(B613="Лікар-педіатр",S621*Законод!$C$9/4*Законод!$G$16,IF(B613="Лікар-терапевт",S621*Законод!$C$9/4*Законод!$G$16,0)))</f>
        <v>0</v>
      </c>
      <c r="AP621" s="210">
        <f ca="1">IF(B613="Лікар загальної практики - сімейний лікар",Z621*Законод!$C$9/4*Законод!$G$16,IF(B613="Лікар-педіатр",Z621*Законод!$C$9/4*Законод!$G$16,IF(B613="Лікар-терапевт",Z621*Законод!$C$9/4*Законод!$G$16,0)))</f>
        <v>0</v>
      </c>
      <c r="AQ621" s="210">
        <f ca="1">IF(B613="Лікар загальної практики - сімейний лікар",AG621*Законод!$C$9/4*Законод!$G$16,IF(B613="Лікар-педіатр",AG621*Законод!$C$9/4*Законод!$G$16,IF(B613="Лікар-терапевт",AG621*Законод!$C$9/4*Законод!$G$16,0)))</f>
        <v>0</v>
      </c>
      <c r="AR621" s="211">
        <f t="shared" si="87"/>
        <v>0</v>
      </c>
    </row>
    <row r="622" spans="1:44" s="50" customFormat="1" ht="31.9" hidden="1" customHeight="1">
      <c r="A622" s="197"/>
      <c r="B622" s="951"/>
      <c r="C622" s="954"/>
      <c r="D622" s="957"/>
      <c r="E622" s="939"/>
      <c r="F622" s="238" t="str">
        <f ca="1">IF(B613="Лікар-педіатр",Законод!$H$17,IF(B613="Лікар загальної практики - сімейний лікар",Законод!$H$21,IF(B613="Лікар-терапевт",Законод!$H$25,"х")))</f>
        <v>х</v>
      </c>
      <c r="G622" s="935" t="s">
        <v>423</v>
      </c>
      <c r="H622" s="936"/>
      <c r="I622" s="936"/>
      <c r="J622" s="936"/>
      <c r="K622" s="937"/>
      <c r="L622" s="196">
        <f ca="1">IF($B$613="Лікар загальної практики - сімейний лікар",IF(L617&lt;Законод!$C$22,0,(IF(AND(L617&gt;=Законод!$H$22,L617&lt;=Законод!$H$23),L617-Законод!$G$23,IF('01_Доходи'!L617&gt;=Законод!$I$22,Законод!$H$24,0)))),IF($B$613="Лікар-педіатр",IF(L617&lt;Законод!$C$18,0,(IF(AND(L617&gt;=Законод!$H$18,L617&lt;=Законод!$H$19),L617-Законод!$G$19,IF('01_Доходи'!L617&gt;=Законод!$I$18,Законод!$H$20,0)))),IF($B$613="Лікар-терапевт",IF(L617&lt;Законод!$C$26,0,(IF(AND(L617&gt;=Законод!$H$26,L617&lt;=Законод!$H$27),L617-Законод!$G$27,IF(L617&gt;=Законод!$I$26,Законод!$H$28,0)))),0)))</f>
        <v>0</v>
      </c>
      <c r="M622" s="942"/>
      <c r="N622" s="935" t="s">
        <v>423</v>
      </c>
      <c r="O622" s="936"/>
      <c r="P622" s="936"/>
      <c r="Q622" s="936"/>
      <c r="R622" s="937"/>
      <c r="S622" s="196">
        <f ca="1">IF($B$613="Лікар загальної практики - сімейний лікар",IF(S617&lt;Законод!$C$22,0,(IF(AND(S617&gt;=Законод!$H$22,S617&lt;=Законод!$H$23),S617-Законод!$G$23,IF('01_Доходи'!S617&gt;=Законод!$I$22,Законод!$H$24,0)))),IF($B$613="Лікар-педіатр",IF(S617&lt;Законод!$C$18,0,(IF(AND(S617&gt;=Законод!$H$18,S617&lt;=Законод!$H$19),S617-Законод!$G$19,IF('01_Доходи'!S617&gt;=Законод!$I$18,Законод!$H$20,0)))),IF($B$613="Лікар-терапевт",IF(S617&lt;Законод!$C$26,0,(IF(AND(S617&gt;=Законод!$H$26,S617&lt;=Законод!$H$27),S617-Законод!$G$27,IF(S617&gt;=Законод!$I$26,Законод!$H$28,0)))),0)))</f>
        <v>0</v>
      </c>
      <c r="T622" s="942"/>
      <c r="U622" s="935" t="s">
        <v>423</v>
      </c>
      <c r="V622" s="936"/>
      <c r="W622" s="936"/>
      <c r="X622" s="936"/>
      <c r="Y622" s="937"/>
      <c r="Z622" s="196">
        <f ca="1">IF($B$613="Лікар загальної практики - сімейний лікар",IF(Z617&lt;Законод!$C$22,0,(IF(AND(Z617&gt;=Законод!$H$22,Z617&lt;=Законод!$H$23),Z617-Законод!$G$23,IF('01_Доходи'!Z617&gt;=Законод!$I$22,Законод!$H$24,0)))),IF($B$613="Лікар-педіатр",IF(Z617&lt;Законод!$C$18,0,(IF(AND(Z617&gt;=Законод!$H$18,Z617&lt;=Законод!$H$19),Z617-Законод!$G$19,IF('01_Доходи'!Z617&gt;=Законод!$I$18,Законод!$H$20,0)))),IF($B$613="Лікар-терапевт",IF(Z617&lt;Законод!$C$26,0,(IF(AND(Z617&gt;=Законод!$H$26,Z617&lt;=Законод!$H$27),Z617-Законод!$G$27,IF(Z617&gt;=Законод!$I$26,Законод!$H$28,0)))),0)))</f>
        <v>0</v>
      </c>
      <c r="AA622" s="942"/>
      <c r="AB622" s="935" t="s">
        <v>423</v>
      </c>
      <c r="AC622" s="936"/>
      <c r="AD622" s="936"/>
      <c r="AE622" s="936"/>
      <c r="AF622" s="937"/>
      <c r="AG622" s="196">
        <f ca="1">IF($B$613="Лікар загальної практики - сімейний лікар",IF(AG617&lt;Законод!$C$22,0,(IF(AND(AG617&gt;=Законод!$H$22,AG617&lt;=Законод!$H$23),AG617-Законод!$G$23,IF('01_Доходи'!AG617&gt;=Законод!$I$22,Законод!$H$24,0)))),IF($B$613="Лікар-педіатр",IF(AG617&lt;Законод!$C$18,0,(IF(AND(AG617&gt;=Законод!$H$18,AG617&lt;=Законод!$H$19),AG617-Законод!$G$19,IF('01_Доходи'!AG617&gt;=Законод!$I$18,Законод!$H$20,0)))),IF($B$613="Лікар-терапевт",IF(AG617&lt;Законод!$C$26,0,(IF(AND(AG617&gt;=Законод!$H$26,AG617&lt;=Законод!$H$27),AG617-Законод!$G$27,IF(AG617&gt;=Законод!$I$26,Законод!$H$28,0)))),0)))</f>
        <v>0</v>
      </c>
      <c r="AH622" s="942"/>
      <c r="AI622" s="201"/>
      <c r="AJ622" s="945"/>
      <c r="AK622" s="960"/>
      <c r="AL622" s="960"/>
      <c r="AM622" s="927"/>
      <c r="AN622" s="210">
        <f ca="1">IF(B613="Лікар загальної практики - сімейний лікар",L622*Законод!$C$9/4*Законод!$H$16,IF(B613="Лікар-педіатр",L622*Законод!$C$9/4*Законод!$H$16,IF(B613="Лікар-терапевт",L622*Законод!$C$9/4*Законод!$H$16,0)))</f>
        <v>0</v>
      </c>
      <c r="AO622" s="210">
        <f ca="1">IF(B613="Лікар загальної практики - сімейний лікар",S622*Законод!$C$9/4*Законод!$H$16,IF(B613="Лікар-педіатр",S622*Законод!$C$9/4*Законод!$H$16,IF(B613="Лікар-терапевт",S622*Законод!$C$9/4*Законод!$H$16,0)))</f>
        <v>0</v>
      </c>
      <c r="AP622" s="210">
        <f ca="1">IF(B613="Лікар загальної практики - сімейний лікар",Z622*Законод!$C$9/4*Законод!$H$16,IF(B613="Лікар-педіатр",Z622*Законод!$C$9/4*Законод!$H$16,IF(B613="Лікар-терапевт",Z622*Законод!$C$9/4*Законод!$H$16,0)))</f>
        <v>0</v>
      </c>
      <c r="AQ622" s="210">
        <f ca="1">IF(B613="Лікар загальної практики - сімейний лікар",AG622*Законод!$C$9/4*Законод!$H$16,IF(B613="Лікар-педіатр",AG622*Законод!$C$9/4*Законод!$H$16,IF(B613="Лікар-терапевт",AG622*Законод!$C$9/4*Законод!$H$16,0)))</f>
        <v>0</v>
      </c>
      <c r="AR622" s="211">
        <f t="shared" si="87"/>
        <v>0</v>
      </c>
    </row>
    <row r="623" spans="1:44" s="50" customFormat="1" ht="31.9" hidden="1" customHeight="1">
      <c r="A623" s="197"/>
      <c r="B623" s="951"/>
      <c r="C623" s="954"/>
      <c r="D623" s="957"/>
      <c r="E623" s="939"/>
      <c r="F623" s="238" t="str">
        <f ca="1">IF(B613="Лікар-педіатр",Законод!$I$17,IF(B613="Лікар загальної практики - сімейний лікар",Законод!$I$21,IF(B613="Лікар-терапевт",Законод!$I$25,"х")))</f>
        <v>х</v>
      </c>
      <c r="G623" s="935" t="s">
        <v>423</v>
      </c>
      <c r="H623" s="936"/>
      <c r="I623" s="936"/>
      <c r="J623" s="936"/>
      <c r="K623" s="937"/>
      <c r="L623" s="196">
        <f ca="1">IF($B$613="Лікар загальної практики - сімейний лікар",IF(L617&lt;Законод!$C$22,0,(IF(AND(L617&gt;=Законод!$I$22,L617&lt;=Законод!$I$23),L617-Законод!$H$23,IF('01_Доходи'!L617&gt;=Законод!$I$22,Законод!$I$24,0)))),IF($B$613="Лікар-педіатр",IF(L617&lt;Законод!$C$18,0,(IF(AND(L617&gt;=Законод!$I$18,L617&lt;=Законод!$I$19),L617-Законод!$H$19,IF('01_Доходи'!L617&gt;=Законод!$I$18,Законод!$H$20,0)))),IF($B$613="Лікар-терапевт",IF(L617&lt;Законод!$C$26,0,(IF(AND(L617&gt;=Законод!$I$26,L617&lt;=Законод!$I$27),L617-Законод!$H$27,IF('01_Доходи'!L617&gt;=Законод!$I$26,Законод!$H$28,0)))),0)))</f>
        <v>0</v>
      </c>
      <c r="M623" s="942"/>
      <c r="N623" s="935" t="s">
        <v>423</v>
      </c>
      <c r="O623" s="936"/>
      <c r="P623" s="936"/>
      <c r="Q623" s="936"/>
      <c r="R623" s="937"/>
      <c r="S623" s="196">
        <f ca="1">IF($B$613="Лікар загальної практики - сімейний лікар",IF(S617&lt;Законод!$C$22,0,(IF(AND(S617&gt;=Законод!$I$22,S617&lt;=Законод!$I$23),S617-Законод!$H$23,IF('01_Доходи'!S617&gt;=Законод!$I$22,Законод!$I$24,0)))),IF($B$613="Лікар-педіатр",IF(S617&lt;Законод!$C$18,0,(IF(AND(S617&gt;=Законод!$I$18,S617&lt;=Законод!$I$19),S617-Законод!$H$19,IF('01_Доходи'!S617&gt;=Законод!$I$18,Законод!$H$20,0)))),IF($B$613="Лікар-терапевт",IF(S617&lt;Законод!$C$26,0,(IF(AND(S617&gt;=Законод!$I$26,S617&lt;=Законод!$I$27),S617-Законод!$H$27,IF('01_Доходи'!S617&gt;=Законод!$I$26,Законод!$H$28,0)))),0)))</f>
        <v>0</v>
      </c>
      <c r="T623" s="942"/>
      <c r="U623" s="935" t="s">
        <v>423</v>
      </c>
      <c r="V623" s="936"/>
      <c r="W623" s="936"/>
      <c r="X623" s="936"/>
      <c r="Y623" s="937"/>
      <c r="Z623" s="196">
        <f ca="1">IF($B$613="Лікар загальної практики - сімейний лікар",IF(Z617&lt;Законод!$C$22,0,(IF(AND(Z617&gt;=Законод!$I$22,Z617&lt;=Законод!$I$23),Z617-Законод!$H$23,IF('01_Доходи'!Z617&gt;=Законод!$I$22,Законод!$I$24,0)))),IF($B$613="Лікар-педіатр",IF(Z617&lt;Законод!$C$18,0,(IF(AND(Z617&gt;=Законод!$I$18,Z617&lt;=Законод!$I$19),Z617-Законод!$H$19,IF('01_Доходи'!Z617&gt;=Законод!$I$18,Законод!$H$20,0)))),IF($B$613="Лікар-терапевт",IF(Z617&lt;Законод!$C$26,0,(IF(AND(Z617&gt;=Законод!$I$26,Z617&lt;=Законод!$I$27),Z617-Законод!$H$27,IF('01_Доходи'!Z617&gt;=Законод!$I$26,Законод!$H$28,0)))),0)))</f>
        <v>0</v>
      </c>
      <c r="AA623" s="942"/>
      <c r="AB623" s="935" t="s">
        <v>423</v>
      </c>
      <c r="AC623" s="936"/>
      <c r="AD623" s="936"/>
      <c r="AE623" s="936"/>
      <c r="AF623" s="937"/>
      <c r="AG623" s="196">
        <f ca="1">IF($B$613="Лікар загальної практики - сімейний лікар",IF(AG617&lt;Законод!$C$22,0,(IF(AND(AG617&gt;=Законод!$I$22,AG617&lt;=Законод!$I$23),AG617-Законод!$H$23,IF('01_Доходи'!AG617&gt;=Законод!$I$22,Законод!$I$24,0)))),IF($B$613="Лікар-педіатр",IF(AG617&lt;Законод!$C$18,0,(IF(AND(AG617&gt;=Законод!$I$18,AG617&lt;=Законод!$I$19),AG617-Законод!$H$19,IF('01_Доходи'!AG617&gt;=Законод!$I$18,Законод!$H$20,0)))),IF($B$613="Лікар-терапевт",IF(AG617&lt;Законод!$C$26,0,(IF(AND(AG617&gt;=Законод!$I$26,AG617&lt;=Законод!$I$27),AG617-Законод!$H$27,IF('01_Доходи'!AG617&gt;=Законод!$I$26,Законод!$H$28,0)))),0)))</f>
        <v>0</v>
      </c>
      <c r="AH623" s="942"/>
      <c r="AI623" s="201"/>
      <c r="AJ623" s="945"/>
      <c r="AK623" s="960"/>
      <c r="AL623" s="960"/>
      <c r="AM623" s="927"/>
      <c r="AN623" s="210">
        <f ca="1">IF(B613="Лікар загальної практики - сімейний лікар",L623*Законод!$C$9/4*Законод!$I$16,IF(B613="Лікар-педіатр",L623*Законод!$C$9/4*Законод!$I$16,IF(B613="Лікар-терапевт",L623*Законод!$C$9/4*Законод!$I$16,0)))</f>
        <v>0</v>
      </c>
      <c r="AO623" s="210">
        <f ca="1">IF(B613="Лікар загальної практики - сімейний лікар",S623*Законод!$C$9/4*Законод!$I$16,IF(B613="Лікар-педіатр",S623*Законод!$C$9/4*Законод!$I$16,IF(B613="Лікар-терапевт",S623*Законод!$C$9/4*Законод!$I$16,0)))</f>
        <v>0</v>
      </c>
      <c r="AP623" s="210">
        <f ca="1">IF(B613="Лікар загальної практики - сімейний лікар",Z623*Законод!$C$9/4*Законод!$I$16,IF(B613="Лікар-педіатр",Z623*Законод!$C$9/4*Законод!$I$16,IF(B613="Лікар-терапевт",Z623*Законод!$C$9/4*Законод!$I$16,0)))</f>
        <v>0</v>
      </c>
      <c r="AQ623" s="210">
        <f ca="1">IF(B613="Лікар загальної практики - сімейний лікар",AG623*Законод!$C$9/4*Законод!$I$16,IF(B613="Лікар-педіатр",AG623*Законод!$C$9/4*Законод!$I$16,IF(B613="Лікар-терапевт",AG623*Законод!$C$9/4*Законод!$I$16,0)))</f>
        <v>0</v>
      </c>
      <c r="AR623" s="211">
        <f t="shared" si="87"/>
        <v>0</v>
      </c>
    </row>
    <row r="624" spans="1:44" s="218" customFormat="1" ht="31.9" hidden="1" customHeight="1" thickBot="1">
      <c r="A624" s="213"/>
      <c r="B624" s="952"/>
      <c r="C624" s="955"/>
      <c r="D624" s="958"/>
      <c r="E624" s="940"/>
      <c r="F624" s="239" t="str">
        <f ca="1">IF(B613="Лікар-педіатр",Законод!$J$17,IF(B613="Лікар загальної практики - сімейний лікар",Законод!$J$21,IF(B613="Лікар-терапевт",Законод!$J$25,"х")))</f>
        <v>х</v>
      </c>
      <c r="G624" s="932" t="s">
        <v>423</v>
      </c>
      <c r="H624" s="933"/>
      <c r="I624" s="933"/>
      <c r="J624" s="933"/>
      <c r="K624" s="934"/>
      <c r="L624" s="196">
        <f ca="1">IF($B$613="Лікар загальної практики - сімейний лікар",IF(L617&gt;=Законод!$J$22,'01_Доходи'!L617-('01_Доходи'!L618+'01_Доходи'!L619+'01_Доходи'!L620+'01_Доходи'!L621+'01_Доходи'!L622+'01_Доходи'!L623),0),IF($B$613="Лікар-педіатр",IF(L617&gt;=Законод!$J$18,'01_Доходи'!L617-('01_Доходи'!L618+'01_Доходи'!L619+'01_Доходи'!L620+'01_Доходи'!L621+'01_Доходи'!L622+'01_Доходи'!L623),0),IF($B$613="Лікар-терапевт",IF('01_Доходи'!L617&gt;=Законод!$J$26,L617-Законод!$I$27,0),0)))</f>
        <v>0</v>
      </c>
      <c r="M624" s="943"/>
      <c r="N624" s="932" t="s">
        <v>423</v>
      </c>
      <c r="O624" s="933"/>
      <c r="P624" s="933"/>
      <c r="Q624" s="933"/>
      <c r="R624" s="934"/>
      <c r="S624" s="196">
        <f ca="1">IF($B$613="Лікар загальної практики - сімейний лікар",IF(S617&gt;=Законод!$J$22,'01_Доходи'!S617-('01_Доходи'!S618+'01_Доходи'!S619+'01_Доходи'!S620+'01_Доходи'!S621+'01_Доходи'!S622+'01_Доходи'!S623),0),IF($B$613="Лікар-педіатр",IF(S617&gt;=Законод!$J$18,'01_Доходи'!S617-('01_Доходи'!S618+'01_Доходи'!S619+'01_Доходи'!S620+'01_Доходи'!S621+'01_Доходи'!S622+'01_Доходи'!S623),0),IF($B$613="Лікар-терапевт",IF('01_Доходи'!S617&gt;=Законод!$J$26,S617-Законод!$I$27,0),0)))</f>
        <v>0</v>
      </c>
      <c r="T624" s="943"/>
      <c r="U624" s="932" t="s">
        <v>423</v>
      </c>
      <c r="V624" s="933"/>
      <c r="W624" s="933"/>
      <c r="X624" s="933"/>
      <c r="Y624" s="934"/>
      <c r="Z624" s="196">
        <f ca="1">IF($B$613="Лікар загальної практики - сімейний лікар",IF(Z617&gt;=Законод!$J$22,'01_Доходи'!Z617-('01_Доходи'!Z618+'01_Доходи'!Z619+'01_Доходи'!Z620+'01_Доходи'!Z621+'01_Доходи'!Z622+'01_Доходи'!Z623),0),IF($B$613="Лікар-педіатр",IF(Z617&gt;=Законод!$J$18,'01_Доходи'!Z617-('01_Доходи'!Z618+'01_Доходи'!Z619+'01_Доходи'!Z620+'01_Доходи'!Z621+'01_Доходи'!Z622+'01_Доходи'!Z623),0),IF($B$613="Лікар-терапевт",IF('01_Доходи'!Z617&gt;=Законод!$J$26,Z617-Законод!$I$27,0),0)))</f>
        <v>0</v>
      </c>
      <c r="AA624" s="943"/>
      <c r="AB624" s="932" t="s">
        <v>423</v>
      </c>
      <c r="AC624" s="933"/>
      <c r="AD624" s="933"/>
      <c r="AE624" s="933"/>
      <c r="AF624" s="934"/>
      <c r="AG624" s="196">
        <f ca="1">IF($B$613="Лікар загальної практики - сімейний лікар",IF(AG617&gt;=Законод!$J$22,'01_Доходи'!AG617-('01_Доходи'!AG618+'01_Доходи'!AG619+'01_Доходи'!AG620+'01_Доходи'!AG621+'01_Доходи'!AG622+'01_Доходи'!AG623),0),IF($B$613="Лікар-педіатр",IF(AG617&gt;=Законод!$J$18,'01_Доходи'!AG617-('01_Доходи'!AG618+'01_Доходи'!AG619+'01_Доходи'!AG620+'01_Доходи'!AG621+'01_Доходи'!AG622+'01_Доходи'!AG623),0),IF($B$613="Лікар-терапевт",IF('01_Доходи'!AG617&gt;=Законод!$J$26,AG617-Законод!$I$27,0),0)))</f>
        <v>0</v>
      </c>
      <c r="AH624" s="943"/>
      <c r="AI624" s="215"/>
      <c r="AJ624" s="946"/>
      <c r="AK624" s="961"/>
      <c r="AL624" s="961"/>
      <c r="AM624" s="928"/>
      <c r="AN624" s="216">
        <f ca="1">IF(B613="Лікар загальної практики - сімейний лікар",L624*Законод!$C$9/4*Законод!$J$16,IF(B613="Лікар-педіатр",L624*Законод!$C$9/4*Законод!$J$16,IF(B613="Лікар-терапевт",L624*Законод!$C$9/4*Законод!$J$16,0)))</f>
        <v>0</v>
      </c>
      <c r="AO624" s="216">
        <f ca="1">IF(B613="Лікар загальної практики - сімейний лікар",S624*Законод!$C$9/4*Законод!$J$16,IF(B613="Лікар-педіатр",S624*Законод!$C$9/4*Законод!$J$16,IF(B613="Лікар-терапевт",S624*Законод!$C$9/4*Законод!$J$16,0)))</f>
        <v>0</v>
      </c>
      <c r="AP624" s="216">
        <f ca="1">IF(B613="Лікар загальної практики - сімейний лікар",S624*Законод!$C$9/4*Законод!$J$16,IF(B613="Лікар-педіатр",S624*Законод!$C$9/4*Законод!$J$16,IF(B613="Лікар-терапевт",S624*Законод!$C$9/4*Законод!$J$16,0)))</f>
        <v>0</v>
      </c>
      <c r="AQ624" s="216">
        <f ca="1">IF(B613="Лікар загальної практики - сімейний лікар",AG624*Законод!$C$9/4*Законод!$J$16,IF(B613="Лікар-педіатр",AG624*Законод!$C$9/4*Законод!$J$16,IF(B613="Лікар-терапевт",AG624*Законод!$C$9/4*Законод!$J$16,0)))</f>
        <v>0</v>
      </c>
      <c r="AR624" s="217">
        <f t="shared" si="87"/>
        <v>0</v>
      </c>
    </row>
    <row r="625" spans="1:44" s="247" customFormat="1" ht="23.45" hidden="1" customHeight="1" thickBot="1">
      <c r="A625" s="243"/>
      <c r="B625" s="244"/>
      <c r="C625" s="244"/>
      <c r="D625" s="244"/>
      <c r="E625" s="244"/>
      <c r="F625" s="245"/>
      <c r="G625" s="246"/>
      <c r="H625" s="246"/>
      <c r="L625" s="248"/>
      <c r="S625" s="248"/>
      <c r="Z625" s="248"/>
      <c r="AG625" s="248"/>
      <c r="AM625" s="249"/>
      <c r="AR625" s="250"/>
    </row>
    <row r="626" spans="1:44" s="191" customFormat="1" ht="24.6" hidden="1" customHeight="1">
      <c r="A626" s="194">
        <f>A613+1</f>
        <v>46</v>
      </c>
      <c r="B626" s="950"/>
      <c r="C626" s="953"/>
      <c r="D626" s="956"/>
      <c r="E626" s="938"/>
      <c r="F626" s="234" t="s">
        <v>659</v>
      </c>
      <c r="G626" s="196">
        <f>IF($B$626="Лікар-педіатр",G629*L626,IF($B$626="Лікар-терапевт","х",IF($B$626="Лікар загальної практики - сімейний лікар",G629*L626,0)))</f>
        <v>0</v>
      </c>
      <c r="H626" s="196">
        <f>IF($B$626="Лікар-педіатр",H629*L626,IF($B$626="Лікар-терапевт","х",IF($B$626="Лікар загальної практики - сімейний лікар",H629*L626,0)))</f>
        <v>0</v>
      </c>
      <c r="I626" s="196">
        <f>IF($B$626="Лікар-педіатр","x",IF($B$626="Лікар-терапевт",I629*L626,IF($B$626="Лікар загальної практики - сімейний лікар",I629*L626,0)))</f>
        <v>0</v>
      </c>
      <c r="J626" s="196">
        <f>IF($B$626="Лікар-педіатр","x",IF($B$626="Лікар-терапевт",J629*L626,IF($B$626="Лікар загальної практики - сімейний лікар",J629*L626,0)))</f>
        <v>0</v>
      </c>
      <c r="K626" s="196">
        <f>IF($B$626="Лікар-педіатр","x",IF($B$626="Лікар-терапевт",K629*L626,IF($B$626="Лікар загальної практики - сімейний лікар",K629*L626,0)))</f>
        <v>0</v>
      </c>
      <c r="L626" s="557"/>
      <c r="M626" s="941"/>
      <c r="N626" s="196">
        <f>IF($B$626="Лікар-педіатр",N629*S626,IF($B$626="Лікар-терапевт","х",IF($B$626="Лікар загальної практики - сімейний лікар",N629*S626,0)))</f>
        <v>0</v>
      </c>
      <c r="O626" s="196">
        <f>IF($B$626="Лікар-педіатр",O629*S626,IF($B$626="Лікар-терапевт","х",IF($B$626="Лікар загальної практики - сімейний лікар",O629*S626,0)))</f>
        <v>0</v>
      </c>
      <c r="P626" s="196">
        <f>IF($B$626="Лікар-педіатр","x",IF($B$626="Лікар-терапевт",P629*S626,IF($B$626="Лікар загальної практики - сімейний лікар",P629*S626,0)))</f>
        <v>0</v>
      </c>
      <c r="Q626" s="196">
        <f>IF($B$626="Лікар-педіатр","x",IF($B$626="Лікар-терапевт",Q629*S626,IF($B$626="Лікар загальної практики - сімейний лікар",Q629*S626,0)))</f>
        <v>0</v>
      </c>
      <c r="R626" s="196">
        <f>IF($B$626="Лікар-педіатр","x",IF($B$626="Лікар-терапевт",R629*S626,IF($B$626="Лікар загальної практики - сімейний лікар",R629*S626,0)))</f>
        <v>0</v>
      </c>
      <c r="S626" s="557"/>
      <c r="T626" s="941"/>
      <c r="U626" s="196">
        <f>IF($B$626="Лікар-педіатр",U629*Z626,IF($B$626="Лікар-терапевт","х",IF($B$626="Лікар загальної практики - сімейний лікар",U629*Z626,0)))</f>
        <v>0</v>
      </c>
      <c r="V626" s="196">
        <f>IF($B$626="Лікар-педіатр",V629*Z626,IF($B$626="Лікар-терапевт","х",IF($B$626="Лікар загальної практики - сімейний лікар",V629*Z626,0)))</f>
        <v>0</v>
      </c>
      <c r="W626" s="196">
        <f>IF($B$626="Лікар-педіатр","x",IF($B$626="Лікар-терапевт",W629*Z626,IF($B$626="Лікар загальної практики - сімейний лікар",W629*Z626,0)))</f>
        <v>0</v>
      </c>
      <c r="X626" s="196">
        <f>IF($B$626="Лікар-педіатр","x",IF($B$626="Лікар-терапевт",X629*Z626,IF($B$626="Лікар загальної практики - сімейний лікар",X629*Z626,0)))</f>
        <v>0</v>
      </c>
      <c r="Y626" s="196">
        <f>IF($B$626="Лікар-педіатр","x",IF($B$626="Лікар-терапевт",Y629*Z626,IF($B$626="Лікар загальної практики - сімейний лікар",Y629*Z626,0)))</f>
        <v>0</v>
      </c>
      <c r="Z626" s="557"/>
      <c r="AA626" s="941"/>
      <c r="AB626" s="196">
        <f>IF($B$626="Лікар-педіатр",AB629*AG626,IF($B$626="Лікар-терапевт","х",IF($B$626="Лікар загальної практики - сімейний лікар",AB629*AG626,0)))</f>
        <v>0</v>
      </c>
      <c r="AC626" s="196">
        <f>IF($B$626="Лікар-педіатр",AC629*AG626,IF($B$626="Лікар-терапевт","х",IF($B$626="Лікар загальної практики - сімейний лікар",AC629*AG626,0)))</f>
        <v>0</v>
      </c>
      <c r="AD626" s="196">
        <f>IF($B$626="Лікар-педіатр","x",IF($B$626="Лікар-терапевт",AD629*AG626,IF($B$626="Лікар загальної практики - сімейний лікар",AD629*AG626,0)))</f>
        <v>0</v>
      </c>
      <c r="AE626" s="196">
        <f>IF($B$626="Лікар-педіатр","x",IF($B$626="Лікар-терапевт",AE629*AG626,IF($B$626="Лікар загальної практики - сімейний лікар",AE629*AG626,0)))</f>
        <v>0</v>
      </c>
      <c r="AF626" s="196">
        <f>IF($B$626="Лікар-педіатр","x",IF($B$626="Лікар-терапевт",AF629*AG626,IF($B$626="Лікар загальної практики - сімейний лікар",AF629*AG626,0)))</f>
        <v>0</v>
      </c>
      <c r="AG626" s="557"/>
      <c r="AH626" s="941"/>
      <c r="AI626" s="540">
        <f>A626</f>
        <v>46</v>
      </c>
      <c r="AJ626" s="944">
        <f>B626</f>
        <v>0</v>
      </c>
      <c r="AK626" s="959">
        <f>C626</f>
        <v>0</v>
      </c>
      <c r="AL626" s="959">
        <f>D626</f>
        <v>0</v>
      </c>
      <c r="AM626" s="929" t="s">
        <v>79</v>
      </c>
      <c r="AN626" s="947">
        <f>SUM(AN631:AN637)</f>
        <v>0</v>
      </c>
      <c r="AO626" s="947">
        <f>SUM(AO631:AO637)</f>
        <v>0</v>
      </c>
      <c r="AP626" s="947">
        <f>SUM(AP631:AP637)</f>
        <v>0</v>
      </c>
      <c r="AQ626" s="947">
        <f>SUM(AQ631:AQ637)</f>
        <v>0</v>
      </c>
      <c r="AR626" s="962">
        <f>SUM(AN626:AQ630)</f>
        <v>0</v>
      </c>
    </row>
    <row r="627" spans="1:44" s="50" customFormat="1" ht="28.15" hidden="1" customHeight="1">
      <c r="A627" s="197"/>
      <c r="B627" s="951"/>
      <c r="C627" s="954"/>
      <c r="D627" s="957"/>
      <c r="E627" s="939"/>
      <c r="F627" s="234" t="s">
        <v>660</v>
      </c>
      <c r="G627" s="196">
        <f>IF($B$626="Лікар-педіатр",G629*L627,IF($B$626="Лікар-терапевт","х",IF($B$626="Лікар загальної практики - сімейний лікар",G629*L627,0)))</f>
        <v>0</v>
      </c>
      <c r="H627" s="196">
        <f>IF($B$626="Лікар-педіатр",H629*L627,IF($B$626="Лікар-терапевт","х",IF($B$626="Лікар загальної практики - сімейний лікар",H629*L627,0)))</f>
        <v>0</v>
      </c>
      <c r="I627" s="196">
        <f>IF($B$626="Лікар-педіатр","x",IF($B$626="Лікар-терапевт",I629*L627,IF($B$626="Лікар загальної практики - сімейний лікар",I629*L627,0)))</f>
        <v>0</v>
      </c>
      <c r="J627" s="196">
        <f>IF($B$626="Лікар-педіатр","x",IF($B$626="Лікар-терапевт",J629*L627,IF($B$626="Лікар загальної практики - сімейний лікар",J629*L627,0)))</f>
        <v>0</v>
      </c>
      <c r="K627" s="196">
        <f>IF($B$626="Лікар-педіатр","x",IF($B$626="Лікар-терапевт",K629*L627,IF($B$626="Лікар загальної практики - сімейний лікар",K629*L627,0)))</f>
        <v>0</v>
      </c>
      <c r="L627" s="557"/>
      <c r="M627" s="942"/>
      <c r="N627" s="196">
        <f>IF($B$626="Лікар-педіатр",N629*S627,IF($B$626="Лікар-терапевт","х",IF($B$626="Лікар загальної практики - сімейний лікар",N629*S627,0)))</f>
        <v>0</v>
      </c>
      <c r="O627" s="196">
        <f>IF($B$626="Лікар-педіатр",O629*S627,IF($B$626="Лікар-терапевт","х",IF($B$626="Лікар загальної практики - сімейний лікар",O629*S627,0)))</f>
        <v>0</v>
      </c>
      <c r="P627" s="196">
        <f>IF($B$626="Лікар-педіатр","x",IF($B$626="Лікар-терапевт",P629*S627,IF($B$626="Лікар загальної практики - сімейний лікар",P629*S627,0)))</f>
        <v>0</v>
      </c>
      <c r="Q627" s="196">
        <f>IF($B$626="Лікар-педіатр","x",IF($B$626="Лікар-терапевт",Q629*S627,IF($B$626="Лікар загальної практики - сімейний лікар",Q629*S627,0)))</f>
        <v>0</v>
      </c>
      <c r="R627" s="196">
        <f>IF($B$626="Лікар-педіатр","x",IF($B$626="Лікар-терапевт",R629*S627,IF($B$626="Лікар загальної практики - сімейний лікар",R629*S627,0)))</f>
        <v>0</v>
      </c>
      <c r="S627" s="557"/>
      <c r="T627" s="942"/>
      <c r="U627" s="196">
        <f>IF($B$626="Лікар-педіатр",U629*Z627,IF($B$626="Лікар-терапевт","х",IF($B$626="Лікар загальної практики - сімейний лікар",U629*Z627,0)))</f>
        <v>0</v>
      </c>
      <c r="V627" s="196">
        <f>IF($B$626="Лікар-педіатр",V629*Z627,IF($B$626="Лікар-терапевт","х",IF($B$626="Лікар загальної практики - сімейний лікар",V629*Z627,0)))</f>
        <v>0</v>
      </c>
      <c r="W627" s="196">
        <f>IF($B$626="Лікар-педіатр","x",IF($B$626="Лікар-терапевт",W629*Z627,IF($B$626="Лікар загальної практики - сімейний лікар",W629*Z627,0)))</f>
        <v>0</v>
      </c>
      <c r="X627" s="196">
        <f>IF($B$626="Лікар-педіатр","x",IF($B$626="Лікар-терапевт",X629*Z627,IF($B$626="Лікар загальної практики - сімейний лікар",X629*Z627,0)))</f>
        <v>0</v>
      </c>
      <c r="Y627" s="196">
        <f>IF($B$626="Лікар-педіатр","x",IF($B$626="Лікар-терапевт",Y629*Z627,IF($B$626="Лікар загальної практики - сімейний лікар",Y629*Z627,0)))</f>
        <v>0</v>
      </c>
      <c r="Z627" s="557"/>
      <c r="AA627" s="942"/>
      <c r="AB627" s="196">
        <f>IF($B$626="Лікар-педіатр",AB629*AG627,IF($B$626="Лікар-терапевт","х",IF($B$626="Лікар загальної практики - сімейний лікар",AB629*AG627,0)))</f>
        <v>0</v>
      </c>
      <c r="AC627" s="196">
        <f>IF($B$626="Лікар-педіатр",AC629*AG627,IF($B$626="Лікар-терапевт","х",IF($B$626="Лікар загальної практики - сімейний лікар",AC629*AG627,0)))</f>
        <v>0</v>
      </c>
      <c r="AD627" s="196">
        <f>IF($B$626="Лікар-педіатр","x",IF($B$626="Лікар-терапевт",AD629*AG627,IF($B$626="Лікар загальної практики - сімейний лікар",AD629*AG627,0)))</f>
        <v>0</v>
      </c>
      <c r="AE627" s="196">
        <f>IF($B$626="Лікар-педіатр","x",IF($B$626="Лікар-терапевт",AE629*AG627,IF($B$626="Лікар загальної практики - сімейний лікар",AE629*AG627,0)))</f>
        <v>0</v>
      </c>
      <c r="AF627" s="196">
        <f>IF($B$626="Лікар-педіатр","x",IF($B$626="Лікар-терапевт",AF629*AG627,IF($B$626="Лікар загальної практики - сімейний лікар",AF629*AG627,0)))</f>
        <v>0</v>
      </c>
      <c r="AG627" s="557"/>
      <c r="AH627" s="942"/>
      <c r="AI627" s="198"/>
      <c r="AJ627" s="945"/>
      <c r="AK627" s="960"/>
      <c r="AL627" s="960"/>
      <c r="AM627" s="930"/>
      <c r="AN627" s="948"/>
      <c r="AO627" s="948"/>
      <c r="AP627" s="948"/>
      <c r="AQ627" s="948"/>
      <c r="AR627" s="963"/>
    </row>
    <row r="628" spans="1:44" s="90" customFormat="1" ht="31.15" hidden="1" customHeight="1">
      <c r="A628" s="240"/>
      <c r="B628" s="951"/>
      <c r="C628" s="954"/>
      <c r="D628" s="957"/>
      <c r="E628" s="939"/>
      <c r="F628" s="241" t="s">
        <v>661</v>
      </c>
      <c r="G628" s="199">
        <f>IF(B626="Лікар загальної практики - сімейний лікар"," ",IF(B626="Лікар-педіатр"," ",IF(B626="Лікар-терапевт","х",0)))</f>
        <v>0</v>
      </c>
      <c r="H628" s="199">
        <f>IF(B626="Лікар загальної практики - сімейний лікар"," ",IF(B626="Лікар-педіатр"," ",IF(B626="Лікар-терапевт","х",0)))</f>
        <v>0</v>
      </c>
      <c r="I628" s="199">
        <f>IF(B626="Лікар загальної практики - сімейний лікар"," ",IF(B626="Лікар-педіатр","х",IF(B626="Лікар-терапевт"," ",0)))</f>
        <v>0</v>
      </c>
      <c r="J628" s="199">
        <f>IF(B626="Лікар загальної практики - сімейний лікар"," ",IF(B626="Лікар-педіатр","х",IF(B626="Лікар-терапевт"," ",0)))</f>
        <v>0</v>
      </c>
      <c r="K628" s="199">
        <f>IF(B626="Лікар загальної практики - сімейний лікар"," ",IF(B626="Лікар-педіатр","х",IF(B626="Лікар-терапевт"," ",0)))</f>
        <v>0</v>
      </c>
      <c r="L628" s="200">
        <f>SUM(G628:K628)</f>
        <v>0</v>
      </c>
      <c r="M628" s="942"/>
      <c r="N628" s="199">
        <f>IF(B626="Лікар загальної практики - сімейний лікар"," ",IF(B626="Лікар-педіатр"," ",IF(B626="Лікар-терапевт","х",0)))</f>
        <v>0</v>
      </c>
      <c r="O628" s="199">
        <f>IF(B626="Лікар загальної практики - сімейний лікар"," ",IF(B626="Лікар-педіатр"," ",IF(B626="Лікар-терапевт","х",0)))</f>
        <v>0</v>
      </c>
      <c r="P628" s="199">
        <f>IF(B626="Лікар загальної практики - сімейний лікар"," ",IF(B626="Лікар-педіатр","х",IF(B626="Лікар-терапевт"," ",0)))</f>
        <v>0</v>
      </c>
      <c r="Q628" s="199">
        <f>IF(B626="Лікар загальної практики - сімейний лікар"," ",IF(B626="Лікар-педіатр","х",IF(B626="Лікар-терапевт"," ",0)))</f>
        <v>0</v>
      </c>
      <c r="R628" s="199">
        <f>IF(B626="Лікар загальної практики - сімейний лікар"," ",IF(B626="Лікар-педіатр","х",IF(B626="Лікар-терапевт"," ",0)))</f>
        <v>0</v>
      </c>
      <c r="S628" s="200">
        <f>SUM(N628:R628)</f>
        <v>0</v>
      </c>
      <c r="T628" s="942"/>
      <c r="U628" s="199">
        <f>IF(B626="Лікар загальної практики - сімейний лікар"," ",IF(B626="Лікар-педіатр"," ",IF(B626="Лікар-терапевт","х",0)))</f>
        <v>0</v>
      </c>
      <c r="V628" s="199">
        <f>IF(B626="Лікар загальної практики - сімейний лікар"," ",IF(B626="Лікар-педіатр"," ",IF(B626="Лікар-терапевт","х",0)))</f>
        <v>0</v>
      </c>
      <c r="W628" s="199">
        <f>IF(B626="Лікар загальної практики - сімейний лікар"," ",IF(B626="Лікар-педіатр","х",IF(B626="Лікар-терапевт"," ",0)))</f>
        <v>0</v>
      </c>
      <c r="X628" s="199">
        <f>IF(B626="Лікар загальної практики - сімейний лікар"," ",IF(B626="Лікар-педіатр","х",IF(B626="Лікар-терапевт"," ",0)))</f>
        <v>0</v>
      </c>
      <c r="Y628" s="199">
        <f>IF(B626="Лікар загальної практики - сімейний лікар"," ",IF(B626="Лікар-педіатр","х",IF(B626="Лікар-терапевт"," ",0)))</f>
        <v>0</v>
      </c>
      <c r="Z628" s="200">
        <f>SUM(U628:Y628)</f>
        <v>0</v>
      </c>
      <c r="AA628" s="942"/>
      <c r="AB628" s="199">
        <f>IF(B626="Лікар загальної практики - сімейний лікар"," ",IF(B626="Лікар-педіатр"," ",IF(B626="Лікар-терапевт","х",0)))</f>
        <v>0</v>
      </c>
      <c r="AC628" s="199">
        <f>IF(B626="Лікар загальної практики - сімейний лікар"," ",IF(B626="Лікар-педіатр"," ",IF(B626="Лікар-терапевт","х",0)))</f>
        <v>0</v>
      </c>
      <c r="AD628" s="199">
        <f>IF(B626="Лікар загальної практики - сімейний лікар"," ",IF(B626="Лікар-педіатр","х",IF(B626="Лікар-терапевт"," ",0)))</f>
        <v>0</v>
      </c>
      <c r="AE628" s="199">
        <f>IF(B626="Лікар загальної практики - сімейний лікар"," ",IF(B626="Лікар-педіатр","х",IF(B626="Лікар-терапевт"," ",0)))</f>
        <v>0</v>
      </c>
      <c r="AF628" s="199">
        <f>IF(B626="Лікар загальної практики - сімейний лікар"," ",IF(B626="Лікар-педіатр","х",IF(B626="Лікар-терапевт"," ",0)))</f>
        <v>0</v>
      </c>
      <c r="AG628" s="200">
        <f>SUM(AB628:AF628)</f>
        <v>0</v>
      </c>
      <c r="AH628" s="942"/>
      <c r="AI628" s="242"/>
      <c r="AJ628" s="945"/>
      <c r="AK628" s="960"/>
      <c r="AL628" s="960"/>
      <c r="AM628" s="930"/>
      <c r="AN628" s="948"/>
      <c r="AO628" s="948"/>
      <c r="AP628" s="948"/>
      <c r="AQ628" s="948"/>
      <c r="AR628" s="963"/>
    </row>
    <row r="629" spans="1:44" s="50" customFormat="1" ht="31.9" hidden="1" customHeight="1" thickBot="1">
      <c r="A629" s="197"/>
      <c r="B629" s="951"/>
      <c r="C629" s="954"/>
      <c r="D629" s="957"/>
      <c r="E629" s="939"/>
      <c r="F629" s="236" t="s">
        <v>426</v>
      </c>
      <c r="G629" s="203">
        <f>IF($B$626="Лікар-педіатр",G628/L628,IF($B$626="Лікар-терапевт","х",IF($B$626="Лікар загальної практики - сімейний лікар",G628/L628,0)))</f>
        <v>0</v>
      </c>
      <c r="H629" s="203">
        <f>IF($B$626="Лікар-педіатр",H628/L628,IF($B$626="Лікар-терапевт","х",IF($B$626="Лікар загальної практики - сімейний лікар",H628/L628,0)))</f>
        <v>0</v>
      </c>
      <c r="I629" s="203">
        <f>IF($B$626="Лікар-педіатр","x",IF($B$626="Лікар-терапевт",I628/L628,IF($B$626="Лікар загальної практики - сімейний лікар",I628/L628,0)))</f>
        <v>0</v>
      </c>
      <c r="J629" s="203">
        <f>IF($B$626="Лікар-педіатр","x",IF($B$626="Лікар-терапевт",J628/L628,IF($B$626="Лікар загальної практики - сімейний лікар",J628/L628,0)))</f>
        <v>0</v>
      </c>
      <c r="K629" s="203">
        <f>IF($B$626="Лікар-педіатр","x",IF($B$626="Лікар-терапевт",K628/L628,IF($B$626="Лікар загальної практики - сімейний лікар",K628/L628,0)))</f>
        <v>0</v>
      </c>
      <c r="L629" s="203">
        <f>SUM(G629:K629)</f>
        <v>0</v>
      </c>
      <c r="M629" s="942"/>
      <c r="N629" s="203">
        <f>IF($B$626="Лікар-педіатр",N628/S628,IF($B$626="Лікар-терапевт","х",IF($B$626="Лікар загальної практики - сімейний лікар",N628/S628,0)))</f>
        <v>0</v>
      </c>
      <c r="O629" s="203">
        <f>IF($B$626="Лікар-педіатр",O628/S628,IF($B$626="Лікар-терапевт","х",IF($B$626="Лікар загальної практики - сімейний лікар",O628/S628,0)))</f>
        <v>0</v>
      </c>
      <c r="P629" s="203">
        <f>IF($B$626="Лікар-педіатр","x",IF($B$626="Лікар-терапевт",P628/S628,IF($B$626="Лікар загальної практики - сімейний лікар",P628/S628,0)))</f>
        <v>0</v>
      </c>
      <c r="Q629" s="203">
        <f>IF($B$626="Лікар-педіатр","x",IF($B$626="Лікар-терапевт",Q628/S628,IF($B$626="Лікар загальної практики - сімейний лікар",Q628/S628,0)))</f>
        <v>0</v>
      </c>
      <c r="R629" s="203">
        <f>IF($B$626="Лікар-педіатр","x",IF($B$626="Лікар-терапевт",R628/S628,IF($B$626="Лікар загальної практики - сімейний лікар",R628/S628,0)))</f>
        <v>0</v>
      </c>
      <c r="S629" s="203">
        <f>SUM(N629:R629)</f>
        <v>0</v>
      </c>
      <c r="T629" s="942"/>
      <c r="U629" s="203">
        <f>IF($B$626="Лікар-педіатр",U628/Z628,IF($B$626="Лікар-терапевт","х",IF($B$626="Лікар загальної практики - сімейний лікар",U628/Z628,0)))</f>
        <v>0</v>
      </c>
      <c r="V629" s="203">
        <f>IF($B$626="Лікар-педіатр",V628/Z628,IF($B$626="Лікар-терапевт","х",IF($B$626="Лікар загальної практики - сімейний лікар",V628/Z628,0)))</f>
        <v>0</v>
      </c>
      <c r="W629" s="203">
        <f>IF($B$626="Лікар-педіатр","x",IF($B$626="Лікар-терапевт",W628/Z628,IF($B$626="Лікар загальної практики - сімейний лікар",W628/Z628,0)))</f>
        <v>0</v>
      </c>
      <c r="X629" s="203">
        <f>IF($B$626="Лікар-педіатр","x",IF($B$626="Лікар-терапевт",X628/Z628,IF($B$626="Лікар загальної практики - сімейний лікар",X628/Z628,0)))</f>
        <v>0</v>
      </c>
      <c r="Y629" s="203">
        <f>IF($B$626="Лікар-педіатр","x",IF($B$626="Лікар-терапевт",Y628/Z628,IF($B$626="Лікар загальної практики - сімейний лікар",Y628/Z628,0)))</f>
        <v>0</v>
      </c>
      <c r="Z629" s="203">
        <f>SUM(U629:Y629)</f>
        <v>0</v>
      </c>
      <c r="AA629" s="942"/>
      <c r="AB629" s="203">
        <f>IF($B$626="Лікар-педіатр",AB628/AG628,IF($B$626="Лікар-терапевт","х",IF($B$626="Лікар загальної практики - сімейний лікар",AB628/AG628,0)))</f>
        <v>0</v>
      </c>
      <c r="AC629" s="203">
        <f>IF($B$626="Лікар-педіатр",AC628/AG628,IF($B$626="Лікар-терапевт","х",IF($B$626="Лікар загальної практики - сімейний лікар",AC628/AG628,0)))</f>
        <v>0</v>
      </c>
      <c r="AD629" s="203">
        <f>IF($B$626="Лікар-педіатр","x",IF($B$626="Лікар-терапевт",AD628/AG628,IF($B$626="Лікар загальної практики - сімейний лікар",AD628/AG628,0)))</f>
        <v>0</v>
      </c>
      <c r="AE629" s="203">
        <f>IF($B$626="Лікар-педіатр","x",IF($B$626="Лікар-терапевт",AE628/AG628,IF($B$626="Лікар загальної практики - сімейний лікар",AE628/AG628,0)))</f>
        <v>0</v>
      </c>
      <c r="AF629" s="203">
        <f>IF($B$626="Лікар-педіатр","x",IF($B$626="Лікар-терапевт",AF628/AG628,IF($B$626="Лікар загальної практики - сімейний лікар",AF628/AG628,0)))</f>
        <v>0</v>
      </c>
      <c r="AG629" s="203">
        <f>SUM(AB629:AF629)</f>
        <v>0</v>
      </c>
      <c r="AH629" s="942"/>
      <c r="AI629" s="201"/>
      <c r="AJ629" s="945"/>
      <c r="AK629" s="960"/>
      <c r="AL629" s="960"/>
      <c r="AM629" s="930"/>
      <c r="AN629" s="948"/>
      <c r="AO629" s="948"/>
      <c r="AP629" s="948"/>
      <c r="AQ629" s="948"/>
      <c r="AR629" s="963"/>
    </row>
    <row r="630" spans="1:44" s="50" customFormat="1" ht="45" hidden="1" customHeight="1" thickBot="1">
      <c r="A630" s="197"/>
      <c r="B630" s="951"/>
      <c r="C630" s="954"/>
      <c r="D630" s="957"/>
      <c r="E630" s="939"/>
      <c r="F630" s="204" t="s">
        <v>662</v>
      </c>
      <c r="G630" s="205">
        <f>IF($B$626="Лікар загальної практики - сімейний лікар",AVERAGE(G626:G628),IF($B$626="Лікар-педіатр",AVERAGE(G626:G628),IF($B$626="Лікар-терапевт","х",0)))</f>
        <v>0</v>
      </c>
      <c r="H630" s="205">
        <f>IF($B$626="Лікар загальної практики - сімейний лікар",AVERAGE(H626:H628),IF($B$626="Лікар-педіатр",AVERAGE(H626:H628),IF($B$626="Лікар-терапевт","х",0)))</f>
        <v>0</v>
      </c>
      <c r="I630" s="205">
        <f>IF($B$626="Лікар загальної практики - сімейний лікар",AVERAGE(I626:I628),IF($B$626="Лікар-педіатр","x",IF($B$626="Лікар-терапевт",AVERAGE(I626:I628),0)))</f>
        <v>0</v>
      </c>
      <c r="J630" s="205">
        <f>IF($B$626="Лікар загальної практики - сімейний лікар",AVERAGE(J626:J628),IF($B$626="Лікар-педіатр","x",IF($B$626="Лікар-терапевт",AVERAGE(J626:J628),0)))</f>
        <v>0</v>
      </c>
      <c r="K630" s="205">
        <f>IF($B$626="Лікар загальної практики - сімейний лікар",AVERAGE(K626:K628),IF($B$626="Лікар-педіатр","x",IF($B$626="Лікар-терапевт",AVERAGE(K626:K628),0)))</f>
        <v>0</v>
      </c>
      <c r="L630" s="206">
        <f>SUM(G630:K630)</f>
        <v>0</v>
      </c>
      <c r="M630" s="942"/>
      <c r="N630" s="205">
        <f>IF($B$626="Лікар загальної практики - сімейний лікар",AVERAGE(N626:N628),IF($B$626="Лікар-педіатр",AVERAGE(N626:N628),IF($B$626="Лікар-терапевт","х",0)))</f>
        <v>0</v>
      </c>
      <c r="O630" s="205">
        <f>IF($B$626="Лікар загальної практики - сімейний лікар",AVERAGE(O626:O628),IF($B$626="Лікар-педіатр",AVERAGE(O626:O628),IF($B$626="Лікар-терапевт","х",0)))</f>
        <v>0</v>
      </c>
      <c r="P630" s="205">
        <f>IF($B$626="Лікар загальної практики - сімейний лікар",AVERAGE(P626:P628),IF($B$626="Лікар-педіатр","x",IF($B$626="Лікар-терапевт",AVERAGE(P626:P628),0)))</f>
        <v>0</v>
      </c>
      <c r="Q630" s="205">
        <f>IF($B$626="Лікар загальної практики - сімейний лікар",AVERAGE(Q626:Q628),IF($B$626="Лікар-педіатр","x",IF($B$626="Лікар-терапевт",AVERAGE(Q626:Q628),0)))</f>
        <v>0</v>
      </c>
      <c r="R630" s="205">
        <f>IF($B$626="Лікар загальної практики - сімейний лікар",AVERAGE(R626:R628),IF($B$626="Лікар-педіатр","x",IF($B$626="Лікар-терапевт",AVERAGE(R626:R628),0)))</f>
        <v>0</v>
      </c>
      <c r="S630" s="206">
        <f>SUM(N630:R630)</f>
        <v>0</v>
      </c>
      <c r="T630" s="942"/>
      <c r="U630" s="205">
        <f>IF($B$626="Лікар загальної практики - сімейний лікар",AVERAGE(U626:U628),IF($B$626="Лікар-педіатр",AVERAGE(U626:U628),IF($B$626="Лікар-терапевт","х",0)))</f>
        <v>0</v>
      </c>
      <c r="V630" s="205">
        <f>IF($B$626="Лікар загальної практики - сімейний лікар",AVERAGE(V626:V628),IF($B$626="Лікар-педіатр",AVERAGE(V626:V628),IF($B$626="Лікар-терапевт","х",0)))</f>
        <v>0</v>
      </c>
      <c r="W630" s="205">
        <f>IF($B$626="Лікар загальної практики - сімейний лікар",AVERAGE(W626:W628),IF($B$626="Лікар-педіатр","x",IF($B$626="Лікар-терапевт",AVERAGE(W626:W628),0)))</f>
        <v>0</v>
      </c>
      <c r="X630" s="205">
        <f>IF($B$626="Лікар загальної практики - сімейний лікар",AVERAGE(X626:X628),IF($B$626="Лікар-педіатр","x",IF($B$626="Лікар-терапевт",AVERAGE(X626:X628),0)))</f>
        <v>0</v>
      </c>
      <c r="Y630" s="205">
        <f>IF($B$626="Лікар загальної практики - сімейний лікар",AVERAGE(Y626:Y628),IF($B$626="Лікар-педіатр","x",IF($B$626="Лікар-терапевт",AVERAGE(Y626:Y628),0)))</f>
        <v>0</v>
      </c>
      <c r="Z630" s="206">
        <f>SUM(U630:Y630)</f>
        <v>0</v>
      </c>
      <c r="AA630" s="942"/>
      <c r="AB630" s="205">
        <f>IF($B$626="Лікар загальної практики - сімейний лікар",AVERAGE(AB626:AB628),IF($B$626="Лікар-педіатр",AVERAGE(AB626:AB628),IF($B$626="Лікар-терапевт","х",0)))</f>
        <v>0</v>
      </c>
      <c r="AC630" s="205">
        <f>IF($B$626="Лікар загальної практики - сімейний лікар",AVERAGE(AC626:AC628),IF($B$626="Лікар-педіатр",AVERAGE(AC626:AC628),IF($B$626="Лікар-терапевт","х",0)))</f>
        <v>0</v>
      </c>
      <c r="AD630" s="205">
        <f>IF($B$626="Лікар загальної практики - сімейний лікар",AVERAGE(AD626:AD628),IF($B$626="Лікар-педіатр","x",IF($B$626="Лікар-терапевт",AVERAGE(AD626:AD628),0)))</f>
        <v>0</v>
      </c>
      <c r="AE630" s="205">
        <f>IF($B$626="Лікар загальної практики - сімейний лікар",AVERAGE(AE626:AE628),IF($B$626="Лікар-педіатр","x",IF($B$626="Лікар-терапевт",AVERAGE(AE626:AE628),0)))</f>
        <v>0</v>
      </c>
      <c r="AF630" s="205">
        <f>IF($B$626="Лікар загальної практики - сімейний лікар",AVERAGE(AF626:AF628),IF($B$626="Лікар-педіатр","x",IF($B$626="Лікар-терапевт",AVERAGE(AF626:AF628),0)))</f>
        <v>0</v>
      </c>
      <c r="AG630" s="206">
        <f>SUM(AB630:AF630)</f>
        <v>0</v>
      </c>
      <c r="AH630" s="942"/>
      <c r="AI630" s="201"/>
      <c r="AJ630" s="945"/>
      <c r="AK630" s="960"/>
      <c r="AL630" s="960"/>
      <c r="AM630" s="931"/>
      <c r="AN630" s="949"/>
      <c r="AO630" s="949"/>
      <c r="AP630" s="949"/>
      <c r="AQ630" s="949"/>
      <c r="AR630" s="964"/>
    </row>
    <row r="631" spans="1:44" s="50" customFormat="1" ht="40.5" hidden="1">
      <c r="A631" s="197"/>
      <c r="B631" s="951"/>
      <c r="C631" s="954"/>
      <c r="D631" s="957"/>
      <c r="E631" s="939"/>
      <c r="F631" s="237" t="str">
        <f ca="1">IF(B626="Лікар-педіатр",Законод!$C$17,IF(B626="Лікар загальної практики - сімейний лікар",Законод!$C$21,IF(B626="Лікар-терапевт",Законод!$C$25,"х")))</f>
        <v>х</v>
      </c>
      <c r="G631" s="208">
        <f ca="1">IF($B$626="Лікар загальної практики - сімейний лікар",IF(L630&lt;=Законод!$C$22,G630,Законод!$C$22*'01_Доходи'!G629),IF($B$626="Лікар-педіатр",IF(L630&lt;=Законод!$C$18,G630,Законод!$C$18*'01_Доходи'!G629),IF($B$626="Лікар-терапевт","x",0)))</f>
        <v>0</v>
      </c>
      <c r="H631" s="208">
        <f ca="1">IF($B$626="Лікар загальної практики - сімейний лікар",IF(L630&lt;=Законод!$C$22,H630,Законод!$C$22*'01_Доходи'!H629),IF($B$626="Лікар-педіатр",IF(L630&lt;=Законод!$C$18,H630,Законод!$C$18*'01_Доходи'!H629),IF($B$626="Лікар-терапевт","x",0)))</f>
        <v>0</v>
      </c>
      <c r="I631" s="208">
        <f ca="1">IF($B$626="Лікар загальної практики - сімейний лікар",IF(L630&lt;=Законод!$C$22,I630,Законод!$C$22*'01_Доходи'!I629),IF($B$626="Лікар-педіатр","x",IF($B$626="Лікар-терапевт",IF(L630&lt;=Законод!$C$26,I630,Законод!$C$26*'01_Доходи'!I629),0)))</f>
        <v>0</v>
      </c>
      <c r="J631" s="208">
        <f ca="1">IF($B$626="Лікар загальної практики - сімейний лікар",IF(L630&lt;=Законод!$C$22,J630,Законод!$C$22*'01_Доходи'!J629),IF($B$626="Лікар-педіатр","x",IF($B$626="Лікар-терапевт",IF(L630&lt;=Законод!$C$26,J630,Законод!$C$26*'01_Доходи'!J629),0)))</f>
        <v>0</v>
      </c>
      <c r="K631" s="208">
        <f ca="1">IF($B$626="Лікар загальної практики - сімейний лікар",IF(L630&lt;=Законод!$C$22,K630,Законод!$C$22*'01_Доходи'!K629),IF($B$626="Лікар-педіатр","x",IF($B$626="Лікар-терапевт",IF(L630&lt;=Законод!$C$26,K630,Законод!$C$26*'01_Доходи'!K629),0)))</f>
        <v>0</v>
      </c>
      <c r="L631" s="209">
        <f ca="1">SUM(G631:K631)</f>
        <v>0</v>
      </c>
      <c r="M631" s="942"/>
      <c r="N631" s="208">
        <f ca="1">IF($B$626="Лікар загальної практики - сімейний лікар",IF(S630&lt;=Законод!$C$22,N630,Законод!$C$22*'01_Доходи'!N629),IF($B$626="Лікар-педіатр",IF(S630&lt;=Законод!$C$18,N630,Законод!$C$18*'01_Доходи'!N629),IF($B$626="Лікар-терапевт","x",0)))</f>
        <v>0</v>
      </c>
      <c r="O631" s="208">
        <f ca="1">IF($B$626="Лікар загальної практики - сімейний лікар",IF(S630&lt;=Законод!$C$22,O630,Законод!$C$22*'01_Доходи'!O629),IF($B$626="Лікар-педіатр",IF(S630&lt;=Законод!$C$18,O630,Законод!$C$18*'01_Доходи'!O629),IF($B$626="Лікар-терапевт","x",0)))</f>
        <v>0</v>
      </c>
      <c r="P631" s="208">
        <f ca="1">IF($B$626="Лікар загальної практики - сімейний лікар",IF(S630&lt;=Законод!$C$22,P630,Законод!$C$22*'01_Доходи'!P629),IF($B$626="Лікар-педіатр","x",IF($B$626="Лікар-терапевт",IF(S630&lt;=Законод!$C$26,P630,Законод!$C$26*'01_Доходи'!P629),0)))</f>
        <v>0</v>
      </c>
      <c r="Q631" s="208">
        <f ca="1">IF($B$626="Лікар загальної практики - сімейний лікар",IF(S630&lt;=Законод!$C$22,Q630,Законод!$C$22*'01_Доходи'!Q629),IF($B$626="Лікар-педіатр","x",IF($B$626="Лікар-терапевт",IF(S630&lt;=Законод!$C$26,Q630,Законод!$C$26*'01_Доходи'!Q629),0)))</f>
        <v>0</v>
      </c>
      <c r="R631" s="208">
        <f ca="1">IF($B$626="Лікар загальної практики - сімейний лікар",IF(S630&lt;=Законод!$C$22,R630,Законод!$C$22*'01_Доходи'!R629),IF($B$626="Лікар-педіатр","x",IF($B$626="Лікар-терапевт",IF(S630&lt;=Законод!$C$26,R630,Законод!$C$26*'01_Доходи'!R629),0)))</f>
        <v>0</v>
      </c>
      <c r="S631" s="209">
        <f ca="1">SUM(N631:R631)</f>
        <v>0</v>
      </c>
      <c r="T631" s="942"/>
      <c r="U631" s="208">
        <f ca="1">IF($B$626="Лікар загальної практики - сімейний лікар",IF(Z630&lt;=Законод!$C$22,U630,Законод!$C$22*'01_Доходи'!U629),IF($B$626="Лікар-педіатр",IF(Z630&lt;=Законод!$C$18,U630,Законод!$C$18*'01_Доходи'!U629),IF($B$626="Лікар-терапевт","x",0)))</f>
        <v>0</v>
      </c>
      <c r="V631" s="208">
        <f ca="1">IF($B$626="Лікар загальної практики - сімейний лікар",IF(Z630&lt;=Законод!$C$22,V630,Законод!$C$22*'01_Доходи'!V629),IF($B$626="Лікар-педіатр",IF(Z630&lt;=Законод!$C$18,V630,Законод!$C$18*'01_Доходи'!V629),IF($B$626="Лікар-терапевт","x",0)))</f>
        <v>0</v>
      </c>
      <c r="W631" s="208">
        <f ca="1">IF($B$626="Лікар загальної практики - сімейний лікар",IF(Z630&lt;=Законод!$C$22,W630,Законод!$C$22*'01_Доходи'!W629),IF($B$626="Лікар-педіатр","x",IF($B$626="Лікар-терапевт",IF(Z630&lt;=Законод!$C$26,W630,Законод!$C$26*'01_Доходи'!W629),0)))</f>
        <v>0</v>
      </c>
      <c r="X631" s="208">
        <f ca="1">IF($B$626="Лікар загальної практики - сімейний лікар",IF(Z630&lt;=Законод!$C$22,X630,Законод!$C$22*'01_Доходи'!X629),IF($B$626="Лікар-педіатр","x",IF($B$626="Лікар-терапевт",IF(Z630&lt;=Законод!$C$26,X630,Законод!$C$26*'01_Доходи'!X629),0)))</f>
        <v>0</v>
      </c>
      <c r="Y631" s="208">
        <f ca="1">IF($B$626="Лікар загальної практики - сімейний лікар",IF(Z630&lt;=Законод!$C$22,Y630,Законод!$C$22*'01_Доходи'!Y629),IF($B$626="Лікар-педіатр","x",IF($B$626="Лікар-терапевт",IF(Z630&lt;=Законод!$C$26,Y630,Законод!$C$26*'01_Доходи'!Y629),0)))</f>
        <v>0</v>
      </c>
      <c r="Z631" s="209">
        <f ca="1">SUM(U631:Y631)</f>
        <v>0</v>
      </c>
      <c r="AA631" s="942"/>
      <c r="AB631" s="208">
        <f ca="1">IF($B$626="Лікар загальної практики - сімейний лікар",IF(AG630&lt;=Законод!$C$22,AB630,Законод!$C$22*'01_Доходи'!AB629),IF($B$626="Лікар-педіатр",IF(AG630&lt;=Законод!$C$18,AB630,Законод!$C$18*'01_Доходи'!AB629),IF($B$626="Лікар-терапевт","x",0)))</f>
        <v>0</v>
      </c>
      <c r="AC631" s="208">
        <f ca="1">IF($B$626="Лікар загальної практики - сімейний лікар",IF(AG630&lt;=Законод!$C$22,AC630,Законод!$C$22*'01_Доходи'!AC629),IF($B$626="Лікар-педіатр",IF(AG630&lt;=Законод!$C$18,AC630,Законод!$C$18*'01_Доходи'!AC629),IF($B$626="Лікар-терапевт","x",0)))</f>
        <v>0</v>
      </c>
      <c r="AD631" s="208">
        <f ca="1">IF($B$626="Лікар загальної практики - сімейний лікар",IF(AG630&lt;=Законод!$C$22,AD630,Законод!$C$22*'01_Доходи'!AD629),IF($B$626="Лікар-педіатр","x",IF($B$626="Лікар-терапевт",IF(AG630&lt;=Законод!$C$26,AD630,Законод!$C$26*'01_Доходи'!AD629),0)))</f>
        <v>0</v>
      </c>
      <c r="AE631" s="208">
        <f ca="1">IF($B$626="Лікар загальної практики - сімейний лікар",IF(AG630&lt;=Законод!$C$22,AE630,Законод!$C$22*'01_Доходи'!AE629),IF($B$626="Лікар-педіатр","x",IF($B$626="Лікар-терапевт",IF(AG630&lt;=Законод!$C$26,AE630,Законод!$C$26*'01_Доходи'!AE629),0)))</f>
        <v>0</v>
      </c>
      <c r="AF631" s="208">
        <f ca="1">IF($B$626="Лікар загальної практики - сімейний лікар",IF(AG630&lt;=Законод!$C$22,AF630,Законод!$C$22*'01_Доходи'!AF629),IF($B$626="Лікар-педіатр","x",IF($B$626="Лікар-терапевт",IF(AG630&lt;=Законод!$C$26,AF630,Законод!$C$26*'01_Доходи'!AF629),0)))</f>
        <v>0</v>
      </c>
      <c r="AG631" s="209">
        <f ca="1">SUM(AB631:AF631)</f>
        <v>0</v>
      </c>
      <c r="AH631" s="942"/>
      <c r="AI631" s="201"/>
      <c r="AJ631" s="945"/>
      <c r="AK631" s="960"/>
      <c r="AL631" s="960"/>
      <c r="AM631" s="348" t="s">
        <v>451</v>
      </c>
      <c r="AN631" s="210">
        <f ca="1">IF(B626="Лікар загальної практики - сімейний лікар",G631*Законод!$C$11+'01_Доходи'!H631*Законод!$D$11+'01_Доходи'!I631*Законод!$E$11+'01_Доходи'!J631*Законод!$F$11+'01_Доходи'!K631*Законод!$G$11,IF(B626="Лікар-педіатр",G631*Законод!$C$11+'01_Доходи'!H631*Законод!$D$11,IF(B626="Лікар-терапевт",'01_Доходи'!I631*Законод!$E$11+'01_Доходи'!J631*Законод!$F$11+'01_Доходи'!K631*Законод!$G$11,0)))</f>
        <v>0</v>
      </c>
      <c r="AO631" s="210">
        <f ca="1">IF(B626="Лікар загальної практики - сімейний лікар",N631*Законод!$C$11+'01_Доходи'!O631*Законод!$D$11+'01_Доходи'!P631*Законод!$E$11+'01_Доходи'!Q631*Законод!$F$11+'01_Доходи'!R631*Законод!$G$11,IF(B626="Лікар-педіатр",N631*Законод!$C$11+'01_Доходи'!O631*Законод!$D$11,IF(B626="Лікар-терапевт",'01_Доходи'!P631*Законод!$E$11+'01_Доходи'!Q631*Законод!$F$11+'01_Доходи'!R631*Законод!$G$11,0)))</f>
        <v>0</v>
      </c>
      <c r="AP631" s="210">
        <f ca="1">IF(B626="Лікар загальної практики - сімейний лікар",U631*Законод!$C$11+'01_Доходи'!V631*Законод!$D$11+'01_Доходи'!W631*Законод!$E$11+'01_Доходи'!X631*Законод!$F$11+'01_Доходи'!Y631*Законод!$G$11,IF(B626="Лікар-педіатр",U631*Законод!$C$11+'01_Доходи'!V631*Законод!$D$11,IF(B626="Лікар-терапевт",'01_Доходи'!W631*Законод!$E$11+'01_Доходи'!X631*Законод!$F$11+'01_Доходи'!Y631*Законод!$G$11,0)))</f>
        <v>0</v>
      </c>
      <c r="AQ631" s="210">
        <f ca="1">IF(B626="Лікар загальної практики - сімейний лікар",AB631*Законод!$C$11+'01_Доходи'!AC631*Законод!$D$11+'01_Доходи'!AD631*Законод!$E$11+'01_Доходи'!AE631*Законод!$F$11+'01_Доходи'!AF631*Законод!$G$11,IF(B626="Лікар-педіатр",AB631*Законод!$C$11+'01_Доходи'!AC631*Законод!$D$11,IF(B626="Лікар-терапевт",'01_Доходи'!AD631*Законод!$E$11+'01_Доходи'!AE631*Законод!$F$11+'01_Доходи'!AF631*Законод!$G$11,0)))</f>
        <v>0</v>
      </c>
      <c r="AR631" s="211">
        <f t="shared" ref="AR631:AR637" si="88">SUM(AN631:AQ631)</f>
        <v>0</v>
      </c>
    </row>
    <row r="632" spans="1:44" s="50" customFormat="1" ht="31.9" hidden="1" customHeight="1">
      <c r="A632" s="197"/>
      <c r="B632" s="951"/>
      <c r="C632" s="954"/>
      <c r="D632" s="957"/>
      <c r="E632" s="939"/>
      <c r="F632" s="238" t="str">
        <f ca="1">IF(B626="Лікар-педіатр",Законод!$E$17,IF(B626="Лікар загальної практики - сімейний лікар",Законод!$E$21,IF(B626="Лікар-терапевт",Законод!$E$25,"х")))</f>
        <v>х</v>
      </c>
      <c r="G632" s="935" t="s">
        <v>423</v>
      </c>
      <c r="H632" s="936"/>
      <c r="I632" s="936"/>
      <c r="J632" s="936"/>
      <c r="K632" s="937"/>
      <c r="L632" s="196">
        <f ca="1">IF($B$626="Лікар загальної практики - сімейний лікар",IF(L630&lt;Законод!$C$22,0,(IF(AND(L630&gt;=Законод!$E$22,L630&lt;=Законод!$E$23),L630-Законод!$C$22,IF('01_Доходи'!L630&gt;=Законод!$F$22,Законод!$E$24,0)))),IF($B$626="Лікар-педіатр",IF(L630&lt;Законод!$C$18,0,(IF(AND(L630&gt;=Законод!$E$18,L630&lt;=Законод!$E$19),L630-Законод!$C$18,IF('01_Доходи'!L630&gt;=Законод!$F$18,Законод!$E$20,0)))),IF($B$626="Лікар-терапевт",IF(L630&lt;Законод!$C$26,0,(IF(AND(L630&gt;=Законод!$E$26,L630&lt;=Законод!$E$27),L630-Законод!$C$26,IF('01_Доходи'!L630&gt;=Законод!$F$26,Законод!$E$28,0)))),0)))</f>
        <v>0</v>
      </c>
      <c r="M632" s="942"/>
      <c r="N632" s="935" t="s">
        <v>423</v>
      </c>
      <c r="O632" s="936"/>
      <c r="P632" s="936"/>
      <c r="Q632" s="936"/>
      <c r="R632" s="937"/>
      <c r="S632" s="196">
        <f ca="1">IF($B$626="Лікар загальної практики - сімейний лікар",IF(S630&lt;Законод!$C$22,0,(IF(AND(S630&gt;=Законод!$E$22,S630&lt;=Законод!$E$23),S630-Законод!$C$22,IF('01_Доходи'!S630&gt;=Законод!$F$22,Законод!$E$24,0)))),IF($B$626="Лікар-педіатр",IF(S630&lt;Законод!$C$18,0,(IF(AND(S630&gt;=Законод!$E$18,S630&lt;=Законод!$E$19),S630-Законод!$C$18,IF('01_Доходи'!S630&gt;=Законод!$F$18,Законод!$E$20,0)))),IF($B$626="Лікар-терапевт",IF(S630&lt;Законод!$C$26,0,(IF(AND(S630&gt;=Законод!$E$26,S630&lt;=Законод!$E$27),S630-Законод!$C$26,IF('01_Доходи'!S630&gt;=Законод!$F$26,Законод!$E$28,0)))),0)))</f>
        <v>0</v>
      </c>
      <c r="T632" s="942"/>
      <c r="U632" s="935" t="s">
        <v>423</v>
      </c>
      <c r="V632" s="936"/>
      <c r="W632" s="936"/>
      <c r="X632" s="936"/>
      <c r="Y632" s="937"/>
      <c r="Z632" s="196">
        <f ca="1">IF($B$626="Лікар загальної практики - сімейний лікар",IF(Z630&lt;Законод!$C$22,0,(IF(AND(Z630&gt;=Законод!$E$22,Z630&lt;=Законод!$E$23),Z630-Законод!$C$22,IF('01_Доходи'!Z630&gt;=Законод!$F$22,Законод!$E$24,0)))),IF($B$626="Лікар-педіатр",IF(Z630&lt;Законод!$C$18,0,(IF(AND(Z630&gt;=Законод!$E$18,Z630&lt;=Законод!$E$19),Z630-Законод!$C$18,IF('01_Доходи'!Z630&gt;=Законод!$F$18,Законод!$E$20,0)))),IF($B$626="Лікар-терапевт",IF(Z630&lt;Законод!$C$26,0,(IF(AND(Z630&gt;=Законод!$E$26,Z630&lt;=Законод!$E$27),Z630-Законод!$C$26,IF('01_Доходи'!Z630&gt;=Законод!$F$26,Законод!$E$28,0)))),0)))</f>
        <v>0</v>
      </c>
      <c r="AA632" s="942"/>
      <c r="AB632" s="935" t="s">
        <v>423</v>
      </c>
      <c r="AC632" s="936"/>
      <c r="AD632" s="936"/>
      <c r="AE632" s="936"/>
      <c r="AF632" s="937"/>
      <c r="AG632" s="196">
        <f ca="1">IF($B$626="Лікар загальної практики - сімейний лікар",IF(AG630&lt;Законод!$C$22,0,(IF(AND(AG630&gt;=Законод!$E$22,AG630&lt;=Законод!$E$23),AG630-Законод!$C$22,IF('01_Доходи'!AG630&gt;=Законод!$F$22,Законод!$E$24,0)))),IF($B$626="Лікар-педіатр",IF(AG630&lt;Законод!$C$18,0,(IF(AND(AG630&gt;=Законод!$E$18,AG630&lt;=Законод!$E$19),AG630-Законод!$C$18,IF('01_Доходи'!AG630&gt;=Законод!$F$18,Законод!$E$20,0)))),IF($B$626="Лікар-терапевт",IF(AG630&lt;Законод!$C$26,0,(IF(AND(AG630&gt;=Законод!$E$26,AG630&lt;=Законод!$E$27),AG630-Законод!$C$26,IF('01_Доходи'!AG630&gt;=Законод!$F$26,Законод!$E$28,0)))),0)))</f>
        <v>0</v>
      </c>
      <c r="AH632" s="942"/>
      <c r="AI632" s="201"/>
      <c r="AJ632" s="945"/>
      <c r="AK632" s="960"/>
      <c r="AL632" s="960"/>
      <c r="AM632" s="926" t="s">
        <v>452</v>
      </c>
      <c r="AN632" s="210">
        <f ca="1">IF(B626="Лікар загальної практики - сімейний лікар",L632*Законод!$C$9/4*Законод!$E$16,IF(B626="Лікар-педіатр",L632*Законод!$C$9/4*Законод!$E$16,IF(B626="Лікар-терапевт",L632*Законод!$C$9/4*Законод!$E$16,0)))</f>
        <v>0</v>
      </c>
      <c r="AO632" s="210">
        <f ca="1">IF(B626="Лікар загальної практики - сімейний лікар",S632*Законод!$C$9/4*Законод!$E$16,IF(B626="Лікар-педіатр",S632*Законод!$C$9/4*Законод!$E$16,IF(B626="Лікар-терапевт",S632*Законод!$C$9/4*Законод!$E$16,0)))</f>
        <v>0</v>
      </c>
      <c r="AP632" s="210">
        <f ca="1">IF(B626="Лікар загальної практики - сімейний лікар",Z632*Законод!$C$9/4*Законод!$E$16,IF(B626="Лікар-педіатр",Z632*Законод!$C$9/4*Законод!$E$16,IF(B626="Лікар-терапевт",Z632*Законод!$C$9/4*Законод!$E$16,0)))</f>
        <v>0</v>
      </c>
      <c r="AQ632" s="210">
        <f ca="1">IF(B626="Лікар загальної практики - сімейний лікар",AG632*Законод!$C$9/4*Законод!$E$16,IF(B626="Лікар-педіатр",AG632*Законод!$C$9/4*Законод!$E$16,IF(B626="Лікар-терапевт",AG632*Законод!$C$9/4*Законод!$E$16,0)))</f>
        <v>0</v>
      </c>
      <c r="AR632" s="211">
        <f t="shared" si="88"/>
        <v>0</v>
      </c>
    </row>
    <row r="633" spans="1:44" s="50" customFormat="1" ht="31.9" hidden="1" customHeight="1">
      <c r="A633" s="197"/>
      <c r="B633" s="951"/>
      <c r="C633" s="954"/>
      <c r="D633" s="957"/>
      <c r="E633" s="939"/>
      <c r="F633" s="238" t="str">
        <f ca="1">IF(B626="Лікар-педіатр",Законод!$F$17,IF(B626="Лікар загальної практики - сімейний лікар",Законод!$F$21,IF(B626="Лікар-терапевт",Законод!$F$25,"х")))</f>
        <v>х</v>
      </c>
      <c r="G633" s="935" t="s">
        <v>423</v>
      </c>
      <c r="H633" s="936"/>
      <c r="I633" s="936"/>
      <c r="J633" s="936"/>
      <c r="K633" s="937"/>
      <c r="L633" s="196">
        <f ca="1">IF($B$626="Лікар загальної практики - сімейний лікар",IF(L630&lt;Законод!$C$22,0,(IF(AND(L630&gt;=Законод!$F$22,L630&lt;=Законод!$F$23),L630-Законод!$E$23,IF('01_Доходи'!L630&gt;=Законод!$G$22,Законод!$F$24,0)))),IF($B$626="Лікар-педіатр",IF(L630&lt;Законод!$C$18,0,(IF(AND(L630&gt;=Законод!$F$18,L630&lt;=Законод!$F$19),L630-Законод!$E$19,IF('01_Доходи'!L630&gt;=Законод!$G$18,Законод!$F$20,0)))),IF($B$626="Лікар-терапевт",IF(L630&lt;Законод!$C$26,0,(IF(AND(L630&gt;=Законод!$F$26,L630&lt;=Законод!$F$27),L630-Законод!$E$27,IF('01_Доходи'!L630&gt;=Законод!$G$26,Законод!$F$28,0)))),0)))</f>
        <v>0</v>
      </c>
      <c r="M633" s="942"/>
      <c r="N633" s="935" t="s">
        <v>423</v>
      </c>
      <c r="O633" s="936"/>
      <c r="P633" s="936"/>
      <c r="Q633" s="936"/>
      <c r="R633" s="937"/>
      <c r="S633" s="196">
        <f ca="1">IF($B$626="Лікар загальної практики - сімейний лікар",IF(S630&lt;Законод!$C$22,0,(IF(AND(S630&gt;=Законод!$F$22,S630&lt;=Законод!$F$23),S630-Законод!$E$23,IF('01_Доходи'!S630&gt;=Законод!$G$22,Законод!$F$24,0)))),IF($B$626="Лікар-педіатр",IF(S630&lt;Законод!$C$18,0,(IF(AND(S630&gt;=Законод!$F$18,S630&lt;=Законод!$F$19),S630-Законод!$E$19,IF('01_Доходи'!S630&gt;=Законод!$G$18,Законод!$F$20,0)))),IF($B$626="Лікар-терапевт",IF(S630&lt;Законод!$C$26,0,(IF(AND(S630&gt;=Законод!$F$26,S630&lt;=Законод!$F$27),S630-Законод!$E$27,IF('01_Доходи'!S630&gt;=Законод!$G$26,Законод!$F$28,0)))),0)))</f>
        <v>0</v>
      </c>
      <c r="T633" s="942"/>
      <c r="U633" s="935" t="s">
        <v>423</v>
      </c>
      <c r="V633" s="936"/>
      <c r="W633" s="936"/>
      <c r="X633" s="936"/>
      <c r="Y633" s="937"/>
      <c r="Z633" s="196">
        <f ca="1">IF($B$626="Лікар загальної практики - сімейний лікар",IF(Z630&lt;Законод!$C$22,0,(IF(AND(Z630&gt;=Законод!$F$22,Z630&lt;=Законод!$F$23),Z630-Законод!$E$23,IF('01_Доходи'!Z630&gt;=Законод!$G$22,Законод!$F$24,0)))),IF($B$626="Лікар-педіатр",IF(Z630&lt;Законод!$C$18,0,(IF(AND(Z630&gt;=Законод!$F$18,Z630&lt;=Законод!$F$19),Z630-Законод!$E$19,IF('01_Доходи'!Z630&gt;=Законод!$G$18,Законод!$F$20,0)))),IF($B$626="Лікар-терапевт",IF(Z630&lt;Законод!$C$26,0,(IF(AND(Z630&gt;=Законод!$F$26,Z630&lt;=Законод!$F$27),Z630-Законод!$E$27,IF('01_Доходи'!Z630&gt;=Законод!$G$26,Законод!$F$28,0)))),0)))</f>
        <v>0</v>
      </c>
      <c r="AA633" s="942"/>
      <c r="AB633" s="935" t="s">
        <v>423</v>
      </c>
      <c r="AC633" s="936"/>
      <c r="AD633" s="936"/>
      <c r="AE633" s="936"/>
      <c r="AF633" s="937"/>
      <c r="AG633" s="196">
        <f ca="1">IF($B$626="Лікар загальної практики - сімейний лікар",IF(AG630&lt;Законод!$C$22,0,(IF(AND(AG630&gt;=Законод!$F$22,AG630&lt;=Законод!$F$23),AG630-Законод!$E$23,IF('01_Доходи'!AG630&gt;=Законод!$G$22,Законод!$F$24,0)))),IF($B$626="Лікар-педіатр",IF(AG630&lt;Законод!$C$18,0,(IF(AND(AG630&gt;=Законод!$F$18,AG630&lt;=Законод!$F$19),AG630-Законод!$E$19,IF('01_Доходи'!AG630&gt;=Законод!$G$18,Законод!$F$20,0)))),IF($B$626="Лікар-терапевт",IF(AG630&lt;Законод!$C$26,0,(IF(AND(AG630&gt;=Законод!$F$26,AG630&lt;=Законод!$F$27),AG630-Законод!$E$27,IF('01_Доходи'!AG630&gt;=Законод!$G$26,Законод!$F$28,0)))),0)))</f>
        <v>0</v>
      </c>
      <c r="AH633" s="942"/>
      <c r="AI633" s="201"/>
      <c r="AJ633" s="945"/>
      <c r="AK633" s="960"/>
      <c r="AL633" s="960"/>
      <c r="AM633" s="927"/>
      <c r="AN633" s="210">
        <f ca="1">IF(B626="Лікар загальної практики - сімейний лікар",L633*Законод!$C$9/4*Законод!$F$16,IF(B626="Лікар-педіатр",L633*Законод!$C$9/4*Законод!$F$16,IF(B626="Лікар-терапевт",L633*Законод!$C$9/4*Законод!$F$16,0)))</f>
        <v>0</v>
      </c>
      <c r="AO633" s="210">
        <f ca="1">IF(B626="Лікар загальної практики - сімейний лікар",S633*Законод!$C$9/4*Законод!$F$16,IF(B626="Лікар-педіатр",S633*Законод!$C$9/4*Законод!$F$16,IF(B626="Лікар-терапевт",S633*Законод!$C$9/4*Законод!$F$16,0)))</f>
        <v>0</v>
      </c>
      <c r="AP633" s="210">
        <f ca="1">IF(B626="Лікар загальної практики - сімейний лікар",Z633*Законод!$C$9/4*Законод!$F$16,IF(B626="Лікар-педіатр",Z633*Законод!$C$9/4*Законод!$F$16,IF(B626="Лікар-терапевт",Z633*Законод!$C$9/4*Законод!$F$16,0)))</f>
        <v>0</v>
      </c>
      <c r="AQ633" s="210">
        <f ca="1">IF(B626="Лікар загальної практики - сімейний лікар",AG633*Законод!$C$9/4*Законод!$F$16,IF(B626="Лікар-педіатр",AG633*Законод!$C$9/4*Законод!$F$16,IF(B626="Лікар-терапевт",AG633*Законод!$C$9/4*Законод!$F$16,0)))</f>
        <v>0</v>
      </c>
      <c r="AR633" s="211">
        <f t="shared" si="88"/>
        <v>0</v>
      </c>
    </row>
    <row r="634" spans="1:44" s="50" customFormat="1" ht="31.9" hidden="1" customHeight="1">
      <c r="A634" s="197"/>
      <c r="B634" s="951"/>
      <c r="C634" s="954"/>
      <c r="D634" s="957"/>
      <c r="E634" s="939"/>
      <c r="F634" s="238" t="str">
        <f ca="1">IF(B626="Лікар-педіатр",Законод!$G$17,IF(B626="Лікар загальної практики - сімейний лікар",Законод!$G$21,IF(B626="Лікар-терапевт",Законод!$G$25,"х")))</f>
        <v>х</v>
      </c>
      <c r="G634" s="935" t="s">
        <v>423</v>
      </c>
      <c r="H634" s="936"/>
      <c r="I634" s="936"/>
      <c r="J634" s="936"/>
      <c r="K634" s="937"/>
      <c r="L634" s="196">
        <f ca="1">IF($B$626="Лікар загальної практики - сімейний лікар",IF(L630&lt;Законод!$C$22,0,(IF(AND(L630&gt;=Законод!$G$22,L630&lt;=Законод!$G$23),L630-Законод!$F$23,IF('01_Доходи'!L630&gt;=Законод!$H$22,Законод!$G$24,0)))),IF($B$626="Лікар-педіатр",IF(L630&lt;Законод!$C$18,0,(IF(AND(L630&gt;=Законод!$G$18,L630&lt;=Законод!$G$19),L630-Законод!$F$19,IF('01_Доходи'!L630&gt;=Законод!$H$18,Законод!$G$20,0)))),IF($B$626="Лікар-терапевт",IF(L630&lt;Законод!$C$26,0,(IF(AND(L630&gt;=Законод!$G$26,L630&lt;=Законод!$G$27),L630-Законод!$F$27,IF('01_Доходи'!L630&gt;=Законод!$H$26,Законод!$G$28,0)))),0)))</f>
        <v>0</v>
      </c>
      <c r="M634" s="942"/>
      <c r="N634" s="935" t="s">
        <v>423</v>
      </c>
      <c r="O634" s="936"/>
      <c r="P634" s="936"/>
      <c r="Q634" s="936"/>
      <c r="R634" s="937"/>
      <c r="S634" s="196">
        <f ca="1">IF($B$626="Лікар загальної практики - сімейний лікар",IF(S630&lt;Законод!$C$22,0,(IF(AND(S630&gt;=Законод!$G$22,S630&lt;=Законод!$G$23),S630-Законод!$F$23,IF('01_Доходи'!S630&gt;=Законод!$H$22,Законод!$G$24,0)))),IF($B$626="Лікар-педіатр",IF(S630&lt;Законод!$C$18,0,(IF(AND(S630&gt;=Законод!$G$18,S630&lt;=Законод!$G$19),S630-Законод!$F$19,IF('01_Доходи'!S630&gt;=Законод!$H$18,Законод!$G$20,0)))),IF($B$626="Лікар-терапевт",IF(S630&lt;Законод!$C$26,0,(IF(AND(S630&gt;=Законод!$G$26,S630&lt;=Законод!$G$27),S630-Законод!$F$27,IF('01_Доходи'!S630&gt;=Законод!$H$26,Законод!$G$28,0)))),0)))</f>
        <v>0</v>
      </c>
      <c r="T634" s="942"/>
      <c r="U634" s="935" t="s">
        <v>423</v>
      </c>
      <c r="V634" s="936"/>
      <c r="W634" s="936"/>
      <c r="X634" s="936"/>
      <c r="Y634" s="937"/>
      <c r="Z634" s="196">
        <f ca="1">IF($B$626="Лікар загальної практики - сімейний лікар",IF(Z630&lt;Законод!$C$22,0,(IF(AND(Z630&gt;=Законод!$G$22,Z630&lt;=Законод!$G$23),Z630-Законод!$F$23,IF('01_Доходи'!Z630&gt;=Законод!$H$22,Законод!$G$24,0)))),IF($B$626="Лікар-педіатр",IF(Z630&lt;Законод!$C$18,0,(IF(AND(Z630&gt;=Законод!$G$18,Z630&lt;=Законод!$G$19),Z630-Законод!$F$19,IF('01_Доходи'!Z630&gt;=Законод!$H$18,Законод!$G$20,0)))),IF($B$626="Лікар-терапевт",IF(Z630&lt;Законод!$C$26,0,(IF(AND(Z630&gt;=Законод!$G$26,Z630&lt;=Законод!$G$27),Z630-Законод!$F$27,IF('01_Доходи'!Z630&gt;=Законод!$H$26,Законод!$G$28,0)))),0)))</f>
        <v>0</v>
      </c>
      <c r="AA634" s="942"/>
      <c r="AB634" s="935" t="s">
        <v>423</v>
      </c>
      <c r="AC634" s="936"/>
      <c r="AD634" s="936"/>
      <c r="AE634" s="936"/>
      <c r="AF634" s="937"/>
      <c r="AG634" s="196">
        <f ca="1">IF($B$626="Лікар загальної практики - сімейний лікар",IF(AG630&lt;Законод!$C$22,0,(IF(AND(AG630&gt;=Законод!$G$22,AG630&lt;=Законод!$G$23),AG630-Законод!$F$23,IF('01_Доходи'!AG630&gt;=Законод!$H$22,Законод!$G$24,0)))),IF($B$626="Лікар-педіатр",IF(AG630&lt;Законод!$C$18,0,(IF(AND(AG630&gt;=Законод!$G$18,AG630&lt;=Законод!$G$19),AG630-Законод!$F$19,IF('01_Доходи'!AG630&gt;=Законод!$H$18,Законод!$G$20,0)))),IF($B$626="Лікар-терапевт",IF(AG630&lt;Законод!$C$26,0,(IF(AND(AG630&gt;=Законод!$G$26,AG630&lt;=Законод!$G$27),AG630-Законод!$F$27,IF('01_Доходи'!AG630&gt;=Законод!$H$26,Законод!$G$28,0)))),0)))</f>
        <v>0</v>
      </c>
      <c r="AH634" s="942"/>
      <c r="AI634" s="201"/>
      <c r="AJ634" s="945"/>
      <c r="AK634" s="960"/>
      <c r="AL634" s="960"/>
      <c r="AM634" s="927"/>
      <c r="AN634" s="210">
        <f ca="1">IF(B626="Лікар загальної практики - сімейний лікар",L634*Законод!$C$9/4*Законод!$G$16,IF(B626="Лікар-педіатр",L634*Законод!$C$9/4*Законод!$G$16,IF(B626="Лікар-терапевт",L634*Законод!$C$9/4*Законод!$G$16,0)))</f>
        <v>0</v>
      </c>
      <c r="AO634" s="210">
        <f ca="1">IF(B626="Лікар загальної практики - сімейний лікар",S634*Законод!$C$9/4*Законод!$G$16,IF(B626="Лікар-педіатр",S634*Законод!$C$9/4*Законод!$G$16,IF(B626="Лікар-терапевт",S634*Законод!$C$9/4*Законод!$G$16,0)))</f>
        <v>0</v>
      </c>
      <c r="AP634" s="210">
        <f ca="1">IF(B626="Лікар загальної практики - сімейний лікар",Z634*Законод!$C$9/4*Законод!$G$16,IF(B626="Лікар-педіатр",Z634*Законод!$C$9/4*Законод!$G$16,IF(B626="Лікар-терапевт",Z634*Законод!$C$9/4*Законод!$G$16,0)))</f>
        <v>0</v>
      </c>
      <c r="AQ634" s="210">
        <f ca="1">IF(B626="Лікар загальної практики - сімейний лікар",AG634*Законод!$C$9/4*Законод!$G$16,IF(B626="Лікар-педіатр",AG634*Законод!$C$9/4*Законод!$G$16,IF(B626="Лікар-терапевт",AG634*Законод!$C$9/4*Законод!$G$16,0)))</f>
        <v>0</v>
      </c>
      <c r="AR634" s="211">
        <f t="shared" si="88"/>
        <v>0</v>
      </c>
    </row>
    <row r="635" spans="1:44" s="50" customFormat="1" ht="31.9" hidden="1" customHeight="1">
      <c r="A635" s="197"/>
      <c r="B635" s="951"/>
      <c r="C635" s="954"/>
      <c r="D635" s="957"/>
      <c r="E635" s="939"/>
      <c r="F635" s="238" t="str">
        <f ca="1">IF(B626="Лікар-педіатр",Законод!$H$17,IF(B626="Лікар загальної практики - сімейний лікар",Законод!$H$21,IF(B626="Лікар-терапевт",Законод!$H$25,"х")))</f>
        <v>х</v>
      </c>
      <c r="G635" s="935" t="s">
        <v>423</v>
      </c>
      <c r="H635" s="936"/>
      <c r="I635" s="936"/>
      <c r="J635" s="936"/>
      <c r="K635" s="937"/>
      <c r="L635" s="196">
        <f ca="1">IF($B$626="Лікар загальної практики - сімейний лікар",IF(L630&lt;Законод!$C$22,0,(IF(AND(L630&gt;=Законод!$H$22,L630&lt;=Законод!$H$23),L630-Законод!$G$23,IF('01_Доходи'!L630&gt;=Законод!$I$22,Законод!$H$24,0)))),IF($B$626="Лікар-педіатр",IF(L630&lt;Законод!$C$18,0,(IF(AND(L630&gt;=Законод!$H$18,L630&lt;=Законод!$H$19),L630-Законод!$G$19,IF('01_Доходи'!L630&gt;=Законод!$I$18,Законод!$H$20,0)))),IF($B$626="Лікар-терапевт",IF(L630&lt;Законод!$C$26,0,(IF(AND(L630&gt;=Законод!$H$26,L630&lt;=Законод!$H$27),L630-Законод!$G$27,IF(L630&gt;=Законод!$I$26,Законод!$H$28,0)))),0)))</f>
        <v>0</v>
      </c>
      <c r="M635" s="942"/>
      <c r="N635" s="935" t="s">
        <v>423</v>
      </c>
      <c r="O635" s="936"/>
      <c r="P635" s="936"/>
      <c r="Q635" s="936"/>
      <c r="R635" s="937"/>
      <c r="S635" s="196">
        <f ca="1">IF($B$626="Лікар загальної практики - сімейний лікар",IF(S630&lt;Законод!$C$22,0,(IF(AND(S630&gt;=Законод!$H$22,S630&lt;=Законод!$H$23),S630-Законод!$G$23,IF('01_Доходи'!S630&gt;=Законод!$I$22,Законод!$H$24,0)))),IF($B$626="Лікар-педіатр",IF(S630&lt;Законод!$C$18,0,(IF(AND(S630&gt;=Законод!$H$18,S630&lt;=Законод!$H$19),S630-Законод!$G$19,IF('01_Доходи'!S630&gt;=Законод!$I$18,Законод!$H$20,0)))),IF($B$626="Лікар-терапевт",IF(S630&lt;Законод!$C$26,0,(IF(AND(S630&gt;=Законод!$H$26,S630&lt;=Законод!$H$27),S630-Законод!$G$27,IF(S630&gt;=Законод!$I$26,Законод!$H$28,0)))),0)))</f>
        <v>0</v>
      </c>
      <c r="T635" s="942"/>
      <c r="U635" s="935" t="s">
        <v>423</v>
      </c>
      <c r="V635" s="936"/>
      <c r="W635" s="936"/>
      <c r="X635" s="936"/>
      <c r="Y635" s="937"/>
      <c r="Z635" s="196">
        <f ca="1">IF($B$626="Лікар загальної практики - сімейний лікар",IF(Z630&lt;Законод!$C$22,0,(IF(AND(Z630&gt;=Законод!$H$22,Z630&lt;=Законод!$H$23),Z630-Законод!$G$23,IF('01_Доходи'!Z630&gt;=Законод!$I$22,Законод!$H$24,0)))),IF($B$626="Лікар-педіатр",IF(Z630&lt;Законод!$C$18,0,(IF(AND(Z630&gt;=Законод!$H$18,Z630&lt;=Законод!$H$19),Z630-Законод!$G$19,IF('01_Доходи'!Z630&gt;=Законод!$I$18,Законод!$H$20,0)))),IF($B$626="Лікар-терапевт",IF(Z630&lt;Законод!$C$26,0,(IF(AND(Z630&gt;=Законод!$H$26,Z630&lt;=Законод!$H$27),Z630-Законод!$G$27,IF(Z630&gt;=Законод!$I$26,Законод!$H$28,0)))),0)))</f>
        <v>0</v>
      </c>
      <c r="AA635" s="942"/>
      <c r="AB635" s="935" t="s">
        <v>423</v>
      </c>
      <c r="AC635" s="936"/>
      <c r="AD635" s="936"/>
      <c r="AE635" s="936"/>
      <c r="AF635" s="937"/>
      <c r="AG635" s="196">
        <f ca="1">IF($B$626="Лікар загальної практики - сімейний лікар",IF(AG630&lt;Законод!$C$22,0,(IF(AND(AG630&gt;=Законод!$H$22,AG630&lt;=Законод!$H$23),AG630-Законод!$G$23,IF('01_Доходи'!AG630&gt;=Законод!$I$22,Законод!$H$24,0)))),IF($B$626="Лікар-педіатр",IF(AG630&lt;Законод!$C$18,0,(IF(AND(AG630&gt;=Законод!$H$18,AG630&lt;=Законод!$H$19),AG630-Законод!$G$19,IF('01_Доходи'!AG630&gt;=Законод!$I$18,Законод!$H$20,0)))),IF($B$626="Лікар-терапевт",IF(AG630&lt;Законод!$C$26,0,(IF(AND(AG630&gt;=Законод!$H$26,AG630&lt;=Законод!$H$27),AG630-Законод!$G$27,IF(AG630&gt;=Законод!$I$26,Законод!$H$28,0)))),0)))</f>
        <v>0</v>
      </c>
      <c r="AH635" s="942"/>
      <c r="AI635" s="201"/>
      <c r="AJ635" s="945"/>
      <c r="AK635" s="960"/>
      <c r="AL635" s="960"/>
      <c r="AM635" s="927"/>
      <c r="AN635" s="210">
        <f ca="1">IF(B626="Лікар загальної практики - сімейний лікар",L635*Законод!$C$9/4*Законод!$H$16,IF(B626="Лікар-педіатр",L635*Законод!$C$9/4*Законод!$H$16,IF(B626="Лікар-терапевт",L635*Законод!$C$9/4*Законод!$H$16,0)))</f>
        <v>0</v>
      </c>
      <c r="AO635" s="210">
        <f ca="1">IF(B626="Лікар загальної практики - сімейний лікар",S635*Законод!$C$9/4*Законод!$H$16,IF(B626="Лікар-педіатр",S635*Законод!$C$9/4*Законод!$H$16,IF(B626="Лікар-терапевт",S635*Законод!$C$9/4*Законод!$H$16,0)))</f>
        <v>0</v>
      </c>
      <c r="AP635" s="210">
        <f ca="1">IF(B626="Лікар загальної практики - сімейний лікар",Z635*Законод!$C$9/4*Законод!$H$16,IF(B626="Лікар-педіатр",Z635*Законод!$C$9/4*Законод!$H$16,IF(B626="Лікар-терапевт",Z635*Законод!$C$9/4*Законод!$H$16,0)))</f>
        <v>0</v>
      </c>
      <c r="AQ635" s="210">
        <f ca="1">IF(B626="Лікар загальної практики - сімейний лікар",AG635*Законод!$C$9/4*Законод!$H$16,IF(B626="Лікар-педіатр",AG635*Законод!$C$9/4*Законод!$H$16,IF(B626="Лікар-терапевт",AG635*Законод!$C$9/4*Законод!$H$16,0)))</f>
        <v>0</v>
      </c>
      <c r="AR635" s="211">
        <f t="shared" si="88"/>
        <v>0</v>
      </c>
    </row>
    <row r="636" spans="1:44" s="50" customFormat="1" ht="31.9" hidden="1" customHeight="1">
      <c r="A636" s="197"/>
      <c r="B636" s="951"/>
      <c r="C636" s="954"/>
      <c r="D636" s="957"/>
      <c r="E636" s="939"/>
      <c r="F636" s="238" t="str">
        <f ca="1">IF(B626="Лікар-педіатр",Законод!$I$17,IF(B626="Лікар загальної практики - сімейний лікар",Законод!$I$21,IF(B626="Лікар-терапевт",Законод!$I$25,"х")))</f>
        <v>х</v>
      </c>
      <c r="G636" s="935" t="s">
        <v>423</v>
      </c>
      <c r="H636" s="936"/>
      <c r="I636" s="936"/>
      <c r="J636" s="936"/>
      <c r="K636" s="937"/>
      <c r="L636" s="196">
        <f ca="1">IF($B$626="Лікар загальної практики - сімейний лікар",IF(L630&lt;Законод!$C$22,0,(IF(AND(L630&gt;=Законод!$I$22,L630&lt;=Законод!$I$23),L630-Законод!$H$23,IF('01_Доходи'!L630&gt;=Законод!$I$22,Законод!$I$24,0)))),IF($B$626="Лікар-педіатр",IF(L630&lt;Законод!$C$18,0,(IF(AND(L630&gt;=Законод!$I$18,L630&lt;=Законод!$I$19),L630-Законод!$H$19,IF('01_Доходи'!L630&gt;=Законод!$I$18,Законод!$H$20,0)))),IF($B$626="Лікар-терапевт",IF(L630&lt;Законод!$C$26,0,(IF(AND(L630&gt;=Законод!$I$26,L630&lt;=Законод!$I$27),L630-Законод!$H$27,IF('01_Доходи'!L630&gt;=Законод!$I$26,Законод!$H$28,0)))),0)))</f>
        <v>0</v>
      </c>
      <c r="M636" s="942"/>
      <c r="N636" s="935" t="s">
        <v>423</v>
      </c>
      <c r="O636" s="936"/>
      <c r="P636" s="936"/>
      <c r="Q636" s="936"/>
      <c r="R636" s="937"/>
      <c r="S636" s="196">
        <f ca="1">IF($B$626="Лікар загальної практики - сімейний лікар",IF(S630&lt;Законод!$C$22,0,(IF(AND(S630&gt;=Законод!$I$22,S630&lt;=Законод!$I$23),S630-Законод!$H$23,IF('01_Доходи'!S630&gt;=Законод!$I$22,Законод!$I$24,0)))),IF($B$626="Лікар-педіатр",IF(S630&lt;Законод!$C$18,0,(IF(AND(S630&gt;=Законод!$I$18,S630&lt;=Законод!$I$19),S630-Законод!$H$19,IF('01_Доходи'!S630&gt;=Законод!$I$18,Законод!$H$20,0)))),IF($B$626="Лікар-терапевт",IF(S630&lt;Законод!$C$26,0,(IF(AND(S630&gt;=Законод!$I$26,S630&lt;=Законод!$I$27),S630-Законод!$H$27,IF('01_Доходи'!S630&gt;=Законод!$I$26,Законод!$H$28,0)))),0)))</f>
        <v>0</v>
      </c>
      <c r="T636" s="942"/>
      <c r="U636" s="935" t="s">
        <v>423</v>
      </c>
      <c r="V636" s="936"/>
      <c r="W636" s="936"/>
      <c r="X636" s="936"/>
      <c r="Y636" s="937"/>
      <c r="Z636" s="196">
        <f ca="1">IF($B$626="Лікар загальної практики - сімейний лікар",IF(Z630&lt;Законод!$C$22,0,(IF(AND(Z630&gt;=Законод!$I$22,Z630&lt;=Законод!$I$23),Z630-Законод!$H$23,IF('01_Доходи'!Z630&gt;=Законод!$I$22,Законод!$I$24,0)))),IF($B$626="Лікар-педіатр",IF(Z630&lt;Законод!$C$18,0,(IF(AND(Z630&gt;=Законод!$I$18,Z630&lt;=Законод!$I$19),Z630-Законод!$H$19,IF('01_Доходи'!Z630&gt;=Законод!$I$18,Законод!$H$20,0)))),IF($B$626="Лікар-терапевт",IF(Z630&lt;Законод!$C$26,0,(IF(AND(Z630&gt;=Законод!$I$26,Z630&lt;=Законод!$I$27),Z630-Законод!$H$27,IF('01_Доходи'!Z630&gt;=Законод!$I$26,Законод!$H$28,0)))),0)))</f>
        <v>0</v>
      </c>
      <c r="AA636" s="942"/>
      <c r="AB636" s="935" t="s">
        <v>423</v>
      </c>
      <c r="AC636" s="936"/>
      <c r="AD636" s="936"/>
      <c r="AE636" s="936"/>
      <c r="AF636" s="937"/>
      <c r="AG636" s="196">
        <f ca="1">IF($B$626="Лікар загальної практики - сімейний лікар",IF(AG630&lt;Законод!$C$22,0,(IF(AND(AG630&gt;=Законод!$I$22,AG630&lt;=Законод!$I$23),AG630-Законод!$H$23,IF('01_Доходи'!AG630&gt;=Законод!$I$22,Законод!$I$24,0)))),IF($B$626="Лікар-педіатр",IF(AG630&lt;Законод!$C$18,0,(IF(AND(AG630&gt;=Законод!$I$18,AG630&lt;=Законод!$I$19),AG630-Законод!$H$19,IF('01_Доходи'!AG630&gt;=Законод!$I$18,Законод!$H$20,0)))),IF($B$626="Лікар-терапевт",IF(AG630&lt;Законод!$C$26,0,(IF(AND(AG630&gt;=Законод!$I$26,AG630&lt;=Законод!$I$27),AG630-Законод!$H$27,IF('01_Доходи'!AG630&gt;=Законод!$I$26,Законод!$H$28,0)))),0)))</f>
        <v>0</v>
      </c>
      <c r="AH636" s="942"/>
      <c r="AI636" s="201"/>
      <c r="AJ636" s="945"/>
      <c r="AK636" s="960"/>
      <c r="AL636" s="960"/>
      <c r="AM636" s="927"/>
      <c r="AN636" s="210">
        <f ca="1">IF(B626="Лікар загальної практики - сімейний лікар",L636*Законод!$C$9/4*Законод!$I$16,IF(B626="Лікар-педіатр",L636*Законод!$C$9/4*Законод!$I$16,IF(B626="Лікар-терапевт",L636*Законод!$C$9/4*Законод!$I$16,0)))</f>
        <v>0</v>
      </c>
      <c r="AO636" s="210">
        <f ca="1">IF(B626="Лікар загальної практики - сімейний лікар",S636*Законод!$C$9/4*Законод!$I$16,IF(B626="Лікар-педіатр",S636*Законод!$C$9/4*Законод!$I$16,IF(B626="Лікар-терапевт",S636*Законод!$C$9/4*Законод!$I$16,0)))</f>
        <v>0</v>
      </c>
      <c r="AP636" s="210">
        <f ca="1">IF(B626="Лікар загальної практики - сімейний лікар",Z636*Законод!$C$9/4*Законод!$I$16,IF(B626="Лікар-педіатр",Z636*Законод!$C$9/4*Законод!$I$16,IF(B626="Лікар-терапевт",Z636*Законод!$C$9/4*Законод!$I$16,0)))</f>
        <v>0</v>
      </c>
      <c r="AQ636" s="210">
        <f ca="1">IF(B626="Лікар загальної практики - сімейний лікар",AG636*Законод!$C$9/4*Законод!$I$16,IF(B626="Лікар-педіатр",AG636*Законод!$C$9/4*Законод!$I$16,IF(B626="Лікар-терапевт",AG636*Законод!$C$9/4*Законод!$I$16,0)))</f>
        <v>0</v>
      </c>
      <c r="AR636" s="211">
        <f t="shared" si="88"/>
        <v>0</v>
      </c>
    </row>
    <row r="637" spans="1:44" s="218" customFormat="1" ht="31.9" hidden="1" customHeight="1" thickBot="1">
      <c r="A637" s="213"/>
      <c r="B637" s="952"/>
      <c r="C637" s="955"/>
      <c r="D637" s="958"/>
      <c r="E637" s="940"/>
      <c r="F637" s="239" t="str">
        <f ca="1">IF(B626="Лікар-педіатр",Законод!$J$17,IF(B626="Лікар загальної практики - сімейний лікар",Законод!$J$21,IF(B626="Лікар-терапевт",Законод!$J$25,"х")))</f>
        <v>х</v>
      </c>
      <c r="G637" s="932" t="s">
        <v>423</v>
      </c>
      <c r="H637" s="933"/>
      <c r="I637" s="933"/>
      <c r="J637" s="933"/>
      <c r="K637" s="934"/>
      <c r="L637" s="196">
        <f ca="1">IF($B$626="Лікар загальної практики - сімейний лікар",IF(L630&gt;=Законод!$J$22,'01_Доходи'!L630-('01_Доходи'!L631+'01_Доходи'!L632+'01_Доходи'!L633+'01_Доходи'!L634+'01_Доходи'!L635+'01_Доходи'!L636),0),IF($B$626="Лікар-педіатр",IF(L630&gt;=Законод!$J$18,'01_Доходи'!L630-('01_Доходи'!L631+'01_Доходи'!L632+'01_Доходи'!L633+'01_Доходи'!L634+'01_Доходи'!L635+'01_Доходи'!L636),0),IF($B$626="Лікар-терапевт",IF('01_Доходи'!L630&gt;=Законод!$J$26,L630-Законод!$I$27,0),0)))</f>
        <v>0</v>
      </c>
      <c r="M637" s="943"/>
      <c r="N637" s="932" t="s">
        <v>423</v>
      </c>
      <c r="O637" s="933"/>
      <c r="P637" s="933"/>
      <c r="Q637" s="933"/>
      <c r="R637" s="934"/>
      <c r="S637" s="196">
        <f ca="1">IF($B$626="Лікар загальної практики - сімейний лікар",IF(S630&gt;=Законод!$J$22,'01_Доходи'!S630-('01_Доходи'!S631+'01_Доходи'!S632+'01_Доходи'!S633+'01_Доходи'!S634+'01_Доходи'!S635+'01_Доходи'!S636),0),IF($B$626="Лікар-педіатр",IF(S630&gt;=Законод!$J$18,'01_Доходи'!S630-('01_Доходи'!S631+'01_Доходи'!S632+'01_Доходи'!S633+'01_Доходи'!S634+'01_Доходи'!S635+'01_Доходи'!S636),0),IF($B$626="Лікар-терапевт",IF('01_Доходи'!S630&gt;=Законод!$J$26,S630-Законод!$I$27,0),0)))</f>
        <v>0</v>
      </c>
      <c r="T637" s="943"/>
      <c r="U637" s="932" t="s">
        <v>423</v>
      </c>
      <c r="V637" s="933"/>
      <c r="W637" s="933"/>
      <c r="X637" s="933"/>
      <c r="Y637" s="934"/>
      <c r="Z637" s="196">
        <f ca="1">IF($B$626="Лікар загальної практики - сімейний лікар",IF(Z630&gt;=Законод!$J$22,'01_Доходи'!Z630-('01_Доходи'!Z631+'01_Доходи'!Z632+'01_Доходи'!Z633+'01_Доходи'!Z634+'01_Доходи'!Z635+'01_Доходи'!Z636),0),IF($B$626="Лікар-педіатр",IF(Z630&gt;=Законод!$J$18,'01_Доходи'!Z630-('01_Доходи'!Z631+'01_Доходи'!Z632+'01_Доходи'!Z633+'01_Доходи'!Z634+'01_Доходи'!Z635+'01_Доходи'!Z636),0),IF($B$626="Лікар-терапевт",IF('01_Доходи'!Z630&gt;=Законод!$J$26,Z630-Законод!$I$27,0),0)))</f>
        <v>0</v>
      </c>
      <c r="AA637" s="943"/>
      <c r="AB637" s="932" t="s">
        <v>423</v>
      </c>
      <c r="AC637" s="933"/>
      <c r="AD637" s="933"/>
      <c r="AE637" s="933"/>
      <c r="AF637" s="934"/>
      <c r="AG637" s="196">
        <f ca="1">IF($B$626="Лікар загальної практики - сімейний лікар",IF(AG630&gt;=Законод!$J$22,'01_Доходи'!AG630-('01_Доходи'!AG631+'01_Доходи'!AG632+'01_Доходи'!AG633+'01_Доходи'!AG634+'01_Доходи'!AG635+'01_Доходи'!AG636),0),IF($B$626="Лікар-педіатр",IF(AG630&gt;=Законод!$J$18,'01_Доходи'!AG630-('01_Доходи'!AG631+'01_Доходи'!AG632+'01_Доходи'!AG633+'01_Доходи'!AG634+'01_Доходи'!AG635+'01_Доходи'!AG636),0),IF($B$626="Лікар-терапевт",IF('01_Доходи'!AG630&gt;=Законод!$J$26,AG630-Законод!$I$27,0),0)))</f>
        <v>0</v>
      </c>
      <c r="AH637" s="943"/>
      <c r="AI637" s="215"/>
      <c r="AJ637" s="946"/>
      <c r="AK637" s="961"/>
      <c r="AL637" s="961"/>
      <c r="AM637" s="928"/>
      <c r="AN637" s="216">
        <f ca="1">IF(B626="Лікар загальної практики - сімейний лікар",L637*Законод!$C$9/4*Законод!$J$16,IF(B626="Лікар-педіатр",L637*Законод!$C$9/4*Законод!$J$16,IF(B626="Лікар-терапевт",L637*Законод!$C$9/4*Законод!$J$16,0)))</f>
        <v>0</v>
      </c>
      <c r="AO637" s="216">
        <f ca="1">IF(B626="Лікар загальної практики - сімейний лікар",S637*Законод!$C$9/4*Законод!$J$16,IF(B626="Лікар-педіатр",S637*Законод!$C$9/4*Законод!$J$16,IF(B626="Лікар-терапевт",S637*Законод!$C$9/4*Законод!$J$16,0)))</f>
        <v>0</v>
      </c>
      <c r="AP637" s="216">
        <f ca="1">IF(B626="Лікар загальної практики - сімейний лікар",S637*Законод!$C$9/4*Законод!$J$16,IF(B626="Лікар-педіатр",S637*Законод!$C$9/4*Законод!$J$16,IF(B626="Лікар-терапевт",S637*Законод!$C$9/4*Законод!$J$16,0)))</f>
        <v>0</v>
      </c>
      <c r="AQ637" s="216">
        <f ca="1">IF(B626="Лікар загальної практики - сімейний лікар",AG637*Законод!$C$9/4*Законод!$J$16,IF(B626="Лікар-педіатр",AG637*Законод!$C$9/4*Законод!$J$16,IF(B626="Лікар-терапевт",AG637*Законод!$C$9/4*Законод!$J$16,0)))</f>
        <v>0</v>
      </c>
      <c r="AR637" s="217">
        <f t="shared" si="88"/>
        <v>0</v>
      </c>
    </row>
    <row r="638" spans="1:44" s="247" customFormat="1" ht="23.45" hidden="1" customHeight="1" thickBot="1">
      <c r="A638" s="243"/>
      <c r="B638" s="244"/>
      <c r="C638" s="244"/>
      <c r="D638" s="244"/>
      <c r="E638" s="244"/>
      <c r="F638" s="245"/>
      <c r="G638" s="246"/>
      <c r="H638" s="246"/>
      <c r="L638" s="248"/>
      <c r="S638" s="248"/>
      <c r="Z638" s="248"/>
      <c r="AG638" s="248"/>
      <c r="AM638" s="249"/>
      <c r="AR638" s="250"/>
    </row>
    <row r="639" spans="1:44" s="191" customFormat="1" ht="24.6" hidden="1" customHeight="1">
      <c r="A639" s="194">
        <f>A626+1</f>
        <v>47</v>
      </c>
      <c r="B639" s="950"/>
      <c r="C639" s="953"/>
      <c r="D639" s="956"/>
      <c r="E639" s="938"/>
      <c r="F639" s="234" t="s">
        <v>659</v>
      </c>
      <c r="G639" s="196">
        <f>IF($B$639="Лікар-педіатр",G642*L639,IF($B$639="Лікар-терапевт","х",IF($B$639="Лікар загальної практики - сімейний лікар",G642*L639,0)))</f>
        <v>0</v>
      </c>
      <c r="H639" s="196">
        <f>IF($B$639="Лікар-педіатр",H642*L639,IF($B$639="Лікар-терапевт","х",IF($B$639="Лікар загальної практики - сімейний лікар",H642*L639,0)))</f>
        <v>0</v>
      </c>
      <c r="I639" s="196">
        <f>IF($B$639="Лікар-педіатр","x",IF($B$639="Лікар-терапевт",I642*L639,IF($B$639="Лікар загальної практики - сімейний лікар",I642*L639,0)))</f>
        <v>0</v>
      </c>
      <c r="J639" s="196">
        <f>IF($B$639="Лікар-педіатр","x",IF($B$639="Лікар-терапевт",J642*L639,IF($B$639="Лікар загальної практики - сімейний лікар",J642*L639,0)))</f>
        <v>0</v>
      </c>
      <c r="K639" s="196">
        <f>IF($B$639="Лікар-педіатр","x",IF($B$639="Лікар-терапевт",K642*L639,IF($B$639="Лікар загальної практики - сімейний лікар",K642*L639,0)))</f>
        <v>0</v>
      </c>
      <c r="L639" s="557"/>
      <c r="M639" s="941"/>
      <c r="N639" s="196">
        <f>IF($B$639="Лікар-педіатр",N642*S639,IF($B$639="Лікар-терапевт","х",IF($B$639="Лікар загальної практики - сімейний лікар",N642*S639,0)))</f>
        <v>0</v>
      </c>
      <c r="O639" s="196">
        <f>IF($B$639="Лікар-педіатр",O642*S639,IF($B$639="Лікар-терапевт","х",IF($B$639="Лікар загальної практики - сімейний лікар",O642*S639,0)))</f>
        <v>0</v>
      </c>
      <c r="P639" s="196">
        <f>IF($B$639="Лікар-педіатр","x",IF($B$639="Лікар-терапевт",P642*S639,IF($B$639="Лікар загальної практики - сімейний лікар",P642*S639,0)))</f>
        <v>0</v>
      </c>
      <c r="Q639" s="196">
        <f>IF($B$639="Лікар-педіатр","x",IF($B$639="Лікар-терапевт",Q642*S639,IF($B$639="Лікар загальної практики - сімейний лікар",Q642*S639,0)))</f>
        <v>0</v>
      </c>
      <c r="R639" s="196">
        <f>IF($B$639="Лікар-педіатр","x",IF($B$639="Лікар-терапевт",R642*S639,IF($B$639="Лікар загальної практики - сімейний лікар",R642*S639,0)))</f>
        <v>0</v>
      </c>
      <c r="S639" s="557"/>
      <c r="T639" s="941"/>
      <c r="U639" s="196">
        <f>IF($B$639="Лікар-педіатр",U642*Z639,IF($B$639="Лікар-терапевт","х",IF($B$639="Лікар загальної практики - сімейний лікар",U642*Z639,0)))</f>
        <v>0</v>
      </c>
      <c r="V639" s="196">
        <f>IF($B$639="Лікар-педіатр",V642*Z639,IF($B$639="Лікар-терапевт","х",IF($B$639="Лікар загальної практики - сімейний лікар",V642*Z639,0)))</f>
        <v>0</v>
      </c>
      <c r="W639" s="196">
        <f>IF($B$639="Лікар-педіатр","x",IF($B$639="Лікар-терапевт",W642*Z639,IF($B$639="Лікар загальної практики - сімейний лікар",W642*Z639,0)))</f>
        <v>0</v>
      </c>
      <c r="X639" s="196">
        <f>IF($B$639="Лікар-педіатр","x",IF($B$639="Лікар-терапевт",X642*Z639,IF($B$639="Лікар загальної практики - сімейний лікар",X642*Z639,0)))</f>
        <v>0</v>
      </c>
      <c r="Y639" s="196">
        <f>IF($B$639="Лікар-педіатр","x",IF($B$639="Лікар-терапевт",Y642*Z639,IF($B$639="Лікар загальної практики - сімейний лікар",Y642*Z639,0)))</f>
        <v>0</v>
      </c>
      <c r="Z639" s="557"/>
      <c r="AA639" s="941"/>
      <c r="AB639" s="196">
        <f>IF($B$639="Лікар-педіатр",AB642*AG639,IF($B$639="Лікар-терапевт","х",IF($B$639="Лікар загальної практики - сімейний лікар",AB642*AG639,0)))</f>
        <v>0</v>
      </c>
      <c r="AC639" s="196">
        <f>IF($B$639="Лікар-педіатр",AC642*AG639,IF($B$639="Лікар-терапевт","х",IF($B$639="Лікар загальної практики - сімейний лікар",AC642*AG639,0)))</f>
        <v>0</v>
      </c>
      <c r="AD639" s="196">
        <f>IF($B$639="Лікар-педіатр","x",IF($B$639="Лікар-терапевт",AD642*AG639,IF($B$639="Лікар загальної практики - сімейний лікар",AD642*AG639,0)))</f>
        <v>0</v>
      </c>
      <c r="AE639" s="196">
        <f>IF($B$639="Лікар-педіатр","x",IF($B$639="Лікар-терапевт",AE642*AG639,IF($B$639="Лікар загальної практики - сімейний лікар",AE642*AG639,0)))</f>
        <v>0</v>
      </c>
      <c r="AF639" s="196">
        <f>IF($B$639="Лікар-педіатр","x",IF($B$639="Лікар-терапевт",AF642*AG639,IF($B$639="Лікар загальної практики - сімейний лікар",AF642*AG639,0)))</f>
        <v>0</v>
      </c>
      <c r="AG639" s="557"/>
      <c r="AH639" s="941"/>
      <c r="AI639" s="540">
        <f>A639</f>
        <v>47</v>
      </c>
      <c r="AJ639" s="944">
        <f>B639</f>
        <v>0</v>
      </c>
      <c r="AK639" s="959">
        <f>C639</f>
        <v>0</v>
      </c>
      <c r="AL639" s="959">
        <f>D639</f>
        <v>0</v>
      </c>
      <c r="AM639" s="929" t="s">
        <v>79</v>
      </c>
      <c r="AN639" s="947">
        <f>SUM(AN644:AN650)</f>
        <v>0</v>
      </c>
      <c r="AO639" s="947">
        <f>SUM(AO644:AO650)</f>
        <v>0</v>
      </c>
      <c r="AP639" s="947">
        <f>SUM(AP644:AP650)</f>
        <v>0</v>
      </c>
      <c r="AQ639" s="947">
        <f>SUM(AQ644:AQ650)</f>
        <v>0</v>
      </c>
      <c r="AR639" s="962">
        <f>SUM(AN639:AQ643)</f>
        <v>0</v>
      </c>
    </row>
    <row r="640" spans="1:44" s="50" customFormat="1" ht="28.15" hidden="1" customHeight="1">
      <c r="A640" s="197"/>
      <c r="B640" s="951"/>
      <c r="C640" s="954"/>
      <c r="D640" s="957"/>
      <c r="E640" s="939"/>
      <c r="F640" s="234" t="s">
        <v>660</v>
      </c>
      <c r="G640" s="196">
        <f>IF($B$639="Лікар-педіатр",G642*L640,IF($B$639="Лікар-терапевт","х",IF($B$639="Лікар загальної практики - сімейний лікар",G642*L640,0)))</f>
        <v>0</v>
      </c>
      <c r="H640" s="196">
        <f>IF($B$639="Лікар-педіатр",H642*L640,IF($B$639="Лікар-терапевт","х",IF($B$639="Лікар загальної практики - сімейний лікар",H642*L640,0)))</f>
        <v>0</v>
      </c>
      <c r="I640" s="196">
        <f>IF($B$639="Лікар-педіатр","x",IF($B$639="Лікар-терапевт",I642*L640,IF($B$639="Лікар загальної практики - сімейний лікар",I642*L640,0)))</f>
        <v>0</v>
      </c>
      <c r="J640" s="196">
        <f>IF($B$639="Лікар-педіатр","x",IF($B$639="Лікар-терапевт",J642*L640,IF($B$639="Лікар загальної практики - сімейний лікар",J642*L640,0)))</f>
        <v>0</v>
      </c>
      <c r="K640" s="196">
        <f>IF($B$639="Лікар-педіатр","x",IF($B$639="Лікар-терапевт",K642*L640,IF($B$639="Лікар загальної практики - сімейний лікар",K642*L640,0)))</f>
        <v>0</v>
      </c>
      <c r="L640" s="557"/>
      <c r="M640" s="942"/>
      <c r="N640" s="196">
        <f>IF($B$639="Лікар-педіатр",N642*S640,IF($B$639="Лікар-терапевт","х",IF($B$639="Лікар загальної практики - сімейний лікар",N642*S640,0)))</f>
        <v>0</v>
      </c>
      <c r="O640" s="196">
        <f>IF($B$639="Лікар-педіатр",O642*S640,IF($B$639="Лікар-терапевт","х",IF($B$639="Лікар загальної практики - сімейний лікар",O642*S640,0)))</f>
        <v>0</v>
      </c>
      <c r="P640" s="196">
        <f>IF($B$639="Лікар-педіатр","x",IF($B$639="Лікар-терапевт",P642*S640,IF($B$639="Лікар загальної практики - сімейний лікар",P642*S640,0)))</f>
        <v>0</v>
      </c>
      <c r="Q640" s="196">
        <f>IF($B$639="Лікар-педіатр","x",IF($B$639="Лікар-терапевт",Q642*S640,IF($B$639="Лікар загальної практики - сімейний лікар",Q642*S640,0)))</f>
        <v>0</v>
      </c>
      <c r="R640" s="196">
        <f>IF($B$639="Лікар-педіатр","x",IF($B$639="Лікар-терапевт",R642*S640,IF($B$639="Лікар загальної практики - сімейний лікар",R642*S640,0)))</f>
        <v>0</v>
      </c>
      <c r="S640" s="557"/>
      <c r="T640" s="942"/>
      <c r="U640" s="196">
        <f>IF($B$639="Лікар-педіатр",U642*Z640,IF($B$639="Лікар-терапевт","х",IF($B$639="Лікар загальної практики - сімейний лікар",U642*Z640,0)))</f>
        <v>0</v>
      </c>
      <c r="V640" s="196">
        <f>IF($B$639="Лікар-педіатр",V642*Z640,IF($B$639="Лікар-терапевт","х",IF($B$639="Лікар загальної практики - сімейний лікар",V642*Z640,0)))</f>
        <v>0</v>
      </c>
      <c r="W640" s="196">
        <f>IF($B$639="Лікар-педіатр","x",IF($B$639="Лікар-терапевт",W642*Z640,IF($B$639="Лікар загальної практики - сімейний лікар",W642*Z640,0)))</f>
        <v>0</v>
      </c>
      <c r="X640" s="196">
        <f>IF($B$639="Лікар-педіатр","x",IF($B$639="Лікар-терапевт",X642*Z640,IF($B$639="Лікар загальної практики - сімейний лікар",X642*Z640,0)))</f>
        <v>0</v>
      </c>
      <c r="Y640" s="196">
        <f>IF($B$639="Лікар-педіатр","x",IF($B$639="Лікар-терапевт",Y642*Z640,IF($B$639="Лікар загальної практики - сімейний лікар",Y642*Z640,0)))</f>
        <v>0</v>
      </c>
      <c r="Z640" s="557"/>
      <c r="AA640" s="942"/>
      <c r="AB640" s="196">
        <f>IF($B$639="Лікар-педіатр",AB642*AG640,IF($B$639="Лікар-терапевт","х",IF($B$639="Лікар загальної практики - сімейний лікар",AB642*AG640,0)))</f>
        <v>0</v>
      </c>
      <c r="AC640" s="196">
        <f>IF($B$639="Лікар-педіатр",AC642*AG640,IF($B$639="Лікар-терапевт","х",IF($B$639="Лікар загальної практики - сімейний лікар",AC642*AG640,0)))</f>
        <v>0</v>
      </c>
      <c r="AD640" s="196">
        <f>IF($B$639="Лікар-педіатр","x",IF($B$639="Лікар-терапевт",AD642*AG640,IF($B$639="Лікар загальної практики - сімейний лікар",AD642*AG640,0)))</f>
        <v>0</v>
      </c>
      <c r="AE640" s="196">
        <f>IF($B$639="Лікар-педіатр","x",IF($B$639="Лікар-терапевт",AE642*AG640,IF($B$639="Лікар загальної практики - сімейний лікар",AE642*AG640,0)))</f>
        <v>0</v>
      </c>
      <c r="AF640" s="196">
        <f>IF($B$639="Лікар-педіатр","x",IF($B$639="Лікар-терапевт",AF642*AG640,IF($B$639="Лікар загальної практики - сімейний лікар",AF642*AG640,0)))</f>
        <v>0</v>
      </c>
      <c r="AG640" s="557"/>
      <c r="AH640" s="942"/>
      <c r="AI640" s="198"/>
      <c r="AJ640" s="945"/>
      <c r="AK640" s="960"/>
      <c r="AL640" s="960"/>
      <c r="AM640" s="930"/>
      <c r="AN640" s="948"/>
      <c r="AO640" s="948"/>
      <c r="AP640" s="948"/>
      <c r="AQ640" s="948"/>
      <c r="AR640" s="963"/>
    </row>
    <row r="641" spans="1:44" s="90" customFormat="1" ht="31.15" hidden="1" customHeight="1">
      <c r="A641" s="240"/>
      <c r="B641" s="951"/>
      <c r="C641" s="954"/>
      <c r="D641" s="957"/>
      <c r="E641" s="939"/>
      <c r="F641" s="241" t="s">
        <v>661</v>
      </c>
      <c r="G641" s="199">
        <f>IF(B639="Лікар загальної практики - сімейний лікар"," ",IF(B639="Лікар-педіатр"," ",IF(B639="Лікар-терапевт","х",0)))</f>
        <v>0</v>
      </c>
      <c r="H641" s="199">
        <f>IF(B639="Лікар загальної практики - сімейний лікар"," ",IF(B639="Лікар-педіатр"," ",IF(B639="Лікар-терапевт","х",0)))</f>
        <v>0</v>
      </c>
      <c r="I641" s="199">
        <f>IF(B639="Лікар загальної практики - сімейний лікар"," ",IF(B639="Лікар-педіатр","х",IF(B639="Лікар-терапевт"," ",0)))</f>
        <v>0</v>
      </c>
      <c r="J641" s="199">
        <f>IF(B639="Лікар загальної практики - сімейний лікар"," ",IF(B639="Лікар-педіатр","х",IF(B639="Лікар-терапевт"," ",0)))</f>
        <v>0</v>
      </c>
      <c r="K641" s="199">
        <f>IF(B639="Лікар загальної практики - сімейний лікар"," ",IF(B639="Лікар-педіатр","х",IF(B639="Лікар-терапевт"," ",0)))</f>
        <v>0</v>
      </c>
      <c r="L641" s="200">
        <f>SUM(G641:K641)</f>
        <v>0</v>
      </c>
      <c r="M641" s="942"/>
      <c r="N641" s="199">
        <f>IF(B639="Лікар загальної практики - сімейний лікар"," ",IF(B639="Лікар-педіатр"," ",IF(B639="Лікар-терапевт","х",0)))</f>
        <v>0</v>
      </c>
      <c r="O641" s="199">
        <f>IF(B639="Лікар загальної практики - сімейний лікар"," ",IF(B639="Лікар-педіатр"," ",IF(B639="Лікар-терапевт","х",0)))</f>
        <v>0</v>
      </c>
      <c r="P641" s="199">
        <f>IF(B639="Лікар загальної практики - сімейний лікар"," ",IF(B639="Лікар-педіатр","х",IF(B639="Лікар-терапевт"," ",0)))</f>
        <v>0</v>
      </c>
      <c r="Q641" s="199">
        <f>IF(B639="Лікар загальної практики - сімейний лікар"," ",IF(B639="Лікар-педіатр","х",IF(B639="Лікар-терапевт"," ",0)))</f>
        <v>0</v>
      </c>
      <c r="R641" s="199">
        <f>IF(B639="Лікар загальної практики - сімейний лікар"," ",IF(B639="Лікар-педіатр","х",IF(B639="Лікар-терапевт"," ",0)))</f>
        <v>0</v>
      </c>
      <c r="S641" s="200">
        <f>SUM(N641:R641)</f>
        <v>0</v>
      </c>
      <c r="T641" s="942"/>
      <c r="U641" s="199">
        <f>IF(B639="Лікар загальної практики - сімейний лікар"," ",IF(B639="Лікар-педіатр"," ",IF(B639="Лікар-терапевт","х",0)))</f>
        <v>0</v>
      </c>
      <c r="V641" s="199">
        <f>IF(B639="Лікар загальної практики - сімейний лікар"," ",IF(B639="Лікар-педіатр"," ",IF(B639="Лікар-терапевт","х",0)))</f>
        <v>0</v>
      </c>
      <c r="W641" s="199">
        <f>IF(B639="Лікар загальної практики - сімейний лікар"," ",IF(B639="Лікар-педіатр","х",IF(B639="Лікар-терапевт"," ",0)))</f>
        <v>0</v>
      </c>
      <c r="X641" s="199">
        <f>IF(B639="Лікар загальної практики - сімейний лікар"," ",IF(B639="Лікар-педіатр","х",IF(B639="Лікар-терапевт"," ",0)))</f>
        <v>0</v>
      </c>
      <c r="Y641" s="199">
        <f>IF(B639="Лікар загальної практики - сімейний лікар"," ",IF(B639="Лікар-педіатр","х",IF(B639="Лікар-терапевт"," ",0)))</f>
        <v>0</v>
      </c>
      <c r="Z641" s="200">
        <f>SUM(U641:Y641)</f>
        <v>0</v>
      </c>
      <c r="AA641" s="942"/>
      <c r="AB641" s="199">
        <f>IF(B639="Лікар загальної практики - сімейний лікар"," ",IF(B639="Лікар-педіатр"," ",IF(B639="Лікар-терапевт","х",0)))</f>
        <v>0</v>
      </c>
      <c r="AC641" s="199">
        <f>IF(B639="Лікар загальної практики - сімейний лікар"," ",IF(B639="Лікар-педіатр"," ",IF(B639="Лікар-терапевт","х",0)))</f>
        <v>0</v>
      </c>
      <c r="AD641" s="199">
        <f>IF(B639="Лікар загальної практики - сімейний лікар"," ",IF(B639="Лікар-педіатр","х",IF(B639="Лікар-терапевт"," ",0)))</f>
        <v>0</v>
      </c>
      <c r="AE641" s="199">
        <f>IF(B639="Лікар загальної практики - сімейний лікар"," ",IF(B639="Лікар-педіатр","х",IF(B639="Лікар-терапевт"," ",0)))</f>
        <v>0</v>
      </c>
      <c r="AF641" s="199">
        <f>IF(B639="Лікар загальної практики - сімейний лікар"," ",IF(B639="Лікар-педіатр","х",IF(B639="Лікар-терапевт"," ",0)))</f>
        <v>0</v>
      </c>
      <c r="AG641" s="200">
        <f>SUM(AB641:AF641)</f>
        <v>0</v>
      </c>
      <c r="AH641" s="942"/>
      <c r="AI641" s="242"/>
      <c r="AJ641" s="945"/>
      <c r="AK641" s="960"/>
      <c r="AL641" s="960"/>
      <c r="AM641" s="930"/>
      <c r="AN641" s="948"/>
      <c r="AO641" s="948"/>
      <c r="AP641" s="948"/>
      <c r="AQ641" s="948"/>
      <c r="AR641" s="963"/>
    </row>
    <row r="642" spans="1:44" s="50" customFormat="1" ht="31.9" hidden="1" customHeight="1" thickBot="1">
      <c r="A642" s="197"/>
      <c r="B642" s="951"/>
      <c r="C642" s="954"/>
      <c r="D642" s="957"/>
      <c r="E642" s="939"/>
      <c r="F642" s="236" t="s">
        <v>426</v>
      </c>
      <c r="G642" s="203">
        <f>IF($B$639="Лікар-педіатр",G641/L641,IF($B$639="Лікар-терапевт","х",IF($B$639="Лікар загальної практики - сімейний лікар",G641/L641,0)))</f>
        <v>0</v>
      </c>
      <c r="H642" s="203">
        <f>IF($B$639="Лікар-педіатр",H641/L641,IF($B$639="Лікар-терапевт","х",IF($B$639="Лікар загальної практики - сімейний лікар",H641/L641,0)))</f>
        <v>0</v>
      </c>
      <c r="I642" s="203">
        <f>IF($B$639="Лікар-педіатр","x",IF($B$639="Лікар-терапевт",I641/L641,IF($B$639="Лікар загальної практики - сімейний лікар",I641/L641,0)))</f>
        <v>0</v>
      </c>
      <c r="J642" s="203">
        <f>IF($B$639="Лікар-педіатр","x",IF($B$639="Лікар-терапевт",J641/L641,IF($B$639="Лікар загальної практики - сімейний лікар",J641/L641,0)))</f>
        <v>0</v>
      </c>
      <c r="K642" s="203">
        <f>IF($B$639="Лікар-педіатр","x",IF($B$639="Лікар-терапевт",K641/L641,IF($B$639="Лікар загальної практики - сімейний лікар",K641/L641,0)))</f>
        <v>0</v>
      </c>
      <c r="L642" s="203">
        <f>SUM(G642:K642)</f>
        <v>0</v>
      </c>
      <c r="M642" s="942"/>
      <c r="N642" s="203">
        <f>IF($B$639="Лікар-педіатр",N641/S641,IF($B$639="Лікар-терапевт","х",IF($B$639="Лікар загальної практики - сімейний лікар",N641/S641,0)))</f>
        <v>0</v>
      </c>
      <c r="O642" s="203">
        <f>IF($B$639="Лікар-педіатр",O641/S641,IF($B$639="Лікар-терапевт","х",IF($B$639="Лікар загальної практики - сімейний лікар",O641/S641,0)))</f>
        <v>0</v>
      </c>
      <c r="P642" s="203">
        <f>IF($B$639="Лікар-педіатр","x",IF($B$639="Лікар-терапевт",P641/S641,IF($B$639="Лікар загальної практики - сімейний лікар",P641/S641,0)))</f>
        <v>0</v>
      </c>
      <c r="Q642" s="203">
        <f>IF($B$639="Лікар-педіатр","x",IF($B$639="Лікар-терапевт",Q641/S641,IF($B$639="Лікар загальної практики - сімейний лікар",Q641/S641,0)))</f>
        <v>0</v>
      </c>
      <c r="R642" s="203">
        <f>IF($B$639="Лікар-педіатр","x",IF($B$639="Лікар-терапевт",R641/S641,IF($B$639="Лікар загальної практики - сімейний лікар",R641/S641,0)))</f>
        <v>0</v>
      </c>
      <c r="S642" s="203">
        <f>SUM(N642:R642)</f>
        <v>0</v>
      </c>
      <c r="T642" s="942"/>
      <c r="U642" s="203">
        <f>IF($B$639="Лікар-педіатр",U641/Z641,IF($B$639="Лікар-терапевт","х",IF($B$639="Лікар загальної практики - сімейний лікар",U641/Z641,0)))</f>
        <v>0</v>
      </c>
      <c r="V642" s="203">
        <f>IF($B$639="Лікар-педіатр",V641/Z641,IF($B$639="Лікар-терапевт","х",IF($B$639="Лікар загальної практики - сімейний лікар",V641/Z641,0)))</f>
        <v>0</v>
      </c>
      <c r="W642" s="203">
        <f>IF($B$639="Лікар-педіатр","x",IF($B$639="Лікар-терапевт",W641/Z641,IF($B$639="Лікар загальної практики - сімейний лікар",W641/Z641,0)))</f>
        <v>0</v>
      </c>
      <c r="X642" s="203">
        <f>IF($B$639="Лікар-педіатр","x",IF($B$639="Лікар-терапевт",X641/Z641,IF($B$639="Лікар загальної практики - сімейний лікар",X641/Z641,0)))</f>
        <v>0</v>
      </c>
      <c r="Y642" s="203">
        <f>IF($B$639="Лікар-педіатр","x",IF($B$639="Лікар-терапевт",Y641/Z641,IF($B$639="Лікар загальної практики - сімейний лікар",Y641/Z641,0)))</f>
        <v>0</v>
      </c>
      <c r="Z642" s="203">
        <f>SUM(U642:Y642)</f>
        <v>0</v>
      </c>
      <c r="AA642" s="942"/>
      <c r="AB642" s="203">
        <f>IF($B$639="Лікар-педіатр",AB641/AG641,IF($B$639="Лікар-терапевт","х",IF($B$639="Лікар загальної практики - сімейний лікар",AB641/AG641,0)))</f>
        <v>0</v>
      </c>
      <c r="AC642" s="203">
        <f>IF($B$639="Лікар-педіатр",AC641/AG641,IF($B$639="Лікар-терапевт","х",IF($B$639="Лікар загальної практики - сімейний лікар",AC641/AG641,0)))</f>
        <v>0</v>
      </c>
      <c r="AD642" s="203">
        <f>IF($B$639="Лікар-педіатр","x",IF($B$639="Лікар-терапевт",AD641/AG641,IF($B$639="Лікар загальної практики - сімейний лікар",AD641/AG641,0)))</f>
        <v>0</v>
      </c>
      <c r="AE642" s="203">
        <f>IF($B$639="Лікар-педіатр","x",IF($B$639="Лікар-терапевт",AE641/AG641,IF($B$639="Лікар загальної практики - сімейний лікар",AE641/AG641,0)))</f>
        <v>0</v>
      </c>
      <c r="AF642" s="203">
        <f>IF($B$639="Лікар-педіатр","x",IF($B$639="Лікар-терапевт",AF641/AG641,IF($B$639="Лікар загальної практики - сімейний лікар",AF641/AG641,0)))</f>
        <v>0</v>
      </c>
      <c r="AG642" s="203">
        <f>SUM(AB642:AF642)</f>
        <v>0</v>
      </c>
      <c r="AH642" s="942"/>
      <c r="AI642" s="201"/>
      <c r="AJ642" s="945"/>
      <c r="AK642" s="960"/>
      <c r="AL642" s="960"/>
      <c r="AM642" s="930"/>
      <c r="AN642" s="948"/>
      <c r="AO642" s="948"/>
      <c r="AP642" s="948"/>
      <c r="AQ642" s="948"/>
      <c r="AR642" s="963"/>
    </row>
    <row r="643" spans="1:44" s="50" customFormat="1" ht="45" hidden="1" customHeight="1" thickBot="1">
      <c r="A643" s="197"/>
      <c r="B643" s="951"/>
      <c r="C643" s="954"/>
      <c r="D643" s="957"/>
      <c r="E643" s="939"/>
      <c r="F643" s="204" t="s">
        <v>662</v>
      </c>
      <c r="G643" s="205">
        <f>IF($B$639="Лікар загальної практики - сімейний лікар",AVERAGE(G639:G641),IF($B$639="Лікар-педіатр",AVERAGE(G639:G641),IF($B$639="Лікар-терапевт","х",0)))</f>
        <v>0</v>
      </c>
      <c r="H643" s="205">
        <f>IF($B$639="Лікар загальної практики - сімейний лікар",AVERAGE(H639:H641),IF($B$639="Лікар-педіатр",AVERAGE(H639:H641),IF($B$639="Лікар-терапевт","х",0)))</f>
        <v>0</v>
      </c>
      <c r="I643" s="205">
        <f>IF($B$639="Лікар загальної практики - сімейний лікар",AVERAGE(I639:I641),IF($B$639="Лікар-педіатр","x",IF($B$639="Лікар-терапевт",AVERAGE(I639:I641),0)))</f>
        <v>0</v>
      </c>
      <c r="J643" s="205">
        <f>IF($B$639="Лікар загальної практики - сімейний лікар",AVERAGE(J639:J641),IF($B$639="Лікар-педіатр","x",IF($B$639="Лікар-терапевт",AVERAGE(J639:J641),0)))</f>
        <v>0</v>
      </c>
      <c r="K643" s="205">
        <f>IF($B$639="Лікар загальної практики - сімейний лікар",AVERAGE(K639:K641),IF($B$639="Лікар-педіатр","x",IF($B$639="Лікар-терапевт",AVERAGE(K639:K641),0)))</f>
        <v>0</v>
      </c>
      <c r="L643" s="206">
        <f>SUM(G643:K643)</f>
        <v>0</v>
      </c>
      <c r="M643" s="942"/>
      <c r="N643" s="205">
        <f>IF($B$639="Лікар загальної практики - сімейний лікар",AVERAGE(N639:N641),IF($B$639="Лікар-педіатр",AVERAGE(N639:N641),IF($B$639="Лікар-терапевт","х",0)))</f>
        <v>0</v>
      </c>
      <c r="O643" s="205">
        <f>IF($B$639="Лікар загальної практики - сімейний лікар",AVERAGE(O639:O641),IF($B$639="Лікар-педіатр",AVERAGE(O639:O641),IF($B$639="Лікар-терапевт","х",0)))</f>
        <v>0</v>
      </c>
      <c r="P643" s="205">
        <f>IF($B$639="Лікар загальної практики - сімейний лікар",AVERAGE(P639:P641),IF($B$639="Лікар-педіатр","x",IF($B$639="Лікар-терапевт",AVERAGE(P639:P641),0)))</f>
        <v>0</v>
      </c>
      <c r="Q643" s="205">
        <f>IF($B$639="Лікар загальної практики - сімейний лікар",AVERAGE(Q639:Q641),IF($B$639="Лікар-педіатр","x",IF($B$639="Лікар-терапевт",AVERAGE(Q639:Q641),0)))</f>
        <v>0</v>
      </c>
      <c r="R643" s="205">
        <f>IF($B$639="Лікар загальної практики - сімейний лікар",AVERAGE(R639:R641),IF($B$639="Лікар-педіатр","x",IF($B$639="Лікар-терапевт",AVERAGE(R639:R641),0)))</f>
        <v>0</v>
      </c>
      <c r="S643" s="206">
        <f>SUM(N643:R643)</f>
        <v>0</v>
      </c>
      <c r="T643" s="942"/>
      <c r="U643" s="205">
        <f>IF($B$639="Лікар загальної практики - сімейний лікар",AVERAGE(U639:U641),IF($B$639="Лікар-педіатр",AVERAGE(U639:U641),IF($B$639="Лікар-терапевт","х",0)))</f>
        <v>0</v>
      </c>
      <c r="V643" s="205">
        <f>IF($B$639="Лікар загальної практики - сімейний лікар",AVERAGE(V639:V641),IF($B$639="Лікар-педіатр",AVERAGE(V639:V641),IF($B$639="Лікар-терапевт","х",0)))</f>
        <v>0</v>
      </c>
      <c r="W643" s="205">
        <f>IF($B$639="Лікар загальної практики - сімейний лікар",AVERAGE(W639:W641),IF($B$639="Лікар-педіатр","x",IF($B$639="Лікар-терапевт",AVERAGE(W639:W641),0)))</f>
        <v>0</v>
      </c>
      <c r="X643" s="205">
        <f>IF($B$639="Лікар загальної практики - сімейний лікар",AVERAGE(X639:X641),IF($B$639="Лікар-педіатр","x",IF($B$639="Лікар-терапевт",AVERAGE(X639:X641),0)))</f>
        <v>0</v>
      </c>
      <c r="Y643" s="205">
        <f>IF($B$639="Лікар загальної практики - сімейний лікар",AVERAGE(Y639:Y641),IF($B$639="Лікар-педіатр","x",IF($B$639="Лікар-терапевт",AVERAGE(Y639:Y641),0)))</f>
        <v>0</v>
      </c>
      <c r="Z643" s="206">
        <f>SUM(U643:Y643)</f>
        <v>0</v>
      </c>
      <c r="AA643" s="942"/>
      <c r="AB643" s="205">
        <f>IF($B$639="Лікар загальної практики - сімейний лікар",AVERAGE(AB639:AB641),IF($B$639="Лікар-педіатр",AVERAGE(AB639:AB641),IF($B$639="Лікар-терапевт","х",0)))</f>
        <v>0</v>
      </c>
      <c r="AC643" s="205">
        <f>IF($B$639="Лікар загальної практики - сімейний лікар",AVERAGE(AC639:AC641),IF($B$639="Лікар-педіатр",AVERAGE(AC639:AC641),IF($B$639="Лікар-терапевт","х",0)))</f>
        <v>0</v>
      </c>
      <c r="AD643" s="205">
        <f>IF($B$639="Лікар загальної практики - сімейний лікар",AVERAGE(AD639:AD641),IF($B$639="Лікар-педіатр","x",IF($B$639="Лікар-терапевт",AVERAGE(AD639:AD641),0)))</f>
        <v>0</v>
      </c>
      <c r="AE643" s="205">
        <f>IF($B$639="Лікар загальної практики - сімейний лікар",AVERAGE(AE639:AE641),IF($B$639="Лікар-педіатр","x",IF($B$639="Лікар-терапевт",AVERAGE(AE639:AE641),0)))</f>
        <v>0</v>
      </c>
      <c r="AF643" s="205">
        <f>IF($B$639="Лікар загальної практики - сімейний лікар",AVERAGE(AF639:AF641),IF($B$639="Лікар-педіатр","x",IF($B$639="Лікар-терапевт",AVERAGE(AF639:AF641),0)))</f>
        <v>0</v>
      </c>
      <c r="AG643" s="206">
        <f>SUM(AB643:AF643)</f>
        <v>0</v>
      </c>
      <c r="AH643" s="942"/>
      <c r="AI643" s="201"/>
      <c r="AJ643" s="945"/>
      <c r="AK643" s="960"/>
      <c r="AL643" s="960"/>
      <c r="AM643" s="931"/>
      <c r="AN643" s="949"/>
      <c r="AO643" s="949"/>
      <c r="AP643" s="949"/>
      <c r="AQ643" s="949"/>
      <c r="AR643" s="964"/>
    </row>
    <row r="644" spans="1:44" s="50" customFormat="1" ht="40.5" hidden="1">
      <c r="A644" s="197"/>
      <c r="B644" s="951"/>
      <c r="C644" s="954"/>
      <c r="D644" s="957"/>
      <c r="E644" s="939"/>
      <c r="F644" s="237" t="str">
        <f ca="1">IF(B639="Лікар-педіатр",Законод!$C$17,IF(B639="Лікар загальної практики - сімейний лікар",Законод!$C$21,IF(B639="Лікар-терапевт",Законод!$C$25,"х")))</f>
        <v>х</v>
      </c>
      <c r="G644" s="208">
        <f ca="1">IF($B$639="Лікар загальної практики - сімейний лікар",IF(L643&lt;=Законод!$C$22,G643,Законод!$C$22*'01_Доходи'!G642),IF($B$639="Лікар-педіатр",IF(L643&lt;=Законод!$C$18,G643,Законод!$C$18*'01_Доходи'!G642),IF($B$639="Лікар-терапевт","x",0)))</f>
        <v>0</v>
      </c>
      <c r="H644" s="208">
        <f ca="1">IF($B$639="Лікар загальної практики - сімейний лікар",IF(L643&lt;=Законод!$C$22,H643,Законод!$C$22*'01_Доходи'!H642),IF($B$639="Лікар-педіатр",IF(L643&lt;=Законод!$C$18,H643,Законод!$C$18*'01_Доходи'!H642),IF($B$639="Лікар-терапевт","x",0)))</f>
        <v>0</v>
      </c>
      <c r="I644" s="208">
        <f ca="1">IF($B$639="Лікар загальної практики - сімейний лікар",IF(L643&lt;=Законод!$C$22,I643,Законод!$C$22*'01_Доходи'!I642),IF($B$639="Лікар-педіатр","x",IF($B$639="Лікар-терапевт",IF(L643&lt;=Законод!$C$26,I643,Законод!$C$26*'01_Доходи'!I642),0)))</f>
        <v>0</v>
      </c>
      <c r="J644" s="208">
        <f ca="1">IF($B$639="Лікар загальної практики - сімейний лікар",IF(L643&lt;=Законод!$C$22,J643,Законод!$C$22*'01_Доходи'!J642),IF($B$639="Лікар-педіатр","x",IF($B$639="Лікар-терапевт",IF(L643&lt;=Законод!$C$26,J643,Законод!$C$26*'01_Доходи'!J642),0)))</f>
        <v>0</v>
      </c>
      <c r="K644" s="208">
        <f ca="1">IF($B$639="Лікар загальної практики - сімейний лікар",IF(L643&lt;=Законод!$C$22,K643,Законод!$C$22*'01_Доходи'!K642),IF($B$639="Лікар-педіатр","x",IF($B$639="Лікар-терапевт",IF(L643&lt;=Законод!$C$26,K643,Законод!$C$26*'01_Доходи'!K642),0)))</f>
        <v>0</v>
      </c>
      <c r="L644" s="209">
        <f ca="1">SUM(G644:K644)</f>
        <v>0</v>
      </c>
      <c r="M644" s="942"/>
      <c r="N644" s="208">
        <f ca="1">IF($B$639="Лікар загальної практики - сімейний лікар",IF(S643&lt;=Законод!$C$22,N643,Законод!$C$22*'01_Доходи'!N642),IF($B$639="Лікар-педіатр",IF(S643&lt;=Законод!$C$18,N643,Законод!$C$18*'01_Доходи'!N642),IF($B$639="Лікар-терапевт","x",0)))</f>
        <v>0</v>
      </c>
      <c r="O644" s="208">
        <f ca="1">IF($B$639="Лікар загальної практики - сімейний лікар",IF(S643&lt;=Законод!$C$22,O643,Законод!$C$22*'01_Доходи'!O642),IF($B$639="Лікар-педіатр",IF(S643&lt;=Законод!$C$18,O643,Законод!$C$18*'01_Доходи'!O642),IF($B$639="Лікар-терапевт","x",0)))</f>
        <v>0</v>
      </c>
      <c r="P644" s="208">
        <f ca="1">IF($B$639="Лікар загальної практики - сімейний лікар",IF(S643&lt;=Законод!$C$22,P643,Законод!$C$22*'01_Доходи'!P642),IF($B$639="Лікар-педіатр","x",IF($B$639="Лікар-терапевт",IF(S643&lt;=Законод!$C$26,P643,Законод!$C$26*'01_Доходи'!P642),0)))</f>
        <v>0</v>
      </c>
      <c r="Q644" s="208">
        <f ca="1">IF($B$639="Лікар загальної практики - сімейний лікар",IF(S643&lt;=Законод!$C$22,Q643,Законод!$C$22*'01_Доходи'!Q642),IF($B$639="Лікар-педіатр","x",IF($B$639="Лікар-терапевт",IF(S643&lt;=Законод!$C$26,Q643,Законод!$C$26*'01_Доходи'!Q642),0)))</f>
        <v>0</v>
      </c>
      <c r="R644" s="208">
        <f ca="1">IF($B$639="Лікар загальної практики - сімейний лікар",IF(S643&lt;=Законод!$C$22,R643,Законод!$C$22*'01_Доходи'!R642),IF($B$639="Лікар-педіатр","x",IF($B$639="Лікар-терапевт",IF(S643&lt;=Законод!$C$26,R643,Законод!$C$26*'01_Доходи'!R642),0)))</f>
        <v>0</v>
      </c>
      <c r="S644" s="209">
        <f ca="1">SUM(N644:R644)</f>
        <v>0</v>
      </c>
      <c r="T644" s="942"/>
      <c r="U644" s="208">
        <f ca="1">IF($B$639="Лікар загальної практики - сімейний лікар",IF(Z643&lt;=Законод!$C$22,U643,Законод!$C$22*'01_Доходи'!U642),IF($B$639="Лікар-педіатр",IF(Z643&lt;=Законод!$C$18,U643,Законод!$C$18*'01_Доходи'!U642),IF($B$639="Лікар-терапевт","x",0)))</f>
        <v>0</v>
      </c>
      <c r="V644" s="208">
        <f ca="1">IF($B$639="Лікар загальної практики - сімейний лікар",IF(Z643&lt;=Законод!$C$22,V643,Законод!$C$22*'01_Доходи'!V642),IF($B$639="Лікар-педіатр",IF(Z643&lt;=Законод!$C$18,V643,Законод!$C$18*'01_Доходи'!V642),IF($B$639="Лікар-терапевт","x",0)))</f>
        <v>0</v>
      </c>
      <c r="W644" s="208">
        <f ca="1">IF($B$639="Лікар загальної практики - сімейний лікар",IF(Z643&lt;=Законод!$C$22,W643,Законод!$C$22*'01_Доходи'!W642),IF($B$639="Лікар-педіатр","x",IF($B$639="Лікар-терапевт",IF(Z643&lt;=Законод!$C$26,W643,Законод!$C$26*'01_Доходи'!W642),0)))</f>
        <v>0</v>
      </c>
      <c r="X644" s="208">
        <f ca="1">IF($B$639="Лікар загальної практики - сімейний лікар",IF(Z643&lt;=Законод!$C$22,X643,Законод!$C$22*'01_Доходи'!X642),IF($B$639="Лікар-педіатр","x",IF($B$639="Лікар-терапевт",IF(Z643&lt;=Законод!$C$26,X643,Законод!$C$26*'01_Доходи'!X642),0)))</f>
        <v>0</v>
      </c>
      <c r="Y644" s="208">
        <f ca="1">IF($B$639="Лікар загальної практики - сімейний лікар",IF(Z643&lt;=Законод!$C$22,Y643,Законод!$C$22*'01_Доходи'!Y642),IF($B$639="Лікар-педіатр","x",IF($B$639="Лікар-терапевт",IF(Z643&lt;=Законод!$C$26,Y643,Законод!$C$26*'01_Доходи'!Y642),0)))</f>
        <v>0</v>
      </c>
      <c r="Z644" s="209">
        <f ca="1">SUM(U644:Y644)</f>
        <v>0</v>
      </c>
      <c r="AA644" s="942"/>
      <c r="AB644" s="208">
        <f ca="1">IF($B$639="Лікар загальної практики - сімейний лікар",IF(AG643&lt;=Законод!$C$22,AB643,Законод!$C$22*'01_Доходи'!AB642),IF($B$639="Лікар-педіатр",IF(AG643&lt;=Законод!$C$18,AB643,Законод!$C$18*'01_Доходи'!AB642),IF($B$639="Лікар-терапевт","x",0)))</f>
        <v>0</v>
      </c>
      <c r="AC644" s="208">
        <f ca="1">IF($B$639="Лікар загальної практики - сімейний лікар",IF(AG643&lt;=Законод!$C$22,AC643,Законод!$C$22*'01_Доходи'!AC642),IF($B$639="Лікар-педіатр",IF(AG643&lt;=Законод!$C$18,AC643,Законод!$C$18*'01_Доходи'!AC642),IF($B$639="Лікар-терапевт","x",0)))</f>
        <v>0</v>
      </c>
      <c r="AD644" s="208">
        <f ca="1">IF($B$639="Лікар загальної практики - сімейний лікар",IF(AG643&lt;=Законод!$C$22,AD643,Законод!$C$22*'01_Доходи'!AD642),IF($B$639="Лікар-педіатр","x",IF($B$639="Лікар-терапевт",IF(AG643&lt;=Законод!$C$26,AD643,Законод!$C$26*'01_Доходи'!AD642),0)))</f>
        <v>0</v>
      </c>
      <c r="AE644" s="208">
        <f ca="1">IF($B$639="Лікар загальної практики - сімейний лікар",IF(AG643&lt;=Законод!$C$22,AE643,Законод!$C$22*'01_Доходи'!AE642),IF($B$639="Лікар-педіатр","x",IF($B$639="Лікар-терапевт",IF(AG643&lt;=Законод!$C$26,AE643,Законод!$C$26*'01_Доходи'!AE642),0)))</f>
        <v>0</v>
      </c>
      <c r="AF644" s="208">
        <f ca="1">IF($B$639="Лікар загальної практики - сімейний лікар",IF(AG643&lt;=Законод!$C$22,AF643,Законод!$C$22*'01_Доходи'!AF642),IF($B$639="Лікар-педіатр","x",IF($B$639="Лікар-терапевт",IF(AG643&lt;=Законод!$C$26,AF643,Законод!$C$26*'01_Доходи'!AF642),0)))</f>
        <v>0</v>
      </c>
      <c r="AG644" s="209">
        <f ca="1">SUM(AB644:AF644)</f>
        <v>0</v>
      </c>
      <c r="AH644" s="942"/>
      <c r="AI644" s="201"/>
      <c r="AJ644" s="945"/>
      <c r="AK644" s="960"/>
      <c r="AL644" s="960"/>
      <c r="AM644" s="348" t="s">
        <v>451</v>
      </c>
      <c r="AN644" s="210">
        <f ca="1">IF(B639="Лікар загальної практики - сімейний лікар",G644*Законод!$C$11+'01_Доходи'!H644*Законод!$D$11+'01_Доходи'!I644*Законод!$E$11+'01_Доходи'!J644*Законод!$F$11+'01_Доходи'!K644*Законод!$G$11,IF(B639="Лікар-педіатр",G644*Законод!$C$11+'01_Доходи'!H644*Законод!$D$11,IF(B639="Лікар-терапевт",'01_Доходи'!I644*Законод!$E$11+'01_Доходи'!J644*Законод!$F$11+'01_Доходи'!K644*Законод!$G$11,0)))</f>
        <v>0</v>
      </c>
      <c r="AO644" s="210">
        <f ca="1">IF(B639="Лікар загальної практики - сімейний лікар",N644*Законод!$C$11+'01_Доходи'!O644*Законод!$D$11+'01_Доходи'!P644*Законод!$E$11+'01_Доходи'!Q644*Законод!$F$11+'01_Доходи'!R644*Законод!$G$11,IF(B639="Лікар-педіатр",N644*Законод!$C$11+'01_Доходи'!O644*Законод!$D$11,IF(B639="Лікар-терапевт",'01_Доходи'!P644*Законод!$E$11+'01_Доходи'!Q644*Законод!$F$11+'01_Доходи'!R644*Законод!$G$11,0)))</f>
        <v>0</v>
      </c>
      <c r="AP644" s="210">
        <f ca="1">IF(B639="Лікар загальної практики - сімейний лікар",U644*Законод!$C$11+'01_Доходи'!V644*Законод!$D$11+'01_Доходи'!W644*Законод!$E$11+'01_Доходи'!X644*Законод!$F$11+'01_Доходи'!Y644*Законод!$G$11,IF(B639="Лікар-педіатр",U644*Законод!$C$11+'01_Доходи'!V644*Законод!$D$11,IF(B639="Лікар-терапевт",'01_Доходи'!W644*Законод!$E$11+'01_Доходи'!X644*Законод!$F$11+'01_Доходи'!Y644*Законод!$G$11,0)))</f>
        <v>0</v>
      </c>
      <c r="AQ644" s="210">
        <f ca="1">IF(B639="Лікар загальної практики - сімейний лікар",AB644*Законод!$C$11+'01_Доходи'!AC644*Законод!$D$11+'01_Доходи'!AD644*Законод!$E$11+'01_Доходи'!AE644*Законод!$F$11+'01_Доходи'!AF644*Законод!$G$11,IF(B639="Лікар-педіатр",AB644*Законод!$C$11+'01_Доходи'!AC644*Законод!$D$11,IF(B639="Лікар-терапевт",'01_Доходи'!AD644*Законод!$E$11+'01_Доходи'!AE644*Законод!$F$11+'01_Доходи'!AF644*Законод!$G$11,0)))</f>
        <v>0</v>
      </c>
      <c r="AR644" s="211">
        <f t="shared" ref="AR644:AR650" si="89">SUM(AN644:AQ644)</f>
        <v>0</v>
      </c>
    </row>
    <row r="645" spans="1:44" s="50" customFormat="1" ht="31.9" hidden="1" customHeight="1">
      <c r="A645" s="197"/>
      <c r="B645" s="951"/>
      <c r="C645" s="954"/>
      <c r="D645" s="957"/>
      <c r="E645" s="939"/>
      <c r="F645" s="238" t="str">
        <f ca="1">IF(B639="Лікар-педіатр",Законод!$E$17,IF(B639="Лікар загальної практики - сімейний лікар",Законод!$E$21,IF(B639="Лікар-терапевт",Законод!$E$25,"х")))</f>
        <v>х</v>
      </c>
      <c r="G645" s="935" t="s">
        <v>423</v>
      </c>
      <c r="H645" s="936"/>
      <c r="I645" s="936"/>
      <c r="J645" s="936"/>
      <c r="K645" s="937"/>
      <c r="L645" s="196">
        <f ca="1">IF($B$639="Лікар загальної практики - сімейний лікар",IF(L643&lt;Законод!$C$22,0,(IF(AND(L643&gt;=Законод!$E$22,L643&lt;=Законод!$E$23),L643-Законод!$C$22,IF('01_Доходи'!L643&gt;=Законод!$F$22,Законод!$E$24,0)))),IF($B$639="Лікар-педіатр",IF(L643&lt;Законод!$C$18,0,(IF(AND(L643&gt;=Законод!$E$18,L643&lt;=Законод!$E$19),L643-Законод!$C$18,IF('01_Доходи'!L643&gt;=Законод!$F$18,Законод!$E$20,0)))),IF($B$639="Лікар-терапевт",IF(L643&lt;Законод!$C$26,0,(IF(AND(L643&gt;=Законод!$E$26,L643&lt;=Законод!$E$27),L643-Законод!$C$26,IF('01_Доходи'!L643&gt;=Законод!$F$26,Законод!$E$28,0)))),0)))</f>
        <v>0</v>
      </c>
      <c r="M645" s="942"/>
      <c r="N645" s="935" t="s">
        <v>423</v>
      </c>
      <c r="O645" s="936"/>
      <c r="P645" s="936"/>
      <c r="Q645" s="936"/>
      <c r="R645" s="937"/>
      <c r="S645" s="196">
        <f ca="1">IF($B$639="Лікар загальної практики - сімейний лікар",IF(S643&lt;Законод!$C$22,0,(IF(AND(S643&gt;=Законод!$E$22,S643&lt;=Законод!$E$23),S643-Законод!$C$22,IF('01_Доходи'!S643&gt;=Законод!$F$22,Законод!$E$24,0)))),IF($B$639="Лікар-педіатр",IF(S643&lt;Законод!$C$18,0,(IF(AND(S643&gt;=Законод!$E$18,S643&lt;=Законод!$E$19),S643-Законод!$C$18,IF('01_Доходи'!S643&gt;=Законод!$F$18,Законод!$E$20,0)))),IF($B$639="Лікар-терапевт",IF(S643&lt;Законод!$C$26,0,(IF(AND(S643&gt;=Законод!$E$26,S643&lt;=Законод!$E$27),S643-Законод!$C$26,IF('01_Доходи'!S643&gt;=Законод!$F$26,Законод!$E$28,0)))),0)))</f>
        <v>0</v>
      </c>
      <c r="T645" s="942"/>
      <c r="U645" s="935" t="s">
        <v>423</v>
      </c>
      <c r="V645" s="936"/>
      <c r="W645" s="936"/>
      <c r="X645" s="936"/>
      <c r="Y645" s="937"/>
      <c r="Z645" s="196">
        <f ca="1">IF($B$639="Лікар загальної практики - сімейний лікар",IF(Z643&lt;Законод!$C$22,0,(IF(AND(Z643&gt;=Законод!$E$22,Z643&lt;=Законод!$E$23),Z643-Законод!$C$22,IF('01_Доходи'!Z643&gt;=Законод!$F$22,Законод!$E$24,0)))),IF($B$639="Лікар-педіатр",IF(Z643&lt;Законод!$C$18,0,(IF(AND(Z643&gt;=Законод!$E$18,Z643&lt;=Законод!$E$19),Z643-Законод!$C$18,IF('01_Доходи'!Z643&gt;=Законод!$F$18,Законод!$E$20,0)))),IF($B$639="Лікар-терапевт",IF(Z643&lt;Законод!$C$26,0,(IF(AND(Z643&gt;=Законод!$E$26,Z643&lt;=Законод!$E$27),Z643-Законод!$C$26,IF('01_Доходи'!Z643&gt;=Законод!$F$26,Законод!$E$28,0)))),0)))</f>
        <v>0</v>
      </c>
      <c r="AA645" s="942"/>
      <c r="AB645" s="935" t="s">
        <v>423</v>
      </c>
      <c r="AC645" s="936"/>
      <c r="AD645" s="936"/>
      <c r="AE645" s="936"/>
      <c r="AF645" s="937"/>
      <c r="AG645" s="196">
        <f ca="1">IF($B$639="Лікар загальної практики - сімейний лікар",IF(AG643&lt;Законод!$C$22,0,(IF(AND(AG643&gt;=Законод!$E$22,AG643&lt;=Законод!$E$23),AG643-Законод!$C$22,IF('01_Доходи'!AG643&gt;=Законод!$F$22,Законод!$E$24,0)))),IF($B$639="Лікар-педіатр",IF(AG643&lt;Законод!$C$18,0,(IF(AND(AG643&gt;=Законод!$E$18,AG643&lt;=Законод!$E$19),AG643-Законод!$C$18,IF('01_Доходи'!AG643&gt;=Законод!$F$18,Законод!$E$20,0)))),IF($B$639="Лікар-терапевт",IF(AG643&lt;Законод!$C$26,0,(IF(AND(AG643&gt;=Законод!$E$26,AG643&lt;=Законод!$E$27),AG643-Законод!$C$26,IF('01_Доходи'!AG643&gt;=Законод!$F$26,Законод!$E$28,0)))),0)))</f>
        <v>0</v>
      </c>
      <c r="AH645" s="942"/>
      <c r="AI645" s="201"/>
      <c r="AJ645" s="945"/>
      <c r="AK645" s="960"/>
      <c r="AL645" s="960"/>
      <c r="AM645" s="926" t="s">
        <v>452</v>
      </c>
      <c r="AN645" s="210">
        <f ca="1">IF(B639="Лікар загальної практики - сімейний лікар",L645*Законод!$C$9/4*Законод!$E$16,IF(B639="Лікар-педіатр",L645*Законод!$C$9/4*Законод!$E$16,IF(B639="Лікар-терапевт",L645*Законод!$C$9/4*Законод!$E$16,0)))</f>
        <v>0</v>
      </c>
      <c r="AO645" s="210">
        <f ca="1">IF(B639="Лікар загальної практики - сімейний лікар",S645*Законод!$C$9/4*Законод!$E$16,IF(B639="Лікар-педіатр",S645*Законод!$C$9/4*Законод!$E$16,IF(B639="Лікар-терапевт",S645*Законод!$C$9/4*Законод!$E$16,0)))</f>
        <v>0</v>
      </c>
      <c r="AP645" s="210">
        <f ca="1">IF(B639="Лікар загальної практики - сімейний лікар",Z645*Законод!$C$9/4*Законод!$E$16,IF(B639="Лікар-педіатр",Z645*Законод!$C$9/4*Законод!$E$16,IF(B639="Лікар-терапевт",Z645*Законод!$C$9/4*Законод!$E$16,0)))</f>
        <v>0</v>
      </c>
      <c r="AQ645" s="210">
        <f ca="1">IF(B639="Лікар загальної практики - сімейний лікар",AG645*Законод!$C$9/4*Законод!$E$16,IF(B639="Лікар-педіатр",AG645*Законод!$C$9/4*Законод!$E$16,IF(B639="Лікар-терапевт",AG645*Законод!$C$9/4*Законод!$E$16,0)))</f>
        <v>0</v>
      </c>
      <c r="AR645" s="211">
        <f t="shared" si="89"/>
        <v>0</v>
      </c>
    </row>
    <row r="646" spans="1:44" s="50" customFormat="1" ht="31.9" hidden="1" customHeight="1">
      <c r="A646" s="197"/>
      <c r="B646" s="951"/>
      <c r="C646" s="954"/>
      <c r="D646" s="957"/>
      <c r="E646" s="939"/>
      <c r="F646" s="238" t="str">
        <f ca="1">IF(B639="Лікар-педіатр",Законод!$F$17,IF(B639="Лікар загальної практики - сімейний лікар",Законод!$F$21,IF(B639="Лікар-терапевт",Законод!$F$25,"х")))</f>
        <v>х</v>
      </c>
      <c r="G646" s="935" t="s">
        <v>423</v>
      </c>
      <c r="H646" s="936"/>
      <c r="I646" s="936"/>
      <c r="J646" s="936"/>
      <c r="K646" s="937"/>
      <c r="L646" s="196">
        <f ca="1">IF($B$639="Лікар загальної практики - сімейний лікар",IF(L643&lt;Законод!$C$22,0,(IF(AND(L643&gt;=Законод!$F$22,L643&lt;=Законод!$F$23),L643-Законод!$E$23,IF('01_Доходи'!L643&gt;=Законод!$G$22,Законод!$F$24,0)))),IF($B$639="Лікар-педіатр",IF(L643&lt;Законод!$C$18,0,(IF(AND(L643&gt;=Законод!$F$18,L643&lt;=Законод!$F$19),L643-Законод!$E$19,IF('01_Доходи'!L643&gt;=Законод!$G$18,Законод!$F$20,0)))),IF($B$639="Лікар-терапевт",IF(L643&lt;Законод!$C$26,0,(IF(AND(L643&gt;=Законод!$F$26,L643&lt;=Законод!$F$27),L643-Законод!$E$27,IF('01_Доходи'!L643&gt;=Законод!$G$26,Законод!$F$28,0)))),0)))</f>
        <v>0</v>
      </c>
      <c r="M646" s="942"/>
      <c r="N646" s="935" t="s">
        <v>423</v>
      </c>
      <c r="O646" s="936"/>
      <c r="P646" s="936"/>
      <c r="Q646" s="936"/>
      <c r="R646" s="937"/>
      <c r="S646" s="196">
        <f ca="1">IF($B$639="Лікар загальної практики - сімейний лікар",IF(S643&lt;Законод!$C$22,0,(IF(AND(S643&gt;=Законод!$F$22,S643&lt;=Законод!$F$23),S643-Законод!$E$23,IF('01_Доходи'!S643&gt;=Законод!$G$22,Законод!$F$24,0)))),IF($B$639="Лікар-педіатр",IF(S643&lt;Законод!$C$18,0,(IF(AND(S643&gt;=Законод!$F$18,S643&lt;=Законод!$F$19),S643-Законод!$E$19,IF('01_Доходи'!S643&gt;=Законод!$G$18,Законод!$F$20,0)))),IF($B$639="Лікар-терапевт",IF(S643&lt;Законод!$C$26,0,(IF(AND(S643&gt;=Законод!$F$26,S643&lt;=Законод!$F$27),S643-Законод!$E$27,IF('01_Доходи'!S643&gt;=Законод!$G$26,Законод!$F$28,0)))),0)))</f>
        <v>0</v>
      </c>
      <c r="T646" s="942"/>
      <c r="U646" s="935" t="s">
        <v>423</v>
      </c>
      <c r="V646" s="936"/>
      <c r="W646" s="936"/>
      <c r="X646" s="936"/>
      <c r="Y646" s="937"/>
      <c r="Z646" s="196">
        <f ca="1">IF($B$639="Лікар загальної практики - сімейний лікар",IF(Z643&lt;Законод!$C$22,0,(IF(AND(Z643&gt;=Законод!$F$22,Z643&lt;=Законод!$F$23),Z643-Законод!$E$23,IF('01_Доходи'!Z643&gt;=Законод!$G$22,Законод!$F$24,0)))),IF($B$639="Лікар-педіатр",IF(Z643&lt;Законод!$C$18,0,(IF(AND(Z643&gt;=Законод!$F$18,Z643&lt;=Законод!$F$19),Z643-Законод!$E$19,IF('01_Доходи'!Z643&gt;=Законод!$G$18,Законод!$F$20,0)))),IF($B$639="Лікар-терапевт",IF(Z643&lt;Законод!$C$26,0,(IF(AND(Z643&gt;=Законод!$F$26,Z643&lt;=Законод!$F$27),Z643-Законод!$E$27,IF('01_Доходи'!Z643&gt;=Законод!$G$26,Законод!$F$28,0)))),0)))</f>
        <v>0</v>
      </c>
      <c r="AA646" s="942"/>
      <c r="AB646" s="935" t="s">
        <v>423</v>
      </c>
      <c r="AC646" s="936"/>
      <c r="AD646" s="936"/>
      <c r="AE646" s="936"/>
      <c r="AF646" s="937"/>
      <c r="AG646" s="196">
        <f ca="1">IF($B$639="Лікар загальної практики - сімейний лікар",IF(AG643&lt;Законод!$C$22,0,(IF(AND(AG643&gt;=Законод!$F$22,AG643&lt;=Законод!$F$23),AG643-Законод!$E$23,IF('01_Доходи'!AG643&gt;=Законод!$G$22,Законод!$F$24,0)))),IF($B$639="Лікар-педіатр",IF(AG643&lt;Законод!$C$18,0,(IF(AND(AG643&gt;=Законод!$F$18,AG643&lt;=Законод!$F$19),AG643-Законод!$E$19,IF('01_Доходи'!AG643&gt;=Законод!$G$18,Законод!$F$20,0)))),IF($B$639="Лікар-терапевт",IF(AG643&lt;Законод!$C$26,0,(IF(AND(AG643&gt;=Законод!$F$26,AG643&lt;=Законод!$F$27),AG643-Законод!$E$27,IF('01_Доходи'!AG643&gt;=Законод!$G$26,Законод!$F$28,0)))),0)))</f>
        <v>0</v>
      </c>
      <c r="AH646" s="942"/>
      <c r="AI646" s="201"/>
      <c r="AJ646" s="945"/>
      <c r="AK646" s="960"/>
      <c r="AL646" s="960"/>
      <c r="AM646" s="927"/>
      <c r="AN646" s="210">
        <f ca="1">IF(B639="Лікар загальної практики - сімейний лікар",L646*Законод!$C$9/4*Законод!$F$16,IF(B639="Лікар-педіатр",L646*Законод!$C$9/4*Законод!$F$16,IF(B639="Лікар-терапевт",L646*Законод!$C$9/4*Законод!$F$16,0)))</f>
        <v>0</v>
      </c>
      <c r="AO646" s="210">
        <f ca="1">IF(B639="Лікар загальної практики - сімейний лікар",S646*Законод!$C$9/4*Законод!$F$16,IF(B639="Лікар-педіатр",S646*Законод!$C$9/4*Законод!$F$16,IF(B639="Лікар-терапевт",S646*Законод!$C$9/4*Законод!$F$16,0)))</f>
        <v>0</v>
      </c>
      <c r="AP646" s="210">
        <f ca="1">IF(B639="Лікар загальної практики - сімейний лікар",Z646*Законод!$C$9/4*Законод!$F$16,IF(B639="Лікар-педіатр",Z646*Законод!$C$9/4*Законод!$F$16,IF(B639="Лікар-терапевт",Z646*Законод!$C$9/4*Законод!$F$16,0)))</f>
        <v>0</v>
      </c>
      <c r="AQ646" s="210">
        <f ca="1">IF(B639="Лікар загальної практики - сімейний лікар",AG646*Законод!$C$9/4*Законод!$F$16,IF(B639="Лікар-педіатр",AG646*Законод!$C$9/4*Законод!$F$16,IF(B639="Лікар-терапевт",AG646*Законод!$C$9/4*Законод!$F$16,0)))</f>
        <v>0</v>
      </c>
      <c r="AR646" s="211">
        <f t="shared" si="89"/>
        <v>0</v>
      </c>
    </row>
    <row r="647" spans="1:44" s="50" customFormat="1" ht="31.9" hidden="1" customHeight="1">
      <c r="A647" s="197"/>
      <c r="B647" s="951"/>
      <c r="C647" s="954"/>
      <c r="D647" s="957"/>
      <c r="E647" s="939"/>
      <c r="F647" s="238" t="str">
        <f ca="1">IF(B639="Лікар-педіатр",Законод!$G$17,IF(B639="Лікар загальної практики - сімейний лікар",Законод!$G$21,IF(B639="Лікар-терапевт",Законод!$G$25,"х")))</f>
        <v>х</v>
      </c>
      <c r="G647" s="935" t="s">
        <v>423</v>
      </c>
      <c r="H647" s="936"/>
      <c r="I647" s="936"/>
      <c r="J647" s="936"/>
      <c r="K647" s="937"/>
      <c r="L647" s="196">
        <f ca="1">IF($B$639="Лікар загальної практики - сімейний лікар",IF(L643&lt;Законод!$C$22,0,(IF(AND(L643&gt;=Законод!$G$22,L643&lt;=Законод!$G$23),L643-Законод!$F$23,IF('01_Доходи'!L643&gt;=Законод!$H$22,Законод!$G$24,0)))),IF($B$639="Лікар-педіатр",IF(L643&lt;Законод!$C$18,0,(IF(AND(L643&gt;=Законод!$G$18,L643&lt;=Законод!$G$19),L643-Законод!$F$19,IF('01_Доходи'!L643&gt;=Законод!$H$18,Законод!$G$20,0)))),IF($B$639="Лікар-терапевт",IF(L643&lt;Законод!$C$26,0,(IF(AND(L643&gt;=Законод!$G$26,L643&lt;=Законод!$G$27),L643-Законод!$F$27,IF('01_Доходи'!L643&gt;=Законод!$H$26,Законод!$G$28,0)))),0)))</f>
        <v>0</v>
      </c>
      <c r="M647" s="942"/>
      <c r="N647" s="935" t="s">
        <v>423</v>
      </c>
      <c r="O647" s="936"/>
      <c r="P647" s="936"/>
      <c r="Q647" s="936"/>
      <c r="R647" s="937"/>
      <c r="S647" s="196">
        <f ca="1">IF($B$639="Лікар загальної практики - сімейний лікар",IF(S643&lt;Законод!$C$22,0,(IF(AND(S643&gt;=Законод!$G$22,S643&lt;=Законод!$G$23),S643-Законод!$F$23,IF('01_Доходи'!S643&gt;=Законод!$H$22,Законод!$G$24,0)))),IF($B$639="Лікар-педіатр",IF(S643&lt;Законод!$C$18,0,(IF(AND(S643&gt;=Законод!$G$18,S643&lt;=Законод!$G$19),S643-Законод!$F$19,IF('01_Доходи'!S643&gt;=Законод!$H$18,Законод!$G$20,0)))),IF($B$639="Лікар-терапевт",IF(S643&lt;Законод!$C$26,0,(IF(AND(S643&gt;=Законод!$G$26,S643&lt;=Законод!$G$27),S643-Законод!$F$27,IF('01_Доходи'!S643&gt;=Законод!$H$26,Законод!$G$28,0)))),0)))</f>
        <v>0</v>
      </c>
      <c r="T647" s="942"/>
      <c r="U647" s="935" t="s">
        <v>423</v>
      </c>
      <c r="V647" s="936"/>
      <c r="W647" s="936"/>
      <c r="X647" s="936"/>
      <c r="Y647" s="937"/>
      <c r="Z647" s="196">
        <f ca="1">IF($B$639="Лікар загальної практики - сімейний лікар",IF(Z643&lt;Законод!$C$22,0,(IF(AND(Z643&gt;=Законод!$G$22,Z643&lt;=Законод!$G$23),Z643-Законод!$F$23,IF('01_Доходи'!Z643&gt;=Законод!$H$22,Законод!$G$24,0)))),IF($B$639="Лікар-педіатр",IF(Z643&lt;Законод!$C$18,0,(IF(AND(Z643&gt;=Законод!$G$18,Z643&lt;=Законод!$G$19),Z643-Законод!$F$19,IF('01_Доходи'!Z643&gt;=Законод!$H$18,Законод!$G$20,0)))),IF($B$639="Лікар-терапевт",IF(Z643&lt;Законод!$C$26,0,(IF(AND(Z643&gt;=Законод!$G$26,Z643&lt;=Законод!$G$27),Z643-Законод!$F$27,IF('01_Доходи'!Z643&gt;=Законод!$H$26,Законод!$G$28,0)))),0)))</f>
        <v>0</v>
      </c>
      <c r="AA647" s="942"/>
      <c r="AB647" s="935" t="s">
        <v>423</v>
      </c>
      <c r="AC647" s="936"/>
      <c r="AD647" s="936"/>
      <c r="AE647" s="936"/>
      <c r="AF647" s="937"/>
      <c r="AG647" s="196">
        <f ca="1">IF($B$639="Лікар загальної практики - сімейний лікар",IF(AG643&lt;Законод!$C$22,0,(IF(AND(AG643&gt;=Законод!$G$22,AG643&lt;=Законод!$G$23),AG643-Законод!$F$23,IF('01_Доходи'!AG643&gt;=Законод!$H$22,Законод!$G$24,0)))),IF($B$639="Лікар-педіатр",IF(AG643&lt;Законод!$C$18,0,(IF(AND(AG643&gt;=Законод!$G$18,AG643&lt;=Законод!$G$19),AG643-Законод!$F$19,IF('01_Доходи'!AG643&gt;=Законод!$H$18,Законод!$G$20,0)))),IF($B$639="Лікар-терапевт",IF(AG643&lt;Законод!$C$26,0,(IF(AND(AG643&gt;=Законод!$G$26,AG643&lt;=Законод!$G$27),AG643-Законод!$F$27,IF('01_Доходи'!AG643&gt;=Законод!$H$26,Законод!$G$28,0)))),0)))</f>
        <v>0</v>
      </c>
      <c r="AH647" s="942"/>
      <c r="AI647" s="201"/>
      <c r="AJ647" s="945"/>
      <c r="AK647" s="960"/>
      <c r="AL647" s="960"/>
      <c r="AM647" s="927"/>
      <c r="AN647" s="210">
        <f ca="1">IF(B639="Лікар загальної практики - сімейний лікар",L647*Законод!$C$9/4*Законод!$G$16,IF(B639="Лікар-педіатр",L647*Законод!$C$9/4*Законод!$G$16,IF(B639="Лікар-терапевт",L647*Законод!$C$9/4*Законод!$G$16,0)))</f>
        <v>0</v>
      </c>
      <c r="AO647" s="210">
        <f ca="1">IF(B639="Лікар загальної практики - сімейний лікар",S647*Законод!$C$9/4*Законод!$G$16,IF(B639="Лікар-педіатр",S647*Законод!$C$9/4*Законод!$G$16,IF(B639="Лікар-терапевт",S647*Законод!$C$9/4*Законод!$G$16,0)))</f>
        <v>0</v>
      </c>
      <c r="AP647" s="210">
        <f ca="1">IF(B639="Лікар загальної практики - сімейний лікар",Z647*Законод!$C$9/4*Законод!$G$16,IF(B639="Лікар-педіатр",Z647*Законод!$C$9/4*Законод!$G$16,IF(B639="Лікар-терапевт",Z647*Законод!$C$9/4*Законод!$G$16,0)))</f>
        <v>0</v>
      </c>
      <c r="AQ647" s="210">
        <f ca="1">IF(B639="Лікар загальної практики - сімейний лікар",AG647*Законод!$C$9/4*Законод!$G$16,IF(B639="Лікар-педіатр",AG647*Законод!$C$9/4*Законод!$G$16,IF(B639="Лікар-терапевт",AG647*Законод!$C$9/4*Законод!$G$16,0)))</f>
        <v>0</v>
      </c>
      <c r="AR647" s="211">
        <f t="shared" si="89"/>
        <v>0</v>
      </c>
    </row>
    <row r="648" spans="1:44" s="50" customFormat="1" ht="31.9" hidden="1" customHeight="1">
      <c r="A648" s="197"/>
      <c r="B648" s="951"/>
      <c r="C648" s="954"/>
      <c r="D648" s="957"/>
      <c r="E648" s="939"/>
      <c r="F648" s="238" t="str">
        <f ca="1">IF(B639="Лікар-педіатр",Законод!$H$17,IF(B639="Лікар загальної практики - сімейний лікар",Законод!$H$21,IF(B639="Лікар-терапевт",Законод!$H$25,"х")))</f>
        <v>х</v>
      </c>
      <c r="G648" s="935" t="s">
        <v>423</v>
      </c>
      <c r="H648" s="936"/>
      <c r="I648" s="936"/>
      <c r="J648" s="936"/>
      <c r="K648" s="937"/>
      <c r="L648" s="196">
        <f ca="1">IF($B$639="Лікар загальної практики - сімейний лікар",IF(L643&lt;Законод!$C$22,0,(IF(AND(L643&gt;=Законод!$H$22,L643&lt;=Законод!$H$23),L643-Законод!$G$23,IF('01_Доходи'!L643&gt;=Законод!$I$22,Законод!$H$24,0)))),IF($B$639="Лікар-педіатр",IF(L643&lt;Законод!$C$18,0,(IF(AND(L643&gt;=Законод!$H$18,L643&lt;=Законод!$H$19),L643-Законод!$G$19,IF('01_Доходи'!L643&gt;=Законод!$I$18,Законод!$H$20,0)))),IF($B$639="Лікар-терапевт",IF(L643&lt;Законод!$C$26,0,(IF(AND(L643&gt;=Законод!$H$26,L643&lt;=Законод!$H$27),L643-Законод!$G$27,IF(L643&gt;=Законод!$I$26,Законод!$H$28,0)))),0)))</f>
        <v>0</v>
      </c>
      <c r="M648" s="942"/>
      <c r="N648" s="935" t="s">
        <v>423</v>
      </c>
      <c r="O648" s="936"/>
      <c r="P648" s="936"/>
      <c r="Q648" s="936"/>
      <c r="R648" s="937"/>
      <c r="S648" s="196">
        <f ca="1">IF($B$639="Лікар загальної практики - сімейний лікар",IF(S643&lt;Законод!$C$22,0,(IF(AND(S643&gt;=Законод!$H$22,S643&lt;=Законод!$H$23),S643-Законод!$G$23,IF('01_Доходи'!S643&gt;=Законод!$I$22,Законод!$H$24,0)))),IF($B$639="Лікар-педіатр",IF(S643&lt;Законод!$C$18,0,(IF(AND(S643&gt;=Законод!$H$18,S643&lt;=Законод!$H$19),S643-Законод!$G$19,IF('01_Доходи'!S643&gt;=Законод!$I$18,Законод!$H$20,0)))),IF($B$639="Лікар-терапевт",IF(S643&lt;Законод!$C$26,0,(IF(AND(S643&gt;=Законод!$H$26,S643&lt;=Законод!$H$27),S643-Законод!$G$27,IF(S643&gt;=Законод!$I$26,Законод!$H$28,0)))),0)))</f>
        <v>0</v>
      </c>
      <c r="T648" s="942"/>
      <c r="U648" s="935" t="s">
        <v>423</v>
      </c>
      <c r="V648" s="936"/>
      <c r="W648" s="936"/>
      <c r="X648" s="936"/>
      <c r="Y648" s="937"/>
      <c r="Z648" s="196">
        <f ca="1">IF($B$639="Лікар загальної практики - сімейний лікар",IF(Z643&lt;Законод!$C$22,0,(IF(AND(Z643&gt;=Законод!$H$22,Z643&lt;=Законод!$H$23),Z643-Законод!$G$23,IF('01_Доходи'!Z643&gt;=Законод!$I$22,Законод!$H$24,0)))),IF($B$639="Лікар-педіатр",IF(Z643&lt;Законод!$C$18,0,(IF(AND(Z643&gt;=Законод!$H$18,Z643&lt;=Законод!$H$19),Z643-Законод!$G$19,IF('01_Доходи'!Z643&gt;=Законод!$I$18,Законод!$H$20,0)))),IF($B$639="Лікар-терапевт",IF(Z643&lt;Законод!$C$26,0,(IF(AND(Z643&gt;=Законод!$H$26,Z643&lt;=Законод!$H$27),Z643-Законод!$G$27,IF(Z643&gt;=Законод!$I$26,Законод!$H$28,0)))),0)))</f>
        <v>0</v>
      </c>
      <c r="AA648" s="942"/>
      <c r="AB648" s="935" t="s">
        <v>423</v>
      </c>
      <c r="AC648" s="936"/>
      <c r="AD648" s="936"/>
      <c r="AE648" s="936"/>
      <c r="AF648" s="937"/>
      <c r="AG648" s="196">
        <f ca="1">IF($B$639="Лікар загальної практики - сімейний лікар",IF(AG643&lt;Законод!$C$22,0,(IF(AND(AG643&gt;=Законод!$H$22,AG643&lt;=Законод!$H$23),AG643-Законод!$G$23,IF('01_Доходи'!AG643&gt;=Законод!$I$22,Законод!$H$24,0)))),IF($B$639="Лікар-педіатр",IF(AG643&lt;Законод!$C$18,0,(IF(AND(AG643&gt;=Законод!$H$18,AG643&lt;=Законод!$H$19),AG643-Законод!$G$19,IF('01_Доходи'!AG643&gt;=Законод!$I$18,Законод!$H$20,0)))),IF($B$639="Лікар-терапевт",IF(AG643&lt;Законод!$C$26,0,(IF(AND(AG643&gt;=Законод!$H$26,AG643&lt;=Законод!$H$27),AG643-Законод!$G$27,IF(AG643&gt;=Законод!$I$26,Законод!$H$28,0)))),0)))</f>
        <v>0</v>
      </c>
      <c r="AH648" s="942"/>
      <c r="AI648" s="201"/>
      <c r="AJ648" s="945"/>
      <c r="AK648" s="960"/>
      <c r="AL648" s="960"/>
      <c r="AM648" s="927"/>
      <c r="AN648" s="210">
        <f ca="1">IF(B639="Лікар загальної практики - сімейний лікар",L648*Законод!$C$9/4*Законод!$H$16,IF(B639="Лікар-педіатр",L648*Законод!$C$9/4*Законод!$H$16,IF(B639="Лікар-терапевт",L648*Законод!$C$9/4*Законод!$H$16,0)))</f>
        <v>0</v>
      </c>
      <c r="AO648" s="210">
        <f ca="1">IF(B639="Лікар загальної практики - сімейний лікар",S648*Законод!$C$9/4*Законод!$H$16,IF(B639="Лікар-педіатр",S648*Законод!$C$9/4*Законод!$H$16,IF(B639="Лікар-терапевт",S648*Законод!$C$9/4*Законод!$H$16,0)))</f>
        <v>0</v>
      </c>
      <c r="AP648" s="210">
        <f ca="1">IF(B639="Лікар загальної практики - сімейний лікар",Z648*Законод!$C$9/4*Законод!$H$16,IF(B639="Лікар-педіатр",Z648*Законод!$C$9/4*Законод!$H$16,IF(B639="Лікар-терапевт",Z648*Законод!$C$9/4*Законод!$H$16,0)))</f>
        <v>0</v>
      </c>
      <c r="AQ648" s="210">
        <f ca="1">IF(B639="Лікар загальної практики - сімейний лікар",AG648*Законод!$C$9/4*Законод!$H$16,IF(B639="Лікар-педіатр",AG648*Законод!$C$9/4*Законод!$H$16,IF(B639="Лікар-терапевт",AG648*Законод!$C$9/4*Законод!$H$16,0)))</f>
        <v>0</v>
      </c>
      <c r="AR648" s="211">
        <f t="shared" si="89"/>
        <v>0</v>
      </c>
    </row>
    <row r="649" spans="1:44" s="50" customFormat="1" ht="31.9" hidden="1" customHeight="1">
      <c r="A649" s="197"/>
      <c r="B649" s="951"/>
      <c r="C649" s="954"/>
      <c r="D649" s="957"/>
      <c r="E649" s="939"/>
      <c r="F649" s="238" t="str">
        <f ca="1">IF(B639="Лікар-педіатр",Законод!$I$17,IF(B639="Лікар загальної практики - сімейний лікар",Законод!$I$21,IF(B639="Лікар-терапевт",Законод!$I$25,"х")))</f>
        <v>х</v>
      </c>
      <c r="G649" s="935" t="s">
        <v>423</v>
      </c>
      <c r="H649" s="936"/>
      <c r="I649" s="936"/>
      <c r="J649" s="936"/>
      <c r="K649" s="937"/>
      <c r="L649" s="196">
        <f ca="1">IF($B$639="Лікар загальної практики - сімейний лікар",IF(L643&lt;Законод!$C$22,0,(IF(AND(L643&gt;=Законод!$I$22,L643&lt;=Законод!$I$23),L643-Законод!$H$23,IF('01_Доходи'!L643&gt;=Законод!$I$22,Законод!$I$24,0)))),IF($B$639="Лікар-педіатр",IF(L643&lt;Законод!$C$18,0,(IF(AND(L643&gt;=Законод!$I$18,L643&lt;=Законод!$I$19),L643-Законод!$H$19,IF('01_Доходи'!L643&gt;=Законод!$I$18,Законод!$H$20,0)))),IF($B$639="Лікар-терапевт",IF(L643&lt;Законод!$C$26,0,(IF(AND(L643&gt;=Законод!$I$26,L643&lt;=Законод!$I$27),L643-Законод!$H$27,IF('01_Доходи'!L643&gt;=Законод!$I$26,Законод!$H$28,0)))),0)))</f>
        <v>0</v>
      </c>
      <c r="M649" s="942"/>
      <c r="N649" s="935" t="s">
        <v>423</v>
      </c>
      <c r="O649" s="936"/>
      <c r="P649" s="936"/>
      <c r="Q649" s="936"/>
      <c r="R649" s="937"/>
      <c r="S649" s="196">
        <f ca="1">IF($B$639="Лікар загальної практики - сімейний лікар",IF(S643&lt;Законод!$C$22,0,(IF(AND(S643&gt;=Законод!$I$22,S643&lt;=Законод!$I$23),S643-Законод!$H$23,IF('01_Доходи'!S643&gt;=Законод!$I$22,Законод!$I$24,0)))),IF($B$639="Лікар-педіатр",IF(S643&lt;Законод!$C$18,0,(IF(AND(S643&gt;=Законод!$I$18,S643&lt;=Законод!$I$19),S643-Законод!$H$19,IF('01_Доходи'!S643&gt;=Законод!$I$18,Законод!$H$20,0)))),IF($B$639="Лікар-терапевт",IF(S643&lt;Законод!$C$26,0,(IF(AND(S643&gt;=Законод!$I$26,S643&lt;=Законод!$I$27),S643-Законод!$H$27,IF('01_Доходи'!S643&gt;=Законод!$I$26,Законод!$H$28,0)))),0)))</f>
        <v>0</v>
      </c>
      <c r="T649" s="942"/>
      <c r="U649" s="935" t="s">
        <v>423</v>
      </c>
      <c r="V649" s="936"/>
      <c r="W649" s="936"/>
      <c r="X649" s="936"/>
      <c r="Y649" s="937"/>
      <c r="Z649" s="196">
        <f ca="1">IF($B$639="Лікар загальної практики - сімейний лікар",IF(Z643&lt;Законод!$C$22,0,(IF(AND(Z643&gt;=Законод!$I$22,Z643&lt;=Законод!$I$23),Z643-Законод!$H$23,IF('01_Доходи'!Z643&gt;=Законод!$I$22,Законод!$I$24,0)))),IF($B$639="Лікар-педіатр",IF(Z643&lt;Законод!$C$18,0,(IF(AND(Z643&gt;=Законод!$I$18,Z643&lt;=Законод!$I$19),Z643-Законод!$H$19,IF('01_Доходи'!Z643&gt;=Законод!$I$18,Законод!$H$20,0)))),IF($B$639="Лікар-терапевт",IF(Z643&lt;Законод!$C$26,0,(IF(AND(Z643&gt;=Законод!$I$26,Z643&lt;=Законод!$I$27),Z643-Законод!$H$27,IF('01_Доходи'!Z643&gt;=Законод!$I$26,Законод!$H$28,0)))),0)))</f>
        <v>0</v>
      </c>
      <c r="AA649" s="942"/>
      <c r="AB649" s="935" t="s">
        <v>423</v>
      </c>
      <c r="AC649" s="936"/>
      <c r="AD649" s="936"/>
      <c r="AE649" s="936"/>
      <c r="AF649" s="937"/>
      <c r="AG649" s="196">
        <f ca="1">IF($B$639="Лікар загальної практики - сімейний лікар",IF(AG643&lt;Законод!$C$22,0,(IF(AND(AG643&gt;=Законод!$I$22,AG643&lt;=Законод!$I$23),AG643-Законод!$H$23,IF('01_Доходи'!AG643&gt;=Законод!$I$22,Законод!$I$24,0)))),IF($B$639="Лікар-педіатр",IF(AG643&lt;Законод!$C$18,0,(IF(AND(AG643&gt;=Законод!$I$18,AG643&lt;=Законод!$I$19),AG643-Законод!$H$19,IF('01_Доходи'!AG643&gt;=Законод!$I$18,Законод!$H$20,0)))),IF($B$639="Лікар-терапевт",IF(AG643&lt;Законод!$C$26,0,(IF(AND(AG643&gt;=Законод!$I$26,AG643&lt;=Законод!$I$27),AG643-Законод!$H$27,IF('01_Доходи'!AG643&gt;=Законод!$I$26,Законод!$H$28,0)))),0)))</f>
        <v>0</v>
      </c>
      <c r="AH649" s="942"/>
      <c r="AI649" s="201"/>
      <c r="AJ649" s="945"/>
      <c r="AK649" s="960"/>
      <c r="AL649" s="960"/>
      <c r="AM649" s="927"/>
      <c r="AN649" s="210">
        <f ca="1">IF(B639="Лікар загальної практики - сімейний лікар",L649*Законод!$C$9/4*Законод!$I$16,IF(B639="Лікар-педіатр",L649*Законод!$C$9/4*Законод!$I$16,IF(B639="Лікар-терапевт",L649*Законод!$C$9/4*Законод!$I$16,0)))</f>
        <v>0</v>
      </c>
      <c r="AO649" s="210">
        <f ca="1">IF(B639="Лікар загальної практики - сімейний лікар",S649*Законод!$C$9/4*Законод!$I$16,IF(B639="Лікар-педіатр",S649*Законод!$C$9/4*Законод!$I$16,IF(B639="Лікар-терапевт",S649*Законод!$C$9/4*Законод!$I$16,0)))</f>
        <v>0</v>
      </c>
      <c r="AP649" s="210">
        <f ca="1">IF(B639="Лікар загальної практики - сімейний лікар",Z649*Законод!$C$9/4*Законод!$I$16,IF(B639="Лікар-педіатр",Z649*Законод!$C$9/4*Законод!$I$16,IF(B639="Лікар-терапевт",Z649*Законод!$C$9/4*Законод!$I$16,0)))</f>
        <v>0</v>
      </c>
      <c r="AQ649" s="210">
        <f ca="1">IF(B639="Лікар загальної практики - сімейний лікар",AG649*Законод!$C$9/4*Законод!$I$16,IF(B639="Лікар-педіатр",AG649*Законод!$C$9/4*Законод!$I$16,IF(B639="Лікар-терапевт",AG649*Законод!$C$9/4*Законод!$I$16,0)))</f>
        <v>0</v>
      </c>
      <c r="AR649" s="211">
        <f t="shared" si="89"/>
        <v>0</v>
      </c>
    </row>
    <row r="650" spans="1:44" s="218" customFormat="1" ht="31.9" hidden="1" customHeight="1" thickBot="1">
      <c r="A650" s="213"/>
      <c r="B650" s="952"/>
      <c r="C650" s="955"/>
      <c r="D650" s="958"/>
      <c r="E650" s="940"/>
      <c r="F650" s="239" t="str">
        <f ca="1">IF(B639="Лікар-педіатр",Законод!$J$17,IF(B639="Лікар загальної практики - сімейний лікар",Законод!$J$21,IF(B639="Лікар-терапевт",Законод!$J$25,"х")))</f>
        <v>х</v>
      </c>
      <c r="G650" s="932" t="s">
        <v>423</v>
      </c>
      <c r="H650" s="933"/>
      <c r="I650" s="933"/>
      <c r="J650" s="933"/>
      <c r="K650" s="934"/>
      <c r="L650" s="196">
        <f ca="1">IF($B$639="Лікар загальної практики - сімейний лікар",IF(L643&gt;=Законод!$J$22,'01_Доходи'!L643-('01_Доходи'!L644+'01_Доходи'!L645+'01_Доходи'!L646+'01_Доходи'!L647+'01_Доходи'!L648+'01_Доходи'!L649),0),IF($B$639="Лікар-педіатр",IF(L643&gt;=Законод!$J$18,'01_Доходи'!L643-('01_Доходи'!L644+'01_Доходи'!L645+'01_Доходи'!L646+'01_Доходи'!L647+'01_Доходи'!L648+'01_Доходи'!L649),0),IF($B$639="Лікар-терапевт",IF('01_Доходи'!L643&gt;=Законод!$J$26,L643-Законод!$I$27,0),0)))</f>
        <v>0</v>
      </c>
      <c r="M650" s="943"/>
      <c r="N650" s="932" t="s">
        <v>423</v>
      </c>
      <c r="O650" s="933"/>
      <c r="P650" s="933"/>
      <c r="Q650" s="933"/>
      <c r="R650" s="934"/>
      <c r="S650" s="196">
        <f ca="1">IF($B$639="Лікар загальної практики - сімейний лікар",IF(S643&gt;=Законод!$J$22,'01_Доходи'!S643-('01_Доходи'!S644+'01_Доходи'!S645+'01_Доходи'!S646+'01_Доходи'!S647+'01_Доходи'!S648+'01_Доходи'!S649),0),IF($B$639="Лікар-педіатр",IF(S643&gt;=Законод!$J$18,'01_Доходи'!S643-('01_Доходи'!S644+'01_Доходи'!S645+'01_Доходи'!S646+'01_Доходи'!S647+'01_Доходи'!S648+'01_Доходи'!S649),0),IF($B$639="Лікар-терапевт",IF('01_Доходи'!S643&gt;=Законод!$J$26,S643-Законод!$I$27,0),0)))</f>
        <v>0</v>
      </c>
      <c r="T650" s="943"/>
      <c r="U650" s="932" t="s">
        <v>423</v>
      </c>
      <c r="V650" s="933"/>
      <c r="W650" s="933"/>
      <c r="X650" s="933"/>
      <c r="Y650" s="934"/>
      <c r="Z650" s="196">
        <f ca="1">IF($B$639="Лікар загальної практики - сімейний лікар",IF(Z643&gt;=Законод!$J$22,'01_Доходи'!Z643-('01_Доходи'!Z644+'01_Доходи'!Z645+'01_Доходи'!Z646+'01_Доходи'!Z647+'01_Доходи'!Z648+'01_Доходи'!Z649),0),IF($B$639="Лікар-педіатр",IF(Z643&gt;=Законод!$J$18,'01_Доходи'!Z643-('01_Доходи'!Z644+'01_Доходи'!Z645+'01_Доходи'!Z646+'01_Доходи'!Z647+'01_Доходи'!Z648+'01_Доходи'!Z649),0),IF($B$639="Лікар-терапевт",IF('01_Доходи'!Z643&gt;=Законод!$J$26,Z643-Законод!$I$27,0),0)))</f>
        <v>0</v>
      </c>
      <c r="AA650" s="943"/>
      <c r="AB650" s="932" t="s">
        <v>423</v>
      </c>
      <c r="AC650" s="933"/>
      <c r="AD650" s="933"/>
      <c r="AE650" s="933"/>
      <c r="AF650" s="934"/>
      <c r="AG650" s="196">
        <f ca="1">IF($B$639="Лікар загальної практики - сімейний лікар",IF(AG643&gt;=Законод!$J$22,'01_Доходи'!AG643-('01_Доходи'!AG644+'01_Доходи'!AG645+'01_Доходи'!AG646+'01_Доходи'!AG647+'01_Доходи'!AG648+'01_Доходи'!AG649),0),IF($B$639="Лікар-педіатр",IF(AG643&gt;=Законод!$J$18,'01_Доходи'!AG643-('01_Доходи'!AG644+'01_Доходи'!AG645+'01_Доходи'!AG646+'01_Доходи'!AG647+'01_Доходи'!AG648+'01_Доходи'!AG649),0),IF($B$639="Лікар-терапевт",IF('01_Доходи'!AG643&gt;=Законод!$J$26,AG643-Законод!$I$27,0),0)))</f>
        <v>0</v>
      </c>
      <c r="AH650" s="943"/>
      <c r="AI650" s="215"/>
      <c r="AJ650" s="946"/>
      <c r="AK650" s="961"/>
      <c r="AL650" s="961"/>
      <c r="AM650" s="928"/>
      <c r="AN650" s="216">
        <f ca="1">IF(B639="Лікар загальної практики - сімейний лікар",L650*Законод!$C$9/4*Законод!$J$16,IF(B639="Лікар-педіатр",L650*Законод!$C$9/4*Законод!$J$16,IF(B639="Лікар-терапевт",L650*Законод!$C$9/4*Законод!$J$16,0)))</f>
        <v>0</v>
      </c>
      <c r="AO650" s="216">
        <f ca="1">IF(B639="Лікар загальної практики - сімейний лікар",S650*Законод!$C$9/4*Законод!$J$16,IF(B639="Лікар-педіатр",S650*Законод!$C$9/4*Законод!$J$16,IF(B639="Лікар-терапевт",S650*Законод!$C$9/4*Законод!$J$16,0)))</f>
        <v>0</v>
      </c>
      <c r="AP650" s="216">
        <f ca="1">IF(B639="Лікар загальної практики - сімейний лікар",S650*Законод!$C$9/4*Законод!$J$16,IF(B639="Лікар-педіатр",S650*Законод!$C$9/4*Законод!$J$16,IF(B639="Лікар-терапевт",S650*Законод!$C$9/4*Законод!$J$16,0)))</f>
        <v>0</v>
      </c>
      <c r="AQ650" s="216">
        <f ca="1">IF(B639="Лікар загальної практики - сімейний лікар",AG650*Законод!$C$9/4*Законод!$J$16,IF(B639="Лікар-педіатр",AG650*Законод!$C$9/4*Законод!$J$16,IF(B639="Лікар-терапевт",AG650*Законод!$C$9/4*Законод!$J$16,0)))</f>
        <v>0</v>
      </c>
      <c r="AR650" s="217">
        <f t="shared" si="89"/>
        <v>0</v>
      </c>
    </row>
    <row r="651" spans="1:44" s="247" customFormat="1" ht="23.45" hidden="1" customHeight="1" thickBot="1">
      <c r="A651" s="243"/>
      <c r="B651" s="244"/>
      <c r="C651" s="244"/>
      <c r="D651" s="244"/>
      <c r="E651" s="244"/>
      <c r="F651" s="245"/>
      <c r="G651" s="246"/>
      <c r="H651" s="246"/>
      <c r="L651" s="248"/>
      <c r="S651" s="248"/>
      <c r="Z651" s="248"/>
      <c r="AG651" s="248"/>
      <c r="AM651" s="249"/>
      <c r="AR651" s="250"/>
    </row>
    <row r="652" spans="1:44" s="191" customFormat="1" ht="24.6" hidden="1" customHeight="1">
      <c r="A652" s="194">
        <f>A639+1</f>
        <v>48</v>
      </c>
      <c r="B652" s="950"/>
      <c r="C652" s="953"/>
      <c r="D652" s="956"/>
      <c r="E652" s="938"/>
      <c r="F652" s="234" t="s">
        <v>659</v>
      </c>
      <c r="G652" s="196">
        <f>IF($B$652="Лікар-педіатр",G655*L652,IF($B$652="Лікар-терапевт","х",IF($B$652="Лікар загальної практики - сімейний лікар",G655*L652,0)))</f>
        <v>0</v>
      </c>
      <c r="H652" s="196">
        <f>IF($B$652="Лікар-педіатр",H655*L652,IF($B$652="Лікар-терапевт","х",IF($B$652="Лікар загальної практики - сімейний лікар",H655*L652,0)))</f>
        <v>0</v>
      </c>
      <c r="I652" s="196">
        <f>IF($B$652="Лікар-педіатр","x",IF($B$652="Лікар-терапевт",I655*L652,IF($B$652="Лікар загальної практики - сімейний лікар",I655*L652,0)))</f>
        <v>0</v>
      </c>
      <c r="J652" s="196">
        <f>IF($B$652="Лікар-педіатр","x",IF($B$652="Лікар-терапевт",J655*L652,IF($B$652="Лікар загальної практики - сімейний лікар",J655*L652,0)))</f>
        <v>0</v>
      </c>
      <c r="K652" s="196">
        <f>IF($B$652="Лікар-педіатр","x",IF($B$652="Лікар-терапевт",K655*L652,IF($B$652="Лікар загальної практики - сімейний лікар",K655*L652,0)))</f>
        <v>0</v>
      </c>
      <c r="L652" s="557"/>
      <c r="M652" s="941"/>
      <c r="N652" s="196">
        <f>IF($B$652="Лікар-педіатр",N655*S652,IF($B$652="Лікар-терапевт","х",IF($B$652="Лікар загальної практики - сімейний лікар",N655*S652,0)))</f>
        <v>0</v>
      </c>
      <c r="O652" s="196">
        <f>IF($B$652="Лікар-педіатр",O655*S652,IF($B$652="Лікар-терапевт","х",IF($B$652="Лікар загальної практики - сімейний лікар",O655*S652,0)))</f>
        <v>0</v>
      </c>
      <c r="P652" s="196">
        <f>IF($B$652="Лікар-педіатр","x",IF($B$652="Лікар-терапевт",P655*S652,IF($B$652="Лікар загальної практики - сімейний лікар",P655*S652,0)))</f>
        <v>0</v>
      </c>
      <c r="Q652" s="196">
        <f>IF($B$652="Лікар-педіатр","x",IF($B$652="Лікар-терапевт",Q655*S652,IF($B$652="Лікар загальної практики - сімейний лікар",Q655*S652,0)))</f>
        <v>0</v>
      </c>
      <c r="R652" s="196">
        <f>IF($B$652="Лікар-педіатр","x",IF($B$652="Лікар-терапевт",R655*S652,IF($B$652="Лікар загальної практики - сімейний лікар",R655*S652,0)))</f>
        <v>0</v>
      </c>
      <c r="S652" s="557"/>
      <c r="T652" s="941"/>
      <c r="U652" s="196">
        <f>IF($B$652="Лікар-педіатр",U655*Z652,IF($B$652="Лікар-терапевт","х",IF($B$652="Лікар загальної практики - сімейний лікар",U655*Z652,0)))</f>
        <v>0</v>
      </c>
      <c r="V652" s="196">
        <f>IF($B$652="Лікар-педіатр",V655*Z652,IF($B$652="Лікар-терапевт","х",IF($B$652="Лікар загальної практики - сімейний лікар",V655*Z652,0)))</f>
        <v>0</v>
      </c>
      <c r="W652" s="196">
        <f>IF($B$652="Лікар-педіатр","x",IF($B$652="Лікар-терапевт",W655*Z652,IF($B$652="Лікар загальної практики - сімейний лікар",W655*Z652,0)))</f>
        <v>0</v>
      </c>
      <c r="X652" s="196">
        <f>IF($B$652="Лікар-педіатр","x",IF($B$652="Лікар-терапевт",X655*Z652,IF($B$652="Лікар загальної практики - сімейний лікар",X655*Z652,0)))</f>
        <v>0</v>
      </c>
      <c r="Y652" s="196">
        <f>IF($B$652="Лікар-педіатр","x",IF($B$652="Лікар-терапевт",Y655*Z652,IF($B$652="Лікар загальної практики - сімейний лікар",Y655*Z652,0)))</f>
        <v>0</v>
      </c>
      <c r="Z652" s="557"/>
      <c r="AA652" s="941"/>
      <c r="AB652" s="196">
        <f>IF($B$652="Лікар-педіатр",AB655*AG652,IF($B$652="Лікар-терапевт","х",IF($B$652="Лікар загальної практики - сімейний лікар",AB655*AG652,0)))</f>
        <v>0</v>
      </c>
      <c r="AC652" s="196">
        <f>IF($B$652="Лікар-педіатр",AC655*AG652,IF($B$652="Лікар-терапевт","х",IF($B$652="Лікар загальної практики - сімейний лікар",AC655*AG652,0)))</f>
        <v>0</v>
      </c>
      <c r="AD652" s="196">
        <f>IF($B$652="Лікар-педіатр","x",IF($B$652="Лікар-терапевт",AD655*AG652,IF($B$652="Лікар загальної практики - сімейний лікар",AD655*AG652,0)))</f>
        <v>0</v>
      </c>
      <c r="AE652" s="196">
        <f>IF($B$652="Лікар-педіатр","x",IF($B$652="Лікар-терапевт",AE655*AG652,IF($B$652="Лікар загальної практики - сімейний лікар",AE655*AG652,0)))</f>
        <v>0</v>
      </c>
      <c r="AF652" s="196">
        <f>IF($B$652="Лікар-педіатр","x",IF($B$652="Лікар-терапевт",AF655*AG652,IF($B$652="Лікар загальної практики - сімейний лікар",AF655*AG652,0)))</f>
        <v>0</v>
      </c>
      <c r="AG652" s="557"/>
      <c r="AH652" s="941"/>
      <c r="AI652" s="540">
        <f>A652</f>
        <v>48</v>
      </c>
      <c r="AJ652" s="944">
        <f>B652</f>
        <v>0</v>
      </c>
      <c r="AK652" s="959">
        <f>C652</f>
        <v>0</v>
      </c>
      <c r="AL652" s="959">
        <f>D652</f>
        <v>0</v>
      </c>
      <c r="AM652" s="929" t="s">
        <v>79</v>
      </c>
      <c r="AN652" s="947">
        <f>SUM(AN657:AN663)</f>
        <v>0</v>
      </c>
      <c r="AO652" s="947">
        <f>SUM(AO657:AO663)</f>
        <v>0</v>
      </c>
      <c r="AP652" s="947">
        <f>SUM(AP657:AP663)</f>
        <v>0</v>
      </c>
      <c r="AQ652" s="947">
        <f>SUM(AQ657:AQ663)</f>
        <v>0</v>
      </c>
      <c r="AR652" s="962">
        <f>SUM(AN652:AQ656)</f>
        <v>0</v>
      </c>
    </row>
    <row r="653" spans="1:44" s="50" customFormat="1" ht="28.15" hidden="1" customHeight="1">
      <c r="A653" s="197"/>
      <c r="B653" s="951"/>
      <c r="C653" s="954"/>
      <c r="D653" s="957"/>
      <c r="E653" s="939"/>
      <c r="F653" s="234" t="s">
        <v>660</v>
      </c>
      <c r="G653" s="196">
        <f>IF($B$652="Лікар-педіатр",G655*L653,IF($B$652="Лікар-терапевт","х",IF($B$652="Лікар загальної практики - сімейний лікар",G655*L653,0)))</f>
        <v>0</v>
      </c>
      <c r="H653" s="196">
        <f>IF($B$652="Лікар-педіатр",H655*L653,IF($B$652="Лікар-терапевт","х",IF($B$652="Лікар загальної практики - сімейний лікар",H655*L653,0)))</f>
        <v>0</v>
      </c>
      <c r="I653" s="196">
        <f>IF($B$652="Лікар-педіатр","x",IF($B$652="Лікар-терапевт",I655*L653,IF($B$652="Лікар загальної практики - сімейний лікар",I655*L653,0)))</f>
        <v>0</v>
      </c>
      <c r="J653" s="196">
        <f>IF($B$652="Лікар-педіатр","x",IF($B$652="Лікар-терапевт",J655*L653,IF($B$652="Лікар загальної практики - сімейний лікар",J655*L653,0)))</f>
        <v>0</v>
      </c>
      <c r="K653" s="196">
        <f>IF($B$652="Лікар-педіатр","x",IF($B$652="Лікар-терапевт",K655*L653,IF($B$652="Лікар загальної практики - сімейний лікар",K655*L653,0)))</f>
        <v>0</v>
      </c>
      <c r="L653" s="557"/>
      <c r="M653" s="942"/>
      <c r="N653" s="196">
        <f>IF($B$652="Лікар-педіатр",N655*S653,IF($B$652="Лікар-терапевт","х",IF($B$652="Лікар загальної практики - сімейний лікар",N655*S653,0)))</f>
        <v>0</v>
      </c>
      <c r="O653" s="196">
        <f>IF($B$652="Лікар-педіатр",O655*S653,IF($B$652="Лікар-терапевт","х",IF($B$652="Лікар загальної практики - сімейний лікар",O655*S653,0)))</f>
        <v>0</v>
      </c>
      <c r="P653" s="196">
        <f>IF($B$652="Лікар-педіатр","x",IF($B$652="Лікар-терапевт",P655*S653,IF($B$652="Лікар загальної практики - сімейний лікар",P655*S653,0)))</f>
        <v>0</v>
      </c>
      <c r="Q653" s="196">
        <f>IF($B$652="Лікар-педіатр","x",IF($B$652="Лікар-терапевт",Q655*S653,IF($B$652="Лікар загальної практики - сімейний лікар",Q655*S653,0)))</f>
        <v>0</v>
      </c>
      <c r="R653" s="196">
        <f>IF($B$652="Лікар-педіатр","x",IF($B$652="Лікар-терапевт",R655*S653,IF($B$652="Лікар загальної практики - сімейний лікар",R655*S653,0)))</f>
        <v>0</v>
      </c>
      <c r="S653" s="557"/>
      <c r="T653" s="942"/>
      <c r="U653" s="196">
        <f>IF($B$652="Лікар-педіатр",U655*Z653,IF($B$652="Лікар-терапевт","х",IF($B$652="Лікар загальної практики - сімейний лікар",U655*Z653,0)))</f>
        <v>0</v>
      </c>
      <c r="V653" s="196">
        <f>IF($B$652="Лікар-педіатр",V655*Z653,IF($B$652="Лікар-терапевт","х",IF($B$652="Лікар загальної практики - сімейний лікар",V655*Z653,0)))</f>
        <v>0</v>
      </c>
      <c r="W653" s="196">
        <f>IF($B$652="Лікар-педіатр","x",IF($B$652="Лікар-терапевт",W655*Z653,IF($B$652="Лікар загальної практики - сімейний лікар",W655*Z653,0)))</f>
        <v>0</v>
      </c>
      <c r="X653" s="196">
        <f>IF($B$652="Лікар-педіатр","x",IF($B$652="Лікар-терапевт",X655*Z653,IF($B$652="Лікар загальної практики - сімейний лікар",X655*Z653,0)))</f>
        <v>0</v>
      </c>
      <c r="Y653" s="196">
        <f>IF($B$652="Лікар-педіатр","x",IF($B$652="Лікар-терапевт",Y655*Z653,IF($B$652="Лікар загальної практики - сімейний лікар",Y655*Z653,0)))</f>
        <v>0</v>
      </c>
      <c r="Z653" s="557"/>
      <c r="AA653" s="942"/>
      <c r="AB653" s="196">
        <f>IF($B$652="Лікар-педіатр",AB655*AG653,IF($B$652="Лікар-терапевт","х",IF($B$652="Лікар загальної практики - сімейний лікар",AB655*AG653,0)))</f>
        <v>0</v>
      </c>
      <c r="AC653" s="196">
        <f>IF($B$652="Лікар-педіатр",AC655*AG653,IF($B$652="Лікар-терапевт","х",IF($B$652="Лікар загальної практики - сімейний лікар",AC655*AG653,0)))</f>
        <v>0</v>
      </c>
      <c r="AD653" s="196">
        <f>IF($B$652="Лікар-педіатр","x",IF($B$652="Лікар-терапевт",AD655*AG653,IF($B$652="Лікар загальної практики - сімейний лікар",AD655*AG653,0)))</f>
        <v>0</v>
      </c>
      <c r="AE653" s="196">
        <f>IF($B$652="Лікар-педіатр","x",IF($B$652="Лікар-терапевт",AE655*AG653,IF($B$652="Лікар загальної практики - сімейний лікар",AE655*AG653,0)))</f>
        <v>0</v>
      </c>
      <c r="AF653" s="196">
        <f>IF($B$652="Лікар-педіатр","x",IF($B$652="Лікар-терапевт",AF655*AG653,IF($B$652="Лікар загальної практики - сімейний лікар",AF655*AG653,0)))</f>
        <v>0</v>
      </c>
      <c r="AG653" s="557"/>
      <c r="AH653" s="942"/>
      <c r="AI653" s="198"/>
      <c r="AJ653" s="945"/>
      <c r="AK653" s="960"/>
      <c r="AL653" s="960"/>
      <c r="AM653" s="930"/>
      <c r="AN653" s="948"/>
      <c r="AO653" s="948"/>
      <c r="AP653" s="948"/>
      <c r="AQ653" s="948"/>
      <c r="AR653" s="963"/>
    </row>
    <row r="654" spans="1:44" s="90" customFormat="1" ht="31.15" hidden="1" customHeight="1">
      <c r="A654" s="240"/>
      <c r="B654" s="951"/>
      <c r="C654" s="954"/>
      <c r="D654" s="957"/>
      <c r="E654" s="939"/>
      <c r="F654" s="241" t="s">
        <v>661</v>
      </c>
      <c r="G654" s="199">
        <f>IF(B652="Лікар загальної практики - сімейний лікар"," ",IF(B652="Лікар-педіатр"," ",IF(B652="Лікар-терапевт","х",0)))</f>
        <v>0</v>
      </c>
      <c r="H654" s="199">
        <f>IF(B652="Лікар загальної практики - сімейний лікар"," ",IF(B652="Лікар-педіатр"," ",IF(B652="Лікар-терапевт","х",0)))</f>
        <v>0</v>
      </c>
      <c r="I654" s="199">
        <f>IF(B652="Лікар загальної практики - сімейний лікар"," ",IF(B652="Лікар-педіатр","х",IF(B652="Лікар-терапевт"," ",0)))</f>
        <v>0</v>
      </c>
      <c r="J654" s="199">
        <f>IF(B652="Лікар загальної практики - сімейний лікар"," ",IF(B652="Лікар-педіатр","х",IF(B652="Лікар-терапевт"," ",0)))</f>
        <v>0</v>
      </c>
      <c r="K654" s="199">
        <f>IF(B652="Лікар загальної практики - сімейний лікар"," ",IF(B652="Лікар-педіатр","х",IF(B652="Лікар-терапевт"," ",0)))</f>
        <v>0</v>
      </c>
      <c r="L654" s="200">
        <f>SUM(G654:K654)</f>
        <v>0</v>
      </c>
      <c r="M654" s="942"/>
      <c r="N654" s="199">
        <f>IF(B652="Лікар загальної практики - сімейний лікар"," ",IF(B652="Лікар-педіатр"," ",IF(B652="Лікар-терапевт","х",0)))</f>
        <v>0</v>
      </c>
      <c r="O654" s="199">
        <f>IF(B652="Лікар загальної практики - сімейний лікар"," ",IF(B652="Лікар-педіатр"," ",IF(B652="Лікар-терапевт","х",0)))</f>
        <v>0</v>
      </c>
      <c r="P654" s="199">
        <f>IF(B652="Лікар загальної практики - сімейний лікар"," ",IF(B652="Лікар-педіатр","х",IF(B652="Лікар-терапевт"," ",0)))</f>
        <v>0</v>
      </c>
      <c r="Q654" s="199">
        <f>IF(B652="Лікар загальної практики - сімейний лікар"," ",IF(B652="Лікар-педіатр","х",IF(B652="Лікар-терапевт"," ",0)))</f>
        <v>0</v>
      </c>
      <c r="R654" s="199">
        <f>IF(B652="Лікар загальної практики - сімейний лікар"," ",IF(B652="Лікар-педіатр","х",IF(B652="Лікар-терапевт"," ",0)))</f>
        <v>0</v>
      </c>
      <c r="S654" s="200">
        <f>SUM(N654:R654)</f>
        <v>0</v>
      </c>
      <c r="T654" s="942"/>
      <c r="U654" s="199">
        <f>IF(B652="Лікар загальної практики - сімейний лікар"," ",IF(B652="Лікар-педіатр"," ",IF(B652="Лікар-терапевт","х",0)))</f>
        <v>0</v>
      </c>
      <c r="V654" s="199">
        <f>IF(B652="Лікар загальної практики - сімейний лікар"," ",IF(B652="Лікар-педіатр"," ",IF(B652="Лікар-терапевт","х",0)))</f>
        <v>0</v>
      </c>
      <c r="W654" s="199">
        <f>IF(B652="Лікар загальної практики - сімейний лікар"," ",IF(B652="Лікар-педіатр","х",IF(B652="Лікар-терапевт"," ",0)))</f>
        <v>0</v>
      </c>
      <c r="X654" s="199">
        <f>IF(B652="Лікар загальної практики - сімейний лікар"," ",IF(B652="Лікар-педіатр","х",IF(B652="Лікар-терапевт"," ",0)))</f>
        <v>0</v>
      </c>
      <c r="Y654" s="199">
        <f>IF(B652="Лікар загальної практики - сімейний лікар"," ",IF(B652="Лікар-педіатр","х",IF(B652="Лікар-терапевт"," ",0)))</f>
        <v>0</v>
      </c>
      <c r="Z654" s="200">
        <f>SUM(U654:Y654)</f>
        <v>0</v>
      </c>
      <c r="AA654" s="942"/>
      <c r="AB654" s="199">
        <f>IF(B652="Лікар загальної практики - сімейний лікар"," ",IF(B652="Лікар-педіатр"," ",IF(B652="Лікар-терапевт","х",0)))</f>
        <v>0</v>
      </c>
      <c r="AC654" s="199">
        <f>IF(B652="Лікар загальної практики - сімейний лікар"," ",IF(B652="Лікар-педіатр"," ",IF(B652="Лікар-терапевт","х",0)))</f>
        <v>0</v>
      </c>
      <c r="AD654" s="199">
        <f>IF(B652="Лікар загальної практики - сімейний лікар"," ",IF(B652="Лікар-педіатр","х",IF(B652="Лікар-терапевт"," ",0)))</f>
        <v>0</v>
      </c>
      <c r="AE654" s="199">
        <f>IF(B652="Лікар загальної практики - сімейний лікар"," ",IF(B652="Лікар-педіатр","х",IF(B652="Лікар-терапевт"," ",0)))</f>
        <v>0</v>
      </c>
      <c r="AF654" s="199">
        <f>IF(B652="Лікар загальної практики - сімейний лікар"," ",IF(B652="Лікар-педіатр","х",IF(B652="Лікар-терапевт"," ",0)))</f>
        <v>0</v>
      </c>
      <c r="AG654" s="200">
        <f>SUM(AB654:AF654)</f>
        <v>0</v>
      </c>
      <c r="AH654" s="942"/>
      <c r="AI654" s="242"/>
      <c r="AJ654" s="945"/>
      <c r="AK654" s="960"/>
      <c r="AL654" s="960"/>
      <c r="AM654" s="930"/>
      <c r="AN654" s="948"/>
      <c r="AO654" s="948"/>
      <c r="AP654" s="948"/>
      <c r="AQ654" s="948"/>
      <c r="AR654" s="963"/>
    </row>
    <row r="655" spans="1:44" s="50" customFormat="1" ht="31.9" hidden="1" customHeight="1" thickBot="1">
      <c r="A655" s="197"/>
      <c r="B655" s="951"/>
      <c r="C655" s="954"/>
      <c r="D655" s="957"/>
      <c r="E655" s="939"/>
      <c r="F655" s="236" t="s">
        <v>426</v>
      </c>
      <c r="G655" s="203">
        <f>IF($B$652="Лікар-педіатр",G654/L654,IF($B$652="Лікар-терапевт","х",IF($B$652="Лікар загальної практики - сімейний лікар",G654/L654,0)))</f>
        <v>0</v>
      </c>
      <c r="H655" s="203">
        <f>IF($B$652="Лікар-педіатр",H654/L654,IF($B$652="Лікар-терапевт","х",IF($B$652="Лікар загальної практики - сімейний лікар",H654/L654,0)))</f>
        <v>0</v>
      </c>
      <c r="I655" s="203">
        <f>IF($B$652="Лікар-педіатр","x",IF($B$652="Лікар-терапевт",I654/L654,IF($B$652="Лікар загальної практики - сімейний лікар",I654/L654,0)))</f>
        <v>0</v>
      </c>
      <c r="J655" s="203">
        <f>IF($B$652="Лікар-педіатр","x",IF($B$652="Лікар-терапевт",J654/L654,IF($B$652="Лікар загальної практики - сімейний лікар",J654/L654,0)))</f>
        <v>0</v>
      </c>
      <c r="K655" s="203">
        <f>IF($B$652="Лікар-педіатр","x",IF($B$652="Лікар-терапевт",K654/L654,IF($B$652="Лікар загальної практики - сімейний лікар",K654/L654,0)))</f>
        <v>0</v>
      </c>
      <c r="L655" s="203">
        <f>SUM(G655:K655)</f>
        <v>0</v>
      </c>
      <c r="M655" s="942"/>
      <c r="N655" s="203">
        <f>IF($B$652="Лікар-педіатр",N654/S654,IF($B$652="Лікар-терапевт","х",IF($B$652="Лікар загальної практики - сімейний лікар",N654/S654,0)))</f>
        <v>0</v>
      </c>
      <c r="O655" s="203">
        <f>IF($B$652="Лікар-педіатр",O654/S654,IF($B$652="Лікар-терапевт","х",IF($B$652="Лікар загальної практики - сімейний лікар",O654/S654,0)))</f>
        <v>0</v>
      </c>
      <c r="P655" s="203">
        <f>IF($B$652="Лікар-педіатр","x",IF($B$652="Лікар-терапевт",P654/S654,IF($B$652="Лікар загальної практики - сімейний лікар",P654/S654,0)))</f>
        <v>0</v>
      </c>
      <c r="Q655" s="203">
        <f>IF($B$652="Лікар-педіатр","x",IF($B$652="Лікар-терапевт",Q654/S654,IF($B$652="Лікар загальної практики - сімейний лікар",Q654/S654,0)))</f>
        <v>0</v>
      </c>
      <c r="R655" s="203">
        <f>IF($B$652="Лікар-педіатр","x",IF($B$652="Лікар-терапевт",R654/S654,IF($B$652="Лікар загальної практики - сімейний лікар",R654/S654,0)))</f>
        <v>0</v>
      </c>
      <c r="S655" s="203">
        <f>SUM(N655:R655)</f>
        <v>0</v>
      </c>
      <c r="T655" s="942"/>
      <c r="U655" s="203">
        <f>IF($B$652="Лікар-педіатр",U654/Z654,IF($B$652="Лікар-терапевт","х",IF($B$652="Лікар загальної практики - сімейний лікар",U654/Z654,0)))</f>
        <v>0</v>
      </c>
      <c r="V655" s="203">
        <f>IF($B$652="Лікар-педіатр",V654/Z654,IF($B$652="Лікар-терапевт","х",IF($B$652="Лікар загальної практики - сімейний лікар",V654/Z654,0)))</f>
        <v>0</v>
      </c>
      <c r="W655" s="203">
        <f>IF($B$652="Лікар-педіатр","x",IF($B$652="Лікар-терапевт",W654/Z654,IF($B$652="Лікар загальної практики - сімейний лікар",W654/Z654,0)))</f>
        <v>0</v>
      </c>
      <c r="X655" s="203">
        <f>IF($B$652="Лікар-педіатр","x",IF($B$652="Лікар-терапевт",X654/Z654,IF($B$652="Лікар загальної практики - сімейний лікар",X654/Z654,0)))</f>
        <v>0</v>
      </c>
      <c r="Y655" s="203">
        <f>IF($B$652="Лікар-педіатр","x",IF($B$652="Лікар-терапевт",Y654/Z654,IF($B$652="Лікар загальної практики - сімейний лікар",Y654/Z654,0)))</f>
        <v>0</v>
      </c>
      <c r="Z655" s="203">
        <f>SUM(U655:Y655)</f>
        <v>0</v>
      </c>
      <c r="AA655" s="942"/>
      <c r="AB655" s="203">
        <f>IF($B$652="Лікар-педіатр",AB654/AG654,IF($B$652="Лікар-терапевт","х",IF($B$652="Лікар загальної практики - сімейний лікар",AB654/AG654,0)))</f>
        <v>0</v>
      </c>
      <c r="AC655" s="203">
        <f>IF($B$652="Лікар-педіатр",AC654/AG654,IF($B$652="Лікар-терапевт","х",IF($B$652="Лікар загальної практики - сімейний лікар",AC654/AG654,0)))</f>
        <v>0</v>
      </c>
      <c r="AD655" s="203">
        <f>IF($B$652="Лікар-педіатр","x",IF($B$652="Лікар-терапевт",AD654/AG654,IF($B$652="Лікар загальної практики - сімейний лікар",AD654/AG654,0)))</f>
        <v>0</v>
      </c>
      <c r="AE655" s="203">
        <f>IF($B$652="Лікар-педіатр","x",IF($B$652="Лікар-терапевт",AE654/AG654,IF($B$652="Лікар загальної практики - сімейний лікар",AE654/AG654,0)))</f>
        <v>0</v>
      </c>
      <c r="AF655" s="203">
        <f>IF($B$652="Лікар-педіатр","x",IF($B$652="Лікар-терапевт",AF654/AG654,IF($B$652="Лікар загальної практики - сімейний лікар",AF654/AG654,0)))</f>
        <v>0</v>
      </c>
      <c r="AG655" s="203">
        <f>SUM(AB655:AF655)</f>
        <v>0</v>
      </c>
      <c r="AH655" s="942"/>
      <c r="AI655" s="201"/>
      <c r="AJ655" s="945"/>
      <c r="AK655" s="960"/>
      <c r="AL655" s="960"/>
      <c r="AM655" s="930"/>
      <c r="AN655" s="948"/>
      <c r="AO655" s="948"/>
      <c r="AP655" s="948"/>
      <c r="AQ655" s="948"/>
      <c r="AR655" s="963"/>
    </row>
    <row r="656" spans="1:44" s="50" customFormat="1" ht="45" hidden="1" customHeight="1" thickBot="1">
      <c r="A656" s="197"/>
      <c r="B656" s="951"/>
      <c r="C656" s="954"/>
      <c r="D656" s="957"/>
      <c r="E656" s="939"/>
      <c r="F656" s="204" t="s">
        <v>662</v>
      </c>
      <c r="G656" s="205">
        <f>IF($B$652="Лікар загальної практики - сімейний лікар",AVERAGE(G652:G654),IF($B$652="Лікар-педіатр",AVERAGE(G652:G654),IF($B$652="Лікар-терапевт","х",0)))</f>
        <v>0</v>
      </c>
      <c r="H656" s="205">
        <f>IF($B$652="Лікар загальної практики - сімейний лікар",AVERAGE(H652:H654),IF($B$652="Лікар-педіатр",AVERAGE(H652:H654),IF($B$652="Лікар-терапевт","х",0)))</f>
        <v>0</v>
      </c>
      <c r="I656" s="205">
        <f>IF($B$652="Лікар загальної практики - сімейний лікар",AVERAGE(I652:I654),IF($B$652="Лікар-педіатр","x",IF($B$652="Лікар-терапевт",AVERAGE(I652:I654),0)))</f>
        <v>0</v>
      </c>
      <c r="J656" s="205">
        <f>IF($B$652="Лікар загальної практики - сімейний лікар",AVERAGE(J652:J654),IF($B$652="Лікар-педіатр","x",IF($B$652="Лікар-терапевт",AVERAGE(J652:J654),0)))</f>
        <v>0</v>
      </c>
      <c r="K656" s="205">
        <f>IF($B$652="Лікар загальної практики - сімейний лікар",AVERAGE(K652:K654),IF($B$652="Лікар-педіатр","x",IF($B$652="Лікар-терапевт",AVERAGE(K652:K654),0)))</f>
        <v>0</v>
      </c>
      <c r="L656" s="206">
        <f>SUM(G656:K656)</f>
        <v>0</v>
      </c>
      <c r="M656" s="942"/>
      <c r="N656" s="205">
        <f>IF($B$652="Лікар загальної практики - сімейний лікар",AVERAGE(N652:N654),IF($B$652="Лікар-педіатр",AVERAGE(N652:N654),IF($B$652="Лікар-терапевт","х",0)))</f>
        <v>0</v>
      </c>
      <c r="O656" s="205">
        <f>IF($B$652="Лікар загальної практики - сімейний лікар",AVERAGE(O652:O654),IF($B$652="Лікар-педіатр",AVERAGE(O652:O654),IF($B$652="Лікар-терапевт","х",0)))</f>
        <v>0</v>
      </c>
      <c r="P656" s="205">
        <f>IF($B$652="Лікар загальної практики - сімейний лікар",AVERAGE(P652:P654),IF($B$652="Лікар-педіатр","x",IF($B$652="Лікар-терапевт",AVERAGE(P652:P654),0)))</f>
        <v>0</v>
      </c>
      <c r="Q656" s="205">
        <f>IF($B$652="Лікар загальної практики - сімейний лікар",AVERAGE(Q652:Q654),IF($B$652="Лікар-педіатр","x",IF($B$652="Лікар-терапевт",AVERAGE(Q652:Q654),0)))</f>
        <v>0</v>
      </c>
      <c r="R656" s="205">
        <f>IF($B$652="Лікар загальної практики - сімейний лікар",AVERAGE(R652:R654),IF($B$652="Лікар-педіатр","x",IF($B$652="Лікар-терапевт",AVERAGE(R652:R654),0)))</f>
        <v>0</v>
      </c>
      <c r="S656" s="206">
        <f>SUM(N656:R656)</f>
        <v>0</v>
      </c>
      <c r="T656" s="942"/>
      <c r="U656" s="205">
        <f>IF($B$652="Лікар загальної практики - сімейний лікар",AVERAGE(U652:U654),IF($B$652="Лікар-педіатр",AVERAGE(U652:U654),IF($B$652="Лікар-терапевт","х",0)))</f>
        <v>0</v>
      </c>
      <c r="V656" s="205">
        <f>IF($B$652="Лікар загальної практики - сімейний лікар",AVERAGE(V652:V654),IF($B$652="Лікар-педіатр",AVERAGE(V652:V654),IF($B$652="Лікар-терапевт","х",0)))</f>
        <v>0</v>
      </c>
      <c r="W656" s="205">
        <f>IF($B$652="Лікар загальної практики - сімейний лікар",AVERAGE(W652:W654),IF($B$652="Лікар-педіатр","x",IF($B$652="Лікар-терапевт",AVERAGE(W652:W654),0)))</f>
        <v>0</v>
      </c>
      <c r="X656" s="205">
        <f>IF($B$652="Лікар загальної практики - сімейний лікар",AVERAGE(X652:X654),IF($B$652="Лікар-педіатр","x",IF($B$652="Лікар-терапевт",AVERAGE(X652:X654),0)))</f>
        <v>0</v>
      </c>
      <c r="Y656" s="205">
        <f>IF($B$652="Лікар загальної практики - сімейний лікар",AVERAGE(Y652:Y654),IF($B$652="Лікар-педіатр","x",IF($B$652="Лікар-терапевт",AVERAGE(Y652:Y654),0)))</f>
        <v>0</v>
      </c>
      <c r="Z656" s="206">
        <f>SUM(U656:Y656)</f>
        <v>0</v>
      </c>
      <c r="AA656" s="942"/>
      <c r="AB656" s="205">
        <f>IF($B$652="Лікар загальної практики - сімейний лікар",AVERAGE(AB652:AB654),IF($B$652="Лікар-педіатр",AVERAGE(AB652:AB654),IF($B$652="Лікар-терапевт","х",0)))</f>
        <v>0</v>
      </c>
      <c r="AC656" s="205">
        <f>IF($B$652="Лікар загальної практики - сімейний лікар",AVERAGE(AC652:AC654),IF($B$652="Лікар-педіатр",AVERAGE(AC652:AC654),IF($B$652="Лікар-терапевт","х",0)))</f>
        <v>0</v>
      </c>
      <c r="AD656" s="205">
        <f>IF($B$652="Лікар загальної практики - сімейний лікар",AVERAGE(AD652:AD654),IF($B$652="Лікар-педіатр","x",IF($B$652="Лікар-терапевт",AVERAGE(AD652:AD654),0)))</f>
        <v>0</v>
      </c>
      <c r="AE656" s="205">
        <f>IF($B$652="Лікар загальної практики - сімейний лікар",AVERAGE(AE652:AE654),IF($B$652="Лікар-педіатр","x",IF($B$652="Лікар-терапевт",AVERAGE(AE652:AE654),0)))</f>
        <v>0</v>
      </c>
      <c r="AF656" s="205">
        <f>IF($B$652="Лікар загальної практики - сімейний лікар",AVERAGE(AF652:AF654),IF($B$652="Лікар-педіатр","x",IF($B$652="Лікар-терапевт",AVERAGE(AF652:AF654),0)))</f>
        <v>0</v>
      </c>
      <c r="AG656" s="206">
        <f>SUM(AB656:AF656)</f>
        <v>0</v>
      </c>
      <c r="AH656" s="942"/>
      <c r="AI656" s="201"/>
      <c r="AJ656" s="945"/>
      <c r="AK656" s="960"/>
      <c r="AL656" s="960"/>
      <c r="AM656" s="931"/>
      <c r="AN656" s="949"/>
      <c r="AO656" s="949"/>
      <c r="AP656" s="949"/>
      <c r="AQ656" s="949"/>
      <c r="AR656" s="964"/>
    </row>
    <row r="657" spans="1:44" s="50" customFormat="1" ht="40.5" hidden="1">
      <c r="A657" s="197"/>
      <c r="B657" s="951"/>
      <c r="C657" s="954"/>
      <c r="D657" s="957"/>
      <c r="E657" s="939"/>
      <c r="F657" s="237" t="str">
        <f ca="1">IF(B652="Лікар-педіатр",Законод!$C$17,IF(B652="Лікар загальної практики - сімейний лікар",Законод!$C$21,IF(B652="Лікар-терапевт",Законод!$C$25,"х")))</f>
        <v>х</v>
      </c>
      <c r="G657" s="208">
        <f ca="1">IF($B$652="Лікар загальної практики - сімейний лікар",IF(L656&lt;=Законод!$C$22,G656,Законод!$C$22*'01_Доходи'!G655),IF($B$652="Лікар-педіатр",IF(L656&lt;=Законод!$C$18,G656,Законод!$C$18*'01_Доходи'!G655),IF($B$652="Лікар-терапевт","x",0)))</f>
        <v>0</v>
      </c>
      <c r="H657" s="208">
        <f ca="1">IF($B$652="Лікар загальної практики - сімейний лікар",IF(L656&lt;=Законод!$C$22,H656,Законод!$C$22*'01_Доходи'!H655),IF($B$652="Лікар-педіатр",IF(L656&lt;=Законод!$C$18,H656,Законод!$C$18*'01_Доходи'!H655),IF($B$652="Лікар-терапевт","x",0)))</f>
        <v>0</v>
      </c>
      <c r="I657" s="208">
        <f ca="1">IF($B$652="Лікар загальної практики - сімейний лікар",IF(L656&lt;=Законод!$C$22,I656,Законод!$C$22*'01_Доходи'!I655),IF($B$652="Лікар-педіатр","x",IF($B$652="Лікар-терапевт",IF(L656&lt;=Законод!$C$26,I656,Законод!$C$26*'01_Доходи'!I655),0)))</f>
        <v>0</v>
      </c>
      <c r="J657" s="208">
        <f ca="1">IF($B$652="Лікар загальної практики - сімейний лікар",IF(L656&lt;=Законод!$C$22,J656,Законод!$C$22*'01_Доходи'!J655),IF($B$652="Лікар-педіатр","x",IF($B$652="Лікар-терапевт",IF(L656&lt;=Законод!$C$26,J656,Законод!$C$26*'01_Доходи'!J655),0)))</f>
        <v>0</v>
      </c>
      <c r="K657" s="208">
        <f ca="1">IF($B$652="Лікар загальної практики - сімейний лікар",IF(L656&lt;=Законод!$C$22,K656,Законод!$C$22*'01_Доходи'!K655),IF($B$652="Лікар-педіатр","x",IF($B$652="Лікар-терапевт",IF(L656&lt;=Законод!$C$26,K656,Законод!$C$26*'01_Доходи'!K655),0)))</f>
        <v>0</v>
      </c>
      <c r="L657" s="209">
        <f ca="1">SUM(G657:K657)</f>
        <v>0</v>
      </c>
      <c r="M657" s="942"/>
      <c r="N657" s="208">
        <f ca="1">IF($B$652="Лікар загальної практики - сімейний лікар",IF(S656&lt;=Законод!$C$22,N656,Законод!$C$22*'01_Доходи'!N655),IF($B$652="Лікар-педіатр",IF(S656&lt;=Законод!$C$18,N656,Законод!$C$18*'01_Доходи'!N655),IF($B$652="Лікар-терапевт","x",0)))</f>
        <v>0</v>
      </c>
      <c r="O657" s="208">
        <f ca="1">IF($B$652="Лікар загальної практики - сімейний лікар",IF(S656&lt;=Законод!$C$22,O656,Законод!$C$22*'01_Доходи'!O655),IF($B$652="Лікар-педіатр",IF(S656&lt;=Законод!$C$18,O656,Законод!$C$18*'01_Доходи'!O655),IF($B$652="Лікар-терапевт","x",0)))</f>
        <v>0</v>
      </c>
      <c r="P657" s="208">
        <f ca="1">IF($B$652="Лікар загальної практики - сімейний лікар",IF(S656&lt;=Законод!$C$22,P656,Законод!$C$22*'01_Доходи'!P655),IF($B$652="Лікар-педіатр","x",IF($B$652="Лікар-терапевт",IF(S656&lt;=Законод!$C$26,P656,Законод!$C$26*'01_Доходи'!P655),0)))</f>
        <v>0</v>
      </c>
      <c r="Q657" s="208">
        <f ca="1">IF($B$652="Лікар загальної практики - сімейний лікар",IF(S656&lt;=Законод!$C$22,Q656,Законод!$C$22*'01_Доходи'!Q655),IF($B$652="Лікар-педіатр","x",IF($B$652="Лікар-терапевт",IF(S656&lt;=Законод!$C$26,Q656,Законод!$C$26*'01_Доходи'!Q655),0)))</f>
        <v>0</v>
      </c>
      <c r="R657" s="208">
        <f ca="1">IF($B$652="Лікар загальної практики - сімейний лікар",IF(S656&lt;=Законод!$C$22,R656,Законод!$C$22*'01_Доходи'!R655),IF($B$652="Лікар-педіатр","x",IF($B$652="Лікар-терапевт",IF(S656&lt;=Законод!$C$26,R656,Законод!$C$26*'01_Доходи'!R655),0)))</f>
        <v>0</v>
      </c>
      <c r="S657" s="209">
        <f ca="1">SUM(N657:R657)</f>
        <v>0</v>
      </c>
      <c r="T657" s="942"/>
      <c r="U657" s="208">
        <f ca="1">IF($B$652="Лікар загальної практики - сімейний лікар",IF(Z656&lt;=Законод!$C$22,U656,Законод!$C$22*'01_Доходи'!U655),IF($B$652="Лікар-педіатр",IF(Z656&lt;=Законод!$C$18,U656,Законод!$C$18*'01_Доходи'!U655),IF($B$652="Лікар-терапевт","x",0)))</f>
        <v>0</v>
      </c>
      <c r="V657" s="208">
        <f ca="1">IF($B$652="Лікар загальної практики - сімейний лікар",IF(Z656&lt;=Законод!$C$22,V656,Законод!$C$22*'01_Доходи'!V655),IF($B$652="Лікар-педіатр",IF(Z656&lt;=Законод!$C$18,V656,Законод!$C$18*'01_Доходи'!V655),IF($B$652="Лікар-терапевт","x",0)))</f>
        <v>0</v>
      </c>
      <c r="W657" s="208">
        <f ca="1">IF($B$652="Лікар загальної практики - сімейний лікар",IF(Z656&lt;=Законод!$C$22,W656,Законод!$C$22*'01_Доходи'!W655),IF($B$652="Лікар-педіатр","x",IF($B$652="Лікар-терапевт",IF(Z656&lt;=Законод!$C$26,W656,Законод!$C$26*'01_Доходи'!W655),0)))</f>
        <v>0</v>
      </c>
      <c r="X657" s="208">
        <f ca="1">IF($B$652="Лікар загальної практики - сімейний лікар",IF(Z656&lt;=Законод!$C$22,X656,Законод!$C$22*'01_Доходи'!X655),IF($B$652="Лікар-педіатр","x",IF($B$652="Лікар-терапевт",IF(Z656&lt;=Законод!$C$26,X656,Законод!$C$26*'01_Доходи'!X655),0)))</f>
        <v>0</v>
      </c>
      <c r="Y657" s="208">
        <f ca="1">IF($B$652="Лікар загальної практики - сімейний лікар",IF(Z656&lt;=Законод!$C$22,Y656,Законод!$C$22*'01_Доходи'!Y655),IF($B$652="Лікар-педіатр","x",IF($B$652="Лікар-терапевт",IF(Z656&lt;=Законод!$C$26,Y656,Законод!$C$26*'01_Доходи'!Y655),0)))</f>
        <v>0</v>
      </c>
      <c r="Z657" s="209">
        <f ca="1">SUM(U657:Y657)</f>
        <v>0</v>
      </c>
      <c r="AA657" s="942"/>
      <c r="AB657" s="208">
        <f ca="1">IF($B$652="Лікар загальної практики - сімейний лікар",IF(AG656&lt;=Законод!$C$22,AB656,Законод!$C$22*'01_Доходи'!AB655),IF($B$652="Лікар-педіатр",IF(AG656&lt;=Законод!$C$18,AB656,Законод!$C$18*'01_Доходи'!AB655),IF($B$652="Лікар-терапевт","x",0)))</f>
        <v>0</v>
      </c>
      <c r="AC657" s="208">
        <f ca="1">IF($B$652="Лікар загальної практики - сімейний лікар",IF(AG656&lt;=Законод!$C$22,AC656,Законод!$C$22*'01_Доходи'!AC655),IF($B$652="Лікар-педіатр",IF(AG656&lt;=Законод!$C$18,AC656,Законод!$C$18*'01_Доходи'!AC655),IF($B$652="Лікар-терапевт","x",0)))</f>
        <v>0</v>
      </c>
      <c r="AD657" s="208">
        <f ca="1">IF($B$652="Лікар загальної практики - сімейний лікар",IF(AG656&lt;=Законод!$C$22,AD656,Законод!$C$22*'01_Доходи'!AD655),IF($B$652="Лікар-педіатр","x",IF($B$652="Лікар-терапевт",IF(AG656&lt;=Законод!$C$26,AD656,Законод!$C$26*'01_Доходи'!AD655),0)))</f>
        <v>0</v>
      </c>
      <c r="AE657" s="208">
        <f ca="1">IF($B$652="Лікар загальної практики - сімейний лікар",IF(AG656&lt;=Законод!$C$22,AE656,Законод!$C$22*'01_Доходи'!AE655),IF($B$652="Лікар-педіатр","x",IF($B$652="Лікар-терапевт",IF(AG656&lt;=Законод!$C$26,AE656,Законод!$C$26*'01_Доходи'!AE655),0)))</f>
        <v>0</v>
      </c>
      <c r="AF657" s="208">
        <f ca="1">IF($B$652="Лікар загальної практики - сімейний лікар",IF(AG656&lt;=Законод!$C$22,AF656,Законод!$C$22*'01_Доходи'!AF655),IF($B$652="Лікар-педіатр","x",IF($B$652="Лікар-терапевт",IF(AG656&lt;=Законод!$C$26,AF656,Законод!$C$26*'01_Доходи'!AF655),0)))</f>
        <v>0</v>
      </c>
      <c r="AG657" s="209">
        <f ca="1">SUM(AB657:AF657)</f>
        <v>0</v>
      </c>
      <c r="AH657" s="942"/>
      <c r="AI657" s="201"/>
      <c r="AJ657" s="945"/>
      <c r="AK657" s="960"/>
      <c r="AL657" s="960"/>
      <c r="AM657" s="348" t="s">
        <v>451</v>
      </c>
      <c r="AN657" s="210">
        <f ca="1">IF(B652="Лікар загальної практики - сімейний лікар",G657*Законод!$C$11+'01_Доходи'!H657*Законод!$D$11+'01_Доходи'!I657*Законод!$E$11+'01_Доходи'!J657*Законод!$F$11+'01_Доходи'!K657*Законод!$G$11,IF(B652="Лікар-педіатр",G657*Законод!$C$11+'01_Доходи'!H657*Законод!$D$11,IF(B652="Лікар-терапевт",'01_Доходи'!I657*Законод!$E$11+'01_Доходи'!J657*Законод!$F$11+'01_Доходи'!K657*Законод!$G$11,0)))</f>
        <v>0</v>
      </c>
      <c r="AO657" s="210">
        <f ca="1">IF(B652="Лікар загальної практики - сімейний лікар",N657*Законод!$C$11+'01_Доходи'!O657*Законод!$D$11+'01_Доходи'!P657*Законод!$E$11+'01_Доходи'!Q657*Законод!$F$11+'01_Доходи'!R657*Законод!$G$11,IF(B652="Лікар-педіатр",N657*Законод!$C$11+'01_Доходи'!O657*Законод!$D$11,IF(B652="Лікар-терапевт",'01_Доходи'!P657*Законод!$E$11+'01_Доходи'!Q657*Законод!$F$11+'01_Доходи'!R657*Законод!$G$11,0)))</f>
        <v>0</v>
      </c>
      <c r="AP657" s="210">
        <f ca="1">IF(B652="Лікар загальної практики - сімейний лікар",U657*Законод!$C$11+'01_Доходи'!V657*Законод!$D$11+'01_Доходи'!W657*Законод!$E$11+'01_Доходи'!X657*Законод!$F$11+'01_Доходи'!Y657*Законод!$G$11,IF(B652="Лікар-педіатр",U657*Законод!$C$11+'01_Доходи'!V657*Законод!$D$11,IF(B652="Лікар-терапевт",'01_Доходи'!W657*Законод!$E$11+'01_Доходи'!X657*Законод!$F$11+'01_Доходи'!Y657*Законод!$G$11,0)))</f>
        <v>0</v>
      </c>
      <c r="AQ657" s="210">
        <f ca="1">IF(B652="Лікар загальної практики - сімейний лікар",AB657*Законод!$C$11+'01_Доходи'!AC657*Законод!$D$11+'01_Доходи'!AD657*Законод!$E$11+'01_Доходи'!AE657*Законод!$F$11+'01_Доходи'!AF657*Законод!$G$11,IF(B652="Лікар-педіатр",AB657*Законод!$C$11+'01_Доходи'!AC657*Законод!$D$11,IF(B652="Лікар-терапевт",'01_Доходи'!AD657*Законод!$E$11+'01_Доходи'!AE657*Законод!$F$11+'01_Доходи'!AF657*Законод!$G$11,0)))</f>
        <v>0</v>
      </c>
      <c r="AR657" s="211">
        <f t="shared" ref="AR657:AR663" si="90">SUM(AN657:AQ657)</f>
        <v>0</v>
      </c>
    </row>
    <row r="658" spans="1:44" s="50" customFormat="1" ht="31.9" hidden="1" customHeight="1">
      <c r="A658" s="197"/>
      <c r="B658" s="951"/>
      <c r="C658" s="954"/>
      <c r="D658" s="957"/>
      <c r="E658" s="939"/>
      <c r="F658" s="238" t="str">
        <f ca="1">IF(B652="Лікар-педіатр",Законод!$E$17,IF(B652="Лікар загальної практики - сімейний лікар",Законод!$E$21,IF(B652="Лікар-терапевт",Законод!$E$25,"х")))</f>
        <v>х</v>
      </c>
      <c r="G658" s="935" t="s">
        <v>423</v>
      </c>
      <c r="H658" s="936"/>
      <c r="I658" s="936"/>
      <c r="J658" s="936"/>
      <c r="K658" s="937"/>
      <c r="L658" s="196">
        <f ca="1">IF($B$652="Лікар загальної практики - сімейний лікар",IF(L656&lt;Законод!$C$22,0,(IF(AND(L656&gt;=Законод!$E$22,L656&lt;=Законод!$E$23),L656-Законод!$C$22,IF('01_Доходи'!L656&gt;=Законод!$F$22,Законод!$E$24,0)))),IF($B$652="Лікар-педіатр",IF(L656&lt;Законод!$C$18,0,(IF(AND(L656&gt;=Законод!$E$18,L656&lt;=Законод!$E$19),L656-Законод!$C$18,IF('01_Доходи'!L656&gt;=Законод!$F$18,Законод!$E$20,0)))),IF($B$652="Лікар-терапевт",IF(L656&lt;Законод!$C$26,0,(IF(AND(L656&gt;=Законод!$E$26,L656&lt;=Законод!$E$27),L656-Законод!$C$26,IF('01_Доходи'!L656&gt;=Законод!$F$26,Законод!$E$28,0)))),0)))</f>
        <v>0</v>
      </c>
      <c r="M658" s="942"/>
      <c r="N658" s="935" t="s">
        <v>423</v>
      </c>
      <c r="O658" s="936"/>
      <c r="P658" s="936"/>
      <c r="Q658" s="936"/>
      <c r="R658" s="937"/>
      <c r="S658" s="196">
        <f ca="1">IF($B$652="Лікар загальної практики - сімейний лікар",IF(S656&lt;Законод!$C$22,0,(IF(AND(S656&gt;=Законод!$E$22,S656&lt;=Законод!$E$23),S656-Законод!$C$22,IF('01_Доходи'!S656&gt;=Законод!$F$22,Законод!$E$24,0)))),IF($B$652="Лікар-педіатр",IF(S656&lt;Законод!$C$18,0,(IF(AND(S656&gt;=Законод!$E$18,S656&lt;=Законод!$E$19),S656-Законод!$C$18,IF('01_Доходи'!S656&gt;=Законод!$F$18,Законод!$E$20,0)))),IF($B$652="Лікар-терапевт",IF(S656&lt;Законод!$C$26,0,(IF(AND(S656&gt;=Законод!$E$26,S656&lt;=Законод!$E$27),S656-Законод!$C$26,IF('01_Доходи'!S656&gt;=Законод!$F$26,Законод!$E$28,0)))),0)))</f>
        <v>0</v>
      </c>
      <c r="T658" s="942"/>
      <c r="U658" s="935" t="s">
        <v>423</v>
      </c>
      <c r="V658" s="936"/>
      <c r="W658" s="936"/>
      <c r="X658" s="936"/>
      <c r="Y658" s="937"/>
      <c r="Z658" s="196">
        <f ca="1">IF($B$652="Лікар загальної практики - сімейний лікар",IF(Z656&lt;Законод!$C$22,0,(IF(AND(Z656&gt;=Законод!$E$22,Z656&lt;=Законод!$E$23),Z656-Законод!$C$22,IF('01_Доходи'!Z656&gt;=Законод!$F$22,Законод!$E$24,0)))),IF($B$652="Лікар-педіатр",IF(Z656&lt;Законод!$C$18,0,(IF(AND(Z656&gt;=Законод!$E$18,Z656&lt;=Законод!$E$19),Z656-Законод!$C$18,IF('01_Доходи'!Z656&gt;=Законод!$F$18,Законод!$E$20,0)))),IF($B$652="Лікар-терапевт",IF(Z656&lt;Законод!$C$26,0,(IF(AND(Z656&gt;=Законод!$E$26,Z656&lt;=Законод!$E$27),Z656-Законод!$C$26,IF('01_Доходи'!Z656&gt;=Законод!$F$26,Законод!$E$28,0)))),0)))</f>
        <v>0</v>
      </c>
      <c r="AA658" s="942"/>
      <c r="AB658" s="935" t="s">
        <v>423</v>
      </c>
      <c r="AC658" s="936"/>
      <c r="AD658" s="936"/>
      <c r="AE658" s="936"/>
      <c r="AF658" s="937"/>
      <c r="AG658" s="196">
        <f ca="1">IF($B$652="Лікар загальної практики - сімейний лікар",IF(AG656&lt;Законод!$C$22,0,(IF(AND(AG656&gt;=Законод!$E$22,AG656&lt;=Законод!$E$23),AG656-Законод!$C$22,IF('01_Доходи'!AG656&gt;=Законод!$F$22,Законод!$E$24,0)))),IF($B$652="Лікар-педіатр",IF(AG656&lt;Законод!$C$18,0,(IF(AND(AG656&gt;=Законод!$E$18,AG656&lt;=Законод!$E$19),AG656-Законод!$C$18,IF('01_Доходи'!AG656&gt;=Законод!$F$18,Законод!$E$20,0)))),IF($B$652="Лікар-терапевт",IF(AG656&lt;Законод!$C$26,0,(IF(AND(AG656&gt;=Законод!$E$26,AG656&lt;=Законод!$E$27),AG656-Законод!$C$26,IF('01_Доходи'!AG656&gt;=Законод!$F$26,Законод!$E$28,0)))),0)))</f>
        <v>0</v>
      </c>
      <c r="AH658" s="942"/>
      <c r="AI658" s="201"/>
      <c r="AJ658" s="945"/>
      <c r="AK658" s="960"/>
      <c r="AL658" s="960"/>
      <c r="AM658" s="926" t="s">
        <v>452</v>
      </c>
      <c r="AN658" s="210">
        <f ca="1">IF(B652="Лікар загальної практики - сімейний лікар",L658*Законод!$C$9/4*Законод!$E$16,IF(B652="Лікар-педіатр",L658*Законод!$C$9/4*Законод!$E$16,IF(B652="Лікар-терапевт",L658*Законод!$C$9/4*Законод!$E$16,0)))</f>
        <v>0</v>
      </c>
      <c r="AO658" s="210">
        <f ca="1">IF(B652="Лікар загальної практики - сімейний лікар",S658*Законод!$C$9/4*Законод!$E$16,IF(B652="Лікар-педіатр",S658*Законод!$C$9/4*Законод!$E$16,IF(B652="Лікар-терапевт",S658*Законод!$C$9/4*Законод!$E$16,0)))</f>
        <v>0</v>
      </c>
      <c r="AP658" s="210">
        <f ca="1">IF(B652="Лікар загальної практики - сімейний лікар",Z658*Законод!$C$9/4*Законод!$E$16,IF(B652="Лікар-педіатр",Z658*Законод!$C$9/4*Законод!$E$16,IF(B652="Лікар-терапевт",Z658*Законод!$C$9/4*Законод!$E$16,0)))</f>
        <v>0</v>
      </c>
      <c r="AQ658" s="210">
        <f ca="1">IF(B652="Лікар загальної практики - сімейний лікар",AG658*Законод!$C$9/4*Законод!$E$16,IF(B652="Лікар-педіатр",AG658*Законод!$C$9/4*Законод!$E$16,IF(B652="Лікар-терапевт",AG658*Законод!$C$9/4*Законод!$E$16,0)))</f>
        <v>0</v>
      </c>
      <c r="AR658" s="211">
        <f t="shared" si="90"/>
        <v>0</v>
      </c>
    </row>
    <row r="659" spans="1:44" s="50" customFormat="1" ht="31.9" hidden="1" customHeight="1">
      <c r="A659" s="197"/>
      <c r="B659" s="951"/>
      <c r="C659" s="954"/>
      <c r="D659" s="957"/>
      <c r="E659" s="939"/>
      <c r="F659" s="238" t="str">
        <f ca="1">IF(B652="Лікар-педіатр",Законод!$F$17,IF(B652="Лікар загальної практики - сімейний лікар",Законод!$F$21,IF(B652="Лікар-терапевт",Законод!$F$25,"х")))</f>
        <v>х</v>
      </c>
      <c r="G659" s="935" t="s">
        <v>423</v>
      </c>
      <c r="H659" s="936"/>
      <c r="I659" s="936"/>
      <c r="J659" s="936"/>
      <c r="K659" s="937"/>
      <c r="L659" s="196">
        <f ca="1">IF($B$652="Лікар загальної практики - сімейний лікар",IF(L656&lt;Законод!$C$22,0,(IF(AND(L656&gt;=Законод!$F$22,L656&lt;=Законод!$F$23),L656-Законод!$E$23,IF('01_Доходи'!L656&gt;=Законод!$G$22,Законод!$F$24,0)))),IF($B$652="Лікар-педіатр",IF(L656&lt;Законод!$C$18,0,(IF(AND(L656&gt;=Законод!$F$18,L656&lt;=Законод!$F$19),L656-Законод!$E$19,IF('01_Доходи'!L656&gt;=Законод!$G$18,Законод!$F$20,0)))),IF($B$652="Лікар-терапевт",IF(L656&lt;Законод!$C$26,0,(IF(AND(L656&gt;=Законод!$F$26,L656&lt;=Законод!$F$27),L656-Законод!$E$27,IF('01_Доходи'!L656&gt;=Законод!$G$26,Законод!$F$28,0)))),0)))</f>
        <v>0</v>
      </c>
      <c r="M659" s="942"/>
      <c r="N659" s="935" t="s">
        <v>423</v>
      </c>
      <c r="O659" s="936"/>
      <c r="P659" s="936"/>
      <c r="Q659" s="936"/>
      <c r="R659" s="937"/>
      <c r="S659" s="196">
        <f ca="1">IF($B$652="Лікар загальної практики - сімейний лікар",IF(S656&lt;Законод!$C$22,0,(IF(AND(S656&gt;=Законод!$F$22,S656&lt;=Законод!$F$23),S656-Законод!$E$23,IF('01_Доходи'!S656&gt;=Законод!$G$22,Законод!$F$24,0)))),IF($B$652="Лікар-педіатр",IF(S656&lt;Законод!$C$18,0,(IF(AND(S656&gt;=Законод!$F$18,S656&lt;=Законод!$F$19),S656-Законод!$E$19,IF('01_Доходи'!S656&gt;=Законод!$G$18,Законод!$F$20,0)))),IF($B$652="Лікар-терапевт",IF(S656&lt;Законод!$C$26,0,(IF(AND(S656&gt;=Законод!$F$26,S656&lt;=Законод!$F$27),S656-Законод!$E$27,IF('01_Доходи'!S656&gt;=Законод!$G$26,Законод!$F$28,0)))),0)))</f>
        <v>0</v>
      </c>
      <c r="T659" s="942"/>
      <c r="U659" s="935" t="s">
        <v>423</v>
      </c>
      <c r="V659" s="936"/>
      <c r="W659" s="936"/>
      <c r="X659" s="936"/>
      <c r="Y659" s="937"/>
      <c r="Z659" s="196">
        <f ca="1">IF($B$652="Лікар загальної практики - сімейний лікар",IF(Z656&lt;Законод!$C$22,0,(IF(AND(Z656&gt;=Законод!$F$22,Z656&lt;=Законод!$F$23),Z656-Законод!$E$23,IF('01_Доходи'!Z656&gt;=Законод!$G$22,Законод!$F$24,0)))),IF($B$652="Лікар-педіатр",IF(Z656&lt;Законод!$C$18,0,(IF(AND(Z656&gt;=Законод!$F$18,Z656&lt;=Законод!$F$19),Z656-Законод!$E$19,IF('01_Доходи'!Z656&gt;=Законод!$G$18,Законод!$F$20,0)))),IF($B$652="Лікар-терапевт",IF(Z656&lt;Законод!$C$26,0,(IF(AND(Z656&gt;=Законод!$F$26,Z656&lt;=Законод!$F$27),Z656-Законод!$E$27,IF('01_Доходи'!Z656&gt;=Законод!$G$26,Законод!$F$28,0)))),0)))</f>
        <v>0</v>
      </c>
      <c r="AA659" s="942"/>
      <c r="AB659" s="935" t="s">
        <v>423</v>
      </c>
      <c r="AC659" s="936"/>
      <c r="AD659" s="936"/>
      <c r="AE659" s="936"/>
      <c r="AF659" s="937"/>
      <c r="AG659" s="196">
        <f ca="1">IF($B$652="Лікар загальної практики - сімейний лікар",IF(AG656&lt;Законод!$C$22,0,(IF(AND(AG656&gt;=Законод!$F$22,AG656&lt;=Законод!$F$23),AG656-Законод!$E$23,IF('01_Доходи'!AG656&gt;=Законод!$G$22,Законод!$F$24,0)))),IF($B$652="Лікар-педіатр",IF(AG656&lt;Законод!$C$18,0,(IF(AND(AG656&gt;=Законод!$F$18,AG656&lt;=Законод!$F$19),AG656-Законод!$E$19,IF('01_Доходи'!AG656&gt;=Законод!$G$18,Законод!$F$20,0)))),IF($B$652="Лікар-терапевт",IF(AG656&lt;Законод!$C$26,0,(IF(AND(AG656&gt;=Законод!$F$26,AG656&lt;=Законод!$F$27),AG656-Законод!$E$27,IF('01_Доходи'!AG656&gt;=Законод!$G$26,Законод!$F$28,0)))),0)))</f>
        <v>0</v>
      </c>
      <c r="AH659" s="942"/>
      <c r="AI659" s="201"/>
      <c r="AJ659" s="945"/>
      <c r="AK659" s="960"/>
      <c r="AL659" s="960"/>
      <c r="AM659" s="927"/>
      <c r="AN659" s="210">
        <f ca="1">IF(B652="Лікар загальної практики - сімейний лікар",L659*Законод!$C$9/4*Законод!$F$16,IF(B652="Лікар-педіатр",L659*Законод!$C$9/4*Законод!$F$16,IF(B652="Лікар-терапевт",L659*Законод!$C$9/4*Законод!$F$16,0)))</f>
        <v>0</v>
      </c>
      <c r="AO659" s="210">
        <f ca="1">IF(B652="Лікар загальної практики - сімейний лікар",S659*Законод!$C$9/4*Законод!$F$16,IF(B652="Лікар-педіатр",S659*Законод!$C$9/4*Законод!$F$16,IF(B652="Лікар-терапевт",S659*Законод!$C$9/4*Законод!$F$16,0)))</f>
        <v>0</v>
      </c>
      <c r="AP659" s="210">
        <f ca="1">IF(B652="Лікар загальної практики - сімейний лікар",Z659*Законод!$C$9/4*Законод!$F$16,IF(B652="Лікар-педіатр",Z659*Законод!$C$9/4*Законод!$F$16,IF(B652="Лікар-терапевт",Z659*Законод!$C$9/4*Законод!$F$16,0)))</f>
        <v>0</v>
      </c>
      <c r="AQ659" s="210">
        <f ca="1">IF(B652="Лікар загальної практики - сімейний лікар",AG659*Законод!$C$9/4*Законод!$F$16,IF(B652="Лікар-педіатр",AG659*Законод!$C$9/4*Законод!$F$16,IF(B652="Лікар-терапевт",AG659*Законод!$C$9/4*Законод!$F$16,0)))</f>
        <v>0</v>
      </c>
      <c r="AR659" s="211">
        <f t="shared" si="90"/>
        <v>0</v>
      </c>
    </row>
    <row r="660" spans="1:44" s="50" customFormat="1" ht="31.9" hidden="1" customHeight="1">
      <c r="A660" s="197"/>
      <c r="B660" s="951"/>
      <c r="C660" s="954"/>
      <c r="D660" s="957"/>
      <c r="E660" s="939"/>
      <c r="F660" s="238" t="str">
        <f ca="1">IF(B652="Лікар-педіатр",Законод!$G$17,IF(B652="Лікар загальної практики - сімейний лікар",Законод!$G$21,IF(B652="Лікар-терапевт",Законод!$G$25,"х")))</f>
        <v>х</v>
      </c>
      <c r="G660" s="935" t="s">
        <v>423</v>
      </c>
      <c r="H660" s="936"/>
      <c r="I660" s="936"/>
      <c r="J660" s="936"/>
      <c r="K660" s="937"/>
      <c r="L660" s="196">
        <f ca="1">IF($B$652="Лікар загальної практики - сімейний лікар",IF(L656&lt;Законод!$C$22,0,(IF(AND(L656&gt;=Законод!$G$22,L656&lt;=Законод!$G$23),L656-Законод!$F$23,IF('01_Доходи'!L656&gt;=Законод!$H$22,Законод!$G$24,0)))),IF($B$652="Лікар-педіатр",IF(L656&lt;Законод!$C$18,0,(IF(AND(L656&gt;=Законод!$G$18,L656&lt;=Законод!$G$19),L656-Законод!$F$19,IF('01_Доходи'!L656&gt;=Законод!$H$18,Законод!$G$20,0)))),IF($B$652="Лікар-терапевт",IF(L656&lt;Законод!$C$26,0,(IF(AND(L656&gt;=Законод!$G$26,L656&lt;=Законод!$G$27),L656-Законод!$F$27,IF('01_Доходи'!L656&gt;=Законод!$H$26,Законод!$G$28,0)))),0)))</f>
        <v>0</v>
      </c>
      <c r="M660" s="942"/>
      <c r="N660" s="935" t="s">
        <v>423</v>
      </c>
      <c r="O660" s="936"/>
      <c r="P660" s="936"/>
      <c r="Q660" s="936"/>
      <c r="R660" s="937"/>
      <c r="S660" s="196">
        <f ca="1">IF($B$652="Лікар загальної практики - сімейний лікар",IF(S656&lt;Законод!$C$22,0,(IF(AND(S656&gt;=Законод!$G$22,S656&lt;=Законод!$G$23),S656-Законод!$F$23,IF('01_Доходи'!S656&gt;=Законод!$H$22,Законод!$G$24,0)))),IF($B$652="Лікар-педіатр",IF(S656&lt;Законод!$C$18,0,(IF(AND(S656&gt;=Законод!$G$18,S656&lt;=Законод!$G$19),S656-Законод!$F$19,IF('01_Доходи'!S656&gt;=Законод!$H$18,Законод!$G$20,0)))),IF($B$652="Лікар-терапевт",IF(S656&lt;Законод!$C$26,0,(IF(AND(S656&gt;=Законод!$G$26,S656&lt;=Законод!$G$27),S656-Законод!$F$27,IF('01_Доходи'!S656&gt;=Законод!$H$26,Законод!$G$28,0)))),0)))</f>
        <v>0</v>
      </c>
      <c r="T660" s="942"/>
      <c r="U660" s="935" t="s">
        <v>423</v>
      </c>
      <c r="V660" s="936"/>
      <c r="W660" s="936"/>
      <c r="X660" s="936"/>
      <c r="Y660" s="937"/>
      <c r="Z660" s="196">
        <f ca="1">IF($B$652="Лікар загальної практики - сімейний лікар",IF(Z656&lt;Законод!$C$22,0,(IF(AND(Z656&gt;=Законод!$G$22,Z656&lt;=Законод!$G$23),Z656-Законод!$F$23,IF('01_Доходи'!Z656&gt;=Законод!$H$22,Законод!$G$24,0)))),IF($B$652="Лікар-педіатр",IF(Z656&lt;Законод!$C$18,0,(IF(AND(Z656&gt;=Законод!$G$18,Z656&lt;=Законод!$G$19),Z656-Законод!$F$19,IF('01_Доходи'!Z656&gt;=Законод!$H$18,Законод!$G$20,0)))),IF($B$652="Лікар-терапевт",IF(Z656&lt;Законод!$C$26,0,(IF(AND(Z656&gt;=Законод!$G$26,Z656&lt;=Законод!$G$27),Z656-Законод!$F$27,IF('01_Доходи'!Z656&gt;=Законод!$H$26,Законод!$G$28,0)))),0)))</f>
        <v>0</v>
      </c>
      <c r="AA660" s="942"/>
      <c r="AB660" s="935" t="s">
        <v>423</v>
      </c>
      <c r="AC660" s="936"/>
      <c r="AD660" s="936"/>
      <c r="AE660" s="936"/>
      <c r="AF660" s="937"/>
      <c r="AG660" s="196">
        <f ca="1">IF($B$652="Лікар загальної практики - сімейний лікар",IF(AG656&lt;Законод!$C$22,0,(IF(AND(AG656&gt;=Законод!$G$22,AG656&lt;=Законод!$G$23),AG656-Законод!$F$23,IF('01_Доходи'!AG656&gt;=Законод!$H$22,Законод!$G$24,0)))),IF($B$652="Лікар-педіатр",IF(AG656&lt;Законод!$C$18,0,(IF(AND(AG656&gt;=Законод!$G$18,AG656&lt;=Законод!$G$19),AG656-Законод!$F$19,IF('01_Доходи'!AG656&gt;=Законод!$H$18,Законод!$G$20,0)))),IF($B$652="Лікар-терапевт",IF(AG656&lt;Законод!$C$26,0,(IF(AND(AG656&gt;=Законод!$G$26,AG656&lt;=Законод!$G$27),AG656-Законод!$F$27,IF('01_Доходи'!AG656&gt;=Законод!$H$26,Законод!$G$28,0)))),0)))</f>
        <v>0</v>
      </c>
      <c r="AH660" s="942"/>
      <c r="AI660" s="201"/>
      <c r="AJ660" s="945"/>
      <c r="AK660" s="960"/>
      <c r="AL660" s="960"/>
      <c r="AM660" s="927"/>
      <c r="AN660" s="210">
        <f ca="1">IF(B652="Лікар загальної практики - сімейний лікар",L660*Законод!$C$9/4*Законод!$G$16,IF(B652="Лікар-педіатр",L660*Законод!$C$9/4*Законод!$G$16,IF(B652="Лікар-терапевт",L660*Законод!$C$9/4*Законод!$G$16,0)))</f>
        <v>0</v>
      </c>
      <c r="AO660" s="210">
        <f ca="1">IF(B652="Лікар загальної практики - сімейний лікар",S660*Законод!$C$9/4*Законод!$G$16,IF(B652="Лікар-педіатр",S660*Законод!$C$9/4*Законод!$G$16,IF(B652="Лікар-терапевт",S660*Законод!$C$9/4*Законод!$G$16,0)))</f>
        <v>0</v>
      </c>
      <c r="AP660" s="210">
        <f ca="1">IF(B652="Лікар загальної практики - сімейний лікар",Z660*Законод!$C$9/4*Законод!$G$16,IF(B652="Лікар-педіатр",Z660*Законод!$C$9/4*Законод!$G$16,IF(B652="Лікар-терапевт",Z660*Законод!$C$9/4*Законод!$G$16,0)))</f>
        <v>0</v>
      </c>
      <c r="AQ660" s="210">
        <f ca="1">IF(B652="Лікар загальної практики - сімейний лікар",AG660*Законод!$C$9/4*Законод!$G$16,IF(B652="Лікар-педіатр",AG660*Законод!$C$9/4*Законод!$G$16,IF(B652="Лікар-терапевт",AG660*Законод!$C$9/4*Законод!$G$16,0)))</f>
        <v>0</v>
      </c>
      <c r="AR660" s="211">
        <f t="shared" si="90"/>
        <v>0</v>
      </c>
    </row>
    <row r="661" spans="1:44" s="50" customFormat="1" ht="31.9" hidden="1" customHeight="1">
      <c r="A661" s="197"/>
      <c r="B661" s="951"/>
      <c r="C661" s="954"/>
      <c r="D661" s="957"/>
      <c r="E661" s="939"/>
      <c r="F661" s="238" t="str">
        <f ca="1">IF(B652="Лікар-педіатр",Законод!$H$17,IF(B652="Лікар загальної практики - сімейний лікар",Законод!$H$21,IF(B652="Лікар-терапевт",Законод!$H$25,"х")))</f>
        <v>х</v>
      </c>
      <c r="G661" s="935" t="s">
        <v>423</v>
      </c>
      <c r="H661" s="936"/>
      <c r="I661" s="936"/>
      <c r="J661" s="936"/>
      <c r="K661" s="937"/>
      <c r="L661" s="196">
        <f ca="1">IF($B$652="Лікар загальної практики - сімейний лікар",IF(L656&lt;Законод!$C$22,0,(IF(AND(L656&gt;=Законод!$H$22,L656&lt;=Законод!$H$23),L656-Законод!$G$23,IF('01_Доходи'!L656&gt;=Законод!$I$22,Законод!$H$24,0)))),IF($B$652="Лікар-педіатр",IF(L656&lt;Законод!$C$18,0,(IF(AND(L656&gt;=Законод!$H$18,L656&lt;=Законод!$H$19),L656-Законод!$G$19,IF('01_Доходи'!L656&gt;=Законод!$I$18,Законод!$H$20,0)))),IF($B$652="Лікар-терапевт",IF(L656&lt;Законод!$C$26,0,(IF(AND(L656&gt;=Законод!$H$26,L656&lt;=Законод!$H$27),L656-Законод!$G$27,IF(L656&gt;=Законод!$I$26,Законод!$H$28,0)))),0)))</f>
        <v>0</v>
      </c>
      <c r="M661" s="942"/>
      <c r="N661" s="935" t="s">
        <v>423</v>
      </c>
      <c r="O661" s="936"/>
      <c r="P661" s="936"/>
      <c r="Q661" s="936"/>
      <c r="R661" s="937"/>
      <c r="S661" s="196">
        <f ca="1">IF($B$652="Лікар загальної практики - сімейний лікар",IF(S656&lt;Законод!$C$22,0,(IF(AND(S656&gt;=Законод!$H$22,S656&lt;=Законод!$H$23),S656-Законод!$G$23,IF('01_Доходи'!S656&gt;=Законод!$I$22,Законод!$H$24,0)))),IF($B$652="Лікар-педіатр",IF(S656&lt;Законод!$C$18,0,(IF(AND(S656&gt;=Законод!$H$18,S656&lt;=Законод!$H$19),S656-Законод!$G$19,IF('01_Доходи'!S656&gt;=Законод!$I$18,Законод!$H$20,0)))),IF($B$652="Лікар-терапевт",IF(S656&lt;Законод!$C$26,0,(IF(AND(S656&gt;=Законод!$H$26,S656&lt;=Законод!$H$27),S656-Законод!$G$27,IF(S656&gt;=Законод!$I$26,Законод!$H$28,0)))),0)))</f>
        <v>0</v>
      </c>
      <c r="T661" s="942"/>
      <c r="U661" s="935" t="s">
        <v>423</v>
      </c>
      <c r="V661" s="936"/>
      <c r="W661" s="936"/>
      <c r="X661" s="936"/>
      <c r="Y661" s="937"/>
      <c r="Z661" s="196">
        <f ca="1">IF($B$652="Лікар загальної практики - сімейний лікар",IF(Z656&lt;Законод!$C$22,0,(IF(AND(Z656&gt;=Законод!$H$22,Z656&lt;=Законод!$H$23),Z656-Законод!$G$23,IF('01_Доходи'!Z656&gt;=Законод!$I$22,Законод!$H$24,0)))),IF($B$652="Лікар-педіатр",IF(Z656&lt;Законод!$C$18,0,(IF(AND(Z656&gt;=Законод!$H$18,Z656&lt;=Законод!$H$19),Z656-Законод!$G$19,IF('01_Доходи'!Z656&gt;=Законод!$I$18,Законод!$H$20,0)))),IF($B$652="Лікар-терапевт",IF(Z656&lt;Законод!$C$26,0,(IF(AND(Z656&gt;=Законод!$H$26,Z656&lt;=Законод!$H$27),Z656-Законод!$G$27,IF(Z656&gt;=Законод!$I$26,Законод!$H$28,0)))),0)))</f>
        <v>0</v>
      </c>
      <c r="AA661" s="942"/>
      <c r="AB661" s="935" t="s">
        <v>423</v>
      </c>
      <c r="AC661" s="936"/>
      <c r="AD661" s="936"/>
      <c r="AE661" s="936"/>
      <c r="AF661" s="937"/>
      <c r="AG661" s="196">
        <f ca="1">IF($B$652="Лікар загальної практики - сімейний лікар",IF(AG656&lt;Законод!$C$22,0,(IF(AND(AG656&gt;=Законод!$H$22,AG656&lt;=Законод!$H$23),AG656-Законод!$G$23,IF('01_Доходи'!AG656&gt;=Законод!$I$22,Законод!$H$24,0)))),IF($B$652="Лікар-педіатр",IF(AG656&lt;Законод!$C$18,0,(IF(AND(AG656&gt;=Законод!$H$18,AG656&lt;=Законод!$H$19),AG656-Законод!$G$19,IF('01_Доходи'!AG656&gt;=Законод!$I$18,Законод!$H$20,0)))),IF($B$652="Лікар-терапевт",IF(AG656&lt;Законод!$C$26,0,(IF(AND(AG656&gt;=Законод!$H$26,AG656&lt;=Законод!$H$27),AG656-Законод!$G$27,IF(AG656&gt;=Законод!$I$26,Законод!$H$28,0)))),0)))</f>
        <v>0</v>
      </c>
      <c r="AH661" s="942"/>
      <c r="AI661" s="201"/>
      <c r="AJ661" s="945"/>
      <c r="AK661" s="960"/>
      <c r="AL661" s="960"/>
      <c r="AM661" s="927"/>
      <c r="AN661" s="210">
        <f ca="1">IF(B652="Лікар загальної практики - сімейний лікар",L661*Законод!$C$9/4*Законод!$H$16,IF(B652="Лікар-педіатр",L661*Законод!$C$9/4*Законод!$H$16,IF(B652="Лікар-терапевт",L661*Законод!$C$9/4*Законод!$H$16,0)))</f>
        <v>0</v>
      </c>
      <c r="AO661" s="210">
        <f ca="1">IF(B652="Лікар загальної практики - сімейний лікар",S661*Законод!$C$9/4*Законод!$H$16,IF(B652="Лікар-педіатр",S661*Законод!$C$9/4*Законод!$H$16,IF(B652="Лікар-терапевт",S661*Законод!$C$9/4*Законод!$H$16,0)))</f>
        <v>0</v>
      </c>
      <c r="AP661" s="210">
        <f ca="1">IF(B652="Лікар загальної практики - сімейний лікар",Z661*Законод!$C$9/4*Законод!$H$16,IF(B652="Лікар-педіатр",Z661*Законод!$C$9/4*Законод!$H$16,IF(B652="Лікар-терапевт",Z661*Законод!$C$9/4*Законод!$H$16,0)))</f>
        <v>0</v>
      </c>
      <c r="AQ661" s="210">
        <f ca="1">IF(B652="Лікар загальної практики - сімейний лікар",AG661*Законод!$C$9/4*Законод!$H$16,IF(B652="Лікар-педіатр",AG661*Законод!$C$9/4*Законод!$H$16,IF(B652="Лікар-терапевт",AG661*Законод!$C$9/4*Законод!$H$16,0)))</f>
        <v>0</v>
      </c>
      <c r="AR661" s="211">
        <f t="shared" si="90"/>
        <v>0</v>
      </c>
    </row>
    <row r="662" spans="1:44" s="50" customFormat="1" ht="31.9" hidden="1" customHeight="1">
      <c r="A662" s="197"/>
      <c r="B662" s="951"/>
      <c r="C662" s="954"/>
      <c r="D662" s="957"/>
      <c r="E662" s="939"/>
      <c r="F662" s="238" t="str">
        <f ca="1">IF(B652="Лікар-педіатр",Законод!$I$17,IF(B652="Лікар загальної практики - сімейний лікар",Законод!$I$21,IF(B652="Лікар-терапевт",Законод!$I$25,"х")))</f>
        <v>х</v>
      </c>
      <c r="G662" s="935" t="s">
        <v>423</v>
      </c>
      <c r="H662" s="936"/>
      <c r="I662" s="936"/>
      <c r="J662" s="936"/>
      <c r="K662" s="937"/>
      <c r="L662" s="196">
        <f ca="1">IF($B$652="Лікар загальної практики - сімейний лікар",IF(L656&lt;Законод!$C$22,0,(IF(AND(L656&gt;=Законод!$I$22,L656&lt;=Законод!$I$23),L656-Законод!$H$23,IF('01_Доходи'!L656&gt;=Законод!$I$22,Законод!$I$24,0)))),IF($B$652="Лікар-педіатр",IF(L656&lt;Законод!$C$18,0,(IF(AND(L656&gt;=Законод!$I$18,L656&lt;=Законод!$I$19),L656-Законод!$H$19,IF('01_Доходи'!L656&gt;=Законод!$I$18,Законод!$H$20,0)))),IF($B$652="Лікар-терапевт",IF(L656&lt;Законод!$C$26,0,(IF(AND(L656&gt;=Законод!$I$26,L656&lt;=Законод!$I$27),L656-Законод!$H$27,IF('01_Доходи'!L656&gt;=Законод!$I$26,Законод!$H$28,0)))),0)))</f>
        <v>0</v>
      </c>
      <c r="M662" s="942"/>
      <c r="N662" s="935" t="s">
        <v>423</v>
      </c>
      <c r="O662" s="936"/>
      <c r="P662" s="936"/>
      <c r="Q662" s="936"/>
      <c r="R662" s="937"/>
      <c r="S662" s="196">
        <f ca="1">IF($B$652="Лікар загальної практики - сімейний лікар",IF(S656&lt;Законод!$C$22,0,(IF(AND(S656&gt;=Законод!$I$22,S656&lt;=Законод!$I$23),S656-Законод!$H$23,IF('01_Доходи'!S656&gt;=Законод!$I$22,Законод!$I$24,0)))),IF($B$652="Лікар-педіатр",IF(S656&lt;Законод!$C$18,0,(IF(AND(S656&gt;=Законод!$I$18,S656&lt;=Законод!$I$19),S656-Законод!$H$19,IF('01_Доходи'!S656&gt;=Законод!$I$18,Законод!$H$20,0)))),IF($B$652="Лікар-терапевт",IF(S656&lt;Законод!$C$26,0,(IF(AND(S656&gt;=Законод!$I$26,S656&lt;=Законод!$I$27),S656-Законод!$H$27,IF('01_Доходи'!S656&gt;=Законод!$I$26,Законод!$H$28,0)))),0)))</f>
        <v>0</v>
      </c>
      <c r="T662" s="942"/>
      <c r="U662" s="935" t="s">
        <v>423</v>
      </c>
      <c r="V662" s="936"/>
      <c r="W662" s="936"/>
      <c r="X662" s="936"/>
      <c r="Y662" s="937"/>
      <c r="Z662" s="196">
        <f ca="1">IF($B$652="Лікар загальної практики - сімейний лікар",IF(Z656&lt;Законод!$C$22,0,(IF(AND(Z656&gt;=Законод!$I$22,Z656&lt;=Законод!$I$23),Z656-Законод!$H$23,IF('01_Доходи'!Z656&gt;=Законод!$I$22,Законод!$I$24,0)))),IF($B$652="Лікар-педіатр",IF(Z656&lt;Законод!$C$18,0,(IF(AND(Z656&gt;=Законод!$I$18,Z656&lt;=Законод!$I$19),Z656-Законод!$H$19,IF('01_Доходи'!Z656&gt;=Законод!$I$18,Законод!$H$20,0)))),IF($B$652="Лікар-терапевт",IF(Z656&lt;Законод!$C$26,0,(IF(AND(Z656&gt;=Законод!$I$26,Z656&lt;=Законод!$I$27),Z656-Законод!$H$27,IF('01_Доходи'!Z656&gt;=Законод!$I$26,Законод!$H$28,0)))),0)))</f>
        <v>0</v>
      </c>
      <c r="AA662" s="942"/>
      <c r="AB662" s="935" t="s">
        <v>423</v>
      </c>
      <c r="AC662" s="936"/>
      <c r="AD662" s="936"/>
      <c r="AE662" s="936"/>
      <c r="AF662" s="937"/>
      <c r="AG662" s="196">
        <f ca="1">IF($B$652="Лікар загальної практики - сімейний лікар",IF(AG656&lt;Законод!$C$22,0,(IF(AND(AG656&gt;=Законод!$I$22,AG656&lt;=Законод!$I$23),AG656-Законод!$H$23,IF('01_Доходи'!AG656&gt;=Законод!$I$22,Законод!$I$24,0)))),IF($B$652="Лікар-педіатр",IF(AG656&lt;Законод!$C$18,0,(IF(AND(AG656&gt;=Законод!$I$18,AG656&lt;=Законод!$I$19),AG656-Законод!$H$19,IF('01_Доходи'!AG656&gt;=Законод!$I$18,Законод!$H$20,0)))),IF($B$652="Лікар-терапевт",IF(AG656&lt;Законод!$C$26,0,(IF(AND(AG656&gt;=Законод!$I$26,AG656&lt;=Законод!$I$27),AG656-Законод!$H$27,IF('01_Доходи'!AG656&gt;=Законод!$I$26,Законод!$H$28,0)))),0)))</f>
        <v>0</v>
      </c>
      <c r="AH662" s="942"/>
      <c r="AI662" s="201"/>
      <c r="AJ662" s="945"/>
      <c r="AK662" s="960"/>
      <c r="AL662" s="960"/>
      <c r="AM662" s="927"/>
      <c r="AN662" s="210">
        <f ca="1">IF(B652="Лікар загальної практики - сімейний лікар",L662*Законод!$C$9/4*Законод!$I$16,IF(B652="Лікар-педіатр",L662*Законод!$C$9/4*Законод!$I$16,IF(B652="Лікар-терапевт",L662*Законод!$C$9/4*Законод!$I$16,0)))</f>
        <v>0</v>
      </c>
      <c r="AO662" s="210">
        <f ca="1">IF(B652="Лікар загальної практики - сімейний лікар",S662*Законод!$C$9/4*Законод!$I$16,IF(B652="Лікар-педіатр",S662*Законод!$C$9/4*Законод!$I$16,IF(B652="Лікар-терапевт",S662*Законод!$C$9/4*Законод!$I$16,0)))</f>
        <v>0</v>
      </c>
      <c r="AP662" s="210">
        <f ca="1">IF(B652="Лікар загальної практики - сімейний лікар",Z662*Законод!$C$9/4*Законод!$I$16,IF(B652="Лікар-педіатр",Z662*Законод!$C$9/4*Законод!$I$16,IF(B652="Лікар-терапевт",Z662*Законод!$C$9/4*Законод!$I$16,0)))</f>
        <v>0</v>
      </c>
      <c r="AQ662" s="210">
        <f ca="1">IF(B652="Лікар загальної практики - сімейний лікар",AG662*Законод!$C$9/4*Законод!$I$16,IF(B652="Лікар-педіатр",AG662*Законод!$C$9/4*Законод!$I$16,IF(B652="Лікар-терапевт",AG662*Законод!$C$9/4*Законод!$I$16,0)))</f>
        <v>0</v>
      </c>
      <c r="AR662" s="211">
        <f t="shared" si="90"/>
        <v>0</v>
      </c>
    </row>
    <row r="663" spans="1:44" s="218" customFormat="1" ht="31.9" hidden="1" customHeight="1" thickBot="1">
      <c r="A663" s="213"/>
      <c r="B663" s="952"/>
      <c r="C663" s="955"/>
      <c r="D663" s="958"/>
      <c r="E663" s="940"/>
      <c r="F663" s="239" t="str">
        <f ca="1">IF(B652="Лікар-педіатр",Законод!$J$17,IF(B652="Лікар загальної практики - сімейний лікар",Законод!$J$21,IF(B652="Лікар-терапевт",Законод!$J$25,"х")))</f>
        <v>х</v>
      </c>
      <c r="G663" s="932" t="s">
        <v>423</v>
      </c>
      <c r="H663" s="933"/>
      <c r="I663" s="933"/>
      <c r="J663" s="933"/>
      <c r="K663" s="934"/>
      <c r="L663" s="196">
        <f ca="1">IF($B$652="Лікар загальної практики - сімейний лікар",IF(L656&gt;=Законод!$J$22,'01_Доходи'!L656-('01_Доходи'!L657+'01_Доходи'!L658+'01_Доходи'!L659+'01_Доходи'!L660+'01_Доходи'!L661+'01_Доходи'!L662),0),IF($B$652="Лікар-педіатр",IF(L656&gt;=Законод!$J$18,'01_Доходи'!L656-('01_Доходи'!L657+'01_Доходи'!L658+'01_Доходи'!L659+'01_Доходи'!L660+'01_Доходи'!L661+'01_Доходи'!L662),0),IF($B$652="Лікар-терапевт",IF('01_Доходи'!L656&gt;=Законод!$J$26,L656-Законод!$I$27,0),0)))</f>
        <v>0</v>
      </c>
      <c r="M663" s="943"/>
      <c r="N663" s="932" t="s">
        <v>423</v>
      </c>
      <c r="O663" s="933"/>
      <c r="P663" s="933"/>
      <c r="Q663" s="933"/>
      <c r="R663" s="934"/>
      <c r="S663" s="196">
        <f ca="1">IF($B$652="Лікар загальної практики - сімейний лікар",IF(S656&gt;=Законод!$J$22,'01_Доходи'!S656-('01_Доходи'!S657+'01_Доходи'!S658+'01_Доходи'!S659+'01_Доходи'!S660+'01_Доходи'!S661+'01_Доходи'!S662),0),IF($B$652="Лікар-педіатр",IF(S656&gt;=Законод!$J$18,'01_Доходи'!S656-('01_Доходи'!S657+'01_Доходи'!S658+'01_Доходи'!S659+'01_Доходи'!S660+'01_Доходи'!S661+'01_Доходи'!S662),0),IF($B$652="Лікар-терапевт",IF('01_Доходи'!S656&gt;=Законод!$J$26,S656-Законод!$I$27,0),0)))</f>
        <v>0</v>
      </c>
      <c r="T663" s="943"/>
      <c r="U663" s="932" t="s">
        <v>423</v>
      </c>
      <c r="V663" s="933"/>
      <c r="W663" s="933"/>
      <c r="X663" s="933"/>
      <c r="Y663" s="934"/>
      <c r="Z663" s="196">
        <f ca="1">IF($B$652="Лікар загальної практики - сімейний лікар",IF(Z656&gt;=Законод!$J$22,'01_Доходи'!Z656-('01_Доходи'!Z657+'01_Доходи'!Z658+'01_Доходи'!Z659+'01_Доходи'!Z660+'01_Доходи'!Z661+'01_Доходи'!Z662),0),IF($B$652="Лікар-педіатр",IF(Z656&gt;=Законод!$J$18,'01_Доходи'!Z656-('01_Доходи'!Z657+'01_Доходи'!Z658+'01_Доходи'!Z659+'01_Доходи'!Z660+'01_Доходи'!Z661+'01_Доходи'!Z662),0),IF($B$652="Лікар-терапевт",IF('01_Доходи'!Z656&gt;=Законод!$J$26,Z656-Законод!$I$27,0),0)))</f>
        <v>0</v>
      </c>
      <c r="AA663" s="943"/>
      <c r="AB663" s="932" t="s">
        <v>423</v>
      </c>
      <c r="AC663" s="933"/>
      <c r="AD663" s="933"/>
      <c r="AE663" s="933"/>
      <c r="AF663" s="934"/>
      <c r="AG663" s="196">
        <f ca="1">IF($B$652="Лікар загальної практики - сімейний лікар",IF(AG656&gt;=Законод!$J$22,'01_Доходи'!AG656-('01_Доходи'!AG657+'01_Доходи'!AG658+'01_Доходи'!AG659+'01_Доходи'!AG660+'01_Доходи'!AG661+'01_Доходи'!AG662),0),IF($B$652="Лікар-педіатр",IF(AG656&gt;=Законод!$J$18,'01_Доходи'!AG656-('01_Доходи'!AG657+'01_Доходи'!AG658+'01_Доходи'!AG659+'01_Доходи'!AG660+'01_Доходи'!AG661+'01_Доходи'!AG662),0),IF($B$652="Лікар-терапевт",IF('01_Доходи'!AG656&gt;=Законод!$J$26,AG656-Законод!$I$27,0),0)))</f>
        <v>0</v>
      </c>
      <c r="AH663" s="943"/>
      <c r="AI663" s="215"/>
      <c r="AJ663" s="946"/>
      <c r="AK663" s="961"/>
      <c r="AL663" s="961"/>
      <c r="AM663" s="928"/>
      <c r="AN663" s="216">
        <f ca="1">IF(B652="Лікар загальної практики - сімейний лікар",L663*Законод!$C$9/4*Законод!$J$16,IF(B652="Лікар-педіатр",L663*Законод!$C$9/4*Законод!$J$16,IF(B652="Лікар-терапевт",L663*Законод!$C$9/4*Законод!$J$16,0)))</f>
        <v>0</v>
      </c>
      <c r="AO663" s="216">
        <f ca="1">IF(B652="Лікар загальної практики - сімейний лікар",S663*Законод!$C$9/4*Законод!$J$16,IF(B652="Лікар-педіатр",S663*Законод!$C$9/4*Законод!$J$16,IF(B652="Лікар-терапевт",S663*Законод!$C$9/4*Законод!$J$16,0)))</f>
        <v>0</v>
      </c>
      <c r="AP663" s="216">
        <f ca="1">IF(B652="Лікар загальної практики - сімейний лікар",S663*Законод!$C$9/4*Законод!$J$16,IF(B652="Лікар-педіатр",S663*Законод!$C$9/4*Законод!$J$16,IF(B652="Лікар-терапевт",S663*Законод!$C$9/4*Законод!$J$16,0)))</f>
        <v>0</v>
      </c>
      <c r="AQ663" s="216">
        <f ca="1">IF(B652="Лікар загальної практики - сімейний лікар",AG663*Законод!$C$9/4*Законод!$J$16,IF(B652="Лікар-педіатр",AG663*Законод!$C$9/4*Законод!$J$16,IF(B652="Лікар-терапевт",AG663*Законод!$C$9/4*Законод!$J$16,0)))</f>
        <v>0</v>
      </c>
      <c r="AR663" s="217">
        <f t="shared" si="90"/>
        <v>0</v>
      </c>
    </row>
    <row r="664" spans="1:44" s="247" customFormat="1" ht="23.45" hidden="1" customHeight="1" thickBot="1">
      <c r="A664" s="243"/>
      <c r="B664" s="244"/>
      <c r="C664" s="244"/>
      <c r="D664" s="244"/>
      <c r="E664" s="244"/>
      <c r="F664" s="245"/>
      <c r="G664" s="246"/>
      <c r="H664" s="246"/>
      <c r="L664" s="248"/>
      <c r="S664" s="248"/>
      <c r="Z664" s="248"/>
      <c r="AG664" s="248"/>
      <c r="AM664" s="249"/>
      <c r="AR664" s="250"/>
    </row>
    <row r="665" spans="1:44" s="191" customFormat="1" ht="24.6" hidden="1" customHeight="1">
      <c r="A665" s="194">
        <f>A652+1</f>
        <v>49</v>
      </c>
      <c r="B665" s="950"/>
      <c r="C665" s="953"/>
      <c r="D665" s="956"/>
      <c r="E665" s="938"/>
      <c r="F665" s="234" t="s">
        <v>659</v>
      </c>
      <c r="G665" s="196">
        <f>IF($B$665="Лікар-педіатр",G668*L665,IF($B$665="Лікар-терапевт","х",IF($B$665="Лікар загальної практики - сімейний лікар",G668*L665,0)))</f>
        <v>0</v>
      </c>
      <c r="H665" s="196">
        <f>IF($B$665="Лікар-педіатр",H668*L665,IF($B$665="Лікар-терапевт","х",IF($B$665="Лікар загальної практики - сімейний лікар",H668*L665,0)))</f>
        <v>0</v>
      </c>
      <c r="I665" s="196">
        <f>IF($B$665="Лікар-педіатр","x",IF($B$665="Лікар-терапевт",I668*L665,IF($B$665="Лікар загальної практики - сімейний лікар",I668*L665,0)))</f>
        <v>0</v>
      </c>
      <c r="J665" s="196">
        <f>IF($B$665="Лікар-педіатр","x",IF($B$665="Лікар-терапевт",J668*L665,IF($B$665="Лікар загальної практики - сімейний лікар",J668*L665,0)))</f>
        <v>0</v>
      </c>
      <c r="K665" s="196">
        <f>IF($B$665="Лікар-педіатр","x",IF($B$665="Лікар-терапевт",K668*L665,IF($B$665="Лікар загальної практики - сімейний лікар",K668*L665,0)))</f>
        <v>0</v>
      </c>
      <c r="L665" s="557"/>
      <c r="M665" s="941"/>
      <c r="N665" s="196">
        <f>IF($B$665="Лікар-педіатр",N668*S665,IF($B$665="Лікар-терапевт","х",IF($B$665="Лікар загальної практики - сімейний лікар",N668*S665,0)))</f>
        <v>0</v>
      </c>
      <c r="O665" s="196">
        <f>IF($B$665="Лікар-педіатр",O668*S665,IF($B$665="Лікар-терапевт","х",IF($B$665="Лікар загальної практики - сімейний лікар",O668*S665,0)))</f>
        <v>0</v>
      </c>
      <c r="P665" s="196">
        <f>IF($B$665="Лікар-педіатр","x",IF($B$665="Лікар-терапевт",P668*S665,IF($B$665="Лікар загальної практики - сімейний лікар",P668*S665,0)))</f>
        <v>0</v>
      </c>
      <c r="Q665" s="196">
        <f>IF($B$665="Лікар-педіатр","x",IF($B$665="Лікар-терапевт",Q668*S665,IF($B$665="Лікар загальної практики - сімейний лікар",Q668*S665,0)))</f>
        <v>0</v>
      </c>
      <c r="R665" s="196">
        <f>IF($B$665="Лікар-педіатр","x",IF($B$665="Лікар-терапевт",R668*S665,IF($B$665="Лікар загальної практики - сімейний лікар",R668*S665,0)))</f>
        <v>0</v>
      </c>
      <c r="S665" s="557"/>
      <c r="T665" s="941"/>
      <c r="U665" s="196">
        <f>IF($B$665="Лікар-педіатр",U668*Z665,IF($B$665="Лікар-терапевт","х",IF($B$665="Лікар загальної практики - сімейний лікар",U668*Z665,0)))</f>
        <v>0</v>
      </c>
      <c r="V665" s="196">
        <f>IF($B$665="Лікар-педіатр",V668*Z665,IF($B$665="Лікар-терапевт","х",IF($B$665="Лікар загальної практики - сімейний лікар",V668*Z665,0)))</f>
        <v>0</v>
      </c>
      <c r="W665" s="196">
        <f>IF($B$665="Лікар-педіатр","x",IF($B$665="Лікар-терапевт",W668*Z665,IF($B$665="Лікар загальної практики - сімейний лікар",W668*Z665,0)))</f>
        <v>0</v>
      </c>
      <c r="X665" s="196">
        <f>IF($B$665="Лікар-педіатр","x",IF($B$665="Лікар-терапевт",X668*Z665,IF($B$665="Лікар загальної практики - сімейний лікар",X668*Z665,0)))</f>
        <v>0</v>
      </c>
      <c r="Y665" s="196">
        <f>IF($B$665="Лікар-педіатр","x",IF($B$665="Лікар-терапевт",Y668*Z665,IF($B$665="Лікар загальної практики - сімейний лікар",Y668*Z665,0)))</f>
        <v>0</v>
      </c>
      <c r="Z665" s="557"/>
      <c r="AA665" s="941"/>
      <c r="AB665" s="196">
        <f>IF($B$665="Лікар-педіатр",AB668*AG665,IF($B$665="Лікар-терапевт","х",IF($B$665="Лікар загальної практики - сімейний лікар",AB668*AG665,0)))</f>
        <v>0</v>
      </c>
      <c r="AC665" s="196">
        <f>IF($B$665="Лікар-педіатр",AC668*AG665,IF($B$665="Лікар-терапевт","х",IF($B$665="Лікар загальної практики - сімейний лікар",AC668*AG665,0)))</f>
        <v>0</v>
      </c>
      <c r="AD665" s="196">
        <f>IF($B$665="Лікар-педіатр","x",IF($B$665="Лікар-терапевт",AD668*AG665,IF($B$665="Лікар загальної практики - сімейний лікар",AD668*AG665,0)))</f>
        <v>0</v>
      </c>
      <c r="AE665" s="196">
        <f>IF($B$665="Лікар-педіатр","x",IF($B$665="Лікар-терапевт",AE668*AG665,IF($B$665="Лікар загальної практики - сімейний лікар",AE668*AG665,0)))</f>
        <v>0</v>
      </c>
      <c r="AF665" s="196">
        <f>IF($B$665="Лікар-педіатр","x",IF($B$665="Лікар-терапевт",AF668*AG665,IF($B$665="Лікар загальної практики - сімейний лікар",AF668*AG665,0)))</f>
        <v>0</v>
      </c>
      <c r="AG665" s="557"/>
      <c r="AH665" s="941"/>
      <c r="AI665" s="540">
        <f>A665</f>
        <v>49</v>
      </c>
      <c r="AJ665" s="944">
        <f>B665</f>
        <v>0</v>
      </c>
      <c r="AK665" s="959">
        <f>C665</f>
        <v>0</v>
      </c>
      <c r="AL665" s="959">
        <f>D665</f>
        <v>0</v>
      </c>
      <c r="AM665" s="929" t="s">
        <v>79</v>
      </c>
      <c r="AN665" s="947">
        <f>SUM(AN670:AN676)</f>
        <v>0</v>
      </c>
      <c r="AO665" s="947">
        <f>SUM(AO670:AO676)</f>
        <v>0</v>
      </c>
      <c r="AP665" s="947">
        <f>SUM(AP670:AP676)</f>
        <v>0</v>
      </c>
      <c r="AQ665" s="947">
        <f>SUM(AQ670:AQ676)</f>
        <v>0</v>
      </c>
      <c r="AR665" s="962">
        <f>SUM(AN665:AQ669)</f>
        <v>0</v>
      </c>
    </row>
    <row r="666" spans="1:44" s="50" customFormat="1" ht="28.15" hidden="1" customHeight="1">
      <c r="A666" s="197"/>
      <c r="B666" s="951"/>
      <c r="C666" s="954"/>
      <c r="D666" s="957"/>
      <c r="E666" s="939"/>
      <c r="F666" s="234" t="s">
        <v>660</v>
      </c>
      <c r="G666" s="196">
        <f>IF($B$665="Лікар-педіатр",G668*L666,IF($B$665="Лікар-терапевт","х",IF($B$665="Лікар загальної практики - сімейний лікар",G668*L666,0)))</f>
        <v>0</v>
      </c>
      <c r="H666" s="196">
        <f>IF($B$665="Лікар-педіатр",H668*L666,IF($B$665="Лікар-терапевт","х",IF($B$665="Лікар загальної практики - сімейний лікар",H668*L666,0)))</f>
        <v>0</v>
      </c>
      <c r="I666" s="196">
        <f>IF($B$665="Лікар-педіатр","x",IF($B$665="Лікар-терапевт",I668*L666,IF($B$665="Лікар загальної практики - сімейний лікар",I668*L666,0)))</f>
        <v>0</v>
      </c>
      <c r="J666" s="196">
        <f>IF($B$665="Лікар-педіатр","x",IF($B$665="Лікар-терапевт",J668*L666,IF($B$665="Лікар загальної практики - сімейний лікар",J668*L666,0)))</f>
        <v>0</v>
      </c>
      <c r="K666" s="196">
        <f>IF($B$665="Лікар-педіатр","x",IF($B$665="Лікар-терапевт",K668*L666,IF($B$665="Лікар загальної практики - сімейний лікар",K668*L666,0)))</f>
        <v>0</v>
      </c>
      <c r="L666" s="557"/>
      <c r="M666" s="942"/>
      <c r="N666" s="196">
        <f>IF($B$665="Лікар-педіатр",N668*S666,IF($B$665="Лікар-терапевт","х",IF($B$665="Лікар загальної практики - сімейний лікар",N668*S666,0)))</f>
        <v>0</v>
      </c>
      <c r="O666" s="196">
        <f>IF($B$665="Лікар-педіатр",O668*S666,IF($B$665="Лікар-терапевт","х",IF($B$665="Лікар загальної практики - сімейний лікар",O668*S666,0)))</f>
        <v>0</v>
      </c>
      <c r="P666" s="196">
        <f>IF($B$665="Лікар-педіатр","x",IF($B$665="Лікар-терапевт",P668*S666,IF($B$665="Лікар загальної практики - сімейний лікар",P668*S666,0)))</f>
        <v>0</v>
      </c>
      <c r="Q666" s="196">
        <f>IF($B$665="Лікар-педіатр","x",IF($B$665="Лікар-терапевт",Q668*S666,IF($B$665="Лікар загальної практики - сімейний лікар",Q668*S666,0)))</f>
        <v>0</v>
      </c>
      <c r="R666" s="196">
        <f>IF($B$665="Лікар-педіатр","x",IF($B$665="Лікар-терапевт",R668*S666,IF($B$665="Лікар загальної практики - сімейний лікар",R668*S666,0)))</f>
        <v>0</v>
      </c>
      <c r="S666" s="557"/>
      <c r="T666" s="942"/>
      <c r="U666" s="196">
        <f>IF($B$665="Лікар-педіатр",U668*Z666,IF($B$665="Лікар-терапевт","х",IF($B$665="Лікар загальної практики - сімейний лікар",U668*Z666,0)))</f>
        <v>0</v>
      </c>
      <c r="V666" s="196">
        <f>IF($B$665="Лікар-педіатр",V668*Z666,IF($B$665="Лікар-терапевт","х",IF($B$665="Лікар загальної практики - сімейний лікар",V668*Z666,0)))</f>
        <v>0</v>
      </c>
      <c r="W666" s="196">
        <f>IF($B$665="Лікар-педіатр","x",IF($B$665="Лікар-терапевт",W668*Z666,IF($B$665="Лікар загальної практики - сімейний лікар",W668*Z666,0)))</f>
        <v>0</v>
      </c>
      <c r="X666" s="196">
        <f>IF($B$665="Лікар-педіатр","x",IF($B$665="Лікар-терапевт",X668*Z666,IF($B$665="Лікар загальної практики - сімейний лікар",X668*Z666,0)))</f>
        <v>0</v>
      </c>
      <c r="Y666" s="196">
        <f>IF($B$665="Лікар-педіатр","x",IF($B$665="Лікар-терапевт",Y668*Z666,IF($B$665="Лікар загальної практики - сімейний лікар",Y668*Z666,0)))</f>
        <v>0</v>
      </c>
      <c r="Z666" s="557"/>
      <c r="AA666" s="942"/>
      <c r="AB666" s="196">
        <f>IF($B$665="Лікар-педіатр",AB668*AG666,IF($B$665="Лікар-терапевт","х",IF($B$665="Лікар загальної практики - сімейний лікар",AB668*AG666,0)))</f>
        <v>0</v>
      </c>
      <c r="AC666" s="196">
        <f>IF($B$665="Лікар-педіатр",AC668*AG666,IF($B$665="Лікар-терапевт","х",IF($B$665="Лікар загальної практики - сімейний лікар",AC668*AG666,0)))</f>
        <v>0</v>
      </c>
      <c r="AD666" s="196">
        <f>IF($B$665="Лікар-педіатр","x",IF($B$665="Лікар-терапевт",AD668*AG666,IF($B$665="Лікар загальної практики - сімейний лікар",AD668*AG666,0)))</f>
        <v>0</v>
      </c>
      <c r="AE666" s="196">
        <f>IF($B$665="Лікар-педіатр","x",IF($B$665="Лікар-терапевт",AE668*AG666,IF($B$665="Лікар загальної практики - сімейний лікар",AE668*AG666,0)))</f>
        <v>0</v>
      </c>
      <c r="AF666" s="196">
        <f>IF($B$665="Лікар-педіатр","x",IF($B$665="Лікар-терапевт",AF668*AG666,IF($B$665="Лікар загальної практики - сімейний лікар",AF668*AG666,0)))</f>
        <v>0</v>
      </c>
      <c r="AG666" s="557"/>
      <c r="AH666" s="942"/>
      <c r="AI666" s="198"/>
      <c r="AJ666" s="945"/>
      <c r="AK666" s="960"/>
      <c r="AL666" s="960"/>
      <c r="AM666" s="930"/>
      <c r="AN666" s="948"/>
      <c r="AO666" s="948"/>
      <c r="AP666" s="948"/>
      <c r="AQ666" s="948"/>
      <c r="AR666" s="963"/>
    </row>
    <row r="667" spans="1:44" s="90" customFormat="1" ht="31.15" hidden="1" customHeight="1">
      <c r="A667" s="240"/>
      <c r="B667" s="951"/>
      <c r="C667" s="954"/>
      <c r="D667" s="957"/>
      <c r="E667" s="939"/>
      <c r="F667" s="241" t="s">
        <v>661</v>
      </c>
      <c r="G667" s="199">
        <f>IF(B665="Лікар загальної практики - сімейний лікар"," ",IF(B665="Лікар-педіатр"," ",IF(B665="Лікар-терапевт","х",0)))</f>
        <v>0</v>
      </c>
      <c r="H667" s="199">
        <f>IF(B665="Лікар загальної практики - сімейний лікар"," ",IF(B665="Лікар-педіатр"," ",IF(B665="Лікар-терапевт","х",0)))</f>
        <v>0</v>
      </c>
      <c r="I667" s="199">
        <f>IF(B665="Лікар загальної практики - сімейний лікар"," ",IF(B665="Лікар-педіатр","х",IF(B665="Лікар-терапевт"," ",0)))</f>
        <v>0</v>
      </c>
      <c r="J667" s="199">
        <f>IF(B665="Лікар загальної практики - сімейний лікар"," ",IF(B665="Лікар-педіатр","х",IF(B665="Лікар-терапевт"," ",0)))</f>
        <v>0</v>
      </c>
      <c r="K667" s="199">
        <f>IF(B665="Лікар загальної практики - сімейний лікар"," ",IF(B665="Лікар-педіатр","х",IF(B665="Лікар-терапевт"," ",0)))</f>
        <v>0</v>
      </c>
      <c r="L667" s="200">
        <f>SUM(G667:K667)</f>
        <v>0</v>
      </c>
      <c r="M667" s="942"/>
      <c r="N667" s="199">
        <f>IF(B665="Лікар загальної практики - сімейний лікар"," ",IF(B665="Лікар-педіатр"," ",IF(B665="Лікар-терапевт","х",0)))</f>
        <v>0</v>
      </c>
      <c r="O667" s="199">
        <f>IF(B665="Лікар загальної практики - сімейний лікар"," ",IF(B665="Лікар-педіатр"," ",IF(B665="Лікар-терапевт","х",0)))</f>
        <v>0</v>
      </c>
      <c r="P667" s="199">
        <f>IF(B665="Лікар загальної практики - сімейний лікар"," ",IF(B665="Лікар-педіатр","х",IF(B665="Лікар-терапевт"," ",0)))</f>
        <v>0</v>
      </c>
      <c r="Q667" s="199">
        <f>IF(B665="Лікар загальної практики - сімейний лікар"," ",IF(B665="Лікар-педіатр","х",IF(B665="Лікар-терапевт"," ",0)))</f>
        <v>0</v>
      </c>
      <c r="R667" s="199">
        <f>IF(B665="Лікар загальної практики - сімейний лікар"," ",IF(B665="Лікар-педіатр","х",IF(B665="Лікар-терапевт"," ",0)))</f>
        <v>0</v>
      </c>
      <c r="S667" s="200">
        <f>SUM(N667:R667)</f>
        <v>0</v>
      </c>
      <c r="T667" s="942"/>
      <c r="U667" s="199">
        <f>IF(B665="Лікар загальної практики - сімейний лікар"," ",IF(B665="Лікар-педіатр"," ",IF(B665="Лікар-терапевт","х",0)))</f>
        <v>0</v>
      </c>
      <c r="V667" s="199">
        <f>IF(B665="Лікар загальної практики - сімейний лікар"," ",IF(B665="Лікар-педіатр"," ",IF(B665="Лікар-терапевт","х",0)))</f>
        <v>0</v>
      </c>
      <c r="W667" s="199">
        <f>IF(B665="Лікар загальної практики - сімейний лікар"," ",IF(B665="Лікар-педіатр","х",IF(B665="Лікар-терапевт"," ",0)))</f>
        <v>0</v>
      </c>
      <c r="X667" s="199">
        <f>IF(B665="Лікар загальної практики - сімейний лікар"," ",IF(B665="Лікар-педіатр","х",IF(B665="Лікар-терапевт"," ",0)))</f>
        <v>0</v>
      </c>
      <c r="Y667" s="199">
        <f>IF(B665="Лікар загальної практики - сімейний лікар"," ",IF(B665="Лікар-педіатр","х",IF(B665="Лікар-терапевт"," ",0)))</f>
        <v>0</v>
      </c>
      <c r="Z667" s="200">
        <f>SUM(U667:Y667)</f>
        <v>0</v>
      </c>
      <c r="AA667" s="942"/>
      <c r="AB667" s="199">
        <f>IF(B665="Лікар загальної практики - сімейний лікар"," ",IF(B665="Лікар-педіатр"," ",IF(B665="Лікар-терапевт","х",0)))</f>
        <v>0</v>
      </c>
      <c r="AC667" s="199">
        <f>IF(B665="Лікар загальної практики - сімейний лікар"," ",IF(B665="Лікар-педіатр"," ",IF(B665="Лікар-терапевт","х",0)))</f>
        <v>0</v>
      </c>
      <c r="AD667" s="199">
        <f>IF(B665="Лікар загальної практики - сімейний лікар"," ",IF(B665="Лікар-педіатр","х",IF(B665="Лікар-терапевт"," ",0)))</f>
        <v>0</v>
      </c>
      <c r="AE667" s="199">
        <f>IF(B665="Лікар загальної практики - сімейний лікар"," ",IF(B665="Лікар-педіатр","х",IF(B665="Лікар-терапевт"," ",0)))</f>
        <v>0</v>
      </c>
      <c r="AF667" s="199">
        <f>IF(B665="Лікар загальної практики - сімейний лікар"," ",IF(B665="Лікар-педіатр","х",IF(B665="Лікар-терапевт"," ",0)))</f>
        <v>0</v>
      </c>
      <c r="AG667" s="200">
        <f>SUM(AB667:AF667)</f>
        <v>0</v>
      </c>
      <c r="AH667" s="942"/>
      <c r="AI667" s="242"/>
      <c r="AJ667" s="945"/>
      <c r="AK667" s="960"/>
      <c r="AL667" s="960"/>
      <c r="AM667" s="930"/>
      <c r="AN667" s="948"/>
      <c r="AO667" s="948"/>
      <c r="AP667" s="948"/>
      <c r="AQ667" s="948"/>
      <c r="AR667" s="963"/>
    </row>
    <row r="668" spans="1:44" s="50" customFormat="1" ht="31.9" hidden="1" customHeight="1" thickBot="1">
      <c r="A668" s="197"/>
      <c r="B668" s="951"/>
      <c r="C668" s="954"/>
      <c r="D668" s="957"/>
      <c r="E668" s="939"/>
      <c r="F668" s="236" t="s">
        <v>426</v>
      </c>
      <c r="G668" s="203">
        <f>IF($B$665="Лікар-педіатр",G667/L667,IF($B$665="Лікар-терапевт","х",IF($B$665="Лікар загальної практики - сімейний лікар",G667/L667,0)))</f>
        <v>0</v>
      </c>
      <c r="H668" s="203">
        <f>IF($B$665="Лікар-педіатр",H667/L667,IF($B$665="Лікар-терапевт","х",IF($B$665="Лікар загальної практики - сімейний лікар",H667/L667,0)))</f>
        <v>0</v>
      </c>
      <c r="I668" s="203">
        <f>IF($B$665="Лікар-педіатр","x",IF($B$665="Лікар-терапевт",I667/L667,IF($B$665="Лікар загальної практики - сімейний лікар",I667/L667,0)))</f>
        <v>0</v>
      </c>
      <c r="J668" s="203">
        <f>IF($B$665="Лікар-педіатр","x",IF($B$665="Лікар-терапевт",J667/L667,IF($B$665="Лікар загальної практики - сімейний лікар",J667/L667,0)))</f>
        <v>0</v>
      </c>
      <c r="K668" s="203">
        <f>IF($B$665="Лікар-педіатр","x",IF($B$665="Лікар-терапевт",K667/L667,IF($B$665="Лікар загальної практики - сімейний лікар",K667/L667,0)))</f>
        <v>0</v>
      </c>
      <c r="L668" s="203">
        <f>SUM(G668:K668)</f>
        <v>0</v>
      </c>
      <c r="M668" s="942"/>
      <c r="N668" s="203">
        <f>IF($B$665="Лікар-педіатр",N667/S667,IF($B$665="Лікар-терапевт","х",IF($B$665="Лікар загальної практики - сімейний лікар",N667/S667,0)))</f>
        <v>0</v>
      </c>
      <c r="O668" s="203">
        <f>IF($B$665="Лікар-педіатр",O667/S667,IF($B$665="Лікар-терапевт","х",IF($B$665="Лікар загальної практики - сімейний лікар",O667/S667,0)))</f>
        <v>0</v>
      </c>
      <c r="P668" s="203">
        <f>IF($B$665="Лікар-педіатр","x",IF($B$665="Лікар-терапевт",P667/S667,IF($B$665="Лікар загальної практики - сімейний лікар",P667/S667,0)))</f>
        <v>0</v>
      </c>
      <c r="Q668" s="203">
        <f>IF($B$665="Лікар-педіатр","x",IF($B$665="Лікар-терапевт",Q667/S667,IF($B$665="Лікар загальної практики - сімейний лікар",Q667/S667,0)))</f>
        <v>0</v>
      </c>
      <c r="R668" s="203">
        <f>IF($B$665="Лікар-педіатр","x",IF($B$665="Лікар-терапевт",R667/S667,IF($B$665="Лікар загальної практики - сімейний лікар",R667/S667,0)))</f>
        <v>0</v>
      </c>
      <c r="S668" s="203">
        <f>SUM(N668:R668)</f>
        <v>0</v>
      </c>
      <c r="T668" s="942"/>
      <c r="U668" s="203">
        <f>IF($B$665="Лікар-педіатр",U667/Z667,IF($B$665="Лікар-терапевт","х",IF($B$665="Лікар загальної практики - сімейний лікар",U667/Z667,0)))</f>
        <v>0</v>
      </c>
      <c r="V668" s="203">
        <f>IF($B$665="Лікар-педіатр",V667/Z667,IF($B$665="Лікар-терапевт","х",IF($B$665="Лікар загальної практики - сімейний лікар",V667/Z667,0)))</f>
        <v>0</v>
      </c>
      <c r="W668" s="203">
        <f>IF($B$665="Лікар-педіатр","x",IF($B$665="Лікар-терапевт",W667/Z667,IF($B$665="Лікар загальної практики - сімейний лікар",W667/Z667,0)))</f>
        <v>0</v>
      </c>
      <c r="X668" s="203">
        <f>IF($B$665="Лікар-педіатр","x",IF($B$665="Лікар-терапевт",X667/Z667,IF($B$665="Лікар загальної практики - сімейний лікар",X667/Z667,0)))</f>
        <v>0</v>
      </c>
      <c r="Y668" s="203">
        <f>IF($B$665="Лікар-педіатр","x",IF($B$665="Лікар-терапевт",Y667/Z667,IF($B$665="Лікар загальної практики - сімейний лікар",Y667/Z667,0)))</f>
        <v>0</v>
      </c>
      <c r="Z668" s="203">
        <f>SUM(U668:Y668)</f>
        <v>0</v>
      </c>
      <c r="AA668" s="942"/>
      <c r="AB668" s="203">
        <f>IF($B$665="Лікар-педіатр",AB667/AG667,IF($B$665="Лікар-терапевт","х",IF($B$665="Лікар загальної практики - сімейний лікар",AB667/AG667,0)))</f>
        <v>0</v>
      </c>
      <c r="AC668" s="203">
        <f>IF($B$665="Лікар-педіатр",AC667/AG667,IF($B$665="Лікар-терапевт","х",IF($B$665="Лікар загальної практики - сімейний лікар",AC667/AG667,0)))</f>
        <v>0</v>
      </c>
      <c r="AD668" s="203">
        <f>IF($B$665="Лікар-педіатр","x",IF($B$665="Лікар-терапевт",AD667/AG667,IF($B$665="Лікар загальної практики - сімейний лікар",AD667/AG667,0)))</f>
        <v>0</v>
      </c>
      <c r="AE668" s="203">
        <f>IF($B$665="Лікар-педіатр","x",IF($B$665="Лікар-терапевт",AE667/AG667,IF($B$665="Лікар загальної практики - сімейний лікар",AE667/AG667,0)))</f>
        <v>0</v>
      </c>
      <c r="AF668" s="203">
        <f>IF($B$665="Лікар-педіатр","x",IF($B$665="Лікар-терапевт",AF667/AG667,IF($B$665="Лікар загальної практики - сімейний лікар",AF667/AG667,0)))</f>
        <v>0</v>
      </c>
      <c r="AG668" s="203">
        <f>SUM(AB668:AF668)</f>
        <v>0</v>
      </c>
      <c r="AH668" s="942"/>
      <c r="AI668" s="201"/>
      <c r="AJ668" s="945"/>
      <c r="AK668" s="960"/>
      <c r="AL668" s="960"/>
      <c r="AM668" s="930"/>
      <c r="AN668" s="948"/>
      <c r="AO668" s="948"/>
      <c r="AP668" s="948"/>
      <c r="AQ668" s="948"/>
      <c r="AR668" s="963"/>
    </row>
    <row r="669" spans="1:44" s="50" customFormat="1" ht="45" hidden="1" customHeight="1" thickBot="1">
      <c r="A669" s="197"/>
      <c r="B669" s="951"/>
      <c r="C669" s="954"/>
      <c r="D669" s="957"/>
      <c r="E669" s="939"/>
      <c r="F669" s="204" t="s">
        <v>662</v>
      </c>
      <c r="G669" s="205">
        <f>IF($B$665="Лікар загальної практики - сімейний лікар",AVERAGE(G665:G667),IF($B$665="Лікар-педіатр",AVERAGE(G665:G667),IF($B$665="Лікар-терапевт","х",0)))</f>
        <v>0</v>
      </c>
      <c r="H669" s="205">
        <f>IF($B$665="Лікар загальної практики - сімейний лікар",AVERAGE(H665:H667),IF($B$665="Лікар-педіатр",AVERAGE(H665:H667),IF($B$665="Лікар-терапевт","х",0)))</f>
        <v>0</v>
      </c>
      <c r="I669" s="205">
        <f>IF($B$665="Лікар загальної практики - сімейний лікар",AVERAGE(I665:I667),IF($B$665="Лікар-педіатр","x",IF($B$665="Лікар-терапевт",AVERAGE(I665:I667),0)))</f>
        <v>0</v>
      </c>
      <c r="J669" s="205">
        <f>IF($B$665="Лікар загальної практики - сімейний лікар",AVERAGE(J665:J667),IF($B$665="Лікар-педіатр","x",IF($B$665="Лікар-терапевт",AVERAGE(J665:J667),0)))</f>
        <v>0</v>
      </c>
      <c r="K669" s="205">
        <f>IF($B$665="Лікар загальної практики - сімейний лікар",AVERAGE(K665:K667),IF($B$665="Лікар-педіатр","x",IF($B$665="Лікар-терапевт",AVERAGE(K665:K667),0)))</f>
        <v>0</v>
      </c>
      <c r="L669" s="206">
        <f>SUM(G669:K669)</f>
        <v>0</v>
      </c>
      <c r="M669" s="942"/>
      <c r="N669" s="205">
        <f>IF($B$665="Лікар загальної практики - сімейний лікар",AVERAGE(N665:N667),IF($B$665="Лікар-педіатр",AVERAGE(N665:N667),IF($B$665="Лікар-терапевт","х",0)))</f>
        <v>0</v>
      </c>
      <c r="O669" s="205">
        <f>IF($B$665="Лікар загальної практики - сімейний лікар",AVERAGE(O665:O667),IF($B$665="Лікар-педіатр",AVERAGE(O665:O667),IF($B$665="Лікар-терапевт","х",0)))</f>
        <v>0</v>
      </c>
      <c r="P669" s="205">
        <f>IF($B$665="Лікар загальної практики - сімейний лікар",AVERAGE(P665:P667),IF($B$665="Лікар-педіатр","x",IF($B$665="Лікар-терапевт",AVERAGE(P665:P667),0)))</f>
        <v>0</v>
      </c>
      <c r="Q669" s="205">
        <f>IF($B$665="Лікар загальної практики - сімейний лікар",AVERAGE(Q665:Q667),IF($B$665="Лікар-педіатр","x",IF($B$665="Лікар-терапевт",AVERAGE(Q665:Q667),0)))</f>
        <v>0</v>
      </c>
      <c r="R669" s="205">
        <f>IF($B$665="Лікар загальної практики - сімейний лікар",AVERAGE(R665:R667),IF($B$665="Лікар-педіатр","x",IF($B$665="Лікар-терапевт",AVERAGE(R665:R667),0)))</f>
        <v>0</v>
      </c>
      <c r="S669" s="206">
        <f>SUM(N669:R669)</f>
        <v>0</v>
      </c>
      <c r="T669" s="942"/>
      <c r="U669" s="205">
        <f>IF($B$665="Лікар загальної практики - сімейний лікар",AVERAGE(U665:U667),IF($B$665="Лікар-педіатр",AVERAGE(U665:U667),IF($B$665="Лікар-терапевт","х",0)))</f>
        <v>0</v>
      </c>
      <c r="V669" s="205">
        <f>IF($B$665="Лікар загальної практики - сімейний лікар",AVERAGE(V665:V667),IF($B$665="Лікар-педіатр",AVERAGE(V665:V667),IF($B$665="Лікар-терапевт","х",0)))</f>
        <v>0</v>
      </c>
      <c r="W669" s="205">
        <f>IF($B$665="Лікар загальної практики - сімейний лікар",AVERAGE(W665:W667),IF($B$665="Лікар-педіатр","x",IF($B$665="Лікар-терапевт",AVERAGE(W665:W667),0)))</f>
        <v>0</v>
      </c>
      <c r="X669" s="205">
        <f>IF($B$665="Лікар загальної практики - сімейний лікар",AVERAGE(X665:X667),IF($B$665="Лікар-педіатр","x",IF($B$665="Лікар-терапевт",AVERAGE(X665:X667),0)))</f>
        <v>0</v>
      </c>
      <c r="Y669" s="205">
        <f>IF($B$665="Лікар загальної практики - сімейний лікар",AVERAGE(Y665:Y667),IF($B$665="Лікар-педіатр","x",IF($B$665="Лікар-терапевт",AVERAGE(Y665:Y667),0)))</f>
        <v>0</v>
      </c>
      <c r="Z669" s="206">
        <f>SUM(U669:Y669)</f>
        <v>0</v>
      </c>
      <c r="AA669" s="942"/>
      <c r="AB669" s="205">
        <f>IF($B$665="Лікар загальної практики - сімейний лікар",AVERAGE(AB665:AB667),IF($B$665="Лікар-педіатр",AVERAGE(AB665:AB667),IF($B$665="Лікар-терапевт","х",0)))</f>
        <v>0</v>
      </c>
      <c r="AC669" s="205">
        <f>IF($B$665="Лікар загальної практики - сімейний лікар",AVERAGE(AC665:AC667),IF($B$665="Лікар-педіатр",AVERAGE(AC665:AC667),IF($B$665="Лікар-терапевт","х",0)))</f>
        <v>0</v>
      </c>
      <c r="AD669" s="205">
        <f>IF($B$665="Лікар загальної практики - сімейний лікар",AVERAGE(AD665:AD667),IF($B$665="Лікар-педіатр","x",IF($B$665="Лікар-терапевт",AVERAGE(AD665:AD667),0)))</f>
        <v>0</v>
      </c>
      <c r="AE669" s="205">
        <f>IF($B$665="Лікар загальної практики - сімейний лікар",AVERAGE(AE665:AE667),IF($B$665="Лікар-педіатр","x",IF($B$665="Лікар-терапевт",AVERAGE(AE665:AE667),0)))</f>
        <v>0</v>
      </c>
      <c r="AF669" s="205">
        <f>IF($B$665="Лікар загальної практики - сімейний лікар",AVERAGE(AF665:AF667),IF($B$665="Лікар-педіатр","x",IF($B$665="Лікар-терапевт",AVERAGE(AF665:AF667),0)))</f>
        <v>0</v>
      </c>
      <c r="AG669" s="206">
        <f>SUM(AB669:AF669)</f>
        <v>0</v>
      </c>
      <c r="AH669" s="942"/>
      <c r="AI669" s="201"/>
      <c r="AJ669" s="945"/>
      <c r="AK669" s="960"/>
      <c r="AL669" s="960"/>
      <c r="AM669" s="931"/>
      <c r="AN669" s="949"/>
      <c r="AO669" s="949"/>
      <c r="AP669" s="949"/>
      <c r="AQ669" s="949"/>
      <c r="AR669" s="964"/>
    </row>
    <row r="670" spans="1:44" s="50" customFormat="1" ht="40.5" hidden="1">
      <c r="A670" s="197"/>
      <c r="B670" s="951"/>
      <c r="C670" s="954"/>
      <c r="D670" s="957"/>
      <c r="E670" s="939"/>
      <c r="F670" s="237" t="str">
        <f ca="1">IF(B665="Лікар-педіатр",Законод!$C$17,IF(B665="Лікар загальної практики - сімейний лікар",Законод!$C$21,IF(B665="Лікар-терапевт",Законод!$C$25,"х")))</f>
        <v>х</v>
      </c>
      <c r="G670" s="208">
        <f ca="1">IF($B$665="Лікар загальної практики - сімейний лікар",IF(L669&lt;=Законод!$C$22,G669,Законод!$C$22*'01_Доходи'!G668),IF($B$665="Лікар-педіатр",IF(L669&lt;=Законод!$C$18,G669,Законод!$C$18*'01_Доходи'!G668),IF($B$665="Лікар-терапевт","x",0)))</f>
        <v>0</v>
      </c>
      <c r="H670" s="208">
        <f ca="1">IF($B$665="Лікар загальної практики - сімейний лікар",IF(L669&lt;=Законод!$C$22,H669,Законод!$C$22*'01_Доходи'!H668),IF($B$665="Лікар-педіатр",IF(L669&lt;=Законод!$C$18,H669,Законод!$C$18*'01_Доходи'!H668),IF($B$665="Лікар-терапевт","x",0)))</f>
        <v>0</v>
      </c>
      <c r="I670" s="208">
        <f ca="1">IF($B$665="Лікар загальної практики - сімейний лікар",IF(L669&lt;=Законод!$C$22,I669,Законод!$C$22*'01_Доходи'!I668),IF($B$665="Лікар-педіатр","x",IF($B$665="Лікар-терапевт",IF(L669&lt;=Законод!$C$26,I669,Законод!$C$26*'01_Доходи'!I668),0)))</f>
        <v>0</v>
      </c>
      <c r="J670" s="208">
        <f ca="1">IF($B$665="Лікар загальної практики - сімейний лікар",IF(L669&lt;=Законод!$C$22,J669,Законод!$C$22*'01_Доходи'!J668),IF($B$665="Лікар-педіатр","x",IF($B$665="Лікар-терапевт",IF(L669&lt;=Законод!$C$26,J669,Законод!$C$26*'01_Доходи'!J668),0)))</f>
        <v>0</v>
      </c>
      <c r="K670" s="208">
        <f ca="1">IF($B$665="Лікар загальної практики - сімейний лікар",IF(L669&lt;=Законод!$C$22,K669,Законод!$C$22*'01_Доходи'!K668),IF($B$665="Лікар-педіатр","x",IF($B$665="Лікар-терапевт",IF(L669&lt;=Законод!$C$26,K669,Законод!$C$26*'01_Доходи'!K668),0)))</f>
        <v>0</v>
      </c>
      <c r="L670" s="209">
        <f ca="1">SUM(G670:K670)</f>
        <v>0</v>
      </c>
      <c r="M670" s="942"/>
      <c r="N670" s="208">
        <f ca="1">IF($B$665="Лікар загальної практики - сімейний лікар",IF(S669&lt;=Законод!$C$22,N669,Законод!$C$22*'01_Доходи'!N668),IF($B$665="Лікар-педіатр",IF(S669&lt;=Законод!$C$18,N669,Законод!$C$18*'01_Доходи'!N668),IF($B$665="Лікар-терапевт","x",0)))</f>
        <v>0</v>
      </c>
      <c r="O670" s="208">
        <f ca="1">IF($B$665="Лікар загальної практики - сімейний лікар",IF(S669&lt;=Законод!$C$22,O669,Законод!$C$22*'01_Доходи'!O668),IF($B$665="Лікар-педіатр",IF(S669&lt;=Законод!$C$18,O669,Законод!$C$18*'01_Доходи'!O668),IF($B$665="Лікар-терапевт","x",0)))</f>
        <v>0</v>
      </c>
      <c r="P670" s="208">
        <f ca="1">IF($B$665="Лікар загальної практики - сімейний лікар",IF(S669&lt;=Законод!$C$22,P669,Законод!$C$22*'01_Доходи'!P668),IF($B$665="Лікар-педіатр","x",IF($B$665="Лікар-терапевт",IF(S669&lt;=Законод!$C$26,P669,Законод!$C$26*'01_Доходи'!P668),0)))</f>
        <v>0</v>
      </c>
      <c r="Q670" s="208">
        <f ca="1">IF($B$665="Лікар загальної практики - сімейний лікар",IF(S669&lt;=Законод!$C$22,Q669,Законод!$C$22*'01_Доходи'!Q668),IF($B$665="Лікар-педіатр","x",IF($B$665="Лікар-терапевт",IF(S669&lt;=Законод!$C$26,Q669,Законод!$C$26*'01_Доходи'!Q668),0)))</f>
        <v>0</v>
      </c>
      <c r="R670" s="208">
        <f ca="1">IF($B$665="Лікар загальної практики - сімейний лікар",IF(S669&lt;=Законод!$C$22,R669,Законод!$C$22*'01_Доходи'!R668),IF($B$665="Лікар-педіатр","x",IF($B$665="Лікар-терапевт",IF(S669&lt;=Законод!$C$26,R669,Законод!$C$26*'01_Доходи'!R668),0)))</f>
        <v>0</v>
      </c>
      <c r="S670" s="209">
        <f ca="1">SUM(N670:R670)</f>
        <v>0</v>
      </c>
      <c r="T670" s="942"/>
      <c r="U670" s="208">
        <f ca="1">IF($B$665="Лікар загальної практики - сімейний лікар",IF(Z669&lt;=Законод!$C$22,U669,Законод!$C$22*'01_Доходи'!U668),IF($B$665="Лікар-педіатр",IF(Z669&lt;=Законод!$C$18,U669,Законод!$C$18*'01_Доходи'!U668),IF($B$665="Лікар-терапевт","x",0)))</f>
        <v>0</v>
      </c>
      <c r="V670" s="208">
        <f ca="1">IF($B$665="Лікар загальної практики - сімейний лікар",IF(Z669&lt;=Законод!$C$22,V669,Законод!$C$22*'01_Доходи'!V668),IF($B$665="Лікар-педіатр",IF(Z669&lt;=Законод!$C$18,V669,Законод!$C$18*'01_Доходи'!V668),IF($B$665="Лікар-терапевт","x",0)))</f>
        <v>0</v>
      </c>
      <c r="W670" s="208">
        <f ca="1">IF($B$665="Лікар загальної практики - сімейний лікар",IF(Z669&lt;=Законод!$C$22,W669,Законод!$C$22*'01_Доходи'!W668),IF($B$665="Лікар-педіатр","x",IF($B$665="Лікар-терапевт",IF(Z669&lt;=Законод!$C$26,W669,Законод!$C$26*'01_Доходи'!W668),0)))</f>
        <v>0</v>
      </c>
      <c r="X670" s="208">
        <f ca="1">IF($B$665="Лікар загальної практики - сімейний лікар",IF(Z669&lt;=Законод!$C$22,X669,Законод!$C$22*'01_Доходи'!X668),IF($B$665="Лікар-педіатр","x",IF($B$665="Лікар-терапевт",IF(Z669&lt;=Законод!$C$26,X669,Законод!$C$26*'01_Доходи'!X668),0)))</f>
        <v>0</v>
      </c>
      <c r="Y670" s="208">
        <f ca="1">IF($B$665="Лікар загальної практики - сімейний лікар",IF(Z669&lt;=Законод!$C$22,Y669,Законод!$C$22*'01_Доходи'!Y668),IF($B$665="Лікар-педіатр","x",IF($B$665="Лікар-терапевт",IF(Z669&lt;=Законод!$C$26,Y669,Законод!$C$26*'01_Доходи'!Y668),0)))</f>
        <v>0</v>
      </c>
      <c r="Z670" s="209">
        <f ca="1">SUM(U670:Y670)</f>
        <v>0</v>
      </c>
      <c r="AA670" s="942"/>
      <c r="AB670" s="208">
        <f ca="1">IF($B$665="Лікар загальної практики - сімейний лікар",IF(AG669&lt;=Законод!$C$22,AB669,Законод!$C$22*'01_Доходи'!AB668),IF($B$665="Лікар-педіатр",IF(AG669&lt;=Законод!$C$18,AB669,Законод!$C$18*'01_Доходи'!AB668),IF($B$665="Лікар-терапевт","x",0)))</f>
        <v>0</v>
      </c>
      <c r="AC670" s="208">
        <f ca="1">IF($B$665="Лікар загальної практики - сімейний лікар",IF(AG669&lt;=Законод!$C$22,AC669,Законод!$C$22*'01_Доходи'!AC668),IF($B$665="Лікар-педіатр",IF(AG669&lt;=Законод!$C$18,AC669,Законод!$C$18*'01_Доходи'!AC668),IF($B$665="Лікар-терапевт","x",0)))</f>
        <v>0</v>
      </c>
      <c r="AD670" s="208">
        <f ca="1">IF($B$665="Лікар загальної практики - сімейний лікар",IF(AG669&lt;=Законод!$C$22,AD669,Законод!$C$22*'01_Доходи'!AD668),IF($B$665="Лікар-педіатр","x",IF($B$665="Лікар-терапевт",IF(AG669&lt;=Законод!$C$26,AD669,Законод!$C$26*'01_Доходи'!AD668),0)))</f>
        <v>0</v>
      </c>
      <c r="AE670" s="208">
        <f ca="1">IF($B$665="Лікар загальної практики - сімейний лікар",IF(AG669&lt;=Законод!$C$22,AE669,Законод!$C$22*'01_Доходи'!AE668),IF($B$665="Лікар-педіатр","x",IF($B$665="Лікар-терапевт",IF(AG669&lt;=Законод!$C$26,AE669,Законод!$C$26*'01_Доходи'!AE668),0)))</f>
        <v>0</v>
      </c>
      <c r="AF670" s="208">
        <f ca="1">IF($B$665="Лікар загальної практики - сімейний лікар",IF(AG669&lt;=Законод!$C$22,AF669,Законод!$C$22*'01_Доходи'!AF668),IF($B$665="Лікар-педіатр","x",IF($B$665="Лікар-терапевт",IF(AG669&lt;=Законод!$C$26,AF669,Законод!$C$26*'01_Доходи'!AF668),0)))</f>
        <v>0</v>
      </c>
      <c r="AG670" s="209">
        <f ca="1">SUM(AB670:AF670)</f>
        <v>0</v>
      </c>
      <c r="AH670" s="942"/>
      <c r="AI670" s="201"/>
      <c r="AJ670" s="945"/>
      <c r="AK670" s="960"/>
      <c r="AL670" s="960"/>
      <c r="AM670" s="348" t="s">
        <v>451</v>
      </c>
      <c r="AN670" s="210">
        <f ca="1">IF(B665="Лікар загальної практики - сімейний лікар",G670*Законод!$C$11+'01_Доходи'!H670*Законод!$D$11+'01_Доходи'!I670*Законод!$E$11+'01_Доходи'!J670*Законод!$F$11+'01_Доходи'!K670*Законод!$G$11,IF(B665="Лікар-педіатр",G670*Законод!$C$11+'01_Доходи'!H670*Законод!$D$11,IF(B665="Лікар-терапевт",'01_Доходи'!I670*Законод!$E$11+'01_Доходи'!J670*Законод!$F$11+'01_Доходи'!K670*Законод!$G$11,0)))</f>
        <v>0</v>
      </c>
      <c r="AO670" s="210">
        <f ca="1">IF(B665="Лікар загальної практики - сімейний лікар",N670*Законод!$C$11+'01_Доходи'!O670*Законод!$D$11+'01_Доходи'!P670*Законод!$E$11+'01_Доходи'!Q670*Законод!$F$11+'01_Доходи'!R670*Законод!$G$11,IF(B665="Лікар-педіатр",N670*Законод!$C$11+'01_Доходи'!O670*Законод!$D$11,IF(B665="Лікар-терапевт",'01_Доходи'!P670*Законод!$E$11+'01_Доходи'!Q670*Законод!$F$11+'01_Доходи'!R670*Законод!$G$11,0)))</f>
        <v>0</v>
      </c>
      <c r="AP670" s="210">
        <f ca="1">IF(B665="Лікар загальної практики - сімейний лікар",U670*Законод!$C$11+'01_Доходи'!V670*Законод!$D$11+'01_Доходи'!W670*Законод!$E$11+'01_Доходи'!X670*Законод!$F$11+'01_Доходи'!Y670*Законод!$G$11,IF(B665="Лікар-педіатр",U670*Законод!$C$11+'01_Доходи'!V670*Законод!$D$11,IF(B665="Лікар-терапевт",'01_Доходи'!W670*Законод!$E$11+'01_Доходи'!X670*Законод!$F$11+'01_Доходи'!Y670*Законод!$G$11,0)))</f>
        <v>0</v>
      </c>
      <c r="AQ670" s="210">
        <f ca="1">IF(B665="Лікар загальної практики - сімейний лікар",AB670*Законод!$C$11+'01_Доходи'!AC670*Законод!$D$11+'01_Доходи'!AD670*Законод!$E$11+'01_Доходи'!AE670*Законод!$F$11+'01_Доходи'!AF670*Законод!$G$11,IF(B665="Лікар-педіатр",AB670*Законод!$C$11+'01_Доходи'!AC670*Законод!$D$11,IF(B665="Лікар-терапевт",'01_Доходи'!AD670*Законод!$E$11+'01_Доходи'!AE670*Законод!$F$11+'01_Доходи'!AF670*Законод!$G$11,0)))</f>
        <v>0</v>
      </c>
      <c r="AR670" s="211">
        <f t="shared" ref="AR670:AR676" si="91">SUM(AN670:AQ670)</f>
        <v>0</v>
      </c>
    </row>
    <row r="671" spans="1:44" s="50" customFormat="1" ht="31.9" hidden="1" customHeight="1">
      <c r="A671" s="197"/>
      <c r="B671" s="951"/>
      <c r="C671" s="954"/>
      <c r="D671" s="957"/>
      <c r="E671" s="939"/>
      <c r="F671" s="238" t="str">
        <f ca="1">IF(B665="Лікар-педіатр",Законод!$E$17,IF(B665="Лікар загальної практики - сімейний лікар",Законод!$E$21,IF(B665="Лікар-терапевт",Законод!$E$25,"х")))</f>
        <v>х</v>
      </c>
      <c r="G671" s="935" t="s">
        <v>423</v>
      </c>
      <c r="H671" s="936"/>
      <c r="I671" s="936"/>
      <c r="J671" s="936"/>
      <c r="K671" s="937"/>
      <c r="L671" s="196">
        <f ca="1">IF($B$665="Лікар загальної практики - сімейний лікар",IF(L669&lt;Законод!$C$22,0,(IF(AND(L669&gt;=Законод!$E$22,L669&lt;=Законод!$E$23),L669-Законод!$C$22,IF('01_Доходи'!L669&gt;=Законод!$F$22,Законод!$E$24,0)))),IF($B$665="Лікар-педіатр",IF(L669&lt;Законод!$C$18,0,(IF(AND(L669&gt;=Законод!$E$18,L669&lt;=Законод!$E$19),L669-Законод!$C$18,IF('01_Доходи'!L669&gt;=Законод!$F$18,Законод!$E$20,0)))),IF($B$665="Лікар-терапевт",IF(L669&lt;Законод!$C$26,0,(IF(AND(L669&gt;=Законод!$E$26,L669&lt;=Законод!$E$27),L669-Законод!$C$26,IF('01_Доходи'!L669&gt;=Законод!$F$26,Законод!$E$28,0)))),0)))</f>
        <v>0</v>
      </c>
      <c r="M671" s="942"/>
      <c r="N671" s="935" t="s">
        <v>423</v>
      </c>
      <c r="O671" s="936"/>
      <c r="P671" s="936"/>
      <c r="Q671" s="936"/>
      <c r="R671" s="937"/>
      <c r="S671" s="196">
        <f ca="1">IF($B$665="Лікар загальної практики - сімейний лікар",IF(S669&lt;Законод!$C$22,0,(IF(AND(S669&gt;=Законод!$E$22,S669&lt;=Законод!$E$23),S669-Законод!$C$22,IF('01_Доходи'!S669&gt;=Законод!$F$22,Законод!$E$24,0)))),IF($B$665="Лікар-педіатр",IF(S669&lt;Законод!$C$18,0,(IF(AND(S669&gt;=Законод!$E$18,S669&lt;=Законод!$E$19),S669-Законод!$C$18,IF('01_Доходи'!S669&gt;=Законод!$F$18,Законод!$E$20,0)))),IF($B$665="Лікар-терапевт",IF(S669&lt;Законод!$C$26,0,(IF(AND(S669&gt;=Законод!$E$26,S669&lt;=Законод!$E$27),S669-Законод!$C$26,IF('01_Доходи'!S669&gt;=Законод!$F$26,Законод!$E$28,0)))),0)))</f>
        <v>0</v>
      </c>
      <c r="T671" s="942"/>
      <c r="U671" s="935" t="s">
        <v>423</v>
      </c>
      <c r="V671" s="936"/>
      <c r="W671" s="936"/>
      <c r="X671" s="936"/>
      <c r="Y671" s="937"/>
      <c r="Z671" s="196">
        <f ca="1">IF($B$665="Лікар загальної практики - сімейний лікар",IF(Z669&lt;Законод!$C$22,0,(IF(AND(Z669&gt;=Законод!$E$22,Z669&lt;=Законод!$E$23),Z669-Законод!$C$22,IF('01_Доходи'!Z669&gt;=Законод!$F$22,Законод!$E$24,0)))),IF($B$665="Лікар-педіатр",IF(Z669&lt;Законод!$C$18,0,(IF(AND(Z669&gt;=Законод!$E$18,Z669&lt;=Законод!$E$19),Z669-Законод!$C$18,IF('01_Доходи'!Z669&gt;=Законод!$F$18,Законод!$E$20,0)))),IF($B$665="Лікар-терапевт",IF(Z669&lt;Законод!$C$26,0,(IF(AND(Z669&gt;=Законод!$E$26,Z669&lt;=Законод!$E$27),Z669-Законод!$C$26,IF('01_Доходи'!Z669&gt;=Законод!$F$26,Законод!$E$28,0)))),0)))</f>
        <v>0</v>
      </c>
      <c r="AA671" s="942"/>
      <c r="AB671" s="935" t="s">
        <v>423</v>
      </c>
      <c r="AC671" s="936"/>
      <c r="AD671" s="936"/>
      <c r="AE671" s="936"/>
      <c r="AF671" s="937"/>
      <c r="AG671" s="196">
        <f ca="1">IF($B$665="Лікар загальної практики - сімейний лікар",IF(AG669&lt;Законод!$C$22,0,(IF(AND(AG669&gt;=Законод!$E$22,AG669&lt;=Законод!$E$23),AG669-Законод!$C$22,IF('01_Доходи'!AG669&gt;=Законод!$F$22,Законод!$E$24,0)))),IF($B$665="Лікар-педіатр",IF(AG669&lt;Законод!$C$18,0,(IF(AND(AG669&gt;=Законод!$E$18,AG669&lt;=Законод!$E$19),AG669-Законод!$C$18,IF('01_Доходи'!AG669&gt;=Законод!$F$18,Законод!$E$20,0)))),IF($B$665="Лікар-терапевт",IF(AG669&lt;Законод!$C$26,0,(IF(AND(AG669&gt;=Законод!$E$26,AG669&lt;=Законод!$E$27),AG669-Законод!$C$26,IF('01_Доходи'!AG669&gt;=Законод!$F$26,Законод!$E$28,0)))),0)))</f>
        <v>0</v>
      </c>
      <c r="AH671" s="942"/>
      <c r="AI671" s="201"/>
      <c r="AJ671" s="945"/>
      <c r="AK671" s="960"/>
      <c r="AL671" s="960"/>
      <c r="AM671" s="926" t="s">
        <v>452</v>
      </c>
      <c r="AN671" s="210">
        <f ca="1">IF(B665="Лікар загальної практики - сімейний лікар",L671*Законод!$C$9/4*Законод!$E$16,IF(B665="Лікар-педіатр",L671*Законод!$C$9/4*Законод!$E$16,IF(B665="Лікар-терапевт",L671*Законод!$C$9/4*Законод!$E$16,0)))</f>
        <v>0</v>
      </c>
      <c r="AO671" s="210">
        <f ca="1">IF(B665="Лікар загальної практики - сімейний лікар",S671*Законод!$C$9/4*Законод!$E$16,IF(B665="Лікар-педіатр",S671*Законод!$C$9/4*Законод!$E$16,IF(B665="Лікар-терапевт",S671*Законод!$C$9/4*Законод!$E$16,0)))</f>
        <v>0</v>
      </c>
      <c r="AP671" s="210">
        <f ca="1">IF(B665="Лікар загальної практики - сімейний лікар",Z671*Законод!$C$9/4*Законод!$E$16,IF(B665="Лікар-педіатр",Z671*Законод!$C$9/4*Законод!$E$16,IF(B665="Лікар-терапевт",Z671*Законод!$C$9/4*Законод!$E$16,0)))</f>
        <v>0</v>
      </c>
      <c r="AQ671" s="210">
        <f ca="1">IF(B665="Лікар загальної практики - сімейний лікар",AG671*Законод!$C$9/4*Законод!$E$16,IF(B665="Лікар-педіатр",AG671*Законод!$C$9/4*Законод!$E$16,IF(B665="Лікар-терапевт",AG671*Законод!$C$9/4*Законод!$E$16,0)))</f>
        <v>0</v>
      </c>
      <c r="AR671" s="211">
        <f t="shared" si="91"/>
        <v>0</v>
      </c>
    </row>
    <row r="672" spans="1:44" s="50" customFormat="1" ht="31.9" hidden="1" customHeight="1">
      <c r="A672" s="197"/>
      <c r="B672" s="951"/>
      <c r="C672" s="954"/>
      <c r="D672" s="957"/>
      <c r="E672" s="939"/>
      <c r="F672" s="238" t="str">
        <f ca="1">IF(B665="Лікар-педіатр",Законод!$F$17,IF(B665="Лікар загальної практики - сімейний лікар",Законод!$F$21,IF(B665="Лікар-терапевт",Законод!$F$25,"х")))</f>
        <v>х</v>
      </c>
      <c r="G672" s="935" t="s">
        <v>423</v>
      </c>
      <c r="H672" s="936"/>
      <c r="I672" s="936"/>
      <c r="J672" s="936"/>
      <c r="K672" s="937"/>
      <c r="L672" s="196">
        <f ca="1">IF($B$665="Лікар загальної практики - сімейний лікар",IF(L669&lt;Законод!$C$22,0,(IF(AND(L669&gt;=Законод!$F$22,L669&lt;=Законод!$F$23),L669-Законод!$E$23,IF('01_Доходи'!L669&gt;=Законод!$G$22,Законод!$F$24,0)))),IF($B$665="Лікар-педіатр",IF(L669&lt;Законод!$C$18,0,(IF(AND(L669&gt;=Законод!$F$18,L669&lt;=Законод!$F$19),L669-Законод!$E$19,IF('01_Доходи'!L669&gt;=Законод!$G$18,Законод!$F$20,0)))),IF($B$665="Лікар-терапевт",IF(L669&lt;Законод!$C$26,0,(IF(AND(L669&gt;=Законод!$F$26,L669&lt;=Законод!$F$27),L669-Законод!$E$27,IF('01_Доходи'!L669&gt;=Законод!$G$26,Законод!$F$28,0)))),0)))</f>
        <v>0</v>
      </c>
      <c r="M672" s="942"/>
      <c r="N672" s="935" t="s">
        <v>423</v>
      </c>
      <c r="O672" s="936"/>
      <c r="P672" s="936"/>
      <c r="Q672" s="936"/>
      <c r="R672" s="937"/>
      <c r="S672" s="196">
        <f ca="1">IF($B$665="Лікар загальної практики - сімейний лікар",IF(S669&lt;Законод!$C$22,0,(IF(AND(S669&gt;=Законод!$F$22,S669&lt;=Законод!$F$23),S669-Законод!$E$23,IF('01_Доходи'!S669&gt;=Законод!$G$22,Законод!$F$24,0)))),IF($B$665="Лікар-педіатр",IF(S669&lt;Законод!$C$18,0,(IF(AND(S669&gt;=Законод!$F$18,S669&lt;=Законод!$F$19),S669-Законод!$E$19,IF('01_Доходи'!S669&gt;=Законод!$G$18,Законод!$F$20,0)))),IF($B$665="Лікар-терапевт",IF(S669&lt;Законод!$C$26,0,(IF(AND(S669&gt;=Законод!$F$26,S669&lt;=Законод!$F$27),S669-Законод!$E$27,IF('01_Доходи'!S669&gt;=Законод!$G$26,Законод!$F$28,0)))),0)))</f>
        <v>0</v>
      </c>
      <c r="T672" s="942"/>
      <c r="U672" s="935" t="s">
        <v>423</v>
      </c>
      <c r="V672" s="936"/>
      <c r="W672" s="936"/>
      <c r="X672" s="936"/>
      <c r="Y672" s="937"/>
      <c r="Z672" s="196">
        <f ca="1">IF($B$665="Лікар загальної практики - сімейний лікар",IF(Z669&lt;Законод!$C$22,0,(IF(AND(Z669&gt;=Законод!$F$22,Z669&lt;=Законод!$F$23),Z669-Законод!$E$23,IF('01_Доходи'!Z669&gt;=Законод!$G$22,Законод!$F$24,0)))),IF($B$665="Лікар-педіатр",IF(Z669&lt;Законод!$C$18,0,(IF(AND(Z669&gt;=Законод!$F$18,Z669&lt;=Законод!$F$19),Z669-Законод!$E$19,IF('01_Доходи'!Z669&gt;=Законод!$G$18,Законод!$F$20,0)))),IF($B$665="Лікар-терапевт",IF(Z669&lt;Законод!$C$26,0,(IF(AND(Z669&gt;=Законод!$F$26,Z669&lt;=Законод!$F$27),Z669-Законод!$E$27,IF('01_Доходи'!Z669&gt;=Законод!$G$26,Законод!$F$28,0)))),0)))</f>
        <v>0</v>
      </c>
      <c r="AA672" s="942"/>
      <c r="AB672" s="935" t="s">
        <v>423</v>
      </c>
      <c r="AC672" s="936"/>
      <c r="AD672" s="936"/>
      <c r="AE672" s="936"/>
      <c r="AF672" s="937"/>
      <c r="AG672" s="196">
        <f ca="1">IF($B$665="Лікар загальної практики - сімейний лікар",IF(AG669&lt;Законод!$C$22,0,(IF(AND(AG669&gt;=Законод!$F$22,AG669&lt;=Законод!$F$23),AG669-Законод!$E$23,IF('01_Доходи'!AG669&gt;=Законод!$G$22,Законод!$F$24,0)))),IF($B$665="Лікар-педіатр",IF(AG669&lt;Законод!$C$18,0,(IF(AND(AG669&gt;=Законод!$F$18,AG669&lt;=Законод!$F$19),AG669-Законод!$E$19,IF('01_Доходи'!AG669&gt;=Законод!$G$18,Законод!$F$20,0)))),IF($B$665="Лікар-терапевт",IF(AG669&lt;Законод!$C$26,0,(IF(AND(AG669&gt;=Законод!$F$26,AG669&lt;=Законод!$F$27),AG669-Законод!$E$27,IF('01_Доходи'!AG669&gt;=Законод!$G$26,Законод!$F$28,0)))),0)))</f>
        <v>0</v>
      </c>
      <c r="AH672" s="942"/>
      <c r="AI672" s="201"/>
      <c r="AJ672" s="945"/>
      <c r="AK672" s="960"/>
      <c r="AL672" s="960"/>
      <c r="AM672" s="927"/>
      <c r="AN672" s="210">
        <f ca="1">IF(B665="Лікар загальної практики - сімейний лікар",L672*Законод!$C$9/4*Законод!$F$16,IF(B665="Лікар-педіатр",L672*Законод!$C$9/4*Законод!$F$16,IF(B665="Лікар-терапевт",L672*Законод!$C$9/4*Законод!$F$16,0)))</f>
        <v>0</v>
      </c>
      <c r="AO672" s="210">
        <f ca="1">IF(B665="Лікар загальної практики - сімейний лікар",S672*Законод!$C$9/4*Законод!$F$16,IF(B665="Лікар-педіатр",S672*Законод!$C$9/4*Законод!$F$16,IF(B665="Лікар-терапевт",S672*Законод!$C$9/4*Законод!$F$16,0)))</f>
        <v>0</v>
      </c>
      <c r="AP672" s="210">
        <f ca="1">IF(B665="Лікар загальної практики - сімейний лікар",Z672*Законод!$C$9/4*Законод!$F$16,IF(B665="Лікар-педіатр",Z672*Законод!$C$9/4*Законод!$F$16,IF(B665="Лікар-терапевт",Z672*Законод!$C$9/4*Законод!$F$16,0)))</f>
        <v>0</v>
      </c>
      <c r="AQ672" s="210">
        <f ca="1">IF(B665="Лікар загальної практики - сімейний лікар",AG672*Законод!$C$9/4*Законод!$F$16,IF(B665="Лікар-педіатр",AG672*Законод!$C$9/4*Законод!$F$16,IF(B665="Лікар-терапевт",AG672*Законод!$C$9/4*Законод!$F$16,0)))</f>
        <v>0</v>
      </c>
      <c r="AR672" s="211">
        <f t="shared" si="91"/>
        <v>0</v>
      </c>
    </row>
    <row r="673" spans="1:44" s="50" customFormat="1" ht="31.9" hidden="1" customHeight="1">
      <c r="A673" s="197"/>
      <c r="B673" s="951"/>
      <c r="C673" s="954"/>
      <c r="D673" s="957"/>
      <c r="E673" s="939"/>
      <c r="F673" s="238" t="str">
        <f ca="1">IF(B665="Лікар-педіатр",Законод!$G$17,IF(B665="Лікар загальної практики - сімейний лікар",Законод!$G$21,IF(B665="Лікар-терапевт",Законод!$G$25,"х")))</f>
        <v>х</v>
      </c>
      <c r="G673" s="935" t="s">
        <v>423</v>
      </c>
      <c r="H673" s="936"/>
      <c r="I673" s="936"/>
      <c r="J673" s="936"/>
      <c r="K673" s="937"/>
      <c r="L673" s="196">
        <f ca="1">IF($B$665="Лікар загальної практики - сімейний лікар",IF(L669&lt;Законод!$C$22,0,(IF(AND(L669&gt;=Законод!$G$22,L669&lt;=Законод!$G$23),L669-Законод!$F$23,IF('01_Доходи'!L669&gt;=Законод!$H$22,Законод!$G$24,0)))),IF($B$665="Лікар-педіатр",IF(L669&lt;Законод!$C$18,0,(IF(AND(L669&gt;=Законод!$G$18,L669&lt;=Законод!$G$19),L669-Законод!$F$19,IF('01_Доходи'!L669&gt;=Законод!$H$18,Законод!$G$20,0)))),IF($B$665="Лікар-терапевт",IF(L669&lt;Законод!$C$26,0,(IF(AND(L669&gt;=Законод!$G$26,L669&lt;=Законод!$G$27),L669-Законод!$F$27,IF('01_Доходи'!L669&gt;=Законод!$H$26,Законод!$G$28,0)))),0)))</f>
        <v>0</v>
      </c>
      <c r="M673" s="942"/>
      <c r="N673" s="935" t="s">
        <v>423</v>
      </c>
      <c r="O673" s="936"/>
      <c r="P673" s="936"/>
      <c r="Q673" s="936"/>
      <c r="R673" s="937"/>
      <c r="S673" s="196">
        <f ca="1">IF($B$665="Лікар загальної практики - сімейний лікар",IF(S669&lt;Законод!$C$22,0,(IF(AND(S669&gt;=Законод!$G$22,S669&lt;=Законод!$G$23),S669-Законод!$F$23,IF('01_Доходи'!S669&gt;=Законод!$H$22,Законод!$G$24,0)))),IF($B$665="Лікар-педіатр",IF(S669&lt;Законод!$C$18,0,(IF(AND(S669&gt;=Законод!$G$18,S669&lt;=Законод!$G$19),S669-Законод!$F$19,IF('01_Доходи'!S669&gt;=Законод!$H$18,Законод!$G$20,0)))),IF($B$665="Лікар-терапевт",IF(S669&lt;Законод!$C$26,0,(IF(AND(S669&gt;=Законод!$G$26,S669&lt;=Законод!$G$27),S669-Законод!$F$27,IF('01_Доходи'!S669&gt;=Законод!$H$26,Законод!$G$28,0)))),0)))</f>
        <v>0</v>
      </c>
      <c r="T673" s="942"/>
      <c r="U673" s="935" t="s">
        <v>423</v>
      </c>
      <c r="V673" s="936"/>
      <c r="W673" s="936"/>
      <c r="X673" s="936"/>
      <c r="Y673" s="937"/>
      <c r="Z673" s="196">
        <f ca="1">IF($B$665="Лікар загальної практики - сімейний лікар",IF(Z669&lt;Законод!$C$22,0,(IF(AND(Z669&gt;=Законод!$G$22,Z669&lt;=Законод!$G$23),Z669-Законод!$F$23,IF('01_Доходи'!Z669&gt;=Законод!$H$22,Законод!$G$24,0)))),IF($B$665="Лікар-педіатр",IF(Z669&lt;Законод!$C$18,0,(IF(AND(Z669&gt;=Законод!$G$18,Z669&lt;=Законод!$G$19),Z669-Законод!$F$19,IF('01_Доходи'!Z669&gt;=Законод!$H$18,Законод!$G$20,0)))),IF($B$665="Лікар-терапевт",IF(Z669&lt;Законод!$C$26,0,(IF(AND(Z669&gt;=Законод!$G$26,Z669&lt;=Законод!$G$27),Z669-Законод!$F$27,IF('01_Доходи'!Z669&gt;=Законод!$H$26,Законод!$G$28,0)))),0)))</f>
        <v>0</v>
      </c>
      <c r="AA673" s="942"/>
      <c r="AB673" s="935" t="s">
        <v>423</v>
      </c>
      <c r="AC673" s="936"/>
      <c r="AD673" s="936"/>
      <c r="AE673" s="936"/>
      <c r="AF673" s="937"/>
      <c r="AG673" s="196">
        <f ca="1">IF($B$665="Лікар загальної практики - сімейний лікар",IF(AG669&lt;Законод!$C$22,0,(IF(AND(AG669&gt;=Законод!$G$22,AG669&lt;=Законод!$G$23),AG669-Законод!$F$23,IF('01_Доходи'!AG669&gt;=Законод!$H$22,Законод!$G$24,0)))),IF($B$665="Лікар-педіатр",IF(AG669&lt;Законод!$C$18,0,(IF(AND(AG669&gt;=Законод!$G$18,AG669&lt;=Законод!$G$19),AG669-Законод!$F$19,IF('01_Доходи'!AG669&gt;=Законод!$H$18,Законод!$G$20,0)))),IF($B$665="Лікар-терапевт",IF(AG669&lt;Законод!$C$26,0,(IF(AND(AG669&gt;=Законод!$G$26,AG669&lt;=Законод!$G$27),AG669-Законод!$F$27,IF('01_Доходи'!AG669&gt;=Законод!$H$26,Законод!$G$28,0)))),0)))</f>
        <v>0</v>
      </c>
      <c r="AH673" s="942"/>
      <c r="AI673" s="201"/>
      <c r="AJ673" s="945"/>
      <c r="AK673" s="960"/>
      <c r="AL673" s="960"/>
      <c r="AM673" s="927"/>
      <c r="AN673" s="210">
        <f ca="1">IF(B665="Лікар загальної практики - сімейний лікар",L673*Законод!$C$9/4*Законод!$G$16,IF(B665="Лікар-педіатр",L673*Законод!$C$9/4*Законод!$G$16,IF(B665="Лікар-терапевт",L673*Законод!$C$9/4*Законод!$G$16,0)))</f>
        <v>0</v>
      </c>
      <c r="AO673" s="210">
        <f ca="1">IF(B665="Лікар загальної практики - сімейний лікар",S673*Законод!$C$9/4*Законод!$G$16,IF(B665="Лікар-педіатр",S673*Законод!$C$9/4*Законод!$G$16,IF(B665="Лікар-терапевт",S673*Законод!$C$9/4*Законод!$G$16,0)))</f>
        <v>0</v>
      </c>
      <c r="AP673" s="210">
        <f ca="1">IF(B665="Лікар загальної практики - сімейний лікар",Z673*Законод!$C$9/4*Законод!$G$16,IF(B665="Лікар-педіатр",Z673*Законод!$C$9/4*Законод!$G$16,IF(B665="Лікар-терапевт",Z673*Законод!$C$9/4*Законод!$G$16,0)))</f>
        <v>0</v>
      </c>
      <c r="AQ673" s="210">
        <f ca="1">IF(B665="Лікар загальної практики - сімейний лікар",AG673*Законод!$C$9/4*Законод!$G$16,IF(B665="Лікар-педіатр",AG673*Законод!$C$9/4*Законод!$G$16,IF(B665="Лікар-терапевт",AG673*Законод!$C$9/4*Законод!$G$16,0)))</f>
        <v>0</v>
      </c>
      <c r="AR673" s="211">
        <f t="shared" si="91"/>
        <v>0</v>
      </c>
    </row>
    <row r="674" spans="1:44" s="50" customFormat="1" ht="31.9" hidden="1" customHeight="1">
      <c r="A674" s="197"/>
      <c r="B674" s="951"/>
      <c r="C674" s="954"/>
      <c r="D674" s="957"/>
      <c r="E674" s="939"/>
      <c r="F674" s="238" t="str">
        <f ca="1">IF(B665="Лікар-педіатр",Законод!$H$17,IF(B665="Лікар загальної практики - сімейний лікар",Законод!$H$21,IF(B665="Лікар-терапевт",Законод!$H$25,"х")))</f>
        <v>х</v>
      </c>
      <c r="G674" s="935" t="s">
        <v>423</v>
      </c>
      <c r="H674" s="936"/>
      <c r="I674" s="936"/>
      <c r="J674" s="936"/>
      <c r="K674" s="937"/>
      <c r="L674" s="196">
        <f ca="1">IF($B$665="Лікар загальної практики - сімейний лікар",IF(L669&lt;Законод!$C$22,0,(IF(AND(L669&gt;=Законод!$H$22,L669&lt;=Законод!$H$23),L669-Законод!$G$23,IF('01_Доходи'!L669&gt;=Законод!$I$22,Законод!$H$24,0)))),IF($B$665="Лікар-педіатр",IF(L669&lt;Законод!$C$18,0,(IF(AND(L669&gt;=Законод!$H$18,L669&lt;=Законод!$H$19),L669-Законод!$G$19,IF('01_Доходи'!L669&gt;=Законод!$I$18,Законод!$H$20,0)))),IF($B$665="Лікар-терапевт",IF(L669&lt;Законод!$C$26,0,(IF(AND(L669&gt;=Законод!$H$26,L669&lt;=Законод!$H$27),L669-Законод!$G$27,IF(L669&gt;=Законод!$I$26,Законод!$H$28,0)))),0)))</f>
        <v>0</v>
      </c>
      <c r="M674" s="942"/>
      <c r="N674" s="935" t="s">
        <v>423</v>
      </c>
      <c r="O674" s="936"/>
      <c r="P674" s="936"/>
      <c r="Q674" s="936"/>
      <c r="R674" s="937"/>
      <c r="S674" s="196">
        <f ca="1">IF($B$665="Лікар загальної практики - сімейний лікар",IF(S669&lt;Законод!$C$22,0,(IF(AND(S669&gt;=Законод!$H$22,S669&lt;=Законод!$H$23),S669-Законод!$G$23,IF('01_Доходи'!S669&gt;=Законод!$I$22,Законод!$H$24,0)))),IF($B$665="Лікар-педіатр",IF(S669&lt;Законод!$C$18,0,(IF(AND(S669&gt;=Законод!$H$18,S669&lt;=Законод!$H$19),S669-Законод!$G$19,IF('01_Доходи'!S669&gt;=Законод!$I$18,Законод!$H$20,0)))),IF($B$665="Лікар-терапевт",IF(S669&lt;Законод!$C$26,0,(IF(AND(S669&gt;=Законод!$H$26,S669&lt;=Законод!$H$27),S669-Законод!$G$27,IF(S669&gt;=Законод!$I$26,Законод!$H$28,0)))),0)))</f>
        <v>0</v>
      </c>
      <c r="T674" s="942"/>
      <c r="U674" s="935" t="s">
        <v>423</v>
      </c>
      <c r="V674" s="936"/>
      <c r="W674" s="936"/>
      <c r="X674" s="936"/>
      <c r="Y674" s="937"/>
      <c r="Z674" s="196">
        <f ca="1">IF($B$665="Лікар загальної практики - сімейний лікар",IF(Z669&lt;Законод!$C$22,0,(IF(AND(Z669&gt;=Законод!$H$22,Z669&lt;=Законод!$H$23),Z669-Законод!$G$23,IF('01_Доходи'!Z669&gt;=Законод!$I$22,Законод!$H$24,0)))),IF($B$665="Лікар-педіатр",IF(Z669&lt;Законод!$C$18,0,(IF(AND(Z669&gt;=Законод!$H$18,Z669&lt;=Законод!$H$19),Z669-Законод!$G$19,IF('01_Доходи'!Z669&gt;=Законод!$I$18,Законод!$H$20,0)))),IF($B$665="Лікар-терапевт",IF(Z669&lt;Законод!$C$26,0,(IF(AND(Z669&gt;=Законод!$H$26,Z669&lt;=Законод!$H$27),Z669-Законод!$G$27,IF(Z669&gt;=Законод!$I$26,Законод!$H$28,0)))),0)))</f>
        <v>0</v>
      </c>
      <c r="AA674" s="942"/>
      <c r="AB674" s="935" t="s">
        <v>423</v>
      </c>
      <c r="AC674" s="936"/>
      <c r="AD674" s="936"/>
      <c r="AE674" s="936"/>
      <c r="AF674" s="937"/>
      <c r="AG674" s="196">
        <f ca="1">IF($B$665="Лікар загальної практики - сімейний лікар",IF(AG669&lt;Законод!$C$22,0,(IF(AND(AG669&gt;=Законод!$H$22,AG669&lt;=Законод!$H$23),AG669-Законод!$G$23,IF('01_Доходи'!AG669&gt;=Законод!$I$22,Законод!$H$24,0)))),IF($B$665="Лікар-педіатр",IF(AG669&lt;Законод!$C$18,0,(IF(AND(AG669&gt;=Законод!$H$18,AG669&lt;=Законод!$H$19),AG669-Законод!$G$19,IF('01_Доходи'!AG669&gt;=Законод!$I$18,Законод!$H$20,0)))),IF($B$665="Лікар-терапевт",IF(AG669&lt;Законод!$C$26,0,(IF(AND(AG669&gt;=Законод!$H$26,AG669&lt;=Законод!$H$27),AG669-Законод!$G$27,IF(AG669&gt;=Законод!$I$26,Законод!$H$28,0)))),0)))</f>
        <v>0</v>
      </c>
      <c r="AH674" s="942"/>
      <c r="AI674" s="201"/>
      <c r="AJ674" s="945"/>
      <c r="AK674" s="960"/>
      <c r="AL674" s="960"/>
      <c r="AM674" s="927"/>
      <c r="AN674" s="210">
        <f ca="1">IF(B665="Лікар загальної практики - сімейний лікар",L674*Законод!$C$9/4*Законод!$H$16,IF(B665="Лікар-педіатр",L674*Законод!$C$9/4*Законод!$H$16,IF(B665="Лікар-терапевт",L674*Законод!$C$9/4*Законод!$H$16,0)))</f>
        <v>0</v>
      </c>
      <c r="AO674" s="210">
        <f ca="1">IF(B665="Лікар загальної практики - сімейний лікар",S674*Законод!$C$9/4*Законод!$H$16,IF(B665="Лікар-педіатр",S674*Законод!$C$9/4*Законод!$H$16,IF(B665="Лікар-терапевт",S674*Законод!$C$9/4*Законод!$H$16,0)))</f>
        <v>0</v>
      </c>
      <c r="AP674" s="210">
        <f ca="1">IF(B665="Лікар загальної практики - сімейний лікар",Z674*Законод!$C$9/4*Законод!$H$16,IF(B665="Лікар-педіатр",Z674*Законод!$C$9/4*Законод!$H$16,IF(B665="Лікар-терапевт",Z674*Законод!$C$9/4*Законод!$H$16,0)))</f>
        <v>0</v>
      </c>
      <c r="AQ674" s="210">
        <f ca="1">IF(B665="Лікар загальної практики - сімейний лікар",AG674*Законод!$C$9/4*Законод!$H$16,IF(B665="Лікар-педіатр",AG674*Законод!$C$9/4*Законод!$H$16,IF(B665="Лікар-терапевт",AG674*Законод!$C$9/4*Законод!$H$16,0)))</f>
        <v>0</v>
      </c>
      <c r="AR674" s="211">
        <f t="shared" si="91"/>
        <v>0</v>
      </c>
    </row>
    <row r="675" spans="1:44" s="50" customFormat="1" ht="31.9" hidden="1" customHeight="1">
      <c r="A675" s="197"/>
      <c r="B675" s="951"/>
      <c r="C675" s="954"/>
      <c r="D675" s="957"/>
      <c r="E675" s="939"/>
      <c r="F675" s="238" t="str">
        <f ca="1">IF(B665="Лікар-педіатр",Законод!$I$17,IF(B665="Лікар загальної практики - сімейний лікар",Законод!$I$21,IF(B665="Лікар-терапевт",Законод!$I$25,"х")))</f>
        <v>х</v>
      </c>
      <c r="G675" s="935" t="s">
        <v>423</v>
      </c>
      <c r="H675" s="936"/>
      <c r="I675" s="936"/>
      <c r="J675" s="936"/>
      <c r="K675" s="937"/>
      <c r="L675" s="196">
        <f ca="1">IF($B$665="Лікар загальної практики - сімейний лікар",IF(L669&lt;Законод!$C$22,0,(IF(AND(L669&gt;=Законод!$I$22,L669&lt;=Законод!$I$23),L669-Законод!$H$23,IF('01_Доходи'!L669&gt;=Законод!$I$22,Законод!$I$24,0)))),IF($B$665="Лікар-педіатр",IF(L669&lt;Законод!$C$18,0,(IF(AND(L669&gt;=Законод!$I$18,L669&lt;=Законод!$I$19),L669-Законод!$H$19,IF('01_Доходи'!L669&gt;=Законод!$I$18,Законод!$H$20,0)))),IF($B$665="Лікар-терапевт",IF(L669&lt;Законод!$C$26,0,(IF(AND(L669&gt;=Законод!$I$26,L669&lt;=Законод!$I$27),L669-Законод!$H$27,IF('01_Доходи'!L669&gt;=Законод!$I$26,Законод!$H$28,0)))),0)))</f>
        <v>0</v>
      </c>
      <c r="M675" s="942"/>
      <c r="N675" s="935" t="s">
        <v>423</v>
      </c>
      <c r="O675" s="936"/>
      <c r="P675" s="936"/>
      <c r="Q675" s="936"/>
      <c r="R675" s="937"/>
      <c r="S675" s="196">
        <f ca="1">IF($B$665="Лікар загальної практики - сімейний лікар",IF(S669&lt;Законод!$C$22,0,(IF(AND(S669&gt;=Законод!$I$22,S669&lt;=Законод!$I$23),S669-Законод!$H$23,IF('01_Доходи'!S669&gt;=Законод!$I$22,Законод!$I$24,0)))),IF($B$665="Лікар-педіатр",IF(S669&lt;Законод!$C$18,0,(IF(AND(S669&gt;=Законод!$I$18,S669&lt;=Законод!$I$19),S669-Законод!$H$19,IF('01_Доходи'!S669&gt;=Законод!$I$18,Законод!$H$20,0)))),IF($B$665="Лікар-терапевт",IF(S669&lt;Законод!$C$26,0,(IF(AND(S669&gt;=Законод!$I$26,S669&lt;=Законод!$I$27),S669-Законод!$H$27,IF('01_Доходи'!S669&gt;=Законод!$I$26,Законод!$H$28,0)))),0)))</f>
        <v>0</v>
      </c>
      <c r="T675" s="942"/>
      <c r="U675" s="935" t="s">
        <v>423</v>
      </c>
      <c r="V675" s="936"/>
      <c r="W675" s="936"/>
      <c r="X675" s="936"/>
      <c r="Y675" s="937"/>
      <c r="Z675" s="196">
        <f ca="1">IF($B$665="Лікар загальної практики - сімейний лікар",IF(Z669&lt;Законод!$C$22,0,(IF(AND(Z669&gt;=Законод!$I$22,Z669&lt;=Законод!$I$23),Z669-Законод!$H$23,IF('01_Доходи'!Z669&gt;=Законод!$I$22,Законод!$I$24,0)))),IF($B$665="Лікар-педіатр",IF(Z669&lt;Законод!$C$18,0,(IF(AND(Z669&gt;=Законод!$I$18,Z669&lt;=Законод!$I$19),Z669-Законод!$H$19,IF('01_Доходи'!Z669&gt;=Законод!$I$18,Законод!$H$20,0)))),IF($B$665="Лікар-терапевт",IF(Z669&lt;Законод!$C$26,0,(IF(AND(Z669&gt;=Законод!$I$26,Z669&lt;=Законод!$I$27),Z669-Законод!$H$27,IF('01_Доходи'!Z669&gt;=Законод!$I$26,Законод!$H$28,0)))),0)))</f>
        <v>0</v>
      </c>
      <c r="AA675" s="942"/>
      <c r="AB675" s="935" t="s">
        <v>423</v>
      </c>
      <c r="AC675" s="936"/>
      <c r="AD675" s="936"/>
      <c r="AE675" s="936"/>
      <c r="AF675" s="937"/>
      <c r="AG675" s="196">
        <f ca="1">IF($B$665="Лікар загальної практики - сімейний лікар",IF(AG669&lt;Законод!$C$22,0,(IF(AND(AG669&gt;=Законод!$I$22,AG669&lt;=Законод!$I$23),AG669-Законод!$H$23,IF('01_Доходи'!AG669&gt;=Законод!$I$22,Законод!$I$24,0)))),IF($B$665="Лікар-педіатр",IF(AG669&lt;Законод!$C$18,0,(IF(AND(AG669&gt;=Законод!$I$18,AG669&lt;=Законод!$I$19),AG669-Законод!$H$19,IF('01_Доходи'!AG669&gt;=Законод!$I$18,Законод!$H$20,0)))),IF($B$665="Лікар-терапевт",IF(AG669&lt;Законод!$C$26,0,(IF(AND(AG669&gt;=Законод!$I$26,AG669&lt;=Законод!$I$27),AG669-Законод!$H$27,IF('01_Доходи'!AG669&gt;=Законод!$I$26,Законод!$H$28,0)))),0)))</f>
        <v>0</v>
      </c>
      <c r="AH675" s="942"/>
      <c r="AI675" s="201"/>
      <c r="AJ675" s="945"/>
      <c r="AK675" s="960"/>
      <c r="AL675" s="960"/>
      <c r="AM675" s="927"/>
      <c r="AN675" s="210">
        <f ca="1">IF(B665="Лікар загальної практики - сімейний лікар",L675*Законод!$C$9/4*Законод!$I$16,IF(B665="Лікар-педіатр",L675*Законод!$C$9/4*Законод!$I$16,IF(B665="Лікар-терапевт",L675*Законод!$C$9/4*Законод!$I$16,0)))</f>
        <v>0</v>
      </c>
      <c r="AO675" s="210">
        <f ca="1">IF(B665="Лікар загальної практики - сімейний лікар",S675*Законод!$C$9/4*Законод!$I$16,IF(B665="Лікар-педіатр",S675*Законод!$C$9/4*Законод!$I$16,IF(B665="Лікар-терапевт",S675*Законод!$C$9/4*Законод!$I$16,0)))</f>
        <v>0</v>
      </c>
      <c r="AP675" s="210">
        <f ca="1">IF(B665="Лікар загальної практики - сімейний лікар",Z675*Законод!$C$9/4*Законод!$I$16,IF(B665="Лікар-педіатр",Z675*Законод!$C$9/4*Законод!$I$16,IF(B665="Лікар-терапевт",Z675*Законод!$C$9/4*Законод!$I$16,0)))</f>
        <v>0</v>
      </c>
      <c r="AQ675" s="210">
        <f ca="1">IF(B665="Лікар загальної практики - сімейний лікар",AG675*Законод!$C$9/4*Законод!$I$16,IF(B665="Лікар-педіатр",AG675*Законод!$C$9/4*Законод!$I$16,IF(B665="Лікар-терапевт",AG675*Законод!$C$9/4*Законод!$I$16,0)))</f>
        <v>0</v>
      </c>
      <c r="AR675" s="211">
        <f t="shared" si="91"/>
        <v>0</v>
      </c>
    </row>
    <row r="676" spans="1:44" s="218" customFormat="1" ht="31.9" hidden="1" customHeight="1" thickBot="1">
      <c r="A676" s="213"/>
      <c r="B676" s="952"/>
      <c r="C676" s="955"/>
      <c r="D676" s="958"/>
      <c r="E676" s="940"/>
      <c r="F676" s="239" t="str">
        <f ca="1">IF(B665="Лікар-педіатр",Законод!$J$17,IF(B665="Лікар загальної практики - сімейний лікар",Законод!$J$21,IF(B665="Лікар-терапевт",Законод!$J$25,"х")))</f>
        <v>х</v>
      </c>
      <c r="G676" s="932" t="s">
        <v>423</v>
      </c>
      <c r="H676" s="933"/>
      <c r="I676" s="933"/>
      <c r="J676" s="933"/>
      <c r="K676" s="934"/>
      <c r="L676" s="196">
        <f ca="1">IF($B$665="Лікар загальної практики - сімейний лікар",IF(L669&gt;=Законод!$J$22,'01_Доходи'!L669-('01_Доходи'!L670+'01_Доходи'!L671+'01_Доходи'!L672+'01_Доходи'!L673+'01_Доходи'!L674+'01_Доходи'!L675),0),IF($B$665="Лікар-педіатр",IF(L669&gt;=Законод!$J$18,'01_Доходи'!L669-('01_Доходи'!L670+'01_Доходи'!L671+'01_Доходи'!L672+'01_Доходи'!L673+'01_Доходи'!L674+'01_Доходи'!L675),0),IF($B$665="Лікар-терапевт",IF('01_Доходи'!L669&gt;=Законод!$J$26,L669-Законод!$I$27,0),0)))</f>
        <v>0</v>
      </c>
      <c r="M676" s="943"/>
      <c r="N676" s="932" t="s">
        <v>423</v>
      </c>
      <c r="O676" s="933"/>
      <c r="P676" s="933"/>
      <c r="Q676" s="933"/>
      <c r="R676" s="934"/>
      <c r="S676" s="196">
        <f ca="1">IF($B$665="Лікар загальної практики - сімейний лікар",IF(S669&gt;=Законод!$J$22,'01_Доходи'!S669-('01_Доходи'!S670+'01_Доходи'!S671+'01_Доходи'!S672+'01_Доходи'!S673+'01_Доходи'!S674+'01_Доходи'!S675),0),IF($B$665="Лікар-педіатр",IF(S669&gt;=Законод!$J$18,'01_Доходи'!S669-('01_Доходи'!S670+'01_Доходи'!S671+'01_Доходи'!S672+'01_Доходи'!S673+'01_Доходи'!S674+'01_Доходи'!S675),0),IF($B$665="Лікар-терапевт",IF('01_Доходи'!S669&gt;=Законод!$J$26,S669-Законод!$I$27,0),0)))</f>
        <v>0</v>
      </c>
      <c r="T676" s="943"/>
      <c r="U676" s="932" t="s">
        <v>423</v>
      </c>
      <c r="V676" s="933"/>
      <c r="W676" s="933"/>
      <c r="X676" s="933"/>
      <c r="Y676" s="934"/>
      <c r="Z676" s="196">
        <f ca="1">IF($B$665="Лікар загальної практики - сімейний лікар",IF(Z669&gt;=Законод!$J$22,'01_Доходи'!Z669-('01_Доходи'!Z670+'01_Доходи'!Z671+'01_Доходи'!Z672+'01_Доходи'!Z673+'01_Доходи'!Z674+'01_Доходи'!Z675),0),IF($B$665="Лікар-педіатр",IF(Z669&gt;=Законод!$J$18,'01_Доходи'!Z669-('01_Доходи'!Z670+'01_Доходи'!Z671+'01_Доходи'!Z672+'01_Доходи'!Z673+'01_Доходи'!Z674+'01_Доходи'!Z675),0),IF($B$665="Лікар-терапевт",IF('01_Доходи'!Z669&gt;=Законод!$J$26,Z669-Законод!$I$27,0),0)))</f>
        <v>0</v>
      </c>
      <c r="AA676" s="943"/>
      <c r="AB676" s="932" t="s">
        <v>423</v>
      </c>
      <c r="AC676" s="933"/>
      <c r="AD676" s="933"/>
      <c r="AE676" s="933"/>
      <c r="AF676" s="934"/>
      <c r="AG676" s="196">
        <f ca="1">IF($B$665="Лікар загальної практики - сімейний лікар",IF(AG669&gt;=Законод!$J$22,'01_Доходи'!AG669-('01_Доходи'!AG670+'01_Доходи'!AG671+'01_Доходи'!AG672+'01_Доходи'!AG673+'01_Доходи'!AG674+'01_Доходи'!AG675),0),IF($B$665="Лікар-педіатр",IF(AG669&gt;=Законод!$J$18,'01_Доходи'!AG669-('01_Доходи'!AG670+'01_Доходи'!AG671+'01_Доходи'!AG672+'01_Доходи'!AG673+'01_Доходи'!AG674+'01_Доходи'!AG675),0),IF($B$665="Лікар-терапевт",IF('01_Доходи'!AG669&gt;=Законод!$J$26,AG669-Законод!$I$27,0),0)))</f>
        <v>0</v>
      </c>
      <c r="AH676" s="943"/>
      <c r="AI676" s="215"/>
      <c r="AJ676" s="946"/>
      <c r="AK676" s="961"/>
      <c r="AL676" s="961"/>
      <c r="AM676" s="928"/>
      <c r="AN676" s="216">
        <f ca="1">IF(B665="Лікар загальної практики - сімейний лікар",L676*Законод!$C$9/4*Законод!$J$16,IF(B665="Лікар-педіатр",L676*Законод!$C$9/4*Законод!$J$16,IF(B665="Лікар-терапевт",L676*Законод!$C$9/4*Законод!$J$16,0)))</f>
        <v>0</v>
      </c>
      <c r="AO676" s="216">
        <f ca="1">IF(B665="Лікар загальної практики - сімейний лікар",S676*Законод!$C$9/4*Законод!$J$16,IF(B665="Лікар-педіатр",S676*Законод!$C$9/4*Законод!$J$16,IF(B665="Лікар-терапевт",S676*Законод!$C$9/4*Законод!$J$16,0)))</f>
        <v>0</v>
      </c>
      <c r="AP676" s="216">
        <f ca="1">IF(B665="Лікар загальної практики - сімейний лікар",S676*Законод!$C$9/4*Законод!$J$16,IF(B665="Лікар-педіатр",S676*Законод!$C$9/4*Законод!$J$16,IF(B665="Лікар-терапевт",S676*Законод!$C$9/4*Законод!$J$16,0)))</f>
        <v>0</v>
      </c>
      <c r="AQ676" s="216">
        <f ca="1">IF(B665="Лікар загальної практики - сімейний лікар",AG676*Законод!$C$9/4*Законод!$J$16,IF(B665="Лікар-педіатр",AG676*Законод!$C$9/4*Законод!$J$16,IF(B665="Лікар-терапевт",AG676*Законод!$C$9/4*Законод!$J$16,0)))</f>
        <v>0</v>
      </c>
      <c r="AR676" s="217">
        <f t="shared" si="91"/>
        <v>0</v>
      </c>
    </row>
    <row r="677" spans="1:44" s="247" customFormat="1" ht="23.45" hidden="1" customHeight="1" thickBot="1">
      <c r="A677" s="243"/>
      <c r="B677" s="244"/>
      <c r="C677" s="244"/>
      <c r="D677" s="244"/>
      <c r="E677" s="244"/>
      <c r="F677" s="245"/>
      <c r="G677" s="246"/>
      <c r="H677" s="246"/>
      <c r="L677" s="248"/>
      <c r="S677" s="248"/>
      <c r="Z677" s="248"/>
      <c r="AG677" s="248"/>
      <c r="AM677" s="249"/>
      <c r="AR677" s="250"/>
    </row>
    <row r="678" spans="1:44" s="191" customFormat="1" ht="24.6" hidden="1" customHeight="1">
      <c r="A678" s="194">
        <f>A665+1</f>
        <v>50</v>
      </c>
      <c r="B678" s="950"/>
      <c r="C678" s="953"/>
      <c r="D678" s="956"/>
      <c r="E678" s="938"/>
      <c r="F678" s="234" t="s">
        <v>659</v>
      </c>
      <c r="G678" s="196">
        <f>IF($B$678="Лікар-педіатр",G681*L678,IF($B$678="Лікар-терапевт","х",IF($B$678="Лікар загальної практики - сімейний лікар",G681*L678,0)))</f>
        <v>0</v>
      </c>
      <c r="H678" s="196">
        <f>IF($B$678="Лікар-педіатр",H681*L678,IF($B$678="Лікар-терапевт","х",IF($B$678="Лікар загальної практики - сімейний лікар",H681*L678,0)))</f>
        <v>0</v>
      </c>
      <c r="I678" s="196">
        <f>IF($B$678="Лікар-педіатр","x",IF($B$678="Лікар-терапевт",I681*L678,IF($B$678="Лікар загальної практики - сімейний лікар",I681*L678,0)))</f>
        <v>0</v>
      </c>
      <c r="J678" s="196">
        <f>IF($B$678="Лікар-педіатр","x",IF($B$678="Лікар-терапевт",J681*L678,IF($B$678="Лікар загальної практики - сімейний лікар",J681*L678,0)))</f>
        <v>0</v>
      </c>
      <c r="K678" s="196">
        <f>IF($B$678="Лікар-педіатр","x",IF($B$678="Лікар-терапевт",K681*L678,IF($B$678="Лікар загальної практики - сімейний лікар",K681*L678,0)))</f>
        <v>0</v>
      </c>
      <c r="L678" s="557"/>
      <c r="M678" s="941"/>
      <c r="N678" s="196">
        <f>IF($B$678="Лікар-педіатр",N681*S678,IF($B$678="Лікар-терапевт","х",IF($B$678="Лікар загальної практики - сімейний лікар",N681*S678,0)))</f>
        <v>0</v>
      </c>
      <c r="O678" s="196">
        <f>IF($B$678="Лікар-педіатр",O681*S678,IF($B$678="Лікар-терапевт","х",IF($B$678="Лікар загальної практики - сімейний лікар",O681*S678,0)))</f>
        <v>0</v>
      </c>
      <c r="P678" s="196">
        <f>IF($B$678="Лікар-педіатр","x",IF($B$678="Лікар-терапевт",P681*S678,IF($B$678="Лікар загальної практики - сімейний лікар",P681*S678,0)))</f>
        <v>0</v>
      </c>
      <c r="Q678" s="196">
        <f>IF($B$678="Лікар-педіатр","x",IF($B$678="Лікар-терапевт",Q681*S678,IF($B$678="Лікар загальної практики - сімейний лікар",Q681*S678,0)))</f>
        <v>0</v>
      </c>
      <c r="R678" s="196">
        <f>IF($B$678="Лікар-педіатр","x",IF($B$678="Лікар-терапевт",R681*S678,IF($B$678="Лікар загальної практики - сімейний лікар",R681*S678,0)))</f>
        <v>0</v>
      </c>
      <c r="S678" s="557"/>
      <c r="T678" s="941"/>
      <c r="U678" s="196">
        <f>IF($B$678="Лікар-педіатр",U681*Z678,IF($B$678="Лікар-терапевт","х",IF($B$678="Лікар загальної практики - сімейний лікар",U681*Z678,0)))</f>
        <v>0</v>
      </c>
      <c r="V678" s="196">
        <f>IF($B$678="Лікар-педіатр",V681*Z678,IF($B$678="Лікар-терапевт","х",IF($B$678="Лікар загальної практики - сімейний лікар",V681*Z678,0)))</f>
        <v>0</v>
      </c>
      <c r="W678" s="196">
        <f>IF($B$678="Лікар-педіатр","x",IF($B$678="Лікар-терапевт",W681*Z678,IF($B$678="Лікар загальної практики - сімейний лікар",W681*Z678,0)))</f>
        <v>0</v>
      </c>
      <c r="X678" s="196">
        <f>IF($B$678="Лікар-педіатр","x",IF($B$678="Лікар-терапевт",X681*Z678,IF($B$678="Лікар загальної практики - сімейний лікар",X681*Z678,0)))</f>
        <v>0</v>
      </c>
      <c r="Y678" s="196">
        <f>IF($B$678="Лікар-педіатр","x",IF($B$678="Лікар-терапевт",Y681*Z678,IF($B$678="Лікар загальної практики - сімейний лікар",Y681*Z678,0)))</f>
        <v>0</v>
      </c>
      <c r="Z678" s="557"/>
      <c r="AA678" s="941"/>
      <c r="AB678" s="196">
        <f>IF($B$678="Лікар-педіатр",AB681*AG678,IF($B$678="Лікар-терапевт","х",IF($B$678="Лікар загальної практики - сімейний лікар",AB681*AG678,0)))</f>
        <v>0</v>
      </c>
      <c r="AC678" s="196">
        <f>IF($B$678="Лікар-педіатр",AC681*AG678,IF($B$678="Лікар-терапевт","х",IF($B$678="Лікар загальної практики - сімейний лікар",AC681*AG678,0)))</f>
        <v>0</v>
      </c>
      <c r="AD678" s="196">
        <f>IF($B$678="Лікар-педіатр","x",IF($B$678="Лікар-терапевт",AD681*AG678,IF($B$678="Лікар загальної практики - сімейний лікар",AD681*AG678,0)))</f>
        <v>0</v>
      </c>
      <c r="AE678" s="196">
        <f>IF($B$678="Лікар-педіатр","x",IF($B$678="Лікар-терапевт",AE681*AG678,IF($B$678="Лікар загальної практики - сімейний лікар",AE681*AG678,0)))</f>
        <v>0</v>
      </c>
      <c r="AF678" s="196">
        <f>IF($B$678="Лікар-педіатр","x",IF($B$678="Лікар-терапевт",AF681*AG678,IF($B$678="Лікар загальної практики - сімейний лікар",AF681*AG678,0)))</f>
        <v>0</v>
      </c>
      <c r="AG678" s="557"/>
      <c r="AH678" s="941"/>
      <c r="AI678" s="540">
        <f>A678</f>
        <v>50</v>
      </c>
      <c r="AJ678" s="944">
        <f>B678</f>
        <v>0</v>
      </c>
      <c r="AK678" s="959">
        <f>C678</f>
        <v>0</v>
      </c>
      <c r="AL678" s="959">
        <f>D678</f>
        <v>0</v>
      </c>
      <c r="AM678" s="929" t="s">
        <v>79</v>
      </c>
      <c r="AN678" s="947">
        <f>SUM(AN683:AN689)</f>
        <v>0</v>
      </c>
      <c r="AO678" s="947">
        <f>SUM(AO683:AO689)</f>
        <v>0</v>
      </c>
      <c r="AP678" s="947">
        <f>SUM(AP683:AP689)</f>
        <v>0</v>
      </c>
      <c r="AQ678" s="947">
        <f>SUM(AQ683:AQ689)</f>
        <v>0</v>
      </c>
      <c r="AR678" s="962">
        <f>SUM(AN678:AQ682)</f>
        <v>0</v>
      </c>
    </row>
    <row r="679" spans="1:44" s="50" customFormat="1" ht="28.15" hidden="1" customHeight="1">
      <c r="A679" s="197"/>
      <c r="B679" s="951"/>
      <c r="C679" s="954"/>
      <c r="D679" s="957"/>
      <c r="E679" s="939"/>
      <c r="F679" s="234" t="s">
        <v>660</v>
      </c>
      <c r="G679" s="196">
        <f>IF($B$678="Лікар-педіатр",G681*L679,IF($B$678="Лікар-терапевт","х",IF($B$678="Лікар загальної практики - сімейний лікар",G681*L679,0)))</f>
        <v>0</v>
      </c>
      <c r="H679" s="196">
        <f>IF($B$678="Лікар-педіатр",H681*L679,IF($B$678="Лікар-терапевт","х",IF($B$678="Лікар загальної практики - сімейний лікар",H681*L679,0)))</f>
        <v>0</v>
      </c>
      <c r="I679" s="196">
        <f>IF($B$678="Лікар-педіатр","x",IF($B$678="Лікар-терапевт",I681*L679,IF($B$678="Лікар загальної практики - сімейний лікар",I681*L679,0)))</f>
        <v>0</v>
      </c>
      <c r="J679" s="196">
        <f>IF($B$678="Лікар-педіатр","x",IF($B$678="Лікар-терапевт",J681*L679,IF($B$678="Лікар загальної практики - сімейний лікар",J681*L679,0)))</f>
        <v>0</v>
      </c>
      <c r="K679" s="196">
        <f>IF($B$678="Лікар-педіатр","x",IF($B$678="Лікар-терапевт",K681*L679,IF($B$678="Лікар загальної практики - сімейний лікар",K681*L679,0)))</f>
        <v>0</v>
      </c>
      <c r="L679" s="557"/>
      <c r="M679" s="942"/>
      <c r="N679" s="196">
        <f>IF($B$678="Лікар-педіатр",N681*S679,IF($B$678="Лікар-терапевт","х",IF($B$678="Лікар загальної практики - сімейний лікар",N681*S679,0)))</f>
        <v>0</v>
      </c>
      <c r="O679" s="196">
        <f>IF($B$678="Лікар-педіатр",O681*S679,IF($B$678="Лікар-терапевт","х",IF($B$678="Лікар загальної практики - сімейний лікар",O681*S679,0)))</f>
        <v>0</v>
      </c>
      <c r="P679" s="196">
        <f>IF($B$678="Лікар-педіатр","x",IF($B$678="Лікар-терапевт",P681*S679,IF($B$678="Лікар загальної практики - сімейний лікар",P681*S679,0)))</f>
        <v>0</v>
      </c>
      <c r="Q679" s="196">
        <f>IF($B$678="Лікар-педіатр","x",IF($B$678="Лікар-терапевт",Q681*S679,IF($B$678="Лікар загальної практики - сімейний лікар",Q681*S679,0)))</f>
        <v>0</v>
      </c>
      <c r="R679" s="196">
        <f>IF($B$678="Лікар-педіатр","x",IF($B$678="Лікар-терапевт",R681*S679,IF($B$678="Лікар загальної практики - сімейний лікар",R681*S679,0)))</f>
        <v>0</v>
      </c>
      <c r="S679" s="557"/>
      <c r="T679" s="942"/>
      <c r="U679" s="196">
        <f>IF($B$678="Лікар-педіатр",U681*Z679,IF($B$678="Лікар-терапевт","х",IF($B$678="Лікар загальної практики - сімейний лікар",U681*Z679,0)))</f>
        <v>0</v>
      </c>
      <c r="V679" s="196">
        <f>IF($B$678="Лікар-педіатр",V681*Z679,IF($B$678="Лікар-терапевт","х",IF($B$678="Лікар загальної практики - сімейний лікар",V681*Z679,0)))</f>
        <v>0</v>
      </c>
      <c r="W679" s="196">
        <f>IF($B$678="Лікар-педіатр","x",IF($B$678="Лікар-терапевт",W681*Z679,IF($B$678="Лікар загальної практики - сімейний лікар",W681*Z679,0)))</f>
        <v>0</v>
      </c>
      <c r="X679" s="196">
        <f>IF($B$678="Лікар-педіатр","x",IF($B$678="Лікар-терапевт",X681*Z679,IF($B$678="Лікар загальної практики - сімейний лікар",X681*Z679,0)))</f>
        <v>0</v>
      </c>
      <c r="Y679" s="196">
        <f>IF($B$678="Лікар-педіатр","x",IF($B$678="Лікар-терапевт",Y681*Z679,IF($B$678="Лікар загальної практики - сімейний лікар",Y681*Z679,0)))</f>
        <v>0</v>
      </c>
      <c r="Z679" s="557"/>
      <c r="AA679" s="942"/>
      <c r="AB679" s="196">
        <f>IF($B$678="Лікар-педіатр",AB681*AG679,IF($B$678="Лікар-терапевт","х",IF($B$678="Лікар загальної практики - сімейний лікар",AB681*AG679,0)))</f>
        <v>0</v>
      </c>
      <c r="AC679" s="196">
        <f>IF($B$678="Лікар-педіатр",AC681*AG679,IF($B$678="Лікар-терапевт","х",IF($B$678="Лікар загальної практики - сімейний лікар",AC681*AG679,0)))</f>
        <v>0</v>
      </c>
      <c r="AD679" s="196">
        <f>IF($B$678="Лікар-педіатр","x",IF($B$678="Лікар-терапевт",AD681*AG679,IF($B$678="Лікар загальної практики - сімейний лікар",AD681*AG679,0)))</f>
        <v>0</v>
      </c>
      <c r="AE679" s="196">
        <f>IF($B$678="Лікар-педіатр","x",IF($B$678="Лікар-терапевт",AE681*AG679,IF($B$678="Лікар загальної практики - сімейний лікар",AE681*AG679,0)))</f>
        <v>0</v>
      </c>
      <c r="AF679" s="196">
        <f>IF($B$678="Лікар-педіатр","x",IF($B$678="Лікар-терапевт",AF681*AG679,IF($B$678="Лікар загальної практики - сімейний лікар",AF681*AG679,0)))</f>
        <v>0</v>
      </c>
      <c r="AG679" s="557"/>
      <c r="AH679" s="942"/>
      <c r="AI679" s="198"/>
      <c r="AJ679" s="945"/>
      <c r="AK679" s="960"/>
      <c r="AL679" s="960"/>
      <c r="AM679" s="930"/>
      <c r="AN679" s="948"/>
      <c r="AO679" s="948"/>
      <c r="AP679" s="948"/>
      <c r="AQ679" s="948"/>
      <c r="AR679" s="963"/>
    </row>
    <row r="680" spans="1:44" s="90" customFormat="1" ht="31.15" hidden="1" customHeight="1">
      <c r="A680" s="240"/>
      <c r="B680" s="951"/>
      <c r="C680" s="954"/>
      <c r="D680" s="957"/>
      <c r="E680" s="939"/>
      <c r="F680" s="241" t="s">
        <v>661</v>
      </c>
      <c r="G680" s="199">
        <f>IF(B678="Лікар загальної практики - сімейний лікар"," ",IF(B678="Лікар-педіатр"," ",IF(B678="Лікар-терапевт","х",0)))</f>
        <v>0</v>
      </c>
      <c r="H680" s="199">
        <f>IF(B678="Лікар загальної практики - сімейний лікар"," ",IF(B678="Лікар-педіатр"," ",IF(B678="Лікар-терапевт","х",0)))</f>
        <v>0</v>
      </c>
      <c r="I680" s="199">
        <f>IF(B678="Лікар загальної практики - сімейний лікар"," ",IF(B678="Лікар-педіатр","х",IF(B678="Лікар-терапевт"," ",0)))</f>
        <v>0</v>
      </c>
      <c r="J680" s="199">
        <f>IF(B678="Лікар загальної практики - сімейний лікар"," ",IF(B678="Лікар-педіатр","х",IF(B678="Лікар-терапевт"," ",0)))</f>
        <v>0</v>
      </c>
      <c r="K680" s="199">
        <f>IF(B678="Лікар загальної практики - сімейний лікар"," ",IF(B678="Лікар-педіатр","х",IF(B678="Лікар-терапевт"," ",0)))</f>
        <v>0</v>
      </c>
      <c r="L680" s="200">
        <f>SUM(G680:K680)</f>
        <v>0</v>
      </c>
      <c r="M680" s="942"/>
      <c r="N680" s="199">
        <f>IF(B678="Лікар загальної практики - сімейний лікар"," ",IF(B678="Лікар-педіатр"," ",IF(B678="Лікар-терапевт","х",0)))</f>
        <v>0</v>
      </c>
      <c r="O680" s="199">
        <f>IF(B678="Лікар загальної практики - сімейний лікар"," ",IF(B678="Лікар-педіатр"," ",IF(B678="Лікар-терапевт","х",0)))</f>
        <v>0</v>
      </c>
      <c r="P680" s="199">
        <f>IF(B678="Лікар загальної практики - сімейний лікар"," ",IF(B678="Лікар-педіатр","х",IF(B678="Лікар-терапевт"," ",0)))</f>
        <v>0</v>
      </c>
      <c r="Q680" s="199">
        <f>IF(B678="Лікар загальної практики - сімейний лікар"," ",IF(B678="Лікар-педіатр","х",IF(B678="Лікар-терапевт"," ",0)))</f>
        <v>0</v>
      </c>
      <c r="R680" s="199">
        <f>IF(B678="Лікар загальної практики - сімейний лікар"," ",IF(B678="Лікар-педіатр","х",IF(B678="Лікар-терапевт"," ",0)))</f>
        <v>0</v>
      </c>
      <c r="S680" s="200">
        <f>SUM(N680:R680)</f>
        <v>0</v>
      </c>
      <c r="T680" s="942"/>
      <c r="U680" s="199">
        <f>IF(B678="Лікар загальної практики - сімейний лікар"," ",IF(B678="Лікар-педіатр"," ",IF(B678="Лікар-терапевт","х",0)))</f>
        <v>0</v>
      </c>
      <c r="V680" s="199">
        <f>IF(B678="Лікар загальної практики - сімейний лікар"," ",IF(B678="Лікар-педіатр"," ",IF(B678="Лікар-терапевт","х",0)))</f>
        <v>0</v>
      </c>
      <c r="W680" s="199">
        <f>IF(B678="Лікар загальної практики - сімейний лікар"," ",IF(B678="Лікар-педіатр","х",IF(B678="Лікар-терапевт"," ",0)))</f>
        <v>0</v>
      </c>
      <c r="X680" s="199">
        <f>IF(B678="Лікар загальної практики - сімейний лікар"," ",IF(B678="Лікар-педіатр","х",IF(B678="Лікар-терапевт"," ",0)))</f>
        <v>0</v>
      </c>
      <c r="Y680" s="199">
        <f>IF(B678="Лікар загальної практики - сімейний лікар"," ",IF(B678="Лікар-педіатр","х",IF(B678="Лікар-терапевт"," ",0)))</f>
        <v>0</v>
      </c>
      <c r="Z680" s="200">
        <f>SUM(U680:Y680)</f>
        <v>0</v>
      </c>
      <c r="AA680" s="942"/>
      <c r="AB680" s="199">
        <f>IF(B678="Лікар загальної практики - сімейний лікар"," ",IF(B678="Лікар-педіатр"," ",IF(B678="Лікар-терапевт","х",0)))</f>
        <v>0</v>
      </c>
      <c r="AC680" s="199">
        <f>IF(B678="Лікар загальної практики - сімейний лікар"," ",IF(B678="Лікар-педіатр"," ",IF(B678="Лікар-терапевт","х",0)))</f>
        <v>0</v>
      </c>
      <c r="AD680" s="199">
        <f>IF(B678="Лікар загальної практики - сімейний лікар"," ",IF(B678="Лікар-педіатр","х",IF(B678="Лікар-терапевт"," ",0)))</f>
        <v>0</v>
      </c>
      <c r="AE680" s="199">
        <f>IF(B678="Лікар загальної практики - сімейний лікар"," ",IF(B678="Лікар-педіатр","х",IF(B678="Лікар-терапевт"," ",0)))</f>
        <v>0</v>
      </c>
      <c r="AF680" s="199">
        <f>IF(B678="Лікар загальної практики - сімейний лікар"," ",IF(B678="Лікар-педіатр","х",IF(B678="Лікар-терапевт"," ",0)))</f>
        <v>0</v>
      </c>
      <c r="AG680" s="200">
        <f>SUM(AB680:AF680)</f>
        <v>0</v>
      </c>
      <c r="AH680" s="942"/>
      <c r="AI680" s="242"/>
      <c r="AJ680" s="945"/>
      <c r="AK680" s="960"/>
      <c r="AL680" s="960"/>
      <c r="AM680" s="930"/>
      <c r="AN680" s="948"/>
      <c r="AO680" s="948"/>
      <c r="AP680" s="948"/>
      <c r="AQ680" s="948"/>
      <c r="AR680" s="963"/>
    </row>
    <row r="681" spans="1:44" s="50" customFormat="1" ht="31.9" hidden="1" customHeight="1" thickBot="1">
      <c r="A681" s="197"/>
      <c r="B681" s="951"/>
      <c r="C681" s="954"/>
      <c r="D681" s="957"/>
      <c r="E681" s="939"/>
      <c r="F681" s="236" t="s">
        <v>426</v>
      </c>
      <c r="G681" s="203">
        <f>IF($B$678="Лікар-педіатр",G680/L680,IF($B$678="Лікар-терапевт","х",IF($B$678="Лікар загальної практики - сімейний лікар",G680/L680,0)))</f>
        <v>0</v>
      </c>
      <c r="H681" s="203">
        <f>IF($B$678="Лікар-педіатр",H680/L680,IF($B$678="Лікар-терапевт","х",IF($B$678="Лікар загальної практики - сімейний лікар",H680/L680,0)))</f>
        <v>0</v>
      </c>
      <c r="I681" s="203">
        <f>IF($B$678="Лікар-педіатр","x",IF($B$678="Лікар-терапевт",I680/L680,IF($B$678="Лікар загальної практики - сімейний лікар",I680/L680,0)))</f>
        <v>0</v>
      </c>
      <c r="J681" s="203">
        <f>IF($B$678="Лікар-педіатр","x",IF($B$678="Лікар-терапевт",J680/L680,IF($B$678="Лікар загальної практики - сімейний лікар",J680/L680,0)))</f>
        <v>0</v>
      </c>
      <c r="K681" s="203">
        <f>IF($B$678="Лікар-педіатр","x",IF($B$678="Лікар-терапевт",K680/L680,IF($B$678="Лікар загальної практики - сімейний лікар",K680/L680,0)))</f>
        <v>0</v>
      </c>
      <c r="L681" s="203">
        <f>SUM(G681:K681)</f>
        <v>0</v>
      </c>
      <c r="M681" s="942"/>
      <c r="N681" s="203">
        <f>IF($B$678="Лікар-педіатр",N680/S680,IF($B$678="Лікар-терапевт","х",IF($B$678="Лікар загальної практики - сімейний лікар",N680/S680,0)))</f>
        <v>0</v>
      </c>
      <c r="O681" s="203">
        <f>IF($B$678="Лікар-педіатр",O680/S680,IF($B$678="Лікар-терапевт","х",IF($B$678="Лікар загальної практики - сімейний лікар",O680/S680,0)))</f>
        <v>0</v>
      </c>
      <c r="P681" s="203">
        <f>IF($B$678="Лікар-педіатр","x",IF($B$678="Лікар-терапевт",P680/S680,IF($B$678="Лікар загальної практики - сімейний лікар",P680/S680,0)))</f>
        <v>0</v>
      </c>
      <c r="Q681" s="203">
        <f>IF($B$678="Лікар-педіатр","x",IF($B$678="Лікар-терапевт",Q680/S680,IF($B$678="Лікар загальної практики - сімейний лікар",Q680/S680,0)))</f>
        <v>0</v>
      </c>
      <c r="R681" s="203">
        <f>IF($B$678="Лікар-педіатр","x",IF($B$678="Лікар-терапевт",R680/S680,IF($B$678="Лікар загальної практики - сімейний лікар",R680/S680,0)))</f>
        <v>0</v>
      </c>
      <c r="S681" s="203">
        <f>SUM(N681:R681)</f>
        <v>0</v>
      </c>
      <c r="T681" s="942"/>
      <c r="U681" s="203">
        <f>IF($B$678="Лікар-педіатр",U680/Z680,IF($B$678="Лікар-терапевт","х",IF($B$678="Лікар загальної практики - сімейний лікар",U680/Z680,0)))</f>
        <v>0</v>
      </c>
      <c r="V681" s="203">
        <f>IF($B$678="Лікар-педіатр",V680/Z680,IF($B$678="Лікар-терапевт","х",IF($B$678="Лікар загальної практики - сімейний лікар",V680/Z680,0)))</f>
        <v>0</v>
      </c>
      <c r="W681" s="203">
        <f>IF($B$678="Лікар-педіатр","x",IF($B$678="Лікар-терапевт",W680/Z680,IF($B$678="Лікар загальної практики - сімейний лікар",W680/Z680,0)))</f>
        <v>0</v>
      </c>
      <c r="X681" s="203">
        <f>IF($B$678="Лікар-педіатр","x",IF($B$678="Лікар-терапевт",X680/Z680,IF($B$678="Лікар загальної практики - сімейний лікар",X680/Z680,0)))</f>
        <v>0</v>
      </c>
      <c r="Y681" s="203">
        <f>IF($B$678="Лікар-педіатр","x",IF($B$678="Лікар-терапевт",Y680/Z680,IF($B$678="Лікар загальної практики - сімейний лікар",Y680/Z680,0)))</f>
        <v>0</v>
      </c>
      <c r="Z681" s="203">
        <f>SUM(U681:Y681)</f>
        <v>0</v>
      </c>
      <c r="AA681" s="942"/>
      <c r="AB681" s="203">
        <f>IF($B$678="Лікар-педіатр",AB680/AG680,IF($B$678="Лікар-терапевт","х",IF($B$678="Лікар загальної практики - сімейний лікар",AB680/AG680,0)))</f>
        <v>0</v>
      </c>
      <c r="AC681" s="203">
        <f>IF($B$678="Лікар-педіатр",AC680/AG680,IF($B$678="Лікар-терапевт","х",IF($B$678="Лікар загальної практики - сімейний лікар",AC680/AG680,0)))</f>
        <v>0</v>
      </c>
      <c r="AD681" s="203">
        <f>IF($B$678="Лікар-педіатр","x",IF($B$678="Лікар-терапевт",AD680/AG680,IF($B$678="Лікар загальної практики - сімейний лікар",AD680/AG680,0)))</f>
        <v>0</v>
      </c>
      <c r="AE681" s="203">
        <f>IF($B$678="Лікар-педіатр","x",IF($B$678="Лікар-терапевт",AE680/AG680,IF($B$678="Лікар загальної практики - сімейний лікар",AE680/AG680,0)))</f>
        <v>0</v>
      </c>
      <c r="AF681" s="203">
        <f>IF($B$678="Лікар-педіатр","x",IF($B$678="Лікар-терапевт",AF680/AG680,IF($B$678="Лікар загальної практики - сімейний лікар",AF680/AG680,0)))</f>
        <v>0</v>
      </c>
      <c r="AG681" s="203">
        <f>SUM(AB681:AF681)</f>
        <v>0</v>
      </c>
      <c r="AH681" s="942"/>
      <c r="AI681" s="201"/>
      <c r="AJ681" s="945"/>
      <c r="AK681" s="960"/>
      <c r="AL681" s="960"/>
      <c r="AM681" s="930"/>
      <c r="AN681" s="948"/>
      <c r="AO681" s="948"/>
      <c r="AP681" s="948"/>
      <c r="AQ681" s="948"/>
      <c r="AR681" s="963"/>
    </row>
    <row r="682" spans="1:44" s="50" customFormat="1" ht="45" hidden="1" customHeight="1" thickBot="1">
      <c r="A682" s="197"/>
      <c r="B682" s="951"/>
      <c r="C682" s="954"/>
      <c r="D682" s="957"/>
      <c r="E682" s="939"/>
      <c r="F682" s="204" t="s">
        <v>662</v>
      </c>
      <c r="G682" s="205">
        <f>IF($B$678="Лікар загальної практики - сімейний лікар",AVERAGE(G678:G680),IF($B$678="Лікар-педіатр",AVERAGE(G678:G680),IF($B$678="Лікар-терапевт","х",0)))</f>
        <v>0</v>
      </c>
      <c r="H682" s="205">
        <f>IF($B$678="Лікар загальної практики - сімейний лікар",AVERAGE(H678:H680),IF($B$678="Лікар-педіатр",AVERAGE(H678:H680),IF($B$678="Лікар-терапевт","х",0)))</f>
        <v>0</v>
      </c>
      <c r="I682" s="205">
        <f>IF($B$678="Лікар загальної практики - сімейний лікар",AVERAGE(I678:I680),IF($B$678="Лікар-педіатр","x",IF($B$678="Лікар-терапевт",AVERAGE(I678:I680),0)))</f>
        <v>0</v>
      </c>
      <c r="J682" s="205">
        <f>IF($B$678="Лікар загальної практики - сімейний лікар",AVERAGE(J678:J680),IF($B$678="Лікар-педіатр","x",IF($B$678="Лікар-терапевт",AVERAGE(J678:J680),0)))</f>
        <v>0</v>
      </c>
      <c r="K682" s="205">
        <f>IF($B$678="Лікар загальної практики - сімейний лікар",AVERAGE(K678:K680),IF($B$678="Лікар-педіатр","x",IF($B$678="Лікар-терапевт",AVERAGE(K678:K680),0)))</f>
        <v>0</v>
      </c>
      <c r="L682" s="206">
        <f>SUM(G682:K682)</f>
        <v>0</v>
      </c>
      <c r="M682" s="942"/>
      <c r="N682" s="205">
        <f>IF($B$678="Лікар загальної практики - сімейний лікар",AVERAGE(N678:N680),IF($B$678="Лікар-педіатр",AVERAGE(N678:N680),IF($B$678="Лікар-терапевт","х",0)))</f>
        <v>0</v>
      </c>
      <c r="O682" s="205">
        <f>IF($B$678="Лікар загальної практики - сімейний лікар",AVERAGE(O678:O680),IF($B$678="Лікар-педіатр",AVERAGE(O678:O680),IF($B$678="Лікар-терапевт","х",0)))</f>
        <v>0</v>
      </c>
      <c r="P682" s="205">
        <f>IF($B$678="Лікар загальної практики - сімейний лікар",AVERAGE(P678:P680),IF($B$678="Лікар-педіатр","x",IF($B$678="Лікар-терапевт",AVERAGE(P678:P680),0)))</f>
        <v>0</v>
      </c>
      <c r="Q682" s="205">
        <f>IF($B$678="Лікар загальної практики - сімейний лікар",AVERAGE(Q678:Q680),IF($B$678="Лікар-педіатр","x",IF($B$678="Лікар-терапевт",AVERAGE(Q678:Q680),0)))</f>
        <v>0</v>
      </c>
      <c r="R682" s="205">
        <f>IF($B$678="Лікар загальної практики - сімейний лікар",AVERAGE(R678:R680),IF($B$678="Лікар-педіатр","x",IF($B$678="Лікар-терапевт",AVERAGE(R678:R680),0)))</f>
        <v>0</v>
      </c>
      <c r="S682" s="206">
        <f>SUM(N682:R682)</f>
        <v>0</v>
      </c>
      <c r="T682" s="942"/>
      <c r="U682" s="205">
        <f>IF($B$678="Лікар загальної практики - сімейний лікар",AVERAGE(U678:U680),IF($B$678="Лікар-педіатр",AVERAGE(U678:U680),IF($B$678="Лікар-терапевт","х",0)))</f>
        <v>0</v>
      </c>
      <c r="V682" s="205">
        <f>IF($B$678="Лікар загальної практики - сімейний лікар",AVERAGE(V678:V680),IF($B$678="Лікар-педіатр",AVERAGE(V678:V680),IF($B$678="Лікар-терапевт","х",0)))</f>
        <v>0</v>
      </c>
      <c r="W682" s="205">
        <f>IF($B$678="Лікар загальної практики - сімейний лікар",AVERAGE(W678:W680),IF($B$678="Лікар-педіатр","x",IF($B$678="Лікар-терапевт",AVERAGE(W678:W680),0)))</f>
        <v>0</v>
      </c>
      <c r="X682" s="205">
        <f>IF($B$678="Лікар загальної практики - сімейний лікар",AVERAGE(X678:X680),IF($B$678="Лікар-педіатр","x",IF($B$678="Лікар-терапевт",AVERAGE(X678:X680),0)))</f>
        <v>0</v>
      </c>
      <c r="Y682" s="205">
        <f>IF($B$678="Лікар загальної практики - сімейний лікар",AVERAGE(Y678:Y680),IF($B$678="Лікар-педіатр","x",IF($B$678="Лікар-терапевт",AVERAGE(Y678:Y680),0)))</f>
        <v>0</v>
      </c>
      <c r="Z682" s="206">
        <f>SUM(U682:Y682)</f>
        <v>0</v>
      </c>
      <c r="AA682" s="942"/>
      <c r="AB682" s="205">
        <f>IF($B$678="Лікар загальної практики - сімейний лікар",AVERAGE(AB678:AB680),IF($B$678="Лікар-педіатр",AVERAGE(AB678:AB680),IF($B$678="Лікар-терапевт","х",0)))</f>
        <v>0</v>
      </c>
      <c r="AC682" s="205">
        <f>IF($B$678="Лікар загальної практики - сімейний лікар",AVERAGE(AC678:AC680),IF($B$678="Лікар-педіатр",AVERAGE(AC678:AC680),IF($B$678="Лікар-терапевт","х",0)))</f>
        <v>0</v>
      </c>
      <c r="AD682" s="205">
        <f>IF($B$678="Лікар загальної практики - сімейний лікар",AVERAGE(AD678:AD680),IF($B$678="Лікар-педіатр","x",IF($B$678="Лікар-терапевт",AVERAGE(AD678:AD680),0)))</f>
        <v>0</v>
      </c>
      <c r="AE682" s="205">
        <f>IF($B$678="Лікар загальної практики - сімейний лікар",AVERAGE(AE678:AE680),IF($B$678="Лікар-педіатр","x",IF($B$678="Лікар-терапевт",AVERAGE(AE678:AE680),0)))</f>
        <v>0</v>
      </c>
      <c r="AF682" s="205">
        <f>IF($B$678="Лікар загальної практики - сімейний лікар",AVERAGE(AF678:AF680),IF($B$678="Лікар-педіатр","x",IF($B$678="Лікар-терапевт",AVERAGE(AF678:AF680),0)))</f>
        <v>0</v>
      </c>
      <c r="AG682" s="206">
        <f>SUM(AB682:AF682)</f>
        <v>0</v>
      </c>
      <c r="AH682" s="942"/>
      <c r="AI682" s="201"/>
      <c r="AJ682" s="945"/>
      <c r="AK682" s="960"/>
      <c r="AL682" s="960"/>
      <c r="AM682" s="931"/>
      <c r="AN682" s="949"/>
      <c r="AO682" s="949"/>
      <c r="AP682" s="949"/>
      <c r="AQ682" s="949"/>
      <c r="AR682" s="964"/>
    </row>
    <row r="683" spans="1:44" s="50" customFormat="1" ht="40.5" hidden="1">
      <c r="A683" s="197"/>
      <c r="B683" s="951"/>
      <c r="C683" s="954"/>
      <c r="D683" s="957"/>
      <c r="E683" s="939"/>
      <c r="F683" s="237" t="str">
        <f ca="1">IF(B678="Лікар-педіатр",Законод!$C$17,IF(B678="Лікар загальної практики - сімейний лікар",Законод!$C$21,IF(B678="Лікар-терапевт",Законод!$C$25,"х")))</f>
        <v>х</v>
      </c>
      <c r="G683" s="208">
        <f ca="1">IF($B$678="Лікар загальної практики - сімейний лікар",IF(L682&lt;=Законод!$C$22,G682,Законод!$C$22*'01_Доходи'!G681),IF($B$678="Лікар-педіатр",IF(L682&lt;=Законод!$C$18,G682,Законод!$C$18*'01_Доходи'!G681),IF($B$678="Лікар-терапевт","x",0)))</f>
        <v>0</v>
      </c>
      <c r="H683" s="208">
        <f ca="1">IF($B$678="Лікар загальної практики - сімейний лікар",IF(L682&lt;=Законод!$C$22,H682,Законод!$C$22*'01_Доходи'!H681),IF($B$678="Лікар-педіатр",IF(L682&lt;=Законод!$C$18,H682,Законод!$C$18*'01_Доходи'!H681),IF($B$678="Лікар-терапевт","x",0)))</f>
        <v>0</v>
      </c>
      <c r="I683" s="208">
        <f ca="1">IF($B$678="Лікар загальної практики - сімейний лікар",IF(L682&lt;=Законод!$C$22,I682,Законод!$C$22*'01_Доходи'!I681),IF($B$678="Лікар-педіатр","x",IF($B$678="Лікар-терапевт",IF(L682&lt;=Законод!$C$26,I682,Законод!$C$26*'01_Доходи'!I681),0)))</f>
        <v>0</v>
      </c>
      <c r="J683" s="208">
        <f ca="1">IF($B$678="Лікар загальної практики - сімейний лікар",IF(L682&lt;=Законод!$C$22,J682,Законод!$C$22*'01_Доходи'!J681),IF($B$678="Лікар-педіатр","x",IF($B$678="Лікар-терапевт",IF(L682&lt;=Законод!$C$26,J682,Законод!$C$26*'01_Доходи'!J681),0)))</f>
        <v>0</v>
      </c>
      <c r="K683" s="208">
        <f ca="1">IF($B$678="Лікар загальної практики - сімейний лікар",IF(L682&lt;=Законод!$C$22,K682,Законод!$C$22*'01_Доходи'!K681),IF($B$678="Лікар-педіатр","x",IF($B$678="Лікар-терапевт",IF(L682&lt;=Законод!$C$26,K682,Законод!$C$26*'01_Доходи'!K681),0)))</f>
        <v>0</v>
      </c>
      <c r="L683" s="209">
        <f ca="1">SUM(G683:K683)</f>
        <v>0</v>
      </c>
      <c r="M683" s="942"/>
      <c r="N683" s="208">
        <f ca="1">IF($B$678="Лікар загальної практики - сімейний лікар",IF(S682&lt;=Законод!$C$22,N682,Законод!$C$22*'01_Доходи'!N681),IF($B$678="Лікар-педіатр",IF(S682&lt;=Законод!$C$18,N682,Законод!$C$18*'01_Доходи'!N681),IF($B$678="Лікар-терапевт","x",0)))</f>
        <v>0</v>
      </c>
      <c r="O683" s="208">
        <f ca="1">IF($B$678="Лікар загальної практики - сімейний лікар",IF(S682&lt;=Законод!$C$22,O682,Законод!$C$22*'01_Доходи'!O681),IF($B$678="Лікар-педіатр",IF(S682&lt;=Законод!$C$18,O682,Законод!$C$18*'01_Доходи'!O681),IF($B$678="Лікар-терапевт","x",0)))</f>
        <v>0</v>
      </c>
      <c r="P683" s="208">
        <f ca="1">IF($B$678="Лікар загальної практики - сімейний лікар",IF(S682&lt;=Законод!$C$22,P682,Законод!$C$22*'01_Доходи'!P681),IF($B$678="Лікар-педіатр","x",IF($B$678="Лікар-терапевт",IF(S682&lt;=Законод!$C$26,P682,Законод!$C$26*'01_Доходи'!P681),0)))</f>
        <v>0</v>
      </c>
      <c r="Q683" s="208">
        <f ca="1">IF($B$678="Лікар загальної практики - сімейний лікар",IF(S682&lt;=Законод!$C$22,Q682,Законод!$C$22*'01_Доходи'!Q681),IF($B$678="Лікар-педіатр","x",IF($B$678="Лікар-терапевт",IF(S682&lt;=Законод!$C$26,Q682,Законод!$C$26*'01_Доходи'!Q681),0)))</f>
        <v>0</v>
      </c>
      <c r="R683" s="208">
        <f ca="1">IF($B$678="Лікар загальної практики - сімейний лікар",IF(S682&lt;=Законод!$C$22,R682,Законод!$C$22*'01_Доходи'!R681),IF($B$678="Лікар-педіатр","x",IF($B$678="Лікар-терапевт",IF(S682&lt;=Законод!$C$26,R682,Законод!$C$26*'01_Доходи'!R681),0)))</f>
        <v>0</v>
      </c>
      <c r="S683" s="209">
        <f ca="1">SUM(N683:R683)</f>
        <v>0</v>
      </c>
      <c r="T683" s="942"/>
      <c r="U683" s="208">
        <f ca="1">IF($B$678="Лікар загальної практики - сімейний лікар",IF(Z682&lt;=Законод!$C$22,U682,Законод!$C$22*'01_Доходи'!U681),IF($B$678="Лікар-педіатр",IF(Z682&lt;=Законод!$C$18,U682,Законод!$C$18*'01_Доходи'!U681),IF($B$678="Лікар-терапевт","x",0)))</f>
        <v>0</v>
      </c>
      <c r="V683" s="208">
        <f ca="1">IF($B$678="Лікар загальної практики - сімейний лікар",IF(Z682&lt;=Законод!$C$22,V682,Законод!$C$22*'01_Доходи'!V681),IF($B$678="Лікар-педіатр",IF(Z682&lt;=Законод!$C$18,V682,Законод!$C$18*'01_Доходи'!V681),IF($B$678="Лікар-терапевт","x",0)))</f>
        <v>0</v>
      </c>
      <c r="W683" s="208">
        <f ca="1">IF($B$678="Лікар загальної практики - сімейний лікар",IF(Z682&lt;=Законод!$C$22,W682,Законод!$C$22*'01_Доходи'!W681),IF($B$678="Лікар-педіатр","x",IF($B$678="Лікар-терапевт",IF(Z682&lt;=Законод!$C$26,W682,Законод!$C$26*'01_Доходи'!W681),0)))</f>
        <v>0</v>
      </c>
      <c r="X683" s="208">
        <f ca="1">IF($B$678="Лікар загальної практики - сімейний лікар",IF(Z682&lt;=Законод!$C$22,X682,Законод!$C$22*'01_Доходи'!X681),IF($B$678="Лікар-педіатр","x",IF($B$678="Лікар-терапевт",IF(Z682&lt;=Законод!$C$26,X682,Законод!$C$26*'01_Доходи'!X681),0)))</f>
        <v>0</v>
      </c>
      <c r="Y683" s="208">
        <f ca="1">IF($B$678="Лікар загальної практики - сімейний лікар",IF(Z682&lt;=Законод!$C$22,Y682,Законод!$C$22*'01_Доходи'!Y681),IF($B$678="Лікар-педіатр","x",IF($B$678="Лікар-терапевт",IF(Z682&lt;=Законод!$C$26,Y682,Законод!$C$26*'01_Доходи'!Y681),0)))</f>
        <v>0</v>
      </c>
      <c r="Z683" s="209">
        <f ca="1">SUM(U683:Y683)</f>
        <v>0</v>
      </c>
      <c r="AA683" s="942"/>
      <c r="AB683" s="208">
        <f ca="1">IF($B$678="Лікар загальної практики - сімейний лікар",IF(AG682&lt;=Законод!$C$22,AB682,Законод!$C$22*'01_Доходи'!AB681),IF($B$678="Лікар-педіатр",IF(AG682&lt;=Законод!$C$18,AB682,Законод!$C$18*'01_Доходи'!AB681),IF($B$678="Лікар-терапевт","x",0)))</f>
        <v>0</v>
      </c>
      <c r="AC683" s="208">
        <f ca="1">IF($B$678="Лікар загальної практики - сімейний лікар",IF(AG682&lt;=Законод!$C$22,AC682,Законод!$C$22*'01_Доходи'!AC681),IF($B$678="Лікар-педіатр",IF(AG682&lt;=Законод!$C$18,AC682,Законод!$C$18*'01_Доходи'!AC681),IF($B$678="Лікар-терапевт","x",0)))</f>
        <v>0</v>
      </c>
      <c r="AD683" s="208">
        <f ca="1">IF($B$678="Лікар загальної практики - сімейний лікар",IF(AG682&lt;=Законод!$C$22,AD682,Законод!$C$22*'01_Доходи'!AD681),IF($B$678="Лікар-педіатр","x",IF($B$678="Лікар-терапевт",IF(AG682&lt;=Законод!$C$26,AD682,Законод!$C$26*'01_Доходи'!AD681),0)))</f>
        <v>0</v>
      </c>
      <c r="AE683" s="208">
        <f ca="1">IF($B$678="Лікар загальної практики - сімейний лікар",IF(AG682&lt;=Законод!$C$22,AE682,Законод!$C$22*'01_Доходи'!AE681),IF($B$678="Лікар-педіатр","x",IF($B$678="Лікар-терапевт",IF(AG682&lt;=Законод!$C$26,AE682,Законод!$C$26*'01_Доходи'!AE681),0)))</f>
        <v>0</v>
      </c>
      <c r="AF683" s="208">
        <f ca="1">IF($B$678="Лікар загальної практики - сімейний лікар",IF(AG682&lt;=Законод!$C$22,AF682,Законод!$C$22*'01_Доходи'!AF681),IF($B$678="Лікар-педіатр","x",IF($B$678="Лікар-терапевт",IF(AG682&lt;=Законод!$C$26,AF682,Законод!$C$26*'01_Доходи'!AF681),0)))</f>
        <v>0</v>
      </c>
      <c r="AG683" s="209">
        <f ca="1">SUM(AB683:AF683)</f>
        <v>0</v>
      </c>
      <c r="AH683" s="942"/>
      <c r="AI683" s="201"/>
      <c r="AJ683" s="945"/>
      <c r="AK683" s="960"/>
      <c r="AL683" s="960"/>
      <c r="AM683" s="348" t="s">
        <v>451</v>
      </c>
      <c r="AN683" s="210">
        <f ca="1">IF(B678="Лікар загальної практики - сімейний лікар",G683*Законод!$C$11+'01_Доходи'!H683*Законод!$D$11+'01_Доходи'!I683*Законод!$E$11+'01_Доходи'!J683*Законод!$F$11+'01_Доходи'!K683*Законод!$G$11,IF(B678="Лікар-педіатр",G683*Законод!$C$11+'01_Доходи'!H683*Законод!$D$11,IF(B678="Лікар-терапевт",'01_Доходи'!I683*Законод!$E$11+'01_Доходи'!J683*Законод!$F$11+'01_Доходи'!K683*Законод!$G$11,0)))</f>
        <v>0</v>
      </c>
      <c r="AO683" s="210">
        <f ca="1">IF(B678="Лікар загальної практики - сімейний лікар",N683*Законод!$C$11+'01_Доходи'!O683*Законод!$D$11+'01_Доходи'!P683*Законод!$E$11+'01_Доходи'!Q683*Законод!$F$11+'01_Доходи'!R683*Законод!$G$11,IF(B678="Лікар-педіатр",N683*Законод!$C$11+'01_Доходи'!O683*Законод!$D$11,IF(B678="Лікар-терапевт",'01_Доходи'!P683*Законод!$E$11+'01_Доходи'!Q683*Законод!$F$11+'01_Доходи'!R683*Законод!$G$11,0)))</f>
        <v>0</v>
      </c>
      <c r="AP683" s="210">
        <f ca="1">IF(B678="Лікар загальної практики - сімейний лікар",U683*Законод!$C$11+'01_Доходи'!V683*Законод!$D$11+'01_Доходи'!W683*Законод!$E$11+'01_Доходи'!X683*Законод!$F$11+'01_Доходи'!Y683*Законод!$G$11,IF(B678="Лікар-педіатр",U683*Законод!$C$11+'01_Доходи'!V683*Законод!$D$11,IF(B678="Лікар-терапевт",'01_Доходи'!W683*Законод!$E$11+'01_Доходи'!X683*Законод!$F$11+'01_Доходи'!Y683*Законод!$G$11,0)))</f>
        <v>0</v>
      </c>
      <c r="AQ683" s="210">
        <f ca="1">IF(B678="Лікар загальної практики - сімейний лікар",AB683*Законод!$C$11+'01_Доходи'!AC683*Законод!$D$11+'01_Доходи'!AD683*Законод!$E$11+'01_Доходи'!AE683*Законод!$F$11+'01_Доходи'!AF683*Законод!$G$11,IF(B678="Лікар-педіатр",AB683*Законод!$C$11+'01_Доходи'!AC683*Законод!$D$11,IF(B678="Лікар-терапевт",'01_Доходи'!AD683*Законод!$E$11+'01_Доходи'!AE683*Законод!$F$11+'01_Доходи'!AF683*Законод!$G$11,0)))</f>
        <v>0</v>
      </c>
      <c r="AR683" s="211">
        <f t="shared" ref="AR683:AR689" si="92">SUM(AN683:AQ683)</f>
        <v>0</v>
      </c>
    </row>
    <row r="684" spans="1:44" s="50" customFormat="1" ht="31.9" hidden="1" customHeight="1">
      <c r="A684" s="197"/>
      <c r="B684" s="951"/>
      <c r="C684" s="954"/>
      <c r="D684" s="957"/>
      <c r="E684" s="939"/>
      <c r="F684" s="238" t="str">
        <f ca="1">IF(B678="Лікар-педіатр",Законод!$E$17,IF(B678="Лікар загальної практики - сімейний лікар",Законод!$E$21,IF(B678="Лікар-терапевт",Законод!$E$25,"х")))</f>
        <v>х</v>
      </c>
      <c r="G684" s="935" t="s">
        <v>423</v>
      </c>
      <c r="H684" s="936"/>
      <c r="I684" s="936"/>
      <c r="J684" s="936"/>
      <c r="K684" s="937"/>
      <c r="L684" s="196">
        <f ca="1">IF($B$678="Лікар загальної практики - сімейний лікар",IF(L682&lt;Законод!$C$22,0,(IF(AND(L682&gt;=Законод!$E$22,L682&lt;=Законод!$E$23),L682-Законод!$C$22,IF('01_Доходи'!L682&gt;=Законод!$F$22,Законод!$E$24,0)))),IF($B$678="Лікар-педіатр",IF(L682&lt;Законод!$C$18,0,(IF(AND(L682&gt;=Законод!$E$18,L682&lt;=Законод!$E$19),L682-Законод!$C$18,IF('01_Доходи'!L682&gt;=Законод!$F$18,Законод!$E$20,0)))),IF($B$678="Лікар-терапевт",IF(L682&lt;Законод!$C$26,0,(IF(AND(L682&gt;=Законод!$E$26,L682&lt;=Законод!$E$27),L682-Законод!$C$26,IF('01_Доходи'!L682&gt;=Законод!$F$26,Законод!$E$28,0)))),0)))</f>
        <v>0</v>
      </c>
      <c r="M684" s="942"/>
      <c r="N684" s="935" t="s">
        <v>423</v>
      </c>
      <c r="O684" s="936"/>
      <c r="P684" s="936"/>
      <c r="Q684" s="936"/>
      <c r="R684" s="937"/>
      <c r="S684" s="196">
        <f ca="1">IF($B$678="Лікар загальної практики - сімейний лікар",IF(S682&lt;Законод!$C$22,0,(IF(AND(S682&gt;=Законод!$E$22,S682&lt;=Законод!$E$23),S682-Законод!$C$22,IF('01_Доходи'!S682&gt;=Законод!$F$22,Законод!$E$24,0)))),IF($B$678="Лікар-педіатр",IF(S682&lt;Законод!$C$18,0,(IF(AND(S682&gt;=Законод!$E$18,S682&lt;=Законод!$E$19),S682-Законод!$C$18,IF('01_Доходи'!S682&gt;=Законод!$F$18,Законод!$E$20,0)))),IF($B$678="Лікар-терапевт",IF(S682&lt;Законод!$C$26,0,(IF(AND(S682&gt;=Законод!$E$26,S682&lt;=Законод!$E$27),S682-Законод!$C$26,IF('01_Доходи'!S682&gt;=Законод!$F$26,Законод!$E$28,0)))),0)))</f>
        <v>0</v>
      </c>
      <c r="T684" s="942"/>
      <c r="U684" s="935" t="s">
        <v>423</v>
      </c>
      <c r="V684" s="936"/>
      <c r="W684" s="936"/>
      <c r="X684" s="936"/>
      <c r="Y684" s="937"/>
      <c r="Z684" s="196">
        <f ca="1">IF($B$678="Лікар загальної практики - сімейний лікар",IF(Z682&lt;Законод!$C$22,0,(IF(AND(Z682&gt;=Законод!$E$22,Z682&lt;=Законод!$E$23),Z682-Законод!$C$22,IF('01_Доходи'!Z682&gt;=Законод!$F$22,Законод!$E$24,0)))),IF($B$678="Лікар-педіатр",IF(Z682&lt;Законод!$C$18,0,(IF(AND(Z682&gt;=Законод!$E$18,Z682&lt;=Законод!$E$19),Z682-Законод!$C$18,IF('01_Доходи'!Z682&gt;=Законод!$F$18,Законод!$E$20,0)))),IF($B$678="Лікар-терапевт",IF(Z682&lt;Законод!$C$26,0,(IF(AND(Z682&gt;=Законод!$E$26,Z682&lt;=Законод!$E$27),Z682-Законод!$C$26,IF('01_Доходи'!Z682&gt;=Законод!$F$26,Законод!$E$28,0)))),0)))</f>
        <v>0</v>
      </c>
      <c r="AA684" s="942"/>
      <c r="AB684" s="935" t="s">
        <v>423</v>
      </c>
      <c r="AC684" s="936"/>
      <c r="AD684" s="936"/>
      <c r="AE684" s="936"/>
      <c r="AF684" s="937"/>
      <c r="AG684" s="196">
        <f ca="1">IF($B$678="Лікар загальної практики - сімейний лікар",IF(AG682&lt;Законод!$C$22,0,(IF(AND(AG682&gt;=Законод!$E$22,AG682&lt;=Законод!$E$23),AG682-Законод!$C$22,IF('01_Доходи'!AG682&gt;=Законод!$F$22,Законод!$E$24,0)))),IF($B$678="Лікар-педіатр",IF(AG682&lt;Законод!$C$18,0,(IF(AND(AG682&gt;=Законод!$E$18,AG682&lt;=Законод!$E$19),AG682-Законод!$C$18,IF('01_Доходи'!AG682&gt;=Законод!$F$18,Законод!$E$20,0)))),IF($B$678="Лікар-терапевт",IF(AG682&lt;Законод!$C$26,0,(IF(AND(AG682&gt;=Законод!$E$26,AG682&lt;=Законод!$E$27),AG682-Законод!$C$26,IF('01_Доходи'!AG682&gt;=Законод!$F$26,Законод!$E$28,0)))),0)))</f>
        <v>0</v>
      </c>
      <c r="AH684" s="942"/>
      <c r="AI684" s="201"/>
      <c r="AJ684" s="945"/>
      <c r="AK684" s="960"/>
      <c r="AL684" s="960"/>
      <c r="AM684" s="926" t="s">
        <v>452</v>
      </c>
      <c r="AN684" s="210">
        <f ca="1">IF(B678="Лікар загальної практики - сімейний лікар",L684*Законод!$C$9/4*Законод!$E$16,IF(B678="Лікар-педіатр",L684*Законод!$C$9/4*Законод!$E$16,IF(B678="Лікар-терапевт",L684*Законод!$C$9/4*Законод!$E$16,0)))</f>
        <v>0</v>
      </c>
      <c r="AO684" s="210">
        <f ca="1">IF(B678="Лікар загальної практики - сімейний лікар",S684*Законод!$C$9/4*Законод!$E$16,IF(B678="Лікар-педіатр",S684*Законод!$C$9/4*Законод!$E$16,IF(B678="Лікар-терапевт",S684*Законод!$C$9/4*Законод!$E$16,0)))</f>
        <v>0</v>
      </c>
      <c r="AP684" s="210">
        <f ca="1">IF(B678="Лікар загальної практики - сімейний лікар",Z684*Законод!$C$9/4*Законод!$E$16,IF(B678="Лікар-педіатр",Z684*Законод!$C$9/4*Законод!$E$16,IF(B678="Лікар-терапевт",Z684*Законод!$C$9/4*Законод!$E$16,0)))</f>
        <v>0</v>
      </c>
      <c r="AQ684" s="210">
        <f ca="1">IF(B678="Лікар загальної практики - сімейний лікар",AG684*Законод!$C$9/4*Законод!$E$16,IF(B678="Лікар-педіатр",AG684*Законод!$C$9/4*Законод!$E$16,IF(B678="Лікар-терапевт",AG684*Законод!$C$9/4*Законод!$E$16,0)))</f>
        <v>0</v>
      </c>
      <c r="AR684" s="211">
        <f t="shared" si="92"/>
        <v>0</v>
      </c>
    </row>
    <row r="685" spans="1:44" s="50" customFormat="1" ht="31.9" hidden="1" customHeight="1">
      <c r="A685" s="197"/>
      <c r="B685" s="951"/>
      <c r="C685" s="954"/>
      <c r="D685" s="957"/>
      <c r="E685" s="939"/>
      <c r="F685" s="238" t="str">
        <f ca="1">IF(B678="Лікар-педіатр",Законод!$F$17,IF(B678="Лікар загальної практики - сімейний лікар",Законод!$F$21,IF(B678="Лікар-терапевт",Законод!$F$25,"х")))</f>
        <v>х</v>
      </c>
      <c r="G685" s="935" t="s">
        <v>423</v>
      </c>
      <c r="H685" s="936"/>
      <c r="I685" s="936"/>
      <c r="J685" s="936"/>
      <c r="K685" s="937"/>
      <c r="L685" s="196">
        <f ca="1">IF($B$678="Лікар загальної практики - сімейний лікар",IF(L682&lt;Законод!$C$22,0,(IF(AND(L682&gt;=Законод!$F$22,L682&lt;=Законод!$F$23),L682-Законод!$E$23,IF('01_Доходи'!L682&gt;=Законод!$G$22,Законод!$F$24,0)))),IF($B$678="Лікар-педіатр",IF(L682&lt;Законод!$C$18,0,(IF(AND(L682&gt;=Законод!$F$18,L682&lt;=Законод!$F$19),L682-Законод!$E$19,IF('01_Доходи'!L682&gt;=Законод!$G$18,Законод!$F$20,0)))),IF($B$678="Лікар-терапевт",IF(L682&lt;Законод!$C$26,0,(IF(AND(L682&gt;=Законод!$F$26,L682&lt;=Законод!$F$27),L682-Законод!$E$27,IF('01_Доходи'!L682&gt;=Законод!$G$26,Законод!$F$28,0)))),0)))</f>
        <v>0</v>
      </c>
      <c r="M685" s="942"/>
      <c r="N685" s="935" t="s">
        <v>423</v>
      </c>
      <c r="O685" s="936"/>
      <c r="P685" s="936"/>
      <c r="Q685" s="936"/>
      <c r="R685" s="937"/>
      <c r="S685" s="196">
        <f ca="1">IF($B$678="Лікар загальної практики - сімейний лікар",IF(S682&lt;Законод!$C$22,0,(IF(AND(S682&gt;=Законод!$F$22,S682&lt;=Законод!$F$23),S682-Законод!$E$23,IF('01_Доходи'!S682&gt;=Законод!$G$22,Законод!$F$24,0)))),IF($B$678="Лікар-педіатр",IF(S682&lt;Законод!$C$18,0,(IF(AND(S682&gt;=Законод!$F$18,S682&lt;=Законод!$F$19),S682-Законод!$E$19,IF('01_Доходи'!S682&gt;=Законод!$G$18,Законод!$F$20,0)))),IF($B$678="Лікар-терапевт",IF(S682&lt;Законод!$C$26,0,(IF(AND(S682&gt;=Законод!$F$26,S682&lt;=Законод!$F$27),S682-Законод!$E$27,IF('01_Доходи'!S682&gt;=Законод!$G$26,Законод!$F$28,0)))),0)))</f>
        <v>0</v>
      </c>
      <c r="T685" s="942"/>
      <c r="U685" s="935" t="s">
        <v>423</v>
      </c>
      <c r="V685" s="936"/>
      <c r="W685" s="936"/>
      <c r="X685" s="936"/>
      <c r="Y685" s="937"/>
      <c r="Z685" s="196">
        <f ca="1">IF($B$678="Лікар загальної практики - сімейний лікар",IF(Z682&lt;Законод!$C$22,0,(IF(AND(Z682&gt;=Законод!$F$22,Z682&lt;=Законод!$F$23),Z682-Законод!$E$23,IF('01_Доходи'!Z682&gt;=Законод!$G$22,Законод!$F$24,0)))),IF($B$678="Лікар-педіатр",IF(Z682&lt;Законод!$C$18,0,(IF(AND(Z682&gt;=Законод!$F$18,Z682&lt;=Законод!$F$19),Z682-Законод!$E$19,IF('01_Доходи'!Z682&gt;=Законод!$G$18,Законод!$F$20,0)))),IF($B$678="Лікар-терапевт",IF(Z682&lt;Законод!$C$26,0,(IF(AND(Z682&gt;=Законод!$F$26,Z682&lt;=Законод!$F$27),Z682-Законод!$E$27,IF('01_Доходи'!Z682&gt;=Законод!$G$26,Законод!$F$28,0)))),0)))</f>
        <v>0</v>
      </c>
      <c r="AA685" s="942"/>
      <c r="AB685" s="935" t="s">
        <v>423</v>
      </c>
      <c r="AC685" s="936"/>
      <c r="AD685" s="936"/>
      <c r="AE685" s="936"/>
      <c r="AF685" s="937"/>
      <c r="AG685" s="196">
        <f ca="1">IF($B$678="Лікар загальної практики - сімейний лікар",IF(AG682&lt;Законод!$C$22,0,(IF(AND(AG682&gt;=Законод!$F$22,AG682&lt;=Законод!$F$23),AG682-Законод!$E$23,IF('01_Доходи'!AG682&gt;=Законод!$G$22,Законод!$F$24,0)))),IF($B$678="Лікар-педіатр",IF(AG682&lt;Законод!$C$18,0,(IF(AND(AG682&gt;=Законод!$F$18,AG682&lt;=Законод!$F$19),AG682-Законод!$E$19,IF('01_Доходи'!AG682&gt;=Законод!$G$18,Законод!$F$20,0)))),IF($B$678="Лікар-терапевт",IF(AG682&lt;Законод!$C$26,0,(IF(AND(AG682&gt;=Законод!$F$26,AG682&lt;=Законод!$F$27),AG682-Законод!$E$27,IF('01_Доходи'!AG682&gt;=Законод!$G$26,Законод!$F$28,0)))),0)))</f>
        <v>0</v>
      </c>
      <c r="AH685" s="942"/>
      <c r="AI685" s="201"/>
      <c r="AJ685" s="945"/>
      <c r="AK685" s="960"/>
      <c r="AL685" s="960"/>
      <c r="AM685" s="927"/>
      <c r="AN685" s="210">
        <f ca="1">IF(B678="Лікар загальної практики - сімейний лікар",L685*Законод!$C$9/4*Законод!$F$16,IF(B678="Лікар-педіатр",L685*Законод!$C$9/4*Законод!$F$16,IF(B678="Лікар-терапевт",L685*Законод!$C$9/4*Законод!$F$16,0)))</f>
        <v>0</v>
      </c>
      <c r="AO685" s="210">
        <f ca="1">IF(B678="Лікар загальної практики - сімейний лікар",S685*Законод!$C$9/4*Законод!$F$16,IF(B678="Лікар-педіатр",S685*Законод!$C$9/4*Законод!$F$16,IF(B678="Лікар-терапевт",S685*Законод!$C$9/4*Законод!$F$16,0)))</f>
        <v>0</v>
      </c>
      <c r="AP685" s="210">
        <f ca="1">IF(B678="Лікар загальної практики - сімейний лікар",Z685*Законод!$C$9/4*Законод!$F$16,IF(B678="Лікар-педіатр",Z685*Законод!$C$9/4*Законод!$F$16,IF(B678="Лікар-терапевт",Z685*Законод!$C$9/4*Законод!$F$16,0)))</f>
        <v>0</v>
      </c>
      <c r="AQ685" s="210">
        <f ca="1">IF(B678="Лікар загальної практики - сімейний лікар",AG685*Законод!$C$9/4*Законод!$F$16,IF(B678="Лікар-педіатр",AG685*Законод!$C$9/4*Законод!$F$16,IF(B678="Лікар-терапевт",AG685*Законод!$C$9/4*Законод!$F$16,0)))</f>
        <v>0</v>
      </c>
      <c r="AR685" s="211">
        <f t="shared" si="92"/>
        <v>0</v>
      </c>
    </row>
    <row r="686" spans="1:44" s="50" customFormat="1" ht="31.9" hidden="1" customHeight="1">
      <c r="A686" s="197"/>
      <c r="B686" s="951"/>
      <c r="C686" s="954"/>
      <c r="D686" s="957"/>
      <c r="E686" s="939"/>
      <c r="F686" s="238" t="str">
        <f ca="1">IF(B678="Лікар-педіатр",Законод!$G$17,IF(B678="Лікар загальної практики - сімейний лікар",Законод!$G$21,IF(B678="Лікар-терапевт",Законод!$G$25,"х")))</f>
        <v>х</v>
      </c>
      <c r="G686" s="935" t="s">
        <v>423</v>
      </c>
      <c r="H686" s="936"/>
      <c r="I686" s="936"/>
      <c r="J686" s="936"/>
      <c r="K686" s="937"/>
      <c r="L686" s="196">
        <f ca="1">IF($B$678="Лікар загальної практики - сімейний лікар",IF(L682&lt;Законод!$C$22,0,(IF(AND(L682&gt;=Законод!$G$22,L682&lt;=Законод!$G$23),L682-Законод!$F$23,IF('01_Доходи'!L682&gt;=Законод!$H$22,Законод!$G$24,0)))),IF($B$678="Лікар-педіатр",IF(L682&lt;Законод!$C$18,0,(IF(AND(L682&gt;=Законод!$G$18,L682&lt;=Законод!$G$19),L682-Законод!$F$19,IF('01_Доходи'!L682&gt;=Законод!$H$18,Законод!$G$20,0)))),IF($B$678="Лікар-терапевт",IF(L682&lt;Законод!$C$26,0,(IF(AND(L682&gt;=Законод!$G$26,L682&lt;=Законод!$G$27),L682-Законод!$F$27,IF('01_Доходи'!L682&gt;=Законод!$H$26,Законод!$G$28,0)))),0)))</f>
        <v>0</v>
      </c>
      <c r="M686" s="942"/>
      <c r="N686" s="935" t="s">
        <v>423</v>
      </c>
      <c r="O686" s="936"/>
      <c r="P686" s="936"/>
      <c r="Q686" s="936"/>
      <c r="R686" s="937"/>
      <c r="S686" s="196">
        <f ca="1">IF($B$678="Лікар загальної практики - сімейний лікар",IF(S682&lt;Законод!$C$22,0,(IF(AND(S682&gt;=Законод!$G$22,S682&lt;=Законод!$G$23),S682-Законод!$F$23,IF('01_Доходи'!S682&gt;=Законод!$H$22,Законод!$G$24,0)))),IF($B$678="Лікар-педіатр",IF(S682&lt;Законод!$C$18,0,(IF(AND(S682&gt;=Законод!$G$18,S682&lt;=Законод!$G$19),S682-Законод!$F$19,IF('01_Доходи'!S682&gt;=Законод!$H$18,Законод!$G$20,0)))),IF($B$678="Лікар-терапевт",IF(S682&lt;Законод!$C$26,0,(IF(AND(S682&gt;=Законод!$G$26,S682&lt;=Законод!$G$27),S682-Законод!$F$27,IF('01_Доходи'!S682&gt;=Законод!$H$26,Законод!$G$28,0)))),0)))</f>
        <v>0</v>
      </c>
      <c r="T686" s="942"/>
      <c r="U686" s="935" t="s">
        <v>423</v>
      </c>
      <c r="V686" s="936"/>
      <c r="W686" s="936"/>
      <c r="X686" s="936"/>
      <c r="Y686" s="937"/>
      <c r="Z686" s="196">
        <f ca="1">IF($B$678="Лікар загальної практики - сімейний лікар",IF(Z682&lt;Законод!$C$22,0,(IF(AND(Z682&gt;=Законод!$G$22,Z682&lt;=Законод!$G$23),Z682-Законод!$F$23,IF('01_Доходи'!Z682&gt;=Законод!$H$22,Законод!$G$24,0)))),IF($B$678="Лікар-педіатр",IF(Z682&lt;Законод!$C$18,0,(IF(AND(Z682&gt;=Законод!$G$18,Z682&lt;=Законод!$G$19),Z682-Законод!$F$19,IF('01_Доходи'!Z682&gt;=Законод!$H$18,Законод!$G$20,0)))),IF($B$678="Лікар-терапевт",IF(Z682&lt;Законод!$C$26,0,(IF(AND(Z682&gt;=Законод!$G$26,Z682&lt;=Законод!$G$27),Z682-Законод!$F$27,IF('01_Доходи'!Z682&gt;=Законод!$H$26,Законод!$G$28,0)))),0)))</f>
        <v>0</v>
      </c>
      <c r="AA686" s="942"/>
      <c r="AB686" s="935" t="s">
        <v>423</v>
      </c>
      <c r="AC686" s="936"/>
      <c r="AD686" s="936"/>
      <c r="AE686" s="936"/>
      <c r="AF686" s="937"/>
      <c r="AG686" s="196">
        <f ca="1">IF($B$678="Лікар загальної практики - сімейний лікар",IF(AG682&lt;Законод!$C$22,0,(IF(AND(AG682&gt;=Законод!$G$22,AG682&lt;=Законод!$G$23),AG682-Законод!$F$23,IF('01_Доходи'!AG682&gt;=Законод!$H$22,Законод!$G$24,0)))),IF($B$678="Лікар-педіатр",IF(AG682&lt;Законод!$C$18,0,(IF(AND(AG682&gt;=Законод!$G$18,AG682&lt;=Законод!$G$19),AG682-Законод!$F$19,IF('01_Доходи'!AG682&gt;=Законод!$H$18,Законод!$G$20,0)))),IF($B$678="Лікар-терапевт",IF(AG682&lt;Законод!$C$26,0,(IF(AND(AG682&gt;=Законод!$G$26,AG682&lt;=Законод!$G$27),AG682-Законод!$F$27,IF('01_Доходи'!AG682&gt;=Законод!$H$26,Законод!$G$28,0)))),0)))</f>
        <v>0</v>
      </c>
      <c r="AH686" s="942"/>
      <c r="AI686" s="201"/>
      <c r="AJ686" s="945"/>
      <c r="AK686" s="960"/>
      <c r="AL686" s="960"/>
      <c r="AM686" s="927"/>
      <c r="AN686" s="210">
        <f ca="1">IF(B678="Лікар загальної практики - сімейний лікар",L686*Законод!$C$9/4*Законод!$G$16,IF(B678="Лікар-педіатр",L686*Законод!$C$9/4*Законод!$G$16,IF(B678="Лікар-терапевт",L686*Законод!$C$9/4*Законод!$G$16,0)))</f>
        <v>0</v>
      </c>
      <c r="AO686" s="210">
        <f ca="1">IF(B678="Лікар загальної практики - сімейний лікар",S686*Законод!$C$9/4*Законод!$G$16,IF(B678="Лікар-педіатр",S686*Законод!$C$9/4*Законод!$G$16,IF(B678="Лікар-терапевт",S686*Законод!$C$9/4*Законод!$G$16,0)))</f>
        <v>0</v>
      </c>
      <c r="AP686" s="210">
        <f ca="1">IF(B678="Лікар загальної практики - сімейний лікар",Z686*Законод!$C$9/4*Законод!$G$16,IF(B678="Лікар-педіатр",Z686*Законод!$C$9/4*Законод!$G$16,IF(B678="Лікар-терапевт",Z686*Законод!$C$9/4*Законод!$G$16,0)))</f>
        <v>0</v>
      </c>
      <c r="AQ686" s="210">
        <f ca="1">IF(B678="Лікар загальної практики - сімейний лікар",AG686*Законод!$C$9/4*Законод!$G$16,IF(B678="Лікар-педіатр",AG686*Законод!$C$9/4*Законод!$G$16,IF(B678="Лікар-терапевт",AG686*Законод!$C$9/4*Законод!$G$16,0)))</f>
        <v>0</v>
      </c>
      <c r="AR686" s="211">
        <f t="shared" si="92"/>
        <v>0</v>
      </c>
    </row>
    <row r="687" spans="1:44" s="50" customFormat="1" ht="31.9" hidden="1" customHeight="1">
      <c r="A687" s="197"/>
      <c r="B687" s="951"/>
      <c r="C687" s="954"/>
      <c r="D687" s="957"/>
      <c r="E687" s="939"/>
      <c r="F687" s="238" t="str">
        <f ca="1">IF(B678="Лікар-педіатр",Законод!$H$17,IF(B678="Лікар загальної практики - сімейний лікар",Законод!$H$21,IF(B678="Лікар-терапевт",Законод!$H$25,"х")))</f>
        <v>х</v>
      </c>
      <c r="G687" s="935" t="s">
        <v>423</v>
      </c>
      <c r="H687" s="936"/>
      <c r="I687" s="936"/>
      <c r="J687" s="936"/>
      <c r="K687" s="937"/>
      <c r="L687" s="196">
        <f ca="1">IF($B$678="Лікар загальної практики - сімейний лікар",IF(L682&lt;Законод!$C$22,0,(IF(AND(L682&gt;=Законод!$H$22,L682&lt;=Законод!$H$23),L682-Законод!$G$23,IF('01_Доходи'!L682&gt;=Законод!$I$22,Законод!$H$24,0)))),IF($B$678="Лікар-педіатр",IF(L682&lt;Законод!$C$18,0,(IF(AND(L682&gt;=Законод!$H$18,L682&lt;=Законод!$H$19),L682-Законод!$G$19,IF('01_Доходи'!L682&gt;=Законод!$I$18,Законод!$H$20,0)))),IF($B$678="Лікар-терапевт",IF(L682&lt;Законод!$C$26,0,(IF(AND(L682&gt;=Законод!$H$26,L682&lt;=Законод!$H$27),L682-Законод!$G$27,IF(L682&gt;=Законод!$I$26,Законод!$H$28,0)))),0)))</f>
        <v>0</v>
      </c>
      <c r="M687" s="942"/>
      <c r="N687" s="935" t="s">
        <v>423</v>
      </c>
      <c r="O687" s="936"/>
      <c r="P687" s="936"/>
      <c r="Q687" s="936"/>
      <c r="R687" s="937"/>
      <c r="S687" s="196">
        <f ca="1">IF($B$678="Лікар загальної практики - сімейний лікар",IF(S682&lt;Законод!$C$22,0,(IF(AND(S682&gt;=Законод!$H$22,S682&lt;=Законод!$H$23),S682-Законод!$G$23,IF('01_Доходи'!S682&gt;=Законод!$I$22,Законод!$H$24,0)))),IF($B$678="Лікар-педіатр",IF(S682&lt;Законод!$C$18,0,(IF(AND(S682&gt;=Законод!$H$18,S682&lt;=Законод!$H$19),S682-Законод!$G$19,IF('01_Доходи'!S682&gt;=Законод!$I$18,Законод!$H$20,0)))),IF($B$678="Лікар-терапевт",IF(S682&lt;Законод!$C$26,0,(IF(AND(S682&gt;=Законод!$H$26,S682&lt;=Законод!$H$27),S682-Законод!$G$27,IF(S682&gt;=Законод!$I$26,Законод!$H$28,0)))),0)))</f>
        <v>0</v>
      </c>
      <c r="T687" s="942"/>
      <c r="U687" s="935" t="s">
        <v>423</v>
      </c>
      <c r="V687" s="936"/>
      <c r="W687" s="936"/>
      <c r="X687" s="936"/>
      <c r="Y687" s="937"/>
      <c r="Z687" s="196">
        <f ca="1">IF($B$678="Лікар загальної практики - сімейний лікар",IF(Z682&lt;Законод!$C$22,0,(IF(AND(Z682&gt;=Законод!$H$22,Z682&lt;=Законод!$H$23),Z682-Законод!$G$23,IF('01_Доходи'!Z682&gt;=Законод!$I$22,Законод!$H$24,0)))),IF($B$678="Лікар-педіатр",IF(Z682&lt;Законод!$C$18,0,(IF(AND(Z682&gt;=Законод!$H$18,Z682&lt;=Законод!$H$19),Z682-Законод!$G$19,IF('01_Доходи'!Z682&gt;=Законод!$I$18,Законод!$H$20,0)))),IF($B$678="Лікар-терапевт",IF(Z682&lt;Законод!$C$26,0,(IF(AND(Z682&gt;=Законод!$H$26,Z682&lt;=Законод!$H$27),Z682-Законод!$G$27,IF(Z682&gt;=Законод!$I$26,Законод!$H$28,0)))),0)))</f>
        <v>0</v>
      </c>
      <c r="AA687" s="942"/>
      <c r="AB687" s="935" t="s">
        <v>423</v>
      </c>
      <c r="AC687" s="936"/>
      <c r="AD687" s="936"/>
      <c r="AE687" s="936"/>
      <c r="AF687" s="937"/>
      <c r="AG687" s="196">
        <f ca="1">IF($B$678="Лікар загальної практики - сімейний лікар",IF(AG682&lt;Законод!$C$22,0,(IF(AND(AG682&gt;=Законод!$H$22,AG682&lt;=Законод!$H$23),AG682-Законод!$G$23,IF('01_Доходи'!AG682&gt;=Законод!$I$22,Законод!$H$24,0)))),IF($B$678="Лікар-педіатр",IF(AG682&lt;Законод!$C$18,0,(IF(AND(AG682&gt;=Законод!$H$18,AG682&lt;=Законод!$H$19),AG682-Законод!$G$19,IF('01_Доходи'!AG682&gt;=Законод!$I$18,Законод!$H$20,0)))),IF($B$678="Лікар-терапевт",IF(AG682&lt;Законод!$C$26,0,(IF(AND(AG682&gt;=Законод!$H$26,AG682&lt;=Законод!$H$27),AG682-Законод!$G$27,IF(AG682&gt;=Законод!$I$26,Законод!$H$28,0)))),0)))</f>
        <v>0</v>
      </c>
      <c r="AH687" s="942"/>
      <c r="AI687" s="201"/>
      <c r="AJ687" s="945"/>
      <c r="AK687" s="960"/>
      <c r="AL687" s="960"/>
      <c r="AM687" s="927"/>
      <c r="AN687" s="210">
        <f ca="1">IF(B678="Лікар загальної практики - сімейний лікар",L687*Законод!$C$9/4*Законод!$H$16,IF(B678="Лікар-педіатр",L687*Законод!$C$9/4*Законод!$H$16,IF(B678="Лікар-терапевт",L687*Законод!$C$9/4*Законод!$H$16,0)))</f>
        <v>0</v>
      </c>
      <c r="AO687" s="210">
        <f ca="1">IF(B678="Лікар загальної практики - сімейний лікар",S687*Законод!$C$9/4*Законод!$H$16,IF(B678="Лікар-педіатр",S687*Законод!$C$9/4*Законод!$H$16,IF(B678="Лікар-терапевт",S687*Законод!$C$9/4*Законод!$H$16,0)))</f>
        <v>0</v>
      </c>
      <c r="AP687" s="210">
        <f ca="1">IF(B678="Лікар загальної практики - сімейний лікар",Z687*Законод!$C$9/4*Законод!$H$16,IF(B678="Лікар-педіатр",Z687*Законод!$C$9/4*Законод!$H$16,IF(B678="Лікар-терапевт",Z687*Законод!$C$9/4*Законод!$H$16,0)))</f>
        <v>0</v>
      </c>
      <c r="AQ687" s="210">
        <f ca="1">IF(B678="Лікар загальної практики - сімейний лікар",AG687*Законод!$C$9/4*Законод!$H$16,IF(B678="Лікар-педіатр",AG687*Законод!$C$9/4*Законод!$H$16,IF(B678="Лікар-терапевт",AG687*Законод!$C$9/4*Законод!$H$16,0)))</f>
        <v>0</v>
      </c>
      <c r="AR687" s="211">
        <f t="shared" si="92"/>
        <v>0</v>
      </c>
    </row>
    <row r="688" spans="1:44" s="50" customFormat="1" ht="31.9" hidden="1" customHeight="1">
      <c r="A688" s="197"/>
      <c r="B688" s="951"/>
      <c r="C688" s="954"/>
      <c r="D688" s="957"/>
      <c r="E688" s="939"/>
      <c r="F688" s="238" t="str">
        <f ca="1">IF(B678="Лікар-педіатр",Законод!$I$17,IF(B678="Лікар загальної практики - сімейний лікар",Законод!$I$21,IF(B678="Лікар-терапевт",Законод!$I$25,"х")))</f>
        <v>х</v>
      </c>
      <c r="G688" s="935" t="s">
        <v>423</v>
      </c>
      <c r="H688" s="936"/>
      <c r="I688" s="936"/>
      <c r="J688" s="936"/>
      <c r="K688" s="937"/>
      <c r="L688" s="196">
        <f ca="1">IF($B$678="Лікар загальної практики - сімейний лікар",IF(L682&lt;Законод!$C$22,0,(IF(AND(L682&gt;=Законод!$I$22,L682&lt;=Законод!$I$23),L682-Законод!$H$23,IF('01_Доходи'!L682&gt;=Законод!$I$22,Законод!$I$24,0)))),IF($B$678="Лікар-педіатр",IF(L682&lt;Законод!$C$18,0,(IF(AND(L682&gt;=Законод!$I$18,L682&lt;=Законод!$I$19),L682-Законод!$H$19,IF('01_Доходи'!L682&gt;=Законод!$I$18,Законод!$H$20,0)))),IF($B$678="Лікар-терапевт",IF(L682&lt;Законод!$C$26,0,(IF(AND(L682&gt;=Законод!$I$26,L682&lt;=Законод!$I$27),L682-Законод!$H$27,IF('01_Доходи'!L682&gt;=Законод!$I$26,Законод!$H$28,0)))),0)))</f>
        <v>0</v>
      </c>
      <c r="M688" s="942"/>
      <c r="N688" s="935" t="s">
        <v>423</v>
      </c>
      <c r="O688" s="936"/>
      <c r="P688" s="936"/>
      <c r="Q688" s="936"/>
      <c r="R688" s="937"/>
      <c r="S688" s="196">
        <f ca="1">IF($B$678="Лікар загальної практики - сімейний лікар",IF(S682&lt;Законод!$C$22,0,(IF(AND(S682&gt;=Законод!$I$22,S682&lt;=Законод!$I$23),S682-Законод!$H$23,IF('01_Доходи'!S682&gt;=Законод!$I$22,Законод!$I$24,0)))),IF($B$678="Лікар-педіатр",IF(S682&lt;Законод!$C$18,0,(IF(AND(S682&gt;=Законод!$I$18,S682&lt;=Законод!$I$19),S682-Законод!$H$19,IF('01_Доходи'!S682&gt;=Законод!$I$18,Законод!$H$20,0)))),IF($B$678="Лікар-терапевт",IF(S682&lt;Законод!$C$26,0,(IF(AND(S682&gt;=Законод!$I$26,S682&lt;=Законод!$I$27),S682-Законод!$H$27,IF('01_Доходи'!S682&gt;=Законод!$I$26,Законод!$H$28,0)))),0)))</f>
        <v>0</v>
      </c>
      <c r="T688" s="942"/>
      <c r="U688" s="935" t="s">
        <v>423</v>
      </c>
      <c r="V688" s="936"/>
      <c r="W688" s="936"/>
      <c r="X688" s="936"/>
      <c r="Y688" s="937"/>
      <c r="Z688" s="196">
        <f ca="1">IF($B$678="Лікар загальної практики - сімейний лікар",IF(Z682&lt;Законод!$C$22,0,(IF(AND(Z682&gt;=Законод!$I$22,Z682&lt;=Законод!$I$23),Z682-Законод!$H$23,IF('01_Доходи'!Z682&gt;=Законод!$I$22,Законод!$I$24,0)))),IF($B$678="Лікар-педіатр",IF(Z682&lt;Законод!$C$18,0,(IF(AND(Z682&gt;=Законод!$I$18,Z682&lt;=Законод!$I$19),Z682-Законод!$H$19,IF('01_Доходи'!Z682&gt;=Законод!$I$18,Законод!$H$20,0)))),IF($B$678="Лікар-терапевт",IF(Z682&lt;Законод!$C$26,0,(IF(AND(Z682&gt;=Законод!$I$26,Z682&lt;=Законод!$I$27),Z682-Законод!$H$27,IF('01_Доходи'!Z682&gt;=Законод!$I$26,Законод!$H$28,0)))),0)))</f>
        <v>0</v>
      </c>
      <c r="AA688" s="942"/>
      <c r="AB688" s="935" t="s">
        <v>423</v>
      </c>
      <c r="AC688" s="936"/>
      <c r="AD688" s="936"/>
      <c r="AE688" s="936"/>
      <c r="AF688" s="937"/>
      <c r="AG688" s="196">
        <f ca="1">IF($B$678="Лікар загальної практики - сімейний лікар",IF(AG682&lt;Законод!$C$22,0,(IF(AND(AG682&gt;=Законод!$I$22,AG682&lt;=Законод!$I$23),AG682-Законод!$H$23,IF('01_Доходи'!AG682&gt;=Законод!$I$22,Законод!$I$24,0)))),IF($B$678="Лікар-педіатр",IF(AG682&lt;Законод!$C$18,0,(IF(AND(AG682&gt;=Законод!$I$18,AG682&lt;=Законод!$I$19),AG682-Законод!$H$19,IF('01_Доходи'!AG682&gt;=Законод!$I$18,Законод!$H$20,0)))),IF($B$678="Лікар-терапевт",IF(AG682&lt;Законод!$C$26,0,(IF(AND(AG682&gt;=Законод!$I$26,AG682&lt;=Законод!$I$27),AG682-Законод!$H$27,IF('01_Доходи'!AG682&gt;=Законод!$I$26,Законод!$H$28,0)))),0)))</f>
        <v>0</v>
      </c>
      <c r="AH688" s="942"/>
      <c r="AI688" s="201"/>
      <c r="AJ688" s="945"/>
      <c r="AK688" s="960"/>
      <c r="AL688" s="960"/>
      <c r="AM688" s="927"/>
      <c r="AN688" s="210">
        <f ca="1">IF(B678="Лікар загальної практики - сімейний лікар",L688*Законод!$C$9/4*Законод!$I$16,IF(B678="Лікар-педіатр",L688*Законод!$C$9/4*Законод!$I$16,IF(B678="Лікар-терапевт",L688*Законод!$C$9/4*Законод!$I$16,0)))</f>
        <v>0</v>
      </c>
      <c r="AO688" s="210">
        <f ca="1">IF(B678="Лікар загальної практики - сімейний лікар",S688*Законод!$C$9/4*Законод!$I$16,IF(B678="Лікар-педіатр",S688*Законод!$C$9/4*Законод!$I$16,IF(B678="Лікар-терапевт",S688*Законод!$C$9/4*Законод!$I$16,0)))</f>
        <v>0</v>
      </c>
      <c r="AP688" s="210">
        <f ca="1">IF(B678="Лікар загальної практики - сімейний лікар",Z688*Законод!$C$9/4*Законод!$I$16,IF(B678="Лікар-педіатр",Z688*Законод!$C$9/4*Законод!$I$16,IF(B678="Лікар-терапевт",Z688*Законод!$C$9/4*Законод!$I$16,0)))</f>
        <v>0</v>
      </c>
      <c r="AQ688" s="210">
        <f ca="1">IF(B678="Лікар загальної практики - сімейний лікар",AG688*Законод!$C$9/4*Законод!$I$16,IF(B678="Лікар-педіатр",AG688*Законод!$C$9/4*Законод!$I$16,IF(B678="Лікар-терапевт",AG688*Законод!$C$9/4*Законод!$I$16,0)))</f>
        <v>0</v>
      </c>
      <c r="AR688" s="211">
        <f t="shared" si="92"/>
        <v>0</v>
      </c>
    </row>
    <row r="689" spans="1:44" s="218" customFormat="1" ht="31.9" hidden="1" customHeight="1" thickBot="1">
      <c r="A689" s="213"/>
      <c r="B689" s="952"/>
      <c r="C689" s="955"/>
      <c r="D689" s="958"/>
      <c r="E689" s="940"/>
      <c r="F689" s="239" t="str">
        <f ca="1">IF(B678="Лікар-педіатр",Законод!$J$17,IF(B678="Лікар загальної практики - сімейний лікар",Законод!$J$21,IF(B678="Лікар-терапевт",Законод!$J$25,"х")))</f>
        <v>х</v>
      </c>
      <c r="G689" s="932" t="s">
        <v>423</v>
      </c>
      <c r="H689" s="933"/>
      <c r="I689" s="933"/>
      <c r="J689" s="933"/>
      <c r="K689" s="934"/>
      <c r="L689" s="196">
        <f ca="1">IF($B$678="Лікар загальної практики - сімейний лікар",IF(L682&gt;=Законод!$J$22,'01_Доходи'!L682-('01_Доходи'!L683+'01_Доходи'!L684+'01_Доходи'!L685+'01_Доходи'!L686+'01_Доходи'!L687+'01_Доходи'!L688),0),IF($B$678="Лікар-педіатр",IF(L682&gt;=Законод!$J$18,'01_Доходи'!L682-('01_Доходи'!L683+'01_Доходи'!L684+'01_Доходи'!L685+'01_Доходи'!L686+'01_Доходи'!L687+'01_Доходи'!L688),0),IF($B$678="Лікар-терапевт",IF('01_Доходи'!L682&gt;=Законод!$J$26,L682-Законод!$I$27,0),0)))</f>
        <v>0</v>
      </c>
      <c r="M689" s="943"/>
      <c r="N689" s="932" t="s">
        <v>423</v>
      </c>
      <c r="O689" s="933"/>
      <c r="P689" s="933"/>
      <c r="Q689" s="933"/>
      <c r="R689" s="934"/>
      <c r="S689" s="196">
        <f ca="1">IF($B$678="Лікар загальної практики - сімейний лікар",IF(S682&gt;=Законод!$J$22,'01_Доходи'!S682-('01_Доходи'!S683+'01_Доходи'!S684+'01_Доходи'!S685+'01_Доходи'!S686+'01_Доходи'!S687+'01_Доходи'!S688),0),IF($B$678="Лікар-педіатр",IF(S682&gt;=Законод!$J$18,'01_Доходи'!S682-('01_Доходи'!S683+'01_Доходи'!S684+'01_Доходи'!S685+'01_Доходи'!S686+'01_Доходи'!S687+'01_Доходи'!S688),0),IF($B$678="Лікар-терапевт",IF('01_Доходи'!S682&gt;=Законод!$J$26,S682-Законод!$I$27,0),0)))</f>
        <v>0</v>
      </c>
      <c r="T689" s="943"/>
      <c r="U689" s="932" t="s">
        <v>423</v>
      </c>
      <c r="V689" s="933"/>
      <c r="W689" s="933"/>
      <c r="X689" s="933"/>
      <c r="Y689" s="934"/>
      <c r="Z689" s="196">
        <f ca="1">IF($B$678="Лікар загальної практики - сімейний лікар",IF(Z682&gt;=Законод!$J$22,'01_Доходи'!Z682-('01_Доходи'!Z683+'01_Доходи'!Z684+'01_Доходи'!Z685+'01_Доходи'!Z686+'01_Доходи'!Z687+'01_Доходи'!Z688),0),IF($B$678="Лікар-педіатр",IF(Z682&gt;=Законод!$J$18,'01_Доходи'!Z682-('01_Доходи'!Z683+'01_Доходи'!Z684+'01_Доходи'!Z685+'01_Доходи'!Z686+'01_Доходи'!Z687+'01_Доходи'!Z688),0),IF($B$678="Лікар-терапевт",IF('01_Доходи'!Z682&gt;=Законод!$J$26,Z682-Законод!$I$27,0),0)))</f>
        <v>0</v>
      </c>
      <c r="AA689" s="943"/>
      <c r="AB689" s="932" t="s">
        <v>423</v>
      </c>
      <c r="AC689" s="933"/>
      <c r="AD689" s="933"/>
      <c r="AE689" s="933"/>
      <c r="AF689" s="934"/>
      <c r="AG689" s="196">
        <f ca="1">IF($B$678="Лікар загальної практики - сімейний лікар",IF(AG682&gt;=Законод!$J$22,'01_Доходи'!AG682-('01_Доходи'!AG683+'01_Доходи'!AG684+'01_Доходи'!AG685+'01_Доходи'!AG686+'01_Доходи'!AG687+'01_Доходи'!AG688),0),IF($B$678="Лікар-педіатр",IF(AG682&gt;=Законод!$J$18,'01_Доходи'!AG682-('01_Доходи'!AG683+'01_Доходи'!AG684+'01_Доходи'!AG685+'01_Доходи'!AG686+'01_Доходи'!AG687+'01_Доходи'!AG688),0),IF($B$678="Лікар-терапевт",IF('01_Доходи'!AG682&gt;=Законод!$J$26,AG682-Законод!$I$27,0),0)))</f>
        <v>0</v>
      </c>
      <c r="AH689" s="943"/>
      <c r="AI689" s="215"/>
      <c r="AJ689" s="946"/>
      <c r="AK689" s="961"/>
      <c r="AL689" s="961"/>
      <c r="AM689" s="928"/>
      <c r="AN689" s="216">
        <f ca="1">IF(B678="Лікар загальної практики - сімейний лікар",L689*Законод!$C$9/4*Законод!$J$16,IF(B678="Лікар-педіатр",L689*Законод!$C$9/4*Законод!$J$16,IF(B678="Лікар-терапевт",L689*Законод!$C$9/4*Законод!$J$16,0)))</f>
        <v>0</v>
      </c>
      <c r="AO689" s="216">
        <f ca="1">IF(B678="Лікар загальної практики - сімейний лікар",S689*Законод!$C$9/4*Законод!$J$16,IF(B678="Лікар-педіатр",S689*Законод!$C$9/4*Законод!$J$16,IF(B678="Лікар-терапевт",S689*Законод!$C$9/4*Законод!$J$16,0)))</f>
        <v>0</v>
      </c>
      <c r="AP689" s="216">
        <f ca="1">IF(B678="Лікар загальної практики - сімейний лікар",S689*Законод!$C$9/4*Законод!$J$16,IF(B678="Лікар-педіатр",S689*Законод!$C$9/4*Законод!$J$16,IF(B678="Лікар-терапевт",S689*Законод!$C$9/4*Законод!$J$16,0)))</f>
        <v>0</v>
      </c>
      <c r="AQ689" s="216">
        <f ca="1">IF(B678="Лікар загальної практики - сімейний лікар",AG689*Законод!$C$9/4*Законод!$J$16,IF(B678="Лікар-педіатр",AG689*Законод!$C$9/4*Законод!$J$16,IF(B678="Лікар-терапевт",AG689*Законод!$C$9/4*Законод!$J$16,0)))</f>
        <v>0</v>
      </c>
      <c r="AR689" s="217">
        <f t="shared" si="92"/>
        <v>0</v>
      </c>
    </row>
    <row r="690" spans="1:44" s="247" customFormat="1" ht="23.45" hidden="1" customHeight="1" thickBot="1">
      <c r="A690" s="243"/>
      <c r="B690" s="244"/>
      <c r="C690" s="244"/>
      <c r="D690" s="244"/>
      <c r="E690" s="244"/>
      <c r="F690" s="245"/>
      <c r="G690" s="246"/>
      <c r="H690" s="246"/>
      <c r="L690" s="248"/>
      <c r="S690" s="248"/>
      <c r="Z690" s="248"/>
      <c r="AG690" s="248"/>
      <c r="AM690" s="249"/>
      <c r="AR690" s="250"/>
    </row>
    <row r="691" spans="1:44" s="191" customFormat="1" ht="24.6" hidden="1" customHeight="1">
      <c r="A691" s="194">
        <f>A678+1</f>
        <v>51</v>
      </c>
      <c r="B691" s="950"/>
      <c r="C691" s="953"/>
      <c r="D691" s="956"/>
      <c r="E691" s="938"/>
      <c r="F691" s="234" t="s">
        <v>659</v>
      </c>
      <c r="G691" s="196">
        <f>IF($B$691="Лікар-педіатр",G694*L691,IF($B$691="Лікар-терапевт","х",IF($B$691="Лікар загальної практики - сімейний лікар",G694*L691,0)))</f>
        <v>0</v>
      </c>
      <c r="H691" s="196">
        <f>IF($B$691="Лікар-педіатр",H694*L691,IF($B$691="Лікар-терапевт","х",IF($B$691="Лікар загальної практики - сімейний лікар",H694*L691,0)))</f>
        <v>0</v>
      </c>
      <c r="I691" s="196">
        <f>IF($B$691="Лікар-педіатр","x",IF($B$691="Лікар-терапевт",I694*L691,IF($B$691="Лікар загальної практики - сімейний лікар",I694*L691,0)))</f>
        <v>0</v>
      </c>
      <c r="J691" s="196">
        <f>IF($B$691="Лікар-педіатр","x",IF($B$691="Лікар-терапевт",J694*L691,IF($B$691="Лікар загальної практики - сімейний лікар",J694*L691,0)))</f>
        <v>0</v>
      </c>
      <c r="K691" s="196">
        <f>IF($B$691="Лікар-педіатр","x",IF($B$691="Лікар-терапевт",K694*L691,IF($B$691="Лікар загальної практики - сімейний лікар",K694*L691,0)))</f>
        <v>0</v>
      </c>
      <c r="L691" s="557"/>
      <c r="M691" s="941"/>
      <c r="N691" s="196">
        <f>IF($B$691="Лікар-педіатр",N694*S691,IF($B$691="Лікар-терапевт","х",IF($B$691="Лікар загальної практики - сімейний лікар",N694*S691,0)))</f>
        <v>0</v>
      </c>
      <c r="O691" s="196">
        <f>IF($B$691="Лікар-педіатр",O694*S691,IF($B$691="Лікар-терапевт","х",IF($B$691="Лікар загальної практики - сімейний лікар",O694*S691,0)))</f>
        <v>0</v>
      </c>
      <c r="P691" s="196">
        <f>IF($B$691="Лікар-педіатр","x",IF($B$691="Лікар-терапевт",P694*S691,IF($B$691="Лікар загальної практики - сімейний лікар",P694*S691,0)))</f>
        <v>0</v>
      </c>
      <c r="Q691" s="196">
        <f>IF($B$691="Лікар-педіатр","x",IF($B$691="Лікар-терапевт",Q694*S691,IF($B$691="Лікар загальної практики - сімейний лікар",Q694*S691,0)))</f>
        <v>0</v>
      </c>
      <c r="R691" s="196">
        <f>IF($B$691="Лікар-педіатр","x",IF($B$691="Лікар-терапевт",R694*S691,IF($B$691="Лікар загальної практики - сімейний лікар",R694*S691,0)))</f>
        <v>0</v>
      </c>
      <c r="S691" s="557"/>
      <c r="T691" s="941"/>
      <c r="U691" s="196">
        <f>IF($B$691="Лікар-педіатр",U694*Z691,IF($B$691="Лікар-терапевт","х",IF($B$691="Лікар загальної практики - сімейний лікар",U694*Z691,0)))</f>
        <v>0</v>
      </c>
      <c r="V691" s="196">
        <f>IF($B$691="Лікар-педіатр",V694*Z691,IF($B$691="Лікар-терапевт","х",IF($B$691="Лікар загальної практики - сімейний лікар",V694*Z691,0)))</f>
        <v>0</v>
      </c>
      <c r="W691" s="196">
        <f>IF($B$691="Лікар-педіатр","x",IF($B$691="Лікар-терапевт",W694*Z691,IF($B$691="Лікар загальної практики - сімейний лікар",W694*Z691,0)))</f>
        <v>0</v>
      </c>
      <c r="X691" s="196">
        <f>IF($B$691="Лікар-педіатр","x",IF($B$691="Лікар-терапевт",X694*Z691,IF($B$691="Лікар загальної практики - сімейний лікар",X694*Z691,0)))</f>
        <v>0</v>
      </c>
      <c r="Y691" s="196">
        <f>IF($B$691="Лікар-педіатр","x",IF($B$691="Лікар-терапевт",Y694*Z691,IF($B$691="Лікар загальної практики - сімейний лікар",Y694*Z691,0)))</f>
        <v>0</v>
      </c>
      <c r="Z691" s="557"/>
      <c r="AA691" s="941"/>
      <c r="AB691" s="196">
        <f>IF($B$691="Лікар-педіатр",AB694*AG691,IF($B$691="Лікар-терапевт","х",IF($B$691="Лікар загальної практики - сімейний лікар",AB694*AG691,0)))</f>
        <v>0</v>
      </c>
      <c r="AC691" s="196">
        <f>IF($B$691="Лікар-педіатр",AC694*AG691,IF($B$691="Лікар-терапевт","х",IF($B$691="Лікар загальної практики - сімейний лікар",AC694*AG691,0)))</f>
        <v>0</v>
      </c>
      <c r="AD691" s="196">
        <f>IF($B$691="Лікар-педіатр","x",IF($B$691="Лікар-терапевт",AD694*AG691,IF($B$691="Лікар загальної практики - сімейний лікар",AD694*AG691,0)))</f>
        <v>0</v>
      </c>
      <c r="AE691" s="196">
        <f>IF($B$691="Лікар-педіатр","x",IF($B$691="Лікар-терапевт",AE694*AG691,IF($B$691="Лікар загальної практики - сімейний лікар",AE694*AG691,0)))</f>
        <v>0</v>
      </c>
      <c r="AF691" s="196">
        <f>IF($B$691="Лікар-педіатр","x",IF($B$691="Лікар-терапевт",AF694*AG691,IF($B$691="Лікар загальної практики - сімейний лікар",AF694*AG691,0)))</f>
        <v>0</v>
      </c>
      <c r="AG691" s="557"/>
      <c r="AH691" s="941"/>
      <c r="AI691" s="540">
        <f>A691</f>
        <v>51</v>
      </c>
      <c r="AJ691" s="944">
        <f>B691</f>
        <v>0</v>
      </c>
      <c r="AK691" s="959">
        <f>C691</f>
        <v>0</v>
      </c>
      <c r="AL691" s="959">
        <f>D691</f>
        <v>0</v>
      </c>
      <c r="AM691" s="929" t="s">
        <v>79</v>
      </c>
      <c r="AN691" s="947">
        <f>SUM(AN696:AN702)</f>
        <v>0</v>
      </c>
      <c r="AO691" s="947">
        <f>SUM(AO696:AO702)</f>
        <v>0</v>
      </c>
      <c r="AP691" s="947">
        <f>SUM(AP696:AP702)</f>
        <v>0</v>
      </c>
      <c r="AQ691" s="947">
        <f>SUM(AQ696:AQ702)</f>
        <v>0</v>
      </c>
      <c r="AR691" s="962">
        <f>SUM(AN691:AQ695)</f>
        <v>0</v>
      </c>
    </row>
    <row r="692" spans="1:44" s="50" customFormat="1" ht="28.15" hidden="1" customHeight="1">
      <c r="A692" s="197"/>
      <c r="B692" s="951"/>
      <c r="C692" s="954"/>
      <c r="D692" s="957"/>
      <c r="E692" s="939"/>
      <c r="F692" s="234" t="s">
        <v>660</v>
      </c>
      <c r="G692" s="196">
        <f>IF($B$691="Лікар-педіатр",G694*L692,IF($B$691="Лікар-терапевт","х",IF($B$691="Лікар загальної практики - сімейний лікар",G694*L692,0)))</f>
        <v>0</v>
      </c>
      <c r="H692" s="196">
        <f>IF($B$691="Лікар-педіатр",H694*L692,IF($B$691="Лікар-терапевт","х",IF($B$691="Лікар загальної практики - сімейний лікар",H694*L692,0)))</f>
        <v>0</v>
      </c>
      <c r="I692" s="196">
        <f>IF($B$691="Лікар-педіатр","x",IF($B$691="Лікар-терапевт",I694*L692,IF($B$691="Лікар загальної практики - сімейний лікар",I694*L692,0)))</f>
        <v>0</v>
      </c>
      <c r="J692" s="196">
        <f>IF($B$691="Лікар-педіатр","x",IF($B$691="Лікар-терапевт",J694*L692,IF($B$691="Лікар загальної практики - сімейний лікар",J694*L692,0)))</f>
        <v>0</v>
      </c>
      <c r="K692" s="196">
        <f>IF($B$691="Лікар-педіатр","x",IF($B$691="Лікар-терапевт",K694*L692,IF($B$691="Лікар загальної практики - сімейний лікар",K694*L692,0)))</f>
        <v>0</v>
      </c>
      <c r="L692" s="557"/>
      <c r="M692" s="942"/>
      <c r="N692" s="196">
        <f>IF($B$691="Лікар-педіатр",N694*S692,IF($B$691="Лікар-терапевт","х",IF($B$691="Лікар загальної практики - сімейний лікар",N694*S692,0)))</f>
        <v>0</v>
      </c>
      <c r="O692" s="196">
        <f>IF($B$691="Лікар-педіатр",O694*S692,IF($B$691="Лікар-терапевт","х",IF($B$691="Лікар загальної практики - сімейний лікар",O694*S692,0)))</f>
        <v>0</v>
      </c>
      <c r="P692" s="196">
        <f>IF($B$691="Лікар-педіатр","x",IF($B$691="Лікар-терапевт",P694*S692,IF($B$691="Лікар загальної практики - сімейний лікар",P694*S692,0)))</f>
        <v>0</v>
      </c>
      <c r="Q692" s="196">
        <f>IF($B$691="Лікар-педіатр","x",IF($B$691="Лікар-терапевт",Q694*S692,IF($B$691="Лікар загальної практики - сімейний лікар",Q694*S692,0)))</f>
        <v>0</v>
      </c>
      <c r="R692" s="196">
        <f>IF($B$691="Лікар-педіатр","x",IF($B$691="Лікар-терапевт",R694*S692,IF($B$691="Лікар загальної практики - сімейний лікар",R694*S692,0)))</f>
        <v>0</v>
      </c>
      <c r="S692" s="557"/>
      <c r="T692" s="942"/>
      <c r="U692" s="196">
        <f>IF($B$691="Лікар-педіатр",U694*Z692,IF($B$691="Лікар-терапевт","х",IF($B$691="Лікар загальної практики - сімейний лікар",U694*Z692,0)))</f>
        <v>0</v>
      </c>
      <c r="V692" s="196">
        <f>IF($B$691="Лікар-педіатр",V694*Z692,IF($B$691="Лікар-терапевт","х",IF($B$691="Лікар загальної практики - сімейний лікар",V694*Z692,0)))</f>
        <v>0</v>
      </c>
      <c r="W692" s="196">
        <f>IF($B$691="Лікар-педіатр","x",IF($B$691="Лікар-терапевт",W694*Z692,IF($B$691="Лікар загальної практики - сімейний лікар",W694*Z692,0)))</f>
        <v>0</v>
      </c>
      <c r="X692" s="196">
        <f>IF($B$691="Лікар-педіатр","x",IF($B$691="Лікар-терапевт",X694*Z692,IF($B$691="Лікар загальної практики - сімейний лікар",X694*Z692,0)))</f>
        <v>0</v>
      </c>
      <c r="Y692" s="196">
        <f>IF($B$691="Лікар-педіатр","x",IF($B$691="Лікар-терапевт",Y694*Z692,IF($B$691="Лікар загальної практики - сімейний лікар",Y694*Z692,0)))</f>
        <v>0</v>
      </c>
      <c r="Z692" s="557"/>
      <c r="AA692" s="942"/>
      <c r="AB692" s="196">
        <f>IF($B$691="Лікар-педіатр",AB694*AG692,IF($B$691="Лікар-терапевт","х",IF($B$691="Лікар загальної практики - сімейний лікар",AB694*AG692,0)))</f>
        <v>0</v>
      </c>
      <c r="AC692" s="196">
        <f>IF($B$691="Лікар-педіатр",AC694*AG692,IF($B$691="Лікар-терапевт","х",IF($B$691="Лікар загальної практики - сімейний лікар",AC694*AG692,0)))</f>
        <v>0</v>
      </c>
      <c r="AD692" s="196">
        <f>IF($B$691="Лікар-педіатр","x",IF($B$691="Лікар-терапевт",AD694*AG692,IF($B$691="Лікар загальної практики - сімейний лікар",AD694*AG692,0)))</f>
        <v>0</v>
      </c>
      <c r="AE692" s="196">
        <f>IF($B$691="Лікар-педіатр","x",IF($B$691="Лікар-терапевт",AE694*AG692,IF($B$691="Лікар загальної практики - сімейний лікар",AE694*AG692,0)))</f>
        <v>0</v>
      </c>
      <c r="AF692" s="196">
        <f>IF($B$691="Лікар-педіатр","x",IF($B$691="Лікар-терапевт",AF694*AG692,IF($B$691="Лікар загальної практики - сімейний лікар",AF694*AG692,0)))</f>
        <v>0</v>
      </c>
      <c r="AG692" s="557"/>
      <c r="AH692" s="942"/>
      <c r="AI692" s="198"/>
      <c r="AJ692" s="945"/>
      <c r="AK692" s="960"/>
      <c r="AL692" s="960"/>
      <c r="AM692" s="930"/>
      <c r="AN692" s="948"/>
      <c r="AO692" s="948"/>
      <c r="AP692" s="948"/>
      <c r="AQ692" s="948"/>
      <c r="AR692" s="963"/>
    </row>
    <row r="693" spans="1:44" s="90" customFormat="1" ht="31.15" hidden="1" customHeight="1">
      <c r="A693" s="240"/>
      <c r="B693" s="951"/>
      <c r="C693" s="954"/>
      <c r="D693" s="957"/>
      <c r="E693" s="939"/>
      <c r="F693" s="241" t="s">
        <v>661</v>
      </c>
      <c r="G693" s="199">
        <f>IF(B691="Лікар загальної практики - сімейний лікар"," ",IF(B691="Лікар-педіатр"," ",IF(B691="Лікар-терапевт","х",0)))</f>
        <v>0</v>
      </c>
      <c r="H693" s="199">
        <f>IF(B691="Лікар загальної практики - сімейний лікар"," ",IF(B691="Лікар-педіатр"," ",IF(B691="Лікар-терапевт","х",0)))</f>
        <v>0</v>
      </c>
      <c r="I693" s="199">
        <f>IF(B691="Лікар загальної практики - сімейний лікар"," ",IF(B691="Лікар-педіатр","х",IF(B691="Лікар-терапевт"," ",0)))</f>
        <v>0</v>
      </c>
      <c r="J693" s="199">
        <f>IF(B691="Лікар загальної практики - сімейний лікар"," ",IF(B691="Лікар-педіатр","х",IF(B691="Лікар-терапевт"," ",0)))</f>
        <v>0</v>
      </c>
      <c r="K693" s="199">
        <f>IF(B691="Лікар загальної практики - сімейний лікар"," ",IF(B691="Лікар-педіатр","х",IF(B691="Лікар-терапевт"," ",0)))</f>
        <v>0</v>
      </c>
      <c r="L693" s="200">
        <f>SUM(G693:K693)</f>
        <v>0</v>
      </c>
      <c r="M693" s="942"/>
      <c r="N693" s="199">
        <f>IF(B691="Лікар загальної практики - сімейний лікар"," ",IF(B691="Лікар-педіатр"," ",IF(B691="Лікар-терапевт","х",0)))</f>
        <v>0</v>
      </c>
      <c r="O693" s="199">
        <f>IF(B691="Лікар загальної практики - сімейний лікар"," ",IF(B691="Лікар-педіатр"," ",IF(B691="Лікар-терапевт","х",0)))</f>
        <v>0</v>
      </c>
      <c r="P693" s="199">
        <f>IF(B691="Лікар загальної практики - сімейний лікар"," ",IF(B691="Лікар-педіатр","х",IF(B691="Лікар-терапевт"," ",0)))</f>
        <v>0</v>
      </c>
      <c r="Q693" s="199">
        <f>IF(B691="Лікар загальної практики - сімейний лікар"," ",IF(B691="Лікар-педіатр","х",IF(B691="Лікар-терапевт"," ",0)))</f>
        <v>0</v>
      </c>
      <c r="R693" s="199">
        <f>IF(B691="Лікар загальної практики - сімейний лікар"," ",IF(B691="Лікар-педіатр","х",IF(B691="Лікар-терапевт"," ",0)))</f>
        <v>0</v>
      </c>
      <c r="S693" s="200">
        <f>SUM(N693:R693)</f>
        <v>0</v>
      </c>
      <c r="T693" s="942"/>
      <c r="U693" s="199">
        <f>IF(B691="Лікар загальної практики - сімейний лікар"," ",IF(B691="Лікар-педіатр"," ",IF(B691="Лікар-терапевт","х",0)))</f>
        <v>0</v>
      </c>
      <c r="V693" s="199">
        <f>IF(B691="Лікар загальної практики - сімейний лікар"," ",IF(B691="Лікар-педіатр"," ",IF(B691="Лікар-терапевт","х",0)))</f>
        <v>0</v>
      </c>
      <c r="W693" s="199">
        <f>IF(B691="Лікар загальної практики - сімейний лікар"," ",IF(B691="Лікар-педіатр","х",IF(B691="Лікар-терапевт"," ",0)))</f>
        <v>0</v>
      </c>
      <c r="X693" s="199">
        <f>IF(B691="Лікар загальної практики - сімейний лікар"," ",IF(B691="Лікар-педіатр","х",IF(B691="Лікар-терапевт"," ",0)))</f>
        <v>0</v>
      </c>
      <c r="Y693" s="199">
        <f>IF(B691="Лікар загальної практики - сімейний лікар"," ",IF(B691="Лікар-педіатр","х",IF(B691="Лікар-терапевт"," ",0)))</f>
        <v>0</v>
      </c>
      <c r="Z693" s="200">
        <f>SUM(U693:Y693)</f>
        <v>0</v>
      </c>
      <c r="AA693" s="942"/>
      <c r="AB693" s="199">
        <f>IF(B691="Лікар загальної практики - сімейний лікар"," ",IF(B691="Лікар-педіатр"," ",IF(B691="Лікар-терапевт","х",0)))</f>
        <v>0</v>
      </c>
      <c r="AC693" s="199">
        <f>IF(B691="Лікар загальної практики - сімейний лікар"," ",IF(B691="Лікар-педіатр"," ",IF(B691="Лікар-терапевт","х",0)))</f>
        <v>0</v>
      </c>
      <c r="AD693" s="199">
        <f>IF(B691="Лікар загальної практики - сімейний лікар"," ",IF(B691="Лікар-педіатр","х",IF(B691="Лікар-терапевт"," ",0)))</f>
        <v>0</v>
      </c>
      <c r="AE693" s="199">
        <f>IF(B691="Лікар загальної практики - сімейний лікар"," ",IF(B691="Лікар-педіатр","х",IF(B691="Лікар-терапевт"," ",0)))</f>
        <v>0</v>
      </c>
      <c r="AF693" s="199">
        <f>IF(B691="Лікар загальної практики - сімейний лікар"," ",IF(B691="Лікар-педіатр","х",IF(B691="Лікар-терапевт"," ",0)))</f>
        <v>0</v>
      </c>
      <c r="AG693" s="200">
        <f>SUM(AB693:AF693)</f>
        <v>0</v>
      </c>
      <c r="AH693" s="942"/>
      <c r="AI693" s="242"/>
      <c r="AJ693" s="945"/>
      <c r="AK693" s="960"/>
      <c r="AL693" s="960"/>
      <c r="AM693" s="930"/>
      <c r="AN693" s="948"/>
      <c r="AO693" s="948"/>
      <c r="AP693" s="948"/>
      <c r="AQ693" s="948"/>
      <c r="AR693" s="963"/>
    </row>
    <row r="694" spans="1:44" s="50" customFormat="1" ht="31.9" hidden="1" customHeight="1" thickBot="1">
      <c r="A694" s="197"/>
      <c r="B694" s="951"/>
      <c r="C694" s="954"/>
      <c r="D694" s="957"/>
      <c r="E694" s="939"/>
      <c r="F694" s="236" t="s">
        <v>426</v>
      </c>
      <c r="G694" s="203">
        <f>IF($B$691="Лікар-педіатр",G693/L693,IF($B$691="Лікар-терапевт","х",IF($B$691="Лікар загальної практики - сімейний лікар",G693/L693,0)))</f>
        <v>0</v>
      </c>
      <c r="H694" s="203">
        <f>IF($B$691="Лікар-педіатр",H693/L693,IF($B$691="Лікар-терапевт","х",IF($B$691="Лікар загальної практики - сімейний лікар",H693/L693,0)))</f>
        <v>0</v>
      </c>
      <c r="I694" s="203">
        <f>IF($B$691="Лікар-педіатр","x",IF($B$691="Лікар-терапевт",I693/L693,IF($B$691="Лікар загальної практики - сімейний лікар",I693/L693,0)))</f>
        <v>0</v>
      </c>
      <c r="J694" s="203">
        <f>IF($B$691="Лікар-педіатр","x",IF($B$691="Лікар-терапевт",J693/L693,IF($B$691="Лікар загальної практики - сімейний лікар",J693/L693,0)))</f>
        <v>0</v>
      </c>
      <c r="K694" s="203">
        <f>IF($B$691="Лікар-педіатр","x",IF($B$691="Лікар-терапевт",K693/L693,IF($B$691="Лікар загальної практики - сімейний лікар",K693/L693,0)))</f>
        <v>0</v>
      </c>
      <c r="L694" s="203">
        <f>SUM(G694:K694)</f>
        <v>0</v>
      </c>
      <c r="M694" s="942"/>
      <c r="N694" s="203">
        <f>IF($B$691="Лікар-педіатр",N693/S693,IF($B$691="Лікар-терапевт","х",IF($B$691="Лікар загальної практики - сімейний лікар",N693/S693,0)))</f>
        <v>0</v>
      </c>
      <c r="O694" s="203">
        <f>IF($B$691="Лікар-педіатр",O693/S693,IF($B$691="Лікар-терапевт","х",IF($B$691="Лікар загальної практики - сімейний лікар",O693/S693,0)))</f>
        <v>0</v>
      </c>
      <c r="P694" s="203">
        <f>IF($B$691="Лікар-педіатр","x",IF($B$691="Лікар-терапевт",P693/S693,IF($B$691="Лікар загальної практики - сімейний лікар",P693/S693,0)))</f>
        <v>0</v>
      </c>
      <c r="Q694" s="203">
        <f>IF($B$691="Лікар-педіатр","x",IF($B$691="Лікар-терапевт",Q693/S693,IF($B$691="Лікар загальної практики - сімейний лікар",Q693/S693,0)))</f>
        <v>0</v>
      </c>
      <c r="R694" s="203">
        <f>IF($B$691="Лікар-педіатр","x",IF($B$691="Лікар-терапевт",R693/S693,IF($B$691="Лікар загальної практики - сімейний лікар",R693/S693,0)))</f>
        <v>0</v>
      </c>
      <c r="S694" s="203">
        <f>SUM(N694:R694)</f>
        <v>0</v>
      </c>
      <c r="T694" s="942"/>
      <c r="U694" s="203">
        <f>IF($B$691="Лікар-педіатр",U693/Z693,IF($B$691="Лікар-терапевт","х",IF($B$691="Лікар загальної практики - сімейний лікар",U693/Z693,0)))</f>
        <v>0</v>
      </c>
      <c r="V694" s="203">
        <f>IF($B$691="Лікар-педіатр",V693/Z693,IF($B$691="Лікар-терапевт","х",IF($B$691="Лікар загальної практики - сімейний лікар",V693/Z693,0)))</f>
        <v>0</v>
      </c>
      <c r="W694" s="203">
        <f>IF($B$691="Лікар-педіатр","x",IF($B$691="Лікар-терапевт",W693/Z693,IF($B$691="Лікар загальної практики - сімейний лікар",W693/Z693,0)))</f>
        <v>0</v>
      </c>
      <c r="X694" s="203">
        <f>IF($B$691="Лікар-педіатр","x",IF($B$691="Лікар-терапевт",X693/Z693,IF($B$691="Лікар загальної практики - сімейний лікар",X693/Z693,0)))</f>
        <v>0</v>
      </c>
      <c r="Y694" s="203">
        <f>IF($B$691="Лікар-педіатр","x",IF($B$691="Лікар-терапевт",Y693/Z693,IF($B$691="Лікар загальної практики - сімейний лікар",Y693/Z693,0)))</f>
        <v>0</v>
      </c>
      <c r="Z694" s="203">
        <f>SUM(U694:Y694)</f>
        <v>0</v>
      </c>
      <c r="AA694" s="942"/>
      <c r="AB694" s="203">
        <f>IF($B$691="Лікар-педіатр",AB693/AG693,IF($B$691="Лікар-терапевт","х",IF($B$691="Лікар загальної практики - сімейний лікар",AB693/AG693,0)))</f>
        <v>0</v>
      </c>
      <c r="AC694" s="203">
        <f>IF($B$691="Лікар-педіатр",AC693/AG693,IF($B$691="Лікар-терапевт","х",IF($B$691="Лікар загальної практики - сімейний лікар",AC693/AG693,0)))</f>
        <v>0</v>
      </c>
      <c r="AD694" s="203">
        <f>IF($B$691="Лікар-педіатр","x",IF($B$691="Лікар-терапевт",AD693/AG693,IF($B$691="Лікар загальної практики - сімейний лікар",AD693/AG693,0)))</f>
        <v>0</v>
      </c>
      <c r="AE694" s="203">
        <f>IF($B$691="Лікар-педіатр","x",IF($B$691="Лікар-терапевт",AE693/AG693,IF($B$691="Лікар загальної практики - сімейний лікар",AE693/AG693,0)))</f>
        <v>0</v>
      </c>
      <c r="AF694" s="203">
        <f>IF($B$691="Лікар-педіатр","x",IF($B$691="Лікар-терапевт",AF693/AG693,IF($B$691="Лікар загальної практики - сімейний лікар",AF693/AG693,0)))</f>
        <v>0</v>
      </c>
      <c r="AG694" s="203">
        <f>SUM(AB694:AF694)</f>
        <v>0</v>
      </c>
      <c r="AH694" s="942"/>
      <c r="AI694" s="201"/>
      <c r="AJ694" s="945"/>
      <c r="AK694" s="960"/>
      <c r="AL694" s="960"/>
      <c r="AM694" s="930"/>
      <c r="AN694" s="948"/>
      <c r="AO694" s="948"/>
      <c r="AP694" s="948"/>
      <c r="AQ694" s="948"/>
      <c r="AR694" s="963"/>
    </row>
    <row r="695" spans="1:44" s="50" customFormat="1" ht="45" hidden="1" customHeight="1" thickBot="1">
      <c r="A695" s="197"/>
      <c r="B695" s="951"/>
      <c r="C695" s="954"/>
      <c r="D695" s="957"/>
      <c r="E695" s="939"/>
      <c r="F695" s="204" t="s">
        <v>662</v>
      </c>
      <c r="G695" s="205">
        <f>IF($B$691="Лікар загальної практики - сімейний лікар",AVERAGE(G691:G693),IF($B$691="Лікар-педіатр",AVERAGE(G691:G693),IF($B$691="Лікар-терапевт","х",0)))</f>
        <v>0</v>
      </c>
      <c r="H695" s="205">
        <f>IF($B$691="Лікар загальної практики - сімейний лікар",AVERAGE(H691:H693),IF($B$691="Лікар-педіатр",AVERAGE(H691:H693),IF($B$691="Лікар-терапевт","х",0)))</f>
        <v>0</v>
      </c>
      <c r="I695" s="205">
        <f>IF($B$691="Лікар загальної практики - сімейний лікар",AVERAGE(I691:I693),IF($B$691="Лікар-педіатр","x",IF($B$691="Лікар-терапевт",AVERAGE(I691:I693),0)))</f>
        <v>0</v>
      </c>
      <c r="J695" s="205">
        <f>IF($B$691="Лікар загальної практики - сімейний лікар",AVERAGE(J691:J693),IF($B$691="Лікар-педіатр","x",IF($B$691="Лікар-терапевт",AVERAGE(J691:J693),0)))</f>
        <v>0</v>
      </c>
      <c r="K695" s="205">
        <f>IF($B$691="Лікар загальної практики - сімейний лікар",AVERAGE(K691:K693),IF($B$691="Лікар-педіатр","x",IF($B$691="Лікар-терапевт",AVERAGE(K691:K693),0)))</f>
        <v>0</v>
      </c>
      <c r="L695" s="206">
        <f>SUM(G695:K695)</f>
        <v>0</v>
      </c>
      <c r="M695" s="942"/>
      <c r="N695" s="205">
        <f>IF($B$691="Лікар загальної практики - сімейний лікар",AVERAGE(N691:N693),IF($B$691="Лікар-педіатр",AVERAGE(N691:N693),IF($B$691="Лікар-терапевт","х",0)))</f>
        <v>0</v>
      </c>
      <c r="O695" s="205">
        <f>IF($B$691="Лікар загальної практики - сімейний лікар",AVERAGE(O691:O693),IF($B$691="Лікар-педіатр",AVERAGE(O691:O693),IF($B$691="Лікар-терапевт","х",0)))</f>
        <v>0</v>
      </c>
      <c r="P695" s="205">
        <f>IF($B$691="Лікар загальної практики - сімейний лікар",AVERAGE(P691:P693),IF($B$691="Лікар-педіатр","x",IF($B$691="Лікар-терапевт",AVERAGE(P691:P693),0)))</f>
        <v>0</v>
      </c>
      <c r="Q695" s="205">
        <f>IF($B$691="Лікар загальної практики - сімейний лікар",AVERAGE(Q691:Q693),IF($B$691="Лікар-педіатр","x",IF($B$691="Лікар-терапевт",AVERAGE(Q691:Q693),0)))</f>
        <v>0</v>
      </c>
      <c r="R695" s="205">
        <f>IF($B$691="Лікар загальної практики - сімейний лікар",AVERAGE(R691:R693),IF($B$691="Лікар-педіатр","x",IF($B$691="Лікар-терапевт",AVERAGE(R691:R693),0)))</f>
        <v>0</v>
      </c>
      <c r="S695" s="206">
        <f>SUM(N695:R695)</f>
        <v>0</v>
      </c>
      <c r="T695" s="942"/>
      <c r="U695" s="205">
        <f>IF($B$691="Лікар загальної практики - сімейний лікар",AVERAGE(U691:U693),IF($B$691="Лікар-педіатр",AVERAGE(U691:U693),IF($B$691="Лікар-терапевт","х",0)))</f>
        <v>0</v>
      </c>
      <c r="V695" s="205">
        <f>IF($B$691="Лікар загальної практики - сімейний лікар",AVERAGE(V691:V693),IF($B$691="Лікар-педіатр",AVERAGE(V691:V693),IF($B$691="Лікар-терапевт","х",0)))</f>
        <v>0</v>
      </c>
      <c r="W695" s="205">
        <f>IF($B$691="Лікар загальної практики - сімейний лікар",AVERAGE(W691:W693),IF($B$691="Лікар-педіатр","x",IF($B$691="Лікар-терапевт",AVERAGE(W691:W693),0)))</f>
        <v>0</v>
      </c>
      <c r="X695" s="205">
        <f>IF($B$691="Лікар загальної практики - сімейний лікар",AVERAGE(X691:X693),IF($B$691="Лікар-педіатр","x",IF($B$691="Лікар-терапевт",AVERAGE(X691:X693),0)))</f>
        <v>0</v>
      </c>
      <c r="Y695" s="205">
        <f>IF($B$691="Лікар загальної практики - сімейний лікар",AVERAGE(Y691:Y693),IF($B$691="Лікар-педіатр","x",IF($B$691="Лікар-терапевт",AVERAGE(Y691:Y693),0)))</f>
        <v>0</v>
      </c>
      <c r="Z695" s="206">
        <f>SUM(U695:Y695)</f>
        <v>0</v>
      </c>
      <c r="AA695" s="942"/>
      <c r="AB695" s="205">
        <f>IF($B$691="Лікар загальної практики - сімейний лікар",AVERAGE(AB691:AB693),IF($B$691="Лікар-педіатр",AVERAGE(AB691:AB693),IF($B$691="Лікар-терапевт","х",0)))</f>
        <v>0</v>
      </c>
      <c r="AC695" s="205">
        <f>IF($B$691="Лікар загальної практики - сімейний лікар",AVERAGE(AC691:AC693),IF($B$691="Лікар-педіатр",AVERAGE(AC691:AC693),IF($B$691="Лікар-терапевт","х",0)))</f>
        <v>0</v>
      </c>
      <c r="AD695" s="205">
        <f>IF($B$691="Лікар загальної практики - сімейний лікар",AVERAGE(AD691:AD693),IF($B$691="Лікар-педіатр","x",IF($B$691="Лікар-терапевт",AVERAGE(AD691:AD693),0)))</f>
        <v>0</v>
      </c>
      <c r="AE695" s="205">
        <f>IF($B$691="Лікар загальної практики - сімейний лікар",AVERAGE(AE691:AE693),IF($B$691="Лікар-педіатр","x",IF($B$691="Лікар-терапевт",AVERAGE(AE691:AE693),0)))</f>
        <v>0</v>
      </c>
      <c r="AF695" s="205">
        <f>IF($B$691="Лікар загальної практики - сімейний лікар",AVERAGE(AF691:AF693),IF($B$691="Лікар-педіатр","x",IF($B$691="Лікар-терапевт",AVERAGE(AF691:AF693),0)))</f>
        <v>0</v>
      </c>
      <c r="AG695" s="206">
        <f>SUM(AB695:AF695)</f>
        <v>0</v>
      </c>
      <c r="AH695" s="942"/>
      <c r="AI695" s="201"/>
      <c r="AJ695" s="945"/>
      <c r="AK695" s="960"/>
      <c r="AL695" s="960"/>
      <c r="AM695" s="931"/>
      <c r="AN695" s="949"/>
      <c r="AO695" s="949"/>
      <c r="AP695" s="949"/>
      <c r="AQ695" s="949"/>
      <c r="AR695" s="964"/>
    </row>
    <row r="696" spans="1:44" s="50" customFormat="1" ht="40.5" hidden="1">
      <c r="A696" s="197"/>
      <c r="B696" s="951"/>
      <c r="C696" s="954"/>
      <c r="D696" s="957"/>
      <c r="E696" s="939"/>
      <c r="F696" s="237" t="str">
        <f ca="1">IF(B691="Лікар-педіатр",Законод!$C$17,IF(B691="Лікар загальної практики - сімейний лікар",Законод!$C$21,IF(B691="Лікар-терапевт",Законод!$C$25,"х")))</f>
        <v>х</v>
      </c>
      <c r="G696" s="208">
        <f ca="1">IF($B$691="Лікар загальної практики - сімейний лікар",IF(L695&lt;=Законод!$C$22,G695,Законод!$C$22*'01_Доходи'!G694),IF($B$691="Лікар-педіатр",IF(L695&lt;=Законод!$C$18,G695,Законод!$C$18*'01_Доходи'!G694),IF($B$691="Лікар-терапевт","x",0)))</f>
        <v>0</v>
      </c>
      <c r="H696" s="208">
        <f ca="1">IF($B$691="Лікар загальної практики - сімейний лікар",IF(L695&lt;=Законод!$C$22,H695,Законод!$C$22*'01_Доходи'!H694),IF($B$691="Лікар-педіатр",IF(L695&lt;=Законод!$C$18,H695,Законод!$C$18*'01_Доходи'!H694),IF($B$691="Лікар-терапевт","x",0)))</f>
        <v>0</v>
      </c>
      <c r="I696" s="208">
        <f ca="1">IF($B$691="Лікар загальної практики - сімейний лікар",IF(L695&lt;=Законод!$C$22,I695,Законод!$C$22*'01_Доходи'!I694),IF($B$691="Лікар-педіатр","x",IF($B$691="Лікар-терапевт",IF(L695&lt;=Законод!$C$26,I695,Законод!$C$26*'01_Доходи'!I694),0)))</f>
        <v>0</v>
      </c>
      <c r="J696" s="208">
        <f ca="1">IF($B$691="Лікар загальної практики - сімейний лікар",IF(L695&lt;=Законод!$C$22,J695,Законод!$C$22*'01_Доходи'!J694),IF($B$691="Лікар-педіатр","x",IF($B$691="Лікар-терапевт",IF(L695&lt;=Законод!$C$26,J695,Законод!$C$26*'01_Доходи'!J694),0)))</f>
        <v>0</v>
      </c>
      <c r="K696" s="208">
        <f ca="1">IF($B$691="Лікар загальної практики - сімейний лікар",IF(L695&lt;=Законод!$C$22,K695,Законод!$C$22*'01_Доходи'!K694),IF($B$691="Лікар-педіатр","x",IF($B$691="Лікар-терапевт",IF(L695&lt;=Законод!$C$26,K695,Законод!$C$26*'01_Доходи'!K694),0)))</f>
        <v>0</v>
      </c>
      <c r="L696" s="209">
        <f ca="1">SUM(G696:K696)</f>
        <v>0</v>
      </c>
      <c r="M696" s="942"/>
      <c r="N696" s="208">
        <f ca="1">IF($B$691="Лікар загальної практики - сімейний лікар",IF(S695&lt;=Законод!$C$22,N695,Законод!$C$22*'01_Доходи'!N694),IF($B$691="Лікар-педіатр",IF(S695&lt;=Законод!$C$18,N695,Законод!$C$18*'01_Доходи'!N694),IF($B$691="Лікар-терапевт","x",0)))</f>
        <v>0</v>
      </c>
      <c r="O696" s="208">
        <f ca="1">IF($B$691="Лікар загальної практики - сімейний лікар",IF(S695&lt;=Законод!$C$22,O695,Законод!$C$22*'01_Доходи'!O694),IF($B$691="Лікар-педіатр",IF(S695&lt;=Законод!$C$18,O695,Законод!$C$18*'01_Доходи'!O694),IF($B$691="Лікар-терапевт","x",0)))</f>
        <v>0</v>
      </c>
      <c r="P696" s="208">
        <f ca="1">IF($B$691="Лікар загальної практики - сімейний лікар",IF(S695&lt;=Законод!$C$22,P695,Законод!$C$22*'01_Доходи'!P694),IF($B$691="Лікар-педіатр","x",IF($B$691="Лікар-терапевт",IF(S695&lt;=Законод!$C$26,P695,Законод!$C$26*'01_Доходи'!P694),0)))</f>
        <v>0</v>
      </c>
      <c r="Q696" s="208">
        <f ca="1">IF($B$691="Лікар загальної практики - сімейний лікар",IF(S695&lt;=Законод!$C$22,Q695,Законод!$C$22*'01_Доходи'!Q694),IF($B$691="Лікар-педіатр","x",IF($B$691="Лікар-терапевт",IF(S695&lt;=Законод!$C$26,Q695,Законод!$C$26*'01_Доходи'!Q694),0)))</f>
        <v>0</v>
      </c>
      <c r="R696" s="208">
        <f ca="1">IF($B$691="Лікар загальної практики - сімейний лікар",IF(S695&lt;=Законод!$C$22,R695,Законод!$C$22*'01_Доходи'!R694),IF($B$691="Лікар-педіатр","x",IF($B$691="Лікар-терапевт",IF(S695&lt;=Законод!$C$26,R695,Законод!$C$26*'01_Доходи'!R694),0)))</f>
        <v>0</v>
      </c>
      <c r="S696" s="209">
        <f ca="1">SUM(N696:R696)</f>
        <v>0</v>
      </c>
      <c r="T696" s="942"/>
      <c r="U696" s="208">
        <f ca="1">IF($B$691="Лікар загальної практики - сімейний лікар",IF(Z695&lt;=Законод!$C$22,U695,Законод!$C$22*'01_Доходи'!U694),IF($B$691="Лікар-педіатр",IF(Z695&lt;=Законод!$C$18,U695,Законод!$C$18*'01_Доходи'!U694),IF($B$691="Лікар-терапевт","x",0)))</f>
        <v>0</v>
      </c>
      <c r="V696" s="208">
        <f ca="1">IF($B$691="Лікар загальної практики - сімейний лікар",IF(Z695&lt;=Законод!$C$22,V695,Законод!$C$22*'01_Доходи'!V694),IF($B$691="Лікар-педіатр",IF(Z695&lt;=Законод!$C$18,V695,Законод!$C$18*'01_Доходи'!V694),IF($B$691="Лікар-терапевт","x",0)))</f>
        <v>0</v>
      </c>
      <c r="W696" s="208">
        <f ca="1">IF($B$691="Лікар загальної практики - сімейний лікар",IF(Z695&lt;=Законод!$C$22,W695,Законод!$C$22*'01_Доходи'!W694),IF($B$691="Лікар-педіатр","x",IF($B$691="Лікар-терапевт",IF(Z695&lt;=Законод!$C$26,W695,Законод!$C$26*'01_Доходи'!W694),0)))</f>
        <v>0</v>
      </c>
      <c r="X696" s="208">
        <f ca="1">IF($B$691="Лікар загальної практики - сімейний лікар",IF(Z695&lt;=Законод!$C$22,X695,Законод!$C$22*'01_Доходи'!X694),IF($B$691="Лікар-педіатр","x",IF($B$691="Лікар-терапевт",IF(Z695&lt;=Законод!$C$26,X695,Законод!$C$26*'01_Доходи'!X694),0)))</f>
        <v>0</v>
      </c>
      <c r="Y696" s="208">
        <f ca="1">IF($B$691="Лікар загальної практики - сімейний лікар",IF(Z695&lt;=Законод!$C$22,Y695,Законод!$C$22*'01_Доходи'!Y694),IF($B$691="Лікар-педіатр","x",IF($B$691="Лікар-терапевт",IF(Z695&lt;=Законод!$C$26,Y695,Законод!$C$26*'01_Доходи'!Y694),0)))</f>
        <v>0</v>
      </c>
      <c r="Z696" s="209">
        <f ca="1">SUM(U696:Y696)</f>
        <v>0</v>
      </c>
      <c r="AA696" s="942"/>
      <c r="AB696" s="208">
        <f ca="1">IF($B$691="Лікар загальної практики - сімейний лікар",IF(AG695&lt;=Законод!$C$22,AB695,Законод!$C$22*'01_Доходи'!AB694),IF($B$691="Лікар-педіатр",IF(AG695&lt;=Законод!$C$18,AB695,Законод!$C$18*'01_Доходи'!AB694),IF($B$691="Лікар-терапевт","x",0)))</f>
        <v>0</v>
      </c>
      <c r="AC696" s="208">
        <f ca="1">IF($B$691="Лікар загальної практики - сімейний лікар",IF(AG695&lt;=Законод!$C$22,AC695,Законод!$C$22*'01_Доходи'!AC694),IF($B$691="Лікар-педіатр",IF(AG695&lt;=Законод!$C$18,AC695,Законод!$C$18*'01_Доходи'!AC694),IF($B$691="Лікар-терапевт","x",0)))</f>
        <v>0</v>
      </c>
      <c r="AD696" s="208">
        <f ca="1">IF($B$691="Лікар загальної практики - сімейний лікар",IF(AG695&lt;=Законод!$C$22,AD695,Законод!$C$22*'01_Доходи'!AD694),IF($B$691="Лікар-педіатр","x",IF($B$691="Лікар-терапевт",IF(AG695&lt;=Законод!$C$26,AD695,Законод!$C$26*'01_Доходи'!AD694),0)))</f>
        <v>0</v>
      </c>
      <c r="AE696" s="208">
        <f ca="1">IF($B$691="Лікар загальної практики - сімейний лікар",IF(AG695&lt;=Законод!$C$22,AE695,Законод!$C$22*'01_Доходи'!AE694),IF($B$691="Лікар-педіатр","x",IF($B$691="Лікар-терапевт",IF(AG695&lt;=Законод!$C$26,AE695,Законод!$C$26*'01_Доходи'!AE694),0)))</f>
        <v>0</v>
      </c>
      <c r="AF696" s="208">
        <f ca="1">IF($B$691="Лікар загальної практики - сімейний лікар",IF(AG695&lt;=Законод!$C$22,AF695,Законод!$C$22*'01_Доходи'!AF694),IF($B$691="Лікар-педіатр","x",IF($B$691="Лікар-терапевт",IF(AG695&lt;=Законод!$C$26,AF695,Законод!$C$26*'01_Доходи'!AF694),0)))</f>
        <v>0</v>
      </c>
      <c r="AG696" s="209">
        <f ca="1">SUM(AB696:AF696)</f>
        <v>0</v>
      </c>
      <c r="AH696" s="942"/>
      <c r="AI696" s="201"/>
      <c r="AJ696" s="945"/>
      <c r="AK696" s="960"/>
      <c r="AL696" s="960"/>
      <c r="AM696" s="348" t="s">
        <v>451</v>
      </c>
      <c r="AN696" s="210">
        <f ca="1">IF(B691="Лікар загальної практики - сімейний лікар",G696*Законод!$C$11+'01_Доходи'!H696*Законод!$D$11+'01_Доходи'!I696*Законод!$E$11+'01_Доходи'!J696*Законод!$F$11+'01_Доходи'!K696*Законод!$G$11,IF(B691="Лікар-педіатр",G696*Законод!$C$11+'01_Доходи'!H696*Законод!$D$11,IF(B691="Лікар-терапевт",'01_Доходи'!I696*Законод!$E$11+'01_Доходи'!J696*Законод!$F$11+'01_Доходи'!K696*Законод!$G$11,0)))</f>
        <v>0</v>
      </c>
      <c r="AO696" s="210">
        <f ca="1">IF(B691="Лікар загальної практики - сімейний лікар",N696*Законод!$C$11+'01_Доходи'!O696*Законод!$D$11+'01_Доходи'!P696*Законод!$E$11+'01_Доходи'!Q696*Законод!$F$11+'01_Доходи'!R696*Законод!$G$11,IF(B691="Лікар-педіатр",N696*Законод!$C$11+'01_Доходи'!O696*Законод!$D$11,IF(B691="Лікар-терапевт",'01_Доходи'!P696*Законод!$E$11+'01_Доходи'!Q696*Законод!$F$11+'01_Доходи'!R696*Законод!$G$11,0)))</f>
        <v>0</v>
      </c>
      <c r="AP696" s="210">
        <f ca="1">IF(B691="Лікар загальної практики - сімейний лікар",U696*Законод!$C$11+'01_Доходи'!V696*Законод!$D$11+'01_Доходи'!W696*Законод!$E$11+'01_Доходи'!X696*Законод!$F$11+'01_Доходи'!Y696*Законод!$G$11,IF(B691="Лікар-педіатр",U696*Законод!$C$11+'01_Доходи'!V696*Законод!$D$11,IF(B691="Лікар-терапевт",'01_Доходи'!W696*Законод!$E$11+'01_Доходи'!X696*Законод!$F$11+'01_Доходи'!Y696*Законод!$G$11,0)))</f>
        <v>0</v>
      </c>
      <c r="AQ696" s="210">
        <f ca="1">IF(B691="Лікар загальної практики - сімейний лікар",AB696*Законод!$C$11+'01_Доходи'!AC696*Законод!$D$11+'01_Доходи'!AD696*Законод!$E$11+'01_Доходи'!AE696*Законод!$F$11+'01_Доходи'!AF696*Законод!$G$11,IF(B691="Лікар-педіатр",AB696*Законод!$C$11+'01_Доходи'!AC696*Законод!$D$11,IF(B691="Лікар-терапевт",'01_Доходи'!AD696*Законод!$E$11+'01_Доходи'!AE696*Законод!$F$11+'01_Доходи'!AF696*Законод!$G$11,0)))</f>
        <v>0</v>
      </c>
      <c r="AR696" s="211">
        <f t="shared" ref="AR696:AR702" si="93">SUM(AN696:AQ696)</f>
        <v>0</v>
      </c>
    </row>
    <row r="697" spans="1:44" s="50" customFormat="1" ht="31.9" hidden="1" customHeight="1">
      <c r="A697" s="197"/>
      <c r="B697" s="951"/>
      <c r="C697" s="954"/>
      <c r="D697" s="957"/>
      <c r="E697" s="939"/>
      <c r="F697" s="238" t="str">
        <f ca="1">IF(B691="Лікар-педіатр",Законод!$E$17,IF(B691="Лікар загальної практики - сімейний лікар",Законод!$E$21,IF(B691="Лікар-терапевт",Законод!$E$25,"х")))</f>
        <v>х</v>
      </c>
      <c r="G697" s="935" t="s">
        <v>423</v>
      </c>
      <c r="H697" s="936"/>
      <c r="I697" s="936"/>
      <c r="J697" s="936"/>
      <c r="K697" s="937"/>
      <c r="L697" s="196">
        <f ca="1">IF($B$691="Лікар загальної практики - сімейний лікар",IF(L695&lt;Законод!$C$22,0,(IF(AND(L695&gt;=Законод!$E$22,L695&lt;=Законод!$E$23),L695-Законод!$C$22,IF('01_Доходи'!L695&gt;=Законод!$F$22,Законод!$E$24,0)))),IF($B$691="Лікар-педіатр",IF(L695&lt;Законод!$C$18,0,(IF(AND(L695&gt;=Законод!$E$18,L695&lt;=Законод!$E$19),L695-Законод!$C$18,IF('01_Доходи'!L695&gt;=Законод!$F$18,Законод!$E$20,0)))),IF($B$691="Лікар-терапевт",IF(L695&lt;Законод!$C$26,0,(IF(AND(L695&gt;=Законод!$E$26,L695&lt;=Законод!$E$27),L695-Законод!$C$26,IF('01_Доходи'!L695&gt;=Законод!$F$26,Законод!$E$28,0)))),0)))</f>
        <v>0</v>
      </c>
      <c r="M697" s="942"/>
      <c r="N697" s="935" t="s">
        <v>423</v>
      </c>
      <c r="O697" s="936"/>
      <c r="P697" s="936"/>
      <c r="Q697" s="936"/>
      <c r="R697" s="937"/>
      <c r="S697" s="196">
        <f ca="1">IF($B$691="Лікар загальної практики - сімейний лікар",IF(S695&lt;Законод!$C$22,0,(IF(AND(S695&gt;=Законод!$E$22,S695&lt;=Законод!$E$23),S695-Законод!$C$22,IF('01_Доходи'!S695&gt;=Законод!$F$22,Законод!$E$24,0)))),IF($B$691="Лікар-педіатр",IF(S695&lt;Законод!$C$18,0,(IF(AND(S695&gt;=Законод!$E$18,S695&lt;=Законод!$E$19),S695-Законод!$C$18,IF('01_Доходи'!S695&gt;=Законод!$F$18,Законод!$E$20,0)))),IF($B$691="Лікар-терапевт",IF(S695&lt;Законод!$C$26,0,(IF(AND(S695&gt;=Законод!$E$26,S695&lt;=Законод!$E$27),S695-Законод!$C$26,IF('01_Доходи'!S695&gt;=Законод!$F$26,Законод!$E$28,0)))),0)))</f>
        <v>0</v>
      </c>
      <c r="T697" s="942"/>
      <c r="U697" s="935" t="s">
        <v>423</v>
      </c>
      <c r="V697" s="936"/>
      <c r="W697" s="936"/>
      <c r="X697" s="936"/>
      <c r="Y697" s="937"/>
      <c r="Z697" s="196">
        <f ca="1">IF($B$691="Лікар загальної практики - сімейний лікар",IF(Z695&lt;Законод!$C$22,0,(IF(AND(Z695&gt;=Законод!$E$22,Z695&lt;=Законод!$E$23),Z695-Законод!$C$22,IF('01_Доходи'!Z695&gt;=Законод!$F$22,Законод!$E$24,0)))),IF($B$691="Лікар-педіатр",IF(Z695&lt;Законод!$C$18,0,(IF(AND(Z695&gt;=Законод!$E$18,Z695&lt;=Законод!$E$19),Z695-Законод!$C$18,IF('01_Доходи'!Z695&gt;=Законод!$F$18,Законод!$E$20,0)))),IF($B$691="Лікар-терапевт",IF(Z695&lt;Законод!$C$26,0,(IF(AND(Z695&gt;=Законод!$E$26,Z695&lt;=Законод!$E$27),Z695-Законод!$C$26,IF('01_Доходи'!Z695&gt;=Законод!$F$26,Законод!$E$28,0)))),0)))</f>
        <v>0</v>
      </c>
      <c r="AA697" s="942"/>
      <c r="AB697" s="935" t="s">
        <v>423</v>
      </c>
      <c r="AC697" s="936"/>
      <c r="AD697" s="936"/>
      <c r="AE697" s="936"/>
      <c r="AF697" s="937"/>
      <c r="AG697" s="196">
        <f ca="1">IF($B$691="Лікар загальної практики - сімейний лікар",IF(AG695&lt;Законод!$C$22,0,(IF(AND(AG695&gt;=Законод!$E$22,AG695&lt;=Законод!$E$23),AG695-Законод!$C$22,IF('01_Доходи'!AG695&gt;=Законод!$F$22,Законод!$E$24,0)))),IF($B$691="Лікар-педіатр",IF(AG695&lt;Законод!$C$18,0,(IF(AND(AG695&gt;=Законод!$E$18,AG695&lt;=Законод!$E$19),AG695-Законод!$C$18,IF('01_Доходи'!AG695&gt;=Законод!$F$18,Законод!$E$20,0)))),IF($B$691="Лікар-терапевт",IF(AG695&lt;Законод!$C$26,0,(IF(AND(AG695&gt;=Законод!$E$26,AG695&lt;=Законод!$E$27),AG695-Законод!$C$26,IF('01_Доходи'!AG695&gt;=Законод!$F$26,Законод!$E$28,0)))),0)))</f>
        <v>0</v>
      </c>
      <c r="AH697" s="942"/>
      <c r="AI697" s="201"/>
      <c r="AJ697" s="945"/>
      <c r="AK697" s="960"/>
      <c r="AL697" s="960"/>
      <c r="AM697" s="926" t="s">
        <v>452</v>
      </c>
      <c r="AN697" s="210">
        <f ca="1">IF(B691="Лікар загальної практики - сімейний лікар",L697*Законод!$C$9/4*Законод!$E$16,IF(B691="Лікар-педіатр",L697*Законод!$C$9/4*Законод!$E$16,IF(B691="Лікар-терапевт",L697*Законод!$C$9/4*Законод!$E$16,0)))</f>
        <v>0</v>
      </c>
      <c r="AO697" s="210">
        <f ca="1">IF(B691="Лікар загальної практики - сімейний лікар",S697*Законод!$C$9/4*Законод!$E$16,IF(B691="Лікар-педіатр",S697*Законод!$C$9/4*Законод!$E$16,IF(B691="Лікар-терапевт",S697*Законод!$C$9/4*Законод!$E$16,0)))</f>
        <v>0</v>
      </c>
      <c r="AP697" s="210">
        <f ca="1">IF(B691="Лікар загальної практики - сімейний лікар",Z697*Законод!$C$9/4*Законод!$E$16,IF(B691="Лікар-педіатр",Z697*Законод!$C$9/4*Законод!$E$16,IF(B691="Лікар-терапевт",Z697*Законод!$C$9/4*Законод!$E$16,0)))</f>
        <v>0</v>
      </c>
      <c r="AQ697" s="210">
        <f ca="1">IF(B691="Лікар загальної практики - сімейний лікар",AG697*Законод!$C$9/4*Законод!$E$16,IF(B691="Лікар-педіатр",AG697*Законод!$C$9/4*Законод!$E$16,IF(B691="Лікар-терапевт",AG697*Законод!$C$9/4*Законод!$E$16,0)))</f>
        <v>0</v>
      </c>
      <c r="AR697" s="211">
        <f t="shared" si="93"/>
        <v>0</v>
      </c>
    </row>
    <row r="698" spans="1:44" s="50" customFormat="1" ht="31.9" hidden="1" customHeight="1">
      <c r="A698" s="197"/>
      <c r="B698" s="951"/>
      <c r="C698" s="954"/>
      <c r="D698" s="957"/>
      <c r="E698" s="939"/>
      <c r="F698" s="238" t="str">
        <f ca="1">IF(B691="Лікар-педіатр",Законод!$F$17,IF(B691="Лікар загальної практики - сімейний лікар",Законод!$F$21,IF(B691="Лікар-терапевт",Законод!$F$25,"х")))</f>
        <v>х</v>
      </c>
      <c r="G698" s="935" t="s">
        <v>423</v>
      </c>
      <c r="H698" s="936"/>
      <c r="I698" s="936"/>
      <c r="J698" s="936"/>
      <c r="K698" s="937"/>
      <c r="L698" s="196">
        <f ca="1">IF($B$691="Лікар загальної практики - сімейний лікар",IF(L695&lt;Законод!$C$22,0,(IF(AND(L695&gt;=Законод!$F$22,L695&lt;=Законод!$F$23),L695-Законод!$E$23,IF('01_Доходи'!L695&gt;=Законод!$G$22,Законод!$F$24,0)))),IF($B$691="Лікар-педіатр",IF(L695&lt;Законод!$C$18,0,(IF(AND(L695&gt;=Законод!$F$18,L695&lt;=Законод!$F$19),L695-Законод!$E$19,IF('01_Доходи'!L695&gt;=Законод!$G$18,Законод!$F$20,0)))),IF($B$691="Лікар-терапевт",IF(L695&lt;Законод!$C$26,0,(IF(AND(L695&gt;=Законод!$F$26,L695&lt;=Законод!$F$27),L695-Законод!$E$27,IF('01_Доходи'!L695&gt;=Законод!$G$26,Законод!$F$28,0)))),0)))</f>
        <v>0</v>
      </c>
      <c r="M698" s="942"/>
      <c r="N698" s="935" t="s">
        <v>423</v>
      </c>
      <c r="O698" s="936"/>
      <c r="P698" s="936"/>
      <c r="Q698" s="936"/>
      <c r="R698" s="937"/>
      <c r="S698" s="196">
        <f ca="1">IF($B$691="Лікар загальної практики - сімейний лікар",IF(S695&lt;Законод!$C$22,0,(IF(AND(S695&gt;=Законод!$F$22,S695&lt;=Законод!$F$23),S695-Законод!$E$23,IF('01_Доходи'!S695&gt;=Законод!$G$22,Законод!$F$24,0)))),IF($B$691="Лікар-педіатр",IF(S695&lt;Законод!$C$18,0,(IF(AND(S695&gt;=Законод!$F$18,S695&lt;=Законод!$F$19),S695-Законод!$E$19,IF('01_Доходи'!S695&gt;=Законод!$G$18,Законод!$F$20,0)))),IF($B$691="Лікар-терапевт",IF(S695&lt;Законод!$C$26,0,(IF(AND(S695&gt;=Законод!$F$26,S695&lt;=Законод!$F$27),S695-Законод!$E$27,IF('01_Доходи'!S695&gt;=Законод!$G$26,Законод!$F$28,0)))),0)))</f>
        <v>0</v>
      </c>
      <c r="T698" s="942"/>
      <c r="U698" s="935" t="s">
        <v>423</v>
      </c>
      <c r="V698" s="936"/>
      <c r="W698" s="936"/>
      <c r="X698" s="936"/>
      <c r="Y698" s="937"/>
      <c r="Z698" s="196">
        <f ca="1">IF($B$691="Лікар загальної практики - сімейний лікар",IF(Z695&lt;Законод!$C$22,0,(IF(AND(Z695&gt;=Законод!$F$22,Z695&lt;=Законод!$F$23),Z695-Законод!$E$23,IF('01_Доходи'!Z695&gt;=Законод!$G$22,Законод!$F$24,0)))),IF($B$691="Лікар-педіатр",IF(Z695&lt;Законод!$C$18,0,(IF(AND(Z695&gt;=Законод!$F$18,Z695&lt;=Законод!$F$19),Z695-Законод!$E$19,IF('01_Доходи'!Z695&gt;=Законод!$G$18,Законод!$F$20,0)))),IF($B$691="Лікар-терапевт",IF(Z695&lt;Законод!$C$26,0,(IF(AND(Z695&gt;=Законод!$F$26,Z695&lt;=Законод!$F$27),Z695-Законод!$E$27,IF('01_Доходи'!Z695&gt;=Законод!$G$26,Законод!$F$28,0)))),0)))</f>
        <v>0</v>
      </c>
      <c r="AA698" s="942"/>
      <c r="AB698" s="935" t="s">
        <v>423</v>
      </c>
      <c r="AC698" s="936"/>
      <c r="AD698" s="936"/>
      <c r="AE698" s="936"/>
      <c r="AF698" s="937"/>
      <c r="AG698" s="196">
        <f ca="1">IF($B$691="Лікар загальної практики - сімейний лікар",IF(AG695&lt;Законод!$C$22,0,(IF(AND(AG695&gt;=Законод!$F$22,AG695&lt;=Законод!$F$23),AG695-Законод!$E$23,IF('01_Доходи'!AG695&gt;=Законод!$G$22,Законод!$F$24,0)))),IF($B$691="Лікар-педіатр",IF(AG695&lt;Законод!$C$18,0,(IF(AND(AG695&gt;=Законод!$F$18,AG695&lt;=Законод!$F$19),AG695-Законод!$E$19,IF('01_Доходи'!AG695&gt;=Законод!$G$18,Законод!$F$20,0)))),IF($B$691="Лікар-терапевт",IF(AG695&lt;Законод!$C$26,0,(IF(AND(AG695&gt;=Законод!$F$26,AG695&lt;=Законод!$F$27),AG695-Законод!$E$27,IF('01_Доходи'!AG695&gt;=Законод!$G$26,Законод!$F$28,0)))),0)))</f>
        <v>0</v>
      </c>
      <c r="AH698" s="942"/>
      <c r="AI698" s="201"/>
      <c r="AJ698" s="945"/>
      <c r="AK698" s="960"/>
      <c r="AL698" s="960"/>
      <c r="AM698" s="927"/>
      <c r="AN698" s="210">
        <f ca="1">IF(B691="Лікар загальної практики - сімейний лікар",L698*Законод!$C$9/4*Законод!$F$16,IF(B691="Лікар-педіатр",L698*Законод!$C$9/4*Законод!$F$16,IF(B691="Лікар-терапевт",L698*Законод!$C$9/4*Законод!$F$16,0)))</f>
        <v>0</v>
      </c>
      <c r="AO698" s="210">
        <f ca="1">IF(B691="Лікар загальної практики - сімейний лікар",S698*Законод!$C$9/4*Законод!$F$16,IF(B691="Лікар-педіатр",S698*Законод!$C$9/4*Законод!$F$16,IF(B691="Лікар-терапевт",S698*Законод!$C$9/4*Законод!$F$16,0)))</f>
        <v>0</v>
      </c>
      <c r="AP698" s="210">
        <f ca="1">IF(B691="Лікар загальної практики - сімейний лікар",Z698*Законод!$C$9/4*Законод!$F$16,IF(B691="Лікар-педіатр",Z698*Законод!$C$9/4*Законод!$F$16,IF(B691="Лікар-терапевт",Z698*Законод!$C$9/4*Законод!$F$16,0)))</f>
        <v>0</v>
      </c>
      <c r="AQ698" s="210">
        <f ca="1">IF(B691="Лікар загальної практики - сімейний лікар",AG698*Законод!$C$9/4*Законод!$F$16,IF(B691="Лікар-педіатр",AG698*Законод!$C$9/4*Законод!$F$16,IF(B691="Лікар-терапевт",AG698*Законод!$C$9/4*Законод!$F$16,0)))</f>
        <v>0</v>
      </c>
      <c r="AR698" s="211">
        <f t="shared" si="93"/>
        <v>0</v>
      </c>
    </row>
    <row r="699" spans="1:44" s="50" customFormat="1" ht="31.9" hidden="1" customHeight="1">
      <c r="A699" s="197"/>
      <c r="B699" s="951"/>
      <c r="C699" s="954"/>
      <c r="D699" s="957"/>
      <c r="E699" s="939"/>
      <c r="F699" s="238" t="str">
        <f ca="1">IF(B691="Лікар-педіатр",Законод!$G$17,IF(B691="Лікар загальної практики - сімейний лікар",Законод!$G$21,IF(B691="Лікар-терапевт",Законод!$G$25,"х")))</f>
        <v>х</v>
      </c>
      <c r="G699" s="935" t="s">
        <v>423</v>
      </c>
      <c r="H699" s="936"/>
      <c r="I699" s="936"/>
      <c r="J699" s="936"/>
      <c r="K699" s="937"/>
      <c r="L699" s="196">
        <f ca="1">IF($B$691="Лікар загальної практики - сімейний лікар",IF(L695&lt;Законод!$C$22,0,(IF(AND(L695&gt;=Законод!$G$22,L695&lt;=Законод!$G$23),L695-Законод!$F$23,IF('01_Доходи'!L695&gt;=Законод!$H$22,Законод!$G$24,0)))),IF($B$691="Лікар-педіатр",IF(L695&lt;Законод!$C$18,0,(IF(AND(L695&gt;=Законод!$G$18,L695&lt;=Законод!$G$19),L695-Законод!$F$19,IF('01_Доходи'!L695&gt;=Законод!$H$18,Законод!$G$20,0)))),IF($B$691="Лікар-терапевт",IF(L695&lt;Законод!$C$26,0,(IF(AND(L695&gt;=Законод!$G$26,L695&lt;=Законод!$G$27),L695-Законод!$F$27,IF('01_Доходи'!L695&gt;=Законод!$H$26,Законод!$G$28,0)))),0)))</f>
        <v>0</v>
      </c>
      <c r="M699" s="942"/>
      <c r="N699" s="935" t="s">
        <v>423</v>
      </c>
      <c r="O699" s="936"/>
      <c r="P699" s="936"/>
      <c r="Q699" s="936"/>
      <c r="R699" s="937"/>
      <c r="S699" s="196">
        <f ca="1">IF($B$691="Лікар загальної практики - сімейний лікар",IF(S695&lt;Законод!$C$22,0,(IF(AND(S695&gt;=Законод!$G$22,S695&lt;=Законод!$G$23),S695-Законод!$F$23,IF('01_Доходи'!S695&gt;=Законод!$H$22,Законод!$G$24,0)))),IF($B$691="Лікар-педіатр",IF(S695&lt;Законод!$C$18,0,(IF(AND(S695&gt;=Законод!$G$18,S695&lt;=Законод!$G$19),S695-Законод!$F$19,IF('01_Доходи'!S695&gt;=Законод!$H$18,Законод!$G$20,0)))),IF($B$691="Лікар-терапевт",IF(S695&lt;Законод!$C$26,0,(IF(AND(S695&gt;=Законод!$G$26,S695&lt;=Законод!$G$27),S695-Законод!$F$27,IF('01_Доходи'!S695&gt;=Законод!$H$26,Законод!$G$28,0)))),0)))</f>
        <v>0</v>
      </c>
      <c r="T699" s="942"/>
      <c r="U699" s="935" t="s">
        <v>423</v>
      </c>
      <c r="V699" s="936"/>
      <c r="W699" s="936"/>
      <c r="X699" s="936"/>
      <c r="Y699" s="937"/>
      <c r="Z699" s="196">
        <f ca="1">IF($B$691="Лікар загальної практики - сімейний лікар",IF(Z695&lt;Законод!$C$22,0,(IF(AND(Z695&gt;=Законод!$G$22,Z695&lt;=Законод!$G$23),Z695-Законод!$F$23,IF('01_Доходи'!Z695&gt;=Законод!$H$22,Законод!$G$24,0)))),IF($B$691="Лікар-педіатр",IF(Z695&lt;Законод!$C$18,0,(IF(AND(Z695&gt;=Законод!$G$18,Z695&lt;=Законод!$G$19),Z695-Законод!$F$19,IF('01_Доходи'!Z695&gt;=Законод!$H$18,Законод!$G$20,0)))),IF($B$691="Лікар-терапевт",IF(Z695&lt;Законод!$C$26,0,(IF(AND(Z695&gt;=Законод!$G$26,Z695&lt;=Законод!$G$27),Z695-Законод!$F$27,IF('01_Доходи'!Z695&gt;=Законод!$H$26,Законод!$G$28,0)))),0)))</f>
        <v>0</v>
      </c>
      <c r="AA699" s="942"/>
      <c r="AB699" s="935" t="s">
        <v>423</v>
      </c>
      <c r="AC699" s="936"/>
      <c r="AD699" s="936"/>
      <c r="AE699" s="936"/>
      <c r="AF699" s="937"/>
      <c r="AG699" s="196">
        <f ca="1">IF($B$691="Лікар загальної практики - сімейний лікар",IF(AG695&lt;Законод!$C$22,0,(IF(AND(AG695&gt;=Законод!$G$22,AG695&lt;=Законод!$G$23),AG695-Законод!$F$23,IF('01_Доходи'!AG695&gt;=Законод!$H$22,Законод!$G$24,0)))),IF($B$691="Лікар-педіатр",IF(AG695&lt;Законод!$C$18,0,(IF(AND(AG695&gt;=Законод!$G$18,AG695&lt;=Законод!$G$19),AG695-Законод!$F$19,IF('01_Доходи'!AG695&gt;=Законод!$H$18,Законод!$G$20,0)))),IF($B$691="Лікар-терапевт",IF(AG695&lt;Законод!$C$26,0,(IF(AND(AG695&gt;=Законод!$G$26,AG695&lt;=Законод!$G$27),AG695-Законод!$F$27,IF('01_Доходи'!AG695&gt;=Законод!$H$26,Законод!$G$28,0)))),0)))</f>
        <v>0</v>
      </c>
      <c r="AH699" s="942"/>
      <c r="AI699" s="201"/>
      <c r="AJ699" s="945"/>
      <c r="AK699" s="960"/>
      <c r="AL699" s="960"/>
      <c r="AM699" s="927"/>
      <c r="AN699" s="210">
        <f ca="1">IF(B691="Лікар загальної практики - сімейний лікар",L699*Законод!$C$9/4*Законод!$G$16,IF(B691="Лікар-педіатр",L699*Законод!$C$9/4*Законод!$G$16,IF(B691="Лікар-терапевт",L699*Законод!$C$9/4*Законод!$G$16,0)))</f>
        <v>0</v>
      </c>
      <c r="AO699" s="210">
        <f ca="1">IF(B691="Лікар загальної практики - сімейний лікар",S699*Законод!$C$9/4*Законод!$G$16,IF(B691="Лікар-педіатр",S699*Законод!$C$9/4*Законод!$G$16,IF(B691="Лікар-терапевт",S699*Законод!$C$9/4*Законод!$G$16,0)))</f>
        <v>0</v>
      </c>
      <c r="AP699" s="210">
        <f ca="1">IF(B691="Лікар загальної практики - сімейний лікар",Z699*Законод!$C$9/4*Законод!$G$16,IF(B691="Лікар-педіатр",Z699*Законод!$C$9/4*Законод!$G$16,IF(B691="Лікар-терапевт",Z699*Законод!$C$9/4*Законод!$G$16,0)))</f>
        <v>0</v>
      </c>
      <c r="AQ699" s="210">
        <f ca="1">IF(B691="Лікар загальної практики - сімейний лікар",AG699*Законод!$C$9/4*Законод!$G$16,IF(B691="Лікар-педіатр",AG699*Законод!$C$9/4*Законод!$G$16,IF(B691="Лікар-терапевт",AG699*Законод!$C$9/4*Законод!$G$16,0)))</f>
        <v>0</v>
      </c>
      <c r="AR699" s="211">
        <f t="shared" si="93"/>
        <v>0</v>
      </c>
    </row>
    <row r="700" spans="1:44" s="50" customFormat="1" ht="31.9" hidden="1" customHeight="1">
      <c r="A700" s="197"/>
      <c r="B700" s="951"/>
      <c r="C700" s="954"/>
      <c r="D700" s="957"/>
      <c r="E700" s="939"/>
      <c r="F700" s="238" t="str">
        <f ca="1">IF(B691="Лікар-педіатр",Законод!$H$17,IF(B691="Лікар загальної практики - сімейний лікар",Законод!$H$21,IF(B691="Лікар-терапевт",Законод!$H$25,"х")))</f>
        <v>х</v>
      </c>
      <c r="G700" s="935" t="s">
        <v>423</v>
      </c>
      <c r="H700" s="936"/>
      <c r="I700" s="936"/>
      <c r="J700" s="936"/>
      <c r="K700" s="937"/>
      <c r="L700" s="196">
        <f ca="1">IF($B$691="Лікар загальної практики - сімейний лікар",IF(L695&lt;Законод!$C$22,0,(IF(AND(L695&gt;=Законод!$H$22,L695&lt;=Законод!$H$23),L695-Законод!$G$23,IF('01_Доходи'!L695&gt;=Законод!$I$22,Законод!$H$24,0)))),IF($B$691="Лікар-педіатр",IF(L695&lt;Законод!$C$18,0,(IF(AND(L695&gt;=Законод!$H$18,L695&lt;=Законод!$H$19),L695-Законод!$G$19,IF('01_Доходи'!L695&gt;=Законод!$I$18,Законод!$H$20,0)))),IF($B$691="Лікар-терапевт",IF(L695&lt;Законод!$C$26,0,(IF(AND(L695&gt;=Законод!$H$26,L695&lt;=Законод!$H$27),L695-Законод!$G$27,IF(L695&gt;=Законод!$I$26,Законод!$H$28,0)))),0)))</f>
        <v>0</v>
      </c>
      <c r="M700" s="942"/>
      <c r="N700" s="935" t="s">
        <v>423</v>
      </c>
      <c r="O700" s="936"/>
      <c r="P700" s="936"/>
      <c r="Q700" s="936"/>
      <c r="R700" s="937"/>
      <c r="S700" s="196">
        <f ca="1">IF($B$691="Лікар загальної практики - сімейний лікар",IF(S695&lt;Законод!$C$22,0,(IF(AND(S695&gt;=Законод!$H$22,S695&lt;=Законод!$H$23),S695-Законод!$G$23,IF('01_Доходи'!S695&gt;=Законод!$I$22,Законод!$H$24,0)))),IF($B$691="Лікар-педіатр",IF(S695&lt;Законод!$C$18,0,(IF(AND(S695&gt;=Законод!$H$18,S695&lt;=Законод!$H$19),S695-Законод!$G$19,IF('01_Доходи'!S695&gt;=Законод!$I$18,Законод!$H$20,0)))),IF($B$691="Лікар-терапевт",IF(S695&lt;Законод!$C$26,0,(IF(AND(S695&gt;=Законод!$H$26,S695&lt;=Законод!$H$27),S695-Законод!$G$27,IF(S695&gt;=Законод!$I$26,Законод!$H$28,0)))),0)))</f>
        <v>0</v>
      </c>
      <c r="T700" s="942"/>
      <c r="U700" s="935" t="s">
        <v>423</v>
      </c>
      <c r="V700" s="936"/>
      <c r="W700" s="936"/>
      <c r="X700" s="936"/>
      <c r="Y700" s="937"/>
      <c r="Z700" s="196">
        <f ca="1">IF($B$691="Лікар загальної практики - сімейний лікар",IF(Z695&lt;Законод!$C$22,0,(IF(AND(Z695&gt;=Законод!$H$22,Z695&lt;=Законод!$H$23),Z695-Законод!$G$23,IF('01_Доходи'!Z695&gt;=Законод!$I$22,Законод!$H$24,0)))),IF($B$691="Лікар-педіатр",IF(Z695&lt;Законод!$C$18,0,(IF(AND(Z695&gt;=Законод!$H$18,Z695&lt;=Законод!$H$19),Z695-Законод!$G$19,IF('01_Доходи'!Z695&gt;=Законод!$I$18,Законод!$H$20,0)))),IF($B$691="Лікар-терапевт",IF(Z695&lt;Законод!$C$26,0,(IF(AND(Z695&gt;=Законод!$H$26,Z695&lt;=Законод!$H$27),Z695-Законод!$G$27,IF(Z695&gt;=Законод!$I$26,Законод!$H$28,0)))),0)))</f>
        <v>0</v>
      </c>
      <c r="AA700" s="942"/>
      <c r="AB700" s="935" t="s">
        <v>423</v>
      </c>
      <c r="AC700" s="936"/>
      <c r="AD700" s="936"/>
      <c r="AE700" s="936"/>
      <c r="AF700" s="937"/>
      <c r="AG700" s="196">
        <f ca="1">IF($B$691="Лікар загальної практики - сімейний лікар",IF(AG695&lt;Законод!$C$22,0,(IF(AND(AG695&gt;=Законод!$H$22,AG695&lt;=Законод!$H$23),AG695-Законод!$G$23,IF('01_Доходи'!AG695&gt;=Законод!$I$22,Законод!$H$24,0)))),IF($B$691="Лікар-педіатр",IF(AG695&lt;Законод!$C$18,0,(IF(AND(AG695&gt;=Законод!$H$18,AG695&lt;=Законод!$H$19),AG695-Законод!$G$19,IF('01_Доходи'!AG695&gt;=Законод!$I$18,Законод!$H$20,0)))),IF($B$691="Лікар-терапевт",IF(AG695&lt;Законод!$C$26,0,(IF(AND(AG695&gt;=Законод!$H$26,AG695&lt;=Законод!$H$27),AG695-Законод!$G$27,IF(AG695&gt;=Законод!$I$26,Законод!$H$28,0)))),0)))</f>
        <v>0</v>
      </c>
      <c r="AH700" s="942"/>
      <c r="AI700" s="201"/>
      <c r="AJ700" s="945"/>
      <c r="AK700" s="960"/>
      <c r="AL700" s="960"/>
      <c r="AM700" s="927"/>
      <c r="AN700" s="210">
        <f ca="1">IF(B691="Лікар загальної практики - сімейний лікар",L700*Законод!$C$9/4*Законод!$H$16,IF(B691="Лікар-педіатр",L700*Законод!$C$9/4*Законод!$H$16,IF(B691="Лікар-терапевт",L700*Законод!$C$9/4*Законод!$H$16,0)))</f>
        <v>0</v>
      </c>
      <c r="AO700" s="210">
        <f ca="1">IF(B691="Лікар загальної практики - сімейний лікар",S700*Законод!$C$9/4*Законод!$H$16,IF(B691="Лікар-педіатр",S700*Законод!$C$9/4*Законод!$H$16,IF(B691="Лікар-терапевт",S700*Законод!$C$9/4*Законод!$H$16,0)))</f>
        <v>0</v>
      </c>
      <c r="AP700" s="210">
        <f ca="1">IF(B691="Лікар загальної практики - сімейний лікар",Z700*Законод!$C$9/4*Законод!$H$16,IF(B691="Лікар-педіатр",Z700*Законод!$C$9/4*Законод!$H$16,IF(B691="Лікар-терапевт",Z700*Законод!$C$9/4*Законод!$H$16,0)))</f>
        <v>0</v>
      </c>
      <c r="AQ700" s="210">
        <f ca="1">IF(B691="Лікар загальної практики - сімейний лікар",AG700*Законод!$C$9/4*Законод!$H$16,IF(B691="Лікар-педіатр",AG700*Законод!$C$9/4*Законод!$H$16,IF(B691="Лікар-терапевт",AG700*Законод!$C$9/4*Законод!$H$16,0)))</f>
        <v>0</v>
      </c>
      <c r="AR700" s="211">
        <f t="shared" si="93"/>
        <v>0</v>
      </c>
    </row>
    <row r="701" spans="1:44" s="50" customFormat="1" ht="31.9" hidden="1" customHeight="1">
      <c r="A701" s="197"/>
      <c r="B701" s="951"/>
      <c r="C701" s="954"/>
      <c r="D701" s="957"/>
      <c r="E701" s="939"/>
      <c r="F701" s="238" t="str">
        <f ca="1">IF(B691="Лікар-педіатр",Законод!$I$17,IF(B691="Лікар загальної практики - сімейний лікар",Законод!$I$21,IF(B691="Лікар-терапевт",Законод!$I$25,"х")))</f>
        <v>х</v>
      </c>
      <c r="G701" s="935" t="s">
        <v>423</v>
      </c>
      <c r="H701" s="936"/>
      <c r="I701" s="936"/>
      <c r="J701" s="936"/>
      <c r="K701" s="937"/>
      <c r="L701" s="196">
        <f ca="1">IF($B$691="Лікар загальної практики - сімейний лікар",IF(L695&lt;Законод!$C$22,0,(IF(AND(L695&gt;=Законод!$I$22,L695&lt;=Законод!$I$23),L695-Законод!$H$23,IF('01_Доходи'!L695&gt;=Законод!$I$22,Законод!$I$24,0)))),IF($B$691="Лікар-педіатр",IF(L695&lt;Законод!$C$18,0,(IF(AND(L695&gt;=Законод!$I$18,L695&lt;=Законод!$I$19),L695-Законод!$H$19,IF('01_Доходи'!L695&gt;=Законод!$I$18,Законод!$H$20,0)))),IF($B$691="Лікар-терапевт",IF(L695&lt;Законод!$C$26,0,(IF(AND(L695&gt;=Законод!$I$26,L695&lt;=Законод!$I$27),L695-Законод!$H$27,IF('01_Доходи'!L695&gt;=Законод!$I$26,Законод!$H$28,0)))),0)))</f>
        <v>0</v>
      </c>
      <c r="M701" s="942"/>
      <c r="N701" s="935" t="s">
        <v>423</v>
      </c>
      <c r="O701" s="936"/>
      <c r="P701" s="936"/>
      <c r="Q701" s="936"/>
      <c r="R701" s="937"/>
      <c r="S701" s="196">
        <f ca="1">IF($B$691="Лікар загальної практики - сімейний лікар",IF(S695&lt;Законод!$C$22,0,(IF(AND(S695&gt;=Законод!$I$22,S695&lt;=Законод!$I$23),S695-Законод!$H$23,IF('01_Доходи'!S695&gt;=Законод!$I$22,Законод!$I$24,0)))),IF($B$691="Лікар-педіатр",IF(S695&lt;Законод!$C$18,0,(IF(AND(S695&gt;=Законод!$I$18,S695&lt;=Законод!$I$19),S695-Законод!$H$19,IF('01_Доходи'!S695&gt;=Законод!$I$18,Законод!$H$20,0)))),IF($B$691="Лікар-терапевт",IF(S695&lt;Законод!$C$26,0,(IF(AND(S695&gt;=Законод!$I$26,S695&lt;=Законод!$I$27),S695-Законод!$H$27,IF('01_Доходи'!S695&gt;=Законод!$I$26,Законод!$H$28,0)))),0)))</f>
        <v>0</v>
      </c>
      <c r="T701" s="942"/>
      <c r="U701" s="935" t="s">
        <v>423</v>
      </c>
      <c r="V701" s="936"/>
      <c r="W701" s="936"/>
      <c r="X701" s="936"/>
      <c r="Y701" s="937"/>
      <c r="Z701" s="196">
        <f ca="1">IF($B$691="Лікар загальної практики - сімейний лікар",IF(Z695&lt;Законод!$C$22,0,(IF(AND(Z695&gt;=Законод!$I$22,Z695&lt;=Законод!$I$23),Z695-Законод!$H$23,IF('01_Доходи'!Z695&gt;=Законод!$I$22,Законод!$I$24,0)))),IF($B$691="Лікар-педіатр",IF(Z695&lt;Законод!$C$18,0,(IF(AND(Z695&gt;=Законод!$I$18,Z695&lt;=Законод!$I$19),Z695-Законод!$H$19,IF('01_Доходи'!Z695&gt;=Законод!$I$18,Законод!$H$20,0)))),IF($B$691="Лікар-терапевт",IF(Z695&lt;Законод!$C$26,0,(IF(AND(Z695&gt;=Законод!$I$26,Z695&lt;=Законод!$I$27),Z695-Законод!$H$27,IF('01_Доходи'!Z695&gt;=Законод!$I$26,Законод!$H$28,0)))),0)))</f>
        <v>0</v>
      </c>
      <c r="AA701" s="942"/>
      <c r="AB701" s="935" t="s">
        <v>423</v>
      </c>
      <c r="AC701" s="936"/>
      <c r="AD701" s="936"/>
      <c r="AE701" s="936"/>
      <c r="AF701" s="937"/>
      <c r="AG701" s="196">
        <f ca="1">IF($B$691="Лікар загальної практики - сімейний лікар",IF(AG695&lt;Законод!$C$22,0,(IF(AND(AG695&gt;=Законод!$I$22,AG695&lt;=Законод!$I$23),AG695-Законод!$H$23,IF('01_Доходи'!AG695&gt;=Законод!$I$22,Законод!$I$24,0)))),IF($B$691="Лікар-педіатр",IF(AG695&lt;Законод!$C$18,0,(IF(AND(AG695&gt;=Законод!$I$18,AG695&lt;=Законод!$I$19),AG695-Законод!$H$19,IF('01_Доходи'!AG695&gt;=Законод!$I$18,Законод!$H$20,0)))),IF($B$691="Лікар-терапевт",IF(AG695&lt;Законод!$C$26,0,(IF(AND(AG695&gt;=Законод!$I$26,AG695&lt;=Законод!$I$27),AG695-Законод!$H$27,IF('01_Доходи'!AG695&gt;=Законод!$I$26,Законод!$H$28,0)))),0)))</f>
        <v>0</v>
      </c>
      <c r="AH701" s="942"/>
      <c r="AI701" s="201"/>
      <c r="AJ701" s="945"/>
      <c r="AK701" s="960"/>
      <c r="AL701" s="960"/>
      <c r="AM701" s="927"/>
      <c r="AN701" s="210">
        <f ca="1">IF(B691="Лікар загальної практики - сімейний лікар",L701*Законод!$C$9/4*Законод!$I$16,IF(B691="Лікар-педіатр",L701*Законод!$C$9/4*Законод!$I$16,IF(B691="Лікар-терапевт",L701*Законод!$C$9/4*Законод!$I$16,0)))</f>
        <v>0</v>
      </c>
      <c r="AO701" s="210">
        <f ca="1">IF(B691="Лікар загальної практики - сімейний лікар",S701*Законод!$C$9/4*Законод!$I$16,IF(B691="Лікар-педіатр",S701*Законод!$C$9/4*Законод!$I$16,IF(B691="Лікар-терапевт",S701*Законод!$C$9/4*Законод!$I$16,0)))</f>
        <v>0</v>
      </c>
      <c r="AP701" s="210">
        <f ca="1">IF(B691="Лікар загальної практики - сімейний лікар",Z701*Законод!$C$9/4*Законод!$I$16,IF(B691="Лікар-педіатр",Z701*Законод!$C$9/4*Законод!$I$16,IF(B691="Лікар-терапевт",Z701*Законод!$C$9/4*Законод!$I$16,0)))</f>
        <v>0</v>
      </c>
      <c r="AQ701" s="210">
        <f ca="1">IF(B691="Лікар загальної практики - сімейний лікар",AG701*Законод!$C$9/4*Законод!$I$16,IF(B691="Лікар-педіатр",AG701*Законод!$C$9/4*Законод!$I$16,IF(B691="Лікар-терапевт",AG701*Законод!$C$9/4*Законод!$I$16,0)))</f>
        <v>0</v>
      </c>
      <c r="AR701" s="211">
        <f t="shared" si="93"/>
        <v>0</v>
      </c>
    </row>
    <row r="702" spans="1:44" s="218" customFormat="1" ht="31.9" hidden="1" customHeight="1" thickBot="1">
      <c r="A702" s="213"/>
      <c r="B702" s="952"/>
      <c r="C702" s="955"/>
      <c r="D702" s="958"/>
      <c r="E702" s="940"/>
      <c r="F702" s="239" t="str">
        <f ca="1">IF(B691="Лікар-педіатр",Законод!$J$17,IF(B691="Лікар загальної практики - сімейний лікар",Законод!$J$21,IF(B691="Лікар-терапевт",Законод!$J$25,"х")))</f>
        <v>х</v>
      </c>
      <c r="G702" s="932" t="s">
        <v>423</v>
      </c>
      <c r="H702" s="933"/>
      <c r="I702" s="933"/>
      <c r="J702" s="933"/>
      <c r="K702" s="934"/>
      <c r="L702" s="196">
        <f ca="1">IF($B$691="Лікар загальної практики - сімейний лікар",IF(L695&gt;=Законод!$J$22,'01_Доходи'!L695-('01_Доходи'!L696+'01_Доходи'!L697+'01_Доходи'!L698+'01_Доходи'!L699+'01_Доходи'!L700+'01_Доходи'!L701),0),IF($B$691="Лікар-педіатр",IF(L695&gt;=Законод!$J$18,'01_Доходи'!L695-('01_Доходи'!L696+'01_Доходи'!L697+'01_Доходи'!L698+'01_Доходи'!L699+'01_Доходи'!L700+'01_Доходи'!L701),0),IF($B$691="Лікар-терапевт",IF('01_Доходи'!L695&gt;=Законод!$J$26,L695-Законод!$I$27,0),0)))</f>
        <v>0</v>
      </c>
      <c r="M702" s="943"/>
      <c r="N702" s="932" t="s">
        <v>423</v>
      </c>
      <c r="O702" s="933"/>
      <c r="P702" s="933"/>
      <c r="Q702" s="933"/>
      <c r="R702" s="934"/>
      <c r="S702" s="196">
        <f ca="1">IF($B$691="Лікар загальної практики - сімейний лікар",IF(S695&gt;=Законод!$J$22,'01_Доходи'!S695-('01_Доходи'!S696+'01_Доходи'!S697+'01_Доходи'!S698+'01_Доходи'!S699+'01_Доходи'!S700+'01_Доходи'!S701),0),IF($B$691="Лікар-педіатр",IF(S695&gt;=Законод!$J$18,'01_Доходи'!S695-('01_Доходи'!S696+'01_Доходи'!S697+'01_Доходи'!S698+'01_Доходи'!S699+'01_Доходи'!S700+'01_Доходи'!S701),0),IF($B$691="Лікар-терапевт",IF('01_Доходи'!S695&gt;=Законод!$J$26,S695-Законод!$I$27,0),0)))</f>
        <v>0</v>
      </c>
      <c r="T702" s="943"/>
      <c r="U702" s="932" t="s">
        <v>423</v>
      </c>
      <c r="V702" s="933"/>
      <c r="W702" s="933"/>
      <c r="X702" s="933"/>
      <c r="Y702" s="934"/>
      <c r="Z702" s="196">
        <f ca="1">IF($B$691="Лікар загальної практики - сімейний лікар",IF(Z695&gt;=Законод!$J$22,'01_Доходи'!Z695-('01_Доходи'!Z696+'01_Доходи'!Z697+'01_Доходи'!Z698+'01_Доходи'!Z699+'01_Доходи'!Z700+'01_Доходи'!Z701),0),IF($B$691="Лікар-педіатр",IF(Z695&gt;=Законод!$J$18,'01_Доходи'!Z695-('01_Доходи'!Z696+'01_Доходи'!Z697+'01_Доходи'!Z698+'01_Доходи'!Z699+'01_Доходи'!Z700+'01_Доходи'!Z701),0),IF($B$691="Лікар-терапевт",IF('01_Доходи'!Z695&gt;=Законод!$J$26,Z695-Законод!$I$27,0),0)))</f>
        <v>0</v>
      </c>
      <c r="AA702" s="943"/>
      <c r="AB702" s="932" t="s">
        <v>423</v>
      </c>
      <c r="AC702" s="933"/>
      <c r="AD702" s="933"/>
      <c r="AE702" s="933"/>
      <c r="AF702" s="934"/>
      <c r="AG702" s="196">
        <f ca="1">IF($B$691="Лікар загальної практики - сімейний лікар",IF(AG695&gt;=Законод!$J$22,'01_Доходи'!AG695-('01_Доходи'!AG696+'01_Доходи'!AG697+'01_Доходи'!AG698+'01_Доходи'!AG699+'01_Доходи'!AG700+'01_Доходи'!AG701),0),IF($B$691="Лікар-педіатр",IF(AG695&gt;=Законод!$J$18,'01_Доходи'!AG695-('01_Доходи'!AG696+'01_Доходи'!AG697+'01_Доходи'!AG698+'01_Доходи'!AG699+'01_Доходи'!AG700+'01_Доходи'!AG701),0),IF($B$691="Лікар-терапевт",IF('01_Доходи'!AG695&gt;=Законод!$J$26,AG695-Законод!$I$27,0),0)))</f>
        <v>0</v>
      </c>
      <c r="AH702" s="943"/>
      <c r="AI702" s="215"/>
      <c r="AJ702" s="946"/>
      <c r="AK702" s="961"/>
      <c r="AL702" s="961"/>
      <c r="AM702" s="928"/>
      <c r="AN702" s="216">
        <f ca="1">IF(B691="Лікар загальної практики - сімейний лікар",L702*Законод!$C$9/4*Законод!$J$16,IF(B691="Лікар-педіатр",L702*Законод!$C$9/4*Законод!$J$16,IF(B691="Лікар-терапевт",L702*Законод!$C$9/4*Законод!$J$16,0)))</f>
        <v>0</v>
      </c>
      <c r="AO702" s="216">
        <f ca="1">IF(B691="Лікар загальної практики - сімейний лікар",S702*Законод!$C$9/4*Законод!$J$16,IF(B691="Лікар-педіатр",S702*Законод!$C$9/4*Законод!$J$16,IF(B691="Лікар-терапевт",S702*Законод!$C$9/4*Законод!$J$16,0)))</f>
        <v>0</v>
      </c>
      <c r="AP702" s="216">
        <f ca="1">IF(B691="Лікар загальної практики - сімейний лікар",S702*Законод!$C$9/4*Законод!$J$16,IF(B691="Лікар-педіатр",S702*Законод!$C$9/4*Законод!$J$16,IF(B691="Лікар-терапевт",S702*Законод!$C$9/4*Законод!$J$16,0)))</f>
        <v>0</v>
      </c>
      <c r="AQ702" s="216">
        <f ca="1">IF(B691="Лікар загальної практики - сімейний лікар",AG702*Законод!$C$9/4*Законод!$J$16,IF(B691="Лікар-педіатр",AG702*Законод!$C$9/4*Законод!$J$16,IF(B691="Лікар-терапевт",AG702*Законод!$C$9/4*Законод!$J$16,0)))</f>
        <v>0</v>
      </c>
      <c r="AR702" s="217">
        <f t="shared" si="93"/>
        <v>0</v>
      </c>
    </row>
    <row r="703" spans="1:44" s="247" customFormat="1" ht="23.45" hidden="1" customHeight="1" thickBot="1">
      <c r="A703" s="243"/>
      <c r="B703" s="244"/>
      <c r="C703" s="244"/>
      <c r="D703" s="244"/>
      <c r="E703" s="244"/>
      <c r="F703" s="245"/>
      <c r="G703" s="246"/>
      <c r="H703" s="246"/>
      <c r="L703" s="248"/>
      <c r="S703" s="248"/>
      <c r="Z703" s="248"/>
      <c r="AG703" s="248"/>
      <c r="AM703" s="249"/>
      <c r="AR703" s="250"/>
    </row>
    <row r="704" spans="1:44" s="191" customFormat="1" ht="24.6" hidden="1" customHeight="1">
      <c r="A704" s="194">
        <f>A691+1</f>
        <v>52</v>
      </c>
      <c r="B704" s="950"/>
      <c r="C704" s="953"/>
      <c r="D704" s="956"/>
      <c r="E704" s="938"/>
      <c r="F704" s="234" t="s">
        <v>659</v>
      </c>
      <c r="G704" s="196">
        <f>IF($B$704="Лікар-педіатр",G707*L704,IF($B$704="Лікар-терапевт","х",IF($B$704="Лікар загальної практики - сімейний лікар",G707*L704,0)))</f>
        <v>0</v>
      </c>
      <c r="H704" s="196">
        <f>IF($B$704="Лікар-педіатр",H707*L704,IF($B$704="Лікар-терапевт","х",IF($B$704="Лікар загальної практики - сімейний лікар",H707*L704,0)))</f>
        <v>0</v>
      </c>
      <c r="I704" s="196">
        <f>IF($B$704="Лікар-педіатр","x",IF($B$704="Лікар-терапевт",I707*L704,IF($B$704="Лікар загальної практики - сімейний лікар",I707*L704,0)))</f>
        <v>0</v>
      </c>
      <c r="J704" s="196">
        <f>IF($B$704="Лікар-педіатр","x",IF($B$704="Лікар-терапевт",J707*L704,IF($B$704="Лікар загальної практики - сімейний лікар",J707*L704,0)))</f>
        <v>0</v>
      </c>
      <c r="K704" s="196">
        <f>IF($B$704="Лікар-педіатр","x",IF($B$704="Лікар-терапевт",K707*L704,IF($B$704="Лікар загальної практики - сімейний лікар",K707*L704,0)))</f>
        <v>0</v>
      </c>
      <c r="L704" s="557"/>
      <c r="M704" s="941"/>
      <c r="N704" s="196">
        <f>IF($B$704="Лікар-педіатр",N707*S704,IF($B$704="Лікар-терапевт","х",IF($B$704="Лікар загальної практики - сімейний лікар",N707*S704,0)))</f>
        <v>0</v>
      </c>
      <c r="O704" s="196">
        <f>IF($B$704="Лікар-педіатр",O707*S704,IF($B$704="Лікар-терапевт","х",IF($B$704="Лікар загальної практики - сімейний лікар",O707*S704,0)))</f>
        <v>0</v>
      </c>
      <c r="P704" s="196">
        <f>IF($B$704="Лікар-педіатр","x",IF($B$704="Лікар-терапевт",P707*S704,IF($B$704="Лікар загальної практики - сімейний лікар",P707*S704,0)))</f>
        <v>0</v>
      </c>
      <c r="Q704" s="196">
        <f>IF($B$704="Лікар-педіатр","x",IF($B$704="Лікар-терапевт",Q707*S704,IF($B$704="Лікар загальної практики - сімейний лікар",Q707*S704,0)))</f>
        <v>0</v>
      </c>
      <c r="R704" s="196">
        <f>IF($B$704="Лікар-педіатр","x",IF($B$704="Лікар-терапевт",R707*S704,IF($B$704="Лікар загальної практики - сімейний лікар",R707*S704,0)))</f>
        <v>0</v>
      </c>
      <c r="S704" s="557"/>
      <c r="T704" s="941"/>
      <c r="U704" s="196">
        <f>IF($B$704="Лікар-педіатр",U707*Z704,IF($B$704="Лікар-терапевт","х",IF($B$704="Лікар загальної практики - сімейний лікар",U707*Z704,0)))</f>
        <v>0</v>
      </c>
      <c r="V704" s="196">
        <f>IF($B$704="Лікар-педіатр",V707*Z704,IF($B$704="Лікар-терапевт","х",IF($B$704="Лікар загальної практики - сімейний лікар",V707*Z704,0)))</f>
        <v>0</v>
      </c>
      <c r="W704" s="196">
        <f>IF($B$704="Лікар-педіатр","x",IF($B$704="Лікар-терапевт",W707*Z704,IF($B$704="Лікар загальної практики - сімейний лікар",W707*Z704,0)))</f>
        <v>0</v>
      </c>
      <c r="X704" s="196">
        <f>IF($B$704="Лікар-педіатр","x",IF($B$704="Лікар-терапевт",X707*Z704,IF($B$704="Лікар загальної практики - сімейний лікар",X707*Z704,0)))</f>
        <v>0</v>
      </c>
      <c r="Y704" s="196">
        <f>IF($B$704="Лікар-педіатр","x",IF($B$704="Лікар-терапевт",Y707*Z704,IF($B$704="Лікар загальної практики - сімейний лікар",Y707*Z704,0)))</f>
        <v>0</v>
      </c>
      <c r="Z704" s="557"/>
      <c r="AA704" s="941"/>
      <c r="AB704" s="196">
        <f>IF($B$704="Лікар-педіатр",AB707*AG704,IF($B$704="Лікар-терапевт","х",IF($B$704="Лікар загальної практики - сімейний лікар",AB707*AG704,0)))</f>
        <v>0</v>
      </c>
      <c r="AC704" s="196">
        <f>IF($B$704="Лікар-педіатр",AC707*AG704,IF($B$704="Лікар-терапевт","х",IF($B$704="Лікар загальної практики - сімейний лікар",AC707*AG704,0)))</f>
        <v>0</v>
      </c>
      <c r="AD704" s="196">
        <f>IF($B$704="Лікар-педіатр","x",IF($B$704="Лікар-терапевт",AD707*AG704,IF($B$704="Лікар загальної практики - сімейний лікар",AD707*AG704,0)))</f>
        <v>0</v>
      </c>
      <c r="AE704" s="196">
        <f>IF($B$704="Лікар-педіатр","x",IF($B$704="Лікар-терапевт",AE707*AG704,IF($B$704="Лікар загальної практики - сімейний лікар",AE707*AG704,0)))</f>
        <v>0</v>
      </c>
      <c r="AF704" s="196">
        <f>IF($B$704="Лікар-педіатр","x",IF($B$704="Лікар-терапевт",AF707*AG704,IF($B$704="Лікар загальної практики - сімейний лікар",AF707*AG704,0)))</f>
        <v>0</v>
      </c>
      <c r="AG704" s="557"/>
      <c r="AH704" s="941"/>
      <c r="AI704" s="540">
        <f>A704</f>
        <v>52</v>
      </c>
      <c r="AJ704" s="944">
        <f>B704</f>
        <v>0</v>
      </c>
      <c r="AK704" s="959">
        <f>C704</f>
        <v>0</v>
      </c>
      <c r="AL704" s="959">
        <f>D704</f>
        <v>0</v>
      </c>
      <c r="AM704" s="929" t="s">
        <v>79</v>
      </c>
      <c r="AN704" s="947">
        <f>SUM(AN709:AN715)</f>
        <v>0</v>
      </c>
      <c r="AO704" s="947">
        <f>SUM(AO709:AO715)</f>
        <v>0</v>
      </c>
      <c r="AP704" s="947">
        <f>SUM(AP709:AP715)</f>
        <v>0</v>
      </c>
      <c r="AQ704" s="947">
        <f>SUM(AQ709:AQ715)</f>
        <v>0</v>
      </c>
      <c r="AR704" s="962">
        <f>SUM(AN704:AQ708)</f>
        <v>0</v>
      </c>
    </row>
    <row r="705" spans="1:44" s="50" customFormat="1" ht="28.15" hidden="1" customHeight="1">
      <c r="A705" s="197"/>
      <c r="B705" s="951"/>
      <c r="C705" s="954"/>
      <c r="D705" s="957"/>
      <c r="E705" s="939"/>
      <c r="F705" s="234" t="s">
        <v>660</v>
      </c>
      <c r="G705" s="196">
        <f>IF($B$704="Лікар-педіатр",G707*L705,IF($B$704="Лікар-терапевт","х",IF($B$704="Лікар загальної практики - сімейний лікар",G707*L705,0)))</f>
        <v>0</v>
      </c>
      <c r="H705" s="196">
        <f>IF($B$704="Лікар-педіатр",H707*L705,IF($B$704="Лікар-терапевт","х",IF($B$704="Лікар загальної практики - сімейний лікар",H707*L705,0)))</f>
        <v>0</v>
      </c>
      <c r="I705" s="196">
        <f>IF($B$704="Лікар-педіатр","x",IF($B$704="Лікар-терапевт",I707*L705,IF($B$704="Лікар загальної практики - сімейний лікар",I707*L705,0)))</f>
        <v>0</v>
      </c>
      <c r="J705" s="196">
        <f>IF($B$704="Лікар-педіатр","x",IF($B$704="Лікар-терапевт",J707*L705,IF($B$704="Лікар загальної практики - сімейний лікар",J707*L705,0)))</f>
        <v>0</v>
      </c>
      <c r="K705" s="196">
        <f>IF($B$704="Лікар-педіатр","x",IF($B$704="Лікар-терапевт",K707*L705,IF($B$704="Лікар загальної практики - сімейний лікар",K707*L705,0)))</f>
        <v>0</v>
      </c>
      <c r="L705" s="557"/>
      <c r="M705" s="942"/>
      <c r="N705" s="196">
        <f>IF($B$704="Лікар-педіатр",N707*S705,IF($B$704="Лікар-терапевт","х",IF($B$704="Лікар загальної практики - сімейний лікар",N707*S705,0)))</f>
        <v>0</v>
      </c>
      <c r="O705" s="196">
        <f>IF($B$704="Лікар-педіатр",O707*S705,IF($B$704="Лікар-терапевт","х",IF($B$704="Лікар загальної практики - сімейний лікар",O707*S705,0)))</f>
        <v>0</v>
      </c>
      <c r="P705" s="196">
        <f>IF($B$704="Лікар-педіатр","x",IF($B$704="Лікар-терапевт",P707*S705,IF($B$704="Лікар загальної практики - сімейний лікар",P707*S705,0)))</f>
        <v>0</v>
      </c>
      <c r="Q705" s="196">
        <f>IF($B$704="Лікар-педіатр","x",IF($B$704="Лікар-терапевт",Q707*S705,IF($B$704="Лікар загальної практики - сімейний лікар",Q707*S705,0)))</f>
        <v>0</v>
      </c>
      <c r="R705" s="196">
        <f>IF($B$704="Лікар-педіатр","x",IF($B$704="Лікар-терапевт",R707*S705,IF($B$704="Лікар загальної практики - сімейний лікар",R707*S705,0)))</f>
        <v>0</v>
      </c>
      <c r="S705" s="557"/>
      <c r="T705" s="942"/>
      <c r="U705" s="196">
        <f>IF($B$704="Лікар-педіатр",U707*Z705,IF($B$704="Лікар-терапевт","х",IF($B$704="Лікар загальної практики - сімейний лікар",U707*Z705,0)))</f>
        <v>0</v>
      </c>
      <c r="V705" s="196">
        <f>IF($B$704="Лікар-педіатр",V707*Z705,IF($B$704="Лікар-терапевт","х",IF($B$704="Лікар загальної практики - сімейний лікар",V707*Z705,0)))</f>
        <v>0</v>
      </c>
      <c r="W705" s="196">
        <f>IF($B$704="Лікар-педіатр","x",IF($B$704="Лікар-терапевт",W707*Z705,IF($B$704="Лікар загальної практики - сімейний лікар",W707*Z705,0)))</f>
        <v>0</v>
      </c>
      <c r="X705" s="196">
        <f>IF($B$704="Лікар-педіатр","x",IF($B$704="Лікар-терапевт",X707*Z705,IF($B$704="Лікар загальної практики - сімейний лікар",X707*Z705,0)))</f>
        <v>0</v>
      </c>
      <c r="Y705" s="196">
        <f>IF($B$704="Лікар-педіатр","x",IF($B$704="Лікар-терапевт",Y707*Z705,IF($B$704="Лікар загальної практики - сімейний лікар",Y707*Z705,0)))</f>
        <v>0</v>
      </c>
      <c r="Z705" s="557"/>
      <c r="AA705" s="942"/>
      <c r="AB705" s="196">
        <f>IF($B$704="Лікар-педіатр",AB707*AG705,IF($B$704="Лікар-терапевт","х",IF($B$704="Лікар загальної практики - сімейний лікар",AB707*AG705,0)))</f>
        <v>0</v>
      </c>
      <c r="AC705" s="196">
        <f>IF($B$704="Лікар-педіатр",AC707*AG705,IF($B$704="Лікар-терапевт","х",IF($B$704="Лікар загальної практики - сімейний лікар",AC707*AG705,0)))</f>
        <v>0</v>
      </c>
      <c r="AD705" s="196">
        <f>IF($B$704="Лікар-педіатр","x",IF($B$704="Лікар-терапевт",AD707*AG705,IF($B$704="Лікар загальної практики - сімейний лікар",AD707*AG705,0)))</f>
        <v>0</v>
      </c>
      <c r="AE705" s="196">
        <f>IF($B$704="Лікар-педіатр","x",IF($B$704="Лікар-терапевт",AE707*AG705,IF($B$704="Лікар загальної практики - сімейний лікар",AE707*AG705,0)))</f>
        <v>0</v>
      </c>
      <c r="AF705" s="196">
        <f>IF($B$704="Лікар-педіатр","x",IF($B$704="Лікар-терапевт",AF707*AG705,IF($B$704="Лікар загальної практики - сімейний лікар",AF707*AG705,0)))</f>
        <v>0</v>
      </c>
      <c r="AG705" s="557"/>
      <c r="AH705" s="942"/>
      <c r="AI705" s="198"/>
      <c r="AJ705" s="945"/>
      <c r="AK705" s="960"/>
      <c r="AL705" s="960"/>
      <c r="AM705" s="930"/>
      <c r="AN705" s="948"/>
      <c r="AO705" s="948"/>
      <c r="AP705" s="948"/>
      <c r="AQ705" s="948"/>
      <c r="AR705" s="963"/>
    </row>
    <row r="706" spans="1:44" s="90" customFormat="1" ht="31.15" hidden="1" customHeight="1">
      <c r="A706" s="240"/>
      <c r="B706" s="951"/>
      <c r="C706" s="954"/>
      <c r="D706" s="957"/>
      <c r="E706" s="939"/>
      <c r="F706" s="241" t="s">
        <v>661</v>
      </c>
      <c r="G706" s="199">
        <f>IF(B704="Лікар загальної практики - сімейний лікар"," ",IF(B704="Лікар-педіатр"," ",IF(B704="Лікар-терапевт","х",0)))</f>
        <v>0</v>
      </c>
      <c r="H706" s="199">
        <f>IF(B704="Лікар загальної практики - сімейний лікар"," ",IF(B704="Лікар-педіатр"," ",IF(B704="Лікар-терапевт","х",0)))</f>
        <v>0</v>
      </c>
      <c r="I706" s="199">
        <f>IF(B704="Лікар загальної практики - сімейний лікар"," ",IF(B704="Лікар-педіатр","х",IF(B704="Лікар-терапевт"," ",0)))</f>
        <v>0</v>
      </c>
      <c r="J706" s="199">
        <f>IF(B704="Лікар загальної практики - сімейний лікар"," ",IF(B704="Лікар-педіатр","х",IF(B704="Лікар-терапевт"," ",0)))</f>
        <v>0</v>
      </c>
      <c r="K706" s="199">
        <f>IF(B704="Лікар загальної практики - сімейний лікар"," ",IF(B704="Лікар-педіатр","х",IF(B704="Лікар-терапевт"," ",0)))</f>
        <v>0</v>
      </c>
      <c r="L706" s="200">
        <f>SUM(G706:K706)</f>
        <v>0</v>
      </c>
      <c r="M706" s="942"/>
      <c r="N706" s="199">
        <f>IF(B704="Лікар загальної практики - сімейний лікар"," ",IF(B704="Лікар-педіатр"," ",IF(B704="Лікар-терапевт","х",0)))</f>
        <v>0</v>
      </c>
      <c r="O706" s="199">
        <f>IF(B704="Лікар загальної практики - сімейний лікар"," ",IF(B704="Лікар-педіатр"," ",IF(B704="Лікар-терапевт","х",0)))</f>
        <v>0</v>
      </c>
      <c r="P706" s="199">
        <f>IF(B704="Лікар загальної практики - сімейний лікар"," ",IF(B704="Лікар-педіатр","х",IF(B704="Лікар-терапевт"," ",0)))</f>
        <v>0</v>
      </c>
      <c r="Q706" s="199">
        <f>IF(B704="Лікар загальної практики - сімейний лікар"," ",IF(B704="Лікар-педіатр","х",IF(B704="Лікар-терапевт"," ",0)))</f>
        <v>0</v>
      </c>
      <c r="R706" s="199">
        <f>IF(B704="Лікар загальної практики - сімейний лікар"," ",IF(B704="Лікар-педіатр","х",IF(B704="Лікар-терапевт"," ",0)))</f>
        <v>0</v>
      </c>
      <c r="S706" s="200">
        <f>SUM(N706:R706)</f>
        <v>0</v>
      </c>
      <c r="T706" s="942"/>
      <c r="U706" s="199">
        <f>IF(B704="Лікар загальної практики - сімейний лікар"," ",IF(B704="Лікар-педіатр"," ",IF(B704="Лікар-терапевт","х",0)))</f>
        <v>0</v>
      </c>
      <c r="V706" s="199">
        <f>IF(B704="Лікар загальної практики - сімейний лікар"," ",IF(B704="Лікар-педіатр"," ",IF(B704="Лікар-терапевт","х",0)))</f>
        <v>0</v>
      </c>
      <c r="W706" s="199">
        <f>IF(B704="Лікар загальної практики - сімейний лікар"," ",IF(B704="Лікар-педіатр","х",IF(B704="Лікар-терапевт"," ",0)))</f>
        <v>0</v>
      </c>
      <c r="X706" s="199">
        <f>IF(B704="Лікар загальної практики - сімейний лікар"," ",IF(B704="Лікар-педіатр","х",IF(B704="Лікар-терапевт"," ",0)))</f>
        <v>0</v>
      </c>
      <c r="Y706" s="199">
        <f>IF(B704="Лікар загальної практики - сімейний лікар"," ",IF(B704="Лікар-педіатр","х",IF(B704="Лікар-терапевт"," ",0)))</f>
        <v>0</v>
      </c>
      <c r="Z706" s="200">
        <f>SUM(U706:Y706)</f>
        <v>0</v>
      </c>
      <c r="AA706" s="942"/>
      <c r="AB706" s="199">
        <f>IF(B704="Лікар загальної практики - сімейний лікар"," ",IF(B704="Лікар-педіатр"," ",IF(B704="Лікар-терапевт","х",0)))</f>
        <v>0</v>
      </c>
      <c r="AC706" s="199">
        <f>IF(B704="Лікар загальної практики - сімейний лікар"," ",IF(B704="Лікар-педіатр"," ",IF(B704="Лікар-терапевт","х",0)))</f>
        <v>0</v>
      </c>
      <c r="AD706" s="199">
        <f>IF(B704="Лікар загальної практики - сімейний лікар"," ",IF(B704="Лікар-педіатр","х",IF(B704="Лікар-терапевт"," ",0)))</f>
        <v>0</v>
      </c>
      <c r="AE706" s="199">
        <f>IF(B704="Лікар загальної практики - сімейний лікар"," ",IF(B704="Лікар-педіатр","х",IF(B704="Лікар-терапевт"," ",0)))</f>
        <v>0</v>
      </c>
      <c r="AF706" s="199">
        <f>IF(B704="Лікар загальної практики - сімейний лікар"," ",IF(B704="Лікар-педіатр","х",IF(B704="Лікар-терапевт"," ",0)))</f>
        <v>0</v>
      </c>
      <c r="AG706" s="200">
        <f>SUM(AB706:AF706)</f>
        <v>0</v>
      </c>
      <c r="AH706" s="942"/>
      <c r="AI706" s="242"/>
      <c r="AJ706" s="945"/>
      <c r="AK706" s="960"/>
      <c r="AL706" s="960"/>
      <c r="AM706" s="930"/>
      <c r="AN706" s="948"/>
      <c r="AO706" s="948"/>
      <c r="AP706" s="948"/>
      <c r="AQ706" s="948"/>
      <c r="AR706" s="963"/>
    </row>
    <row r="707" spans="1:44" s="50" customFormat="1" ht="31.9" hidden="1" customHeight="1" thickBot="1">
      <c r="A707" s="197"/>
      <c r="B707" s="951"/>
      <c r="C707" s="954"/>
      <c r="D707" s="957"/>
      <c r="E707" s="939"/>
      <c r="F707" s="236" t="s">
        <v>426</v>
      </c>
      <c r="G707" s="203">
        <f>IF($B$704="Лікар-педіатр",G706/L706,IF($B$704="Лікар-терапевт","х",IF($B$704="Лікар загальної практики - сімейний лікар",G706/L706,0)))</f>
        <v>0</v>
      </c>
      <c r="H707" s="203">
        <f>IF($B$704="Лікар-педіатр",H706/L706,IF($B$704="Лікар-терапевт","х",IF($B$704="Лікар загальної практики - сімейний лікар",H706/L706,0)))</f>
        <v>0</v>
      </c>
      <c r="I707" s="203">
        <f>IF($B$704="Лікар-педіатр","x",IF($B$704="Лікар-терапевт",I706/L706,IF($B$704="Лікар загальної практики - сімейний лікар",I706/L706,0)))</f>
        <v>0</v>
      </c>
      <c r="J707" s="203">
        <f>IF($B$704="Лікар-педіатр","x",IF($B$704="Лікар-терапевт",J706/L706,IF($B$704="Лікар загальної практики - сімейний лікар",J706/L706,0)))</f>
        <v>0</v>
      </c>
      <c r="K707" s="203">
        <f>IF($B$704="Лікар-педіатр","x",IF($B$704="Лікар-терапевт",K706/L706,IF($B$704="Лікар загальної практики - сімейний лікар",K706/L706,0)))</f>
        <v>0</v>
      </c>
      <c r="L707" s="203">
        <f>SUM(G707:K707)</f>
        <v>0</v>
      </c>
      <c r="M707" s="942"/>
      <c r="N707" s="203">
        <f>IF($B$704="Лікар-педіатр",N706/S706,IF($B$704="Лікар-терапевт","х",IF($B$704="Лікар загальної практики - сімейний лікар",N706/S706,0)))</f>
        <v>0</v>
      </c>
      <c r="O707" s="203">
        <f>IF($B$704="Лікар-педіатр",O706/S706,IF($B$704="Лікар-терапевт","х",IF($B$704="Лікар загальної практики - сімейний лікар",O706/S706,0)))</f>
        <v>0</v>
      </c>
      <c r="P707" s="203">
        <f>IF($B$704="Лікар-педіатр","x",IF($B$704="Лікар-терапевт",P706/S706,IF($B$704="Лікар загальної практики - сімейний лікар",P706/S706,0)))</f>
        <v>0</v>
      </c>
      <c r="Q707" s="203">
        <f>IF($B$704="Лікар-педіатр","x",IF($B$704="Лікар-терапевт",Q706/S706,IF($B$704="Лікар загальної практики - сімейний лікар",Q706/S706,0)))</f>
        <v>0</v>
      </c>
      <c r="R707" s="203">
        <f>IF($B$704="Лікар-педіатр","x",IF($B$704="Лікар-терапевт",R706/S706,IF($B$704="Лікар загальної практики - сімейний лікар",R706/S706,0)))</f>
        <v>0</v>
      </c>
      <c r="S707" s="203">
        <f>SUM(N707:R707)</f>
        <v>0</v>
      </c>
      <c r="T707" s="942"/>
      <c r="U707" s="203">
        <f>IF($B$704="Лікар-педіатр",U706/Z706,IF($B$704="Лікар-терапевт","х",IF($B$704="Лікар загальної практики - сімейний лікар",U706/Z706,0)))</f>
        <v>0</v>
      </c>
      <c r="V707" s="203">
        <f>IF($B$704="Лікар-педіатр",V706/Z706,IF($B$704="Лікар-терапевт","х",IF($B$704="Лікар загальної практики - сімейний лікар",V706/Z706,0)))</f>
        <v>0</v>
      </c>
      <c r="W707" s="203">
        <f>IF($B$704="Лікар-педіатр","x",IF($B$704="Лікар-терапевт",W706/Z706,IF($B$704="Лікар загальної практики - сімейний лікар",W706/Z706,0)))</f>
        <v>0</v>
      </c>
      <c r="X707" s="203">
        <f>IF($B$704="Лікар-педіатр","x",IF($B$704="Лікар-терапевт",X706/Z706,IF($B$704="Лікар загальної практики - сімейний лікар",X706/Z706,0)))</f>
        <v>0</v>
      </c>
      <c r="Y707" s="203">
        <f>IF($B$704="Лікар-педіатр","x",IF($B$704="Лікар-терапевт",Y706/Z706,IF($B$704="Лікар загальної практики - сімейний лікар",Y706/Z706,0)))</f>
        <v>0</v>
      </c>
      <c r="Z707" s="203">
        <f>SUM(U707:Y707)</f>
        <v>0</v>
      </c>
      <c r="AA707" s="942"/>
      <c r="AB707" s="203">
        <f>IF($B$704="Лікар-педіатр",AB706/AG706,IF($B$704="Лікар-терапевт","х",IF($B$704="Лікар загальної практики - сімейний лікар",AB706/AG706,0)))</f>
        <v>0</v>
      </c>
      <c r="AC707" s="203">
        <f>IF($B$704="Лікар-педіатр",AC706/AG706,IF($B$704="Лікар-терапевт","х",IF($B$704="Лікар загальної практики - сімейний лікар",AC706/AG706,0)))</f>
        <v>0</v>
      </c>
      <c r="AD707" s="203">
        <f>IF($B$704="Лікар-педіатр","x",IF($B$704="Лікар-терапевт",AD706/AG706,IF($B$704="Лікар загальної практики - сімейний лікар",AD706/AG706,0)))</f>
        <v>0</v>
      </c>
      <c r="AE707" s="203">
        <f>IF($B$704="Лікар-педіатр","x",IF($B$704="Лікар-терапевт",AE706/AG706,IF($B$704="Лікар загальної практики - сімейний лікар",AE706/AG706,0)))</f>
        <v>0</v>
      </c>
      <c r="AF707" s="203">
        <f>IF($B$704="Лікар-педіатр","x",IF($B$704="Лікар-терапевт",AF706/AG706,IF($B$704="Лікар загальної практики - сімейний лікар",AF706/AG706,0)))</f>
        <v>0</v>
      </c>
      <c r="AG707" s="203">
        <f>SUM(AB707:AF707)</f>
        <v>0</v>
      </c>
      <c r="AH707" s="942"/>
      <c r="AI707" s="201"/>
      <c r="AJ707" s="945"/>
      <c r="AK707" s="960"/>
      <c r="AL707" s="960"/>
      <c r="AM707" s="930"/>
      <c r="AN707" s="948"/>
      <c r="AO707" s="948"/>
      <c r="AP707" s="948"/>
      <c r="AQ707" s="948"/>
      <c r="AR707" s="963"/>
    </row>
    <row r="708" spans="1:44" s="50" customFormat="1" ht="45" hidden="1" customHeight="1" thickBot="1">
      <c r="A708" s="197"/>
      <c r="B708" s="951"/>
      <c r="C708" s="954"/>
      <c r="D708" s="957"/>
      <c r="E708" s="939"/>
      <c r="F708" s="204" t="s">
        <v>662</v>
      </c>
      <c r="G708" s="205">
        <f>IF($B$704="Лікар загальної практики - сімейний лікар",AVERAGE(G704:G706),IF($B$704="Лікар-педіатр",AVERAGE(G704:G706),IF($B$704="Лікар-терапевт","х",0)))</f>
        <v>0</v>
      </c>
      <c r="H708" s="205">
        <f>IF($B$704="Лікар загальної практики - сімейний лікар",AVERAGE(H704:H706),IF($B$704="Лікар-педіатр",AVERAGE(H704:H706),IF($B$704="Лікар-терапевт","х",0)))</f>
        <v>0</v>
      </c>
      <c r="I708" s="205">
        <f>IF($B$704="Лікар загальної практики - сімейний лікар",AVERAGE(I704:I706),IF($B$704="Лікар-педіатр","x",IF($B$704="Лікар-терапевт",AVERAGE(I704:I706),0)))</f>
        <v>0</v>
      </c>
      <c r="J708" s="205">
        <f>IF($B$704="Лікар загальної практики - сімейний лікар",AVERAGE(J704:J706),IF($B$704="Лікар-педіатр","x",IF($B$704="Лікар-терапевт",AVERAGE(J704:J706),0)))</f>
        <v>0</v>
      </c>
      <c r="K708" s="205">
        <f>IF($B$704="Лікар загальної практики - сімейний лікар",AVERAGE(K704:K706),IF($B$704="Лікар-педіатр","x",IF($B$704="Лікар-терапевт",AVERAGE(K704:K706),0)))</f>
        <v>0</v>
      </c>
      <c r="L708" s="206">
        <f>SUM(G708:K708)</f>
        <v>0</v>
      </c>
      <c r="M708" s="942"/>
      <c r="N708" s="205">
        <f>IF($B$704="Лікар загальної практики - сімейний лікар",AVERAGE(N704:N706),IF($B$704="Лікар-педіатр",AVERAGE(N704:N706),IF($B$704="Лікар-терапевт","х",0)))</f>
        <v>0</v>
      </c>
      <c r="O708" s="205">
        <f>IF($B$704="Лікар загальної практики - сімейний лікар",AVERAGE(O704:O706),IF($B$704="Лікар-педіатр",AVERAGE(O704:O706),IF($B$704="Лікар-терапевт","х",0)))</f>
        <v>0</v>
      </c>
      <c r="P708" s="205">
        <f>IF($B$704="Лікар загальної практики - сімейний лікар",AVERAGE(P704:P706),IF($B$704="Лікар-педіатр","x",IF($B$704="Лікар-терапевт",AVERAGE(P704:P706),0)))</f>
        <v>0</v>
      </c>
      <c r="Q708" s="205">
        <f>IF($B$704="Лікар загальної практики - сімейний лікар",AVERAGE(Q704:Q706),IF($B$704="Лікар-педіатр","x",IF($B$704="Лікар-терапевт",AVERAGE(Q704:Q706),0)))</f>
        <v>0</v>
      </c>
      <c r="R708" s="205">
        <f>IF($B$704="Лікар загальної практики - сімейний лікар",AVERAGE(R704:R706),IF($B$704="Лікар-педіатр","x",IF($B$704="Лікар-терапевт",AVERAGE(R704:R706),0)))</f>
        <v>0</v>
      </c>
      <c r="S708" s="206">
        <f>SUM(N708:R708)</f>
        <v>0</v>
      </c>
      <c r="T708" s="942"/>
      <c r="U708" s="205">
        <f>IF($B$704="Лікар загальної практики - сімейний лікар",AVERAGE(U704:U706),IF($B$704="Лікар-педіатр",AVERAGE(U704:U706),IF($B$704="Лікар-терапевт","х",0)))</f>
        <v>0</v>
      </c>
      <c r="V708" s="205">
        <f>IF($B$704="Лікар загальної практики - сімейний лікар",AVERAGE(V704:V706),IF($B$704="Лікар-педіатр",AVERAGE(V704:V706),IF($B$704="Лікар-терапевт","х",0)))</f>
        <v>0</v>
      </c>
      <c r="W708" s="205">
        <f>IF($B$704="Лікар загальної практики - сімейний лікар",AVERAGE(W704:W706),IF($B$704="Лікар-педіатр","x",IF($B$704="Лікар-терапевт",AVERAGE(W704:W706),0)))</f>
        <v>0</v>
      </c>
      <c r="X708" s="205">
        <f>IF($B$704="Лікар загальної практики - сімейний лікар",AVERAGE(X704:X706),IF($B$704="Лікар-педіатр","x",IF($B$704="Лікар-терапевт",AVERAGE(X704:X706),0)))</f>
        <v>0</v>
      </c>
      <c r="Y708" s="205">
        <f>IF($B$704="Лікар загальної практики - сімейний лікар",AVERAGE(Y704:Y706),IF($B$704="Лікар-педіатр","x",IF($B$704="Лікар-терапевт",AVERAGE(Y704:Y706),0)))</f>
        <v>0</v>
      </c>
      <c r="Z708" s="206">
        <f>SUM(U708:Y708)</f>
        <v>0</v>
      </c>
      <c r="AA708" s="942"/>
      <c r="AB708" s="205">
        <f>IF($B$704="Лікар загальної практики - сімейний лікар",AVERAGE(AB704:AB706),IF($B$704="Лікар-педіатр",AVERAGE(AB704:AB706),IF($B$704="Лікар-терапевт","х",0)))</f>
        <v>0</v>
      </c>
      <c r="AC708" s="205">
        <f>IF($B$704="Лікар загальної практики - сімейний лікар",AVERAGE(AC704:AC706),IF($B$704="Лікар-педіатр",AVERAGE(AC704:AC706),IF($B$704="Лікар-терапевт","х",0)))</f>
        <v>0</v>
      </c>
      <c r="AD708" s="205">
        <f>IF($B$704="Лікар загальної практики - сімейний лікар",AVERAGE(AD704:AD706),IF($B$704="Лікар-педіатр","x",IF($B$704="Лікар-терапевт",AVERAGE(AD704:AD706),0)))</f>
        <v>0</v>
      </c>
      <c r="AE708" s="205">
        <f>IF($B$704="Лікар загальної практики - сімейний лікар",AVERAGE(AE704:AE706),IF($B$704="Лікар-педіатр","x",IF($B$704="Лікар-терапевт",AVERAGE(AE704:AE706),0)))</f>
        <v>0</v>
      </c>
      <c r="AF708" s="205">
        <f>IF($B$704="Лікар загальної практики - сімейний лікар",AVERAGE(AF704:AF706),IF($B$704="Лікар-педіатр","x",IF($B$704="Лікар-терапевт",AVERAGE(AF704:AF706),0)))</f>
        <v>0</v>
      </c>
      <c r="AG708" s="206">
        <f>SUM(AB708:AF708)</f>
        <v>0</v>
      </c>
      <c r="AH708" s="942"/>
      <c r="AI708" s="201"/>
      <c r="AJ708" s="945"/>
      <c r="AK708" s="960"/>
      <c r="AL708" s="960"/>
      <c r="AM708" s="931"/>
      <c r="AN708" s="949"/>
      <c r="AO708" s="949"/>
      <c r="AP708" s="949"/>
      <c r="AQ708" s="949"/>
      <c r="AR708" s="964"/>
    </row>
    <row r="709" spans="1:44" s="50" customFormat="1" ht="40.5" hidden="1">
      <c r="A709" s="197"/>
      <c r="B709" s="951"/>
      <c r="C709" s="954"/>
      <c r="D709" s="957"/>
      <c r="E709" s="939"/>
      <c r="F709" s="237" t="str">
        <f ca="1">IF(B704="Лікар-педіатр",Законод!$C$17,IF(B704="Лікар загальної практики - сімейний лікар",Законод!$C$21,IF(B704="Лікар-терапевт",Законод!$C$25,"х")))</f>
        <v>х</v>
      </c>
      <c r="G709" s="208">
        <f ca="1">IF($B$704="Лікар загальної практики - сімейний лікар",IF(L708&lt;=Законод!$C$22,G708,Законод!$C$22*'01_Доходи'!G707),IF($B$704="Лікар-педіатр",IF(L708&lt;=Законод!$C$18,G708,Законод!$C$18*'01_Доходи'!G707),IF($B$704="Лікар-терапевт","x",0)))</f>
        <v>0</v>
      </c>
      <c r="H709" s="208">
        <f ca="1">IF($B$704="Лікар загальної практики - сімейний лікар",IF(L708&lt;=Законод!$C$22,H708,Законод!$C$22*'01_Доходи'!H707),IF($B$704="Лікар-педіатр",IF(L708&lt;=Законод!$C$18,H708,Законод!$C$18*'01_Доходи'!H707),IF($B$704="Лікар-терапевт","x",0)))</f>
        <v>0</v>
      </c>
      <c r="I709" s="208">
        <f ca="1">IF($B$704="Лікар загальної практики - сімейний лікар",IF(L708&lt;=Законод!$C$22,I708,Законод!$C$22*'01_Доходи'!I707),IF($B$704="Лікар-педіатр","x",IF($B$704="Лікар-терапевт",IF(L708&lt;=Законод!$C$26,I708,Законод!$C$26*'01_Доходи'!I707),0)))</f>
        <v>0</v>
      </c>
      <c r="J709" s="208">
        <f ca="1">IF($B$704="Лікар загальної практики - сімейний лікар",IF(L708&lt;=Законод!$C$22,J708,Законод!$C$22*'01_Доходи'!J707),IF($B$704="Лікар-педіатр","x",IF($B$704="Лікар-терапевт",IF(L708&lt;=Законод!$C$26,J708,Законод!$C$26*'01_Доходи'!J707),0)))</f>
        <v>0</v>
      </c>
      <c r="K709" s="208">
        <f ca="1">IF($B$704="Лікар загальної практики - сімейний лікар",IF(L708&lt;=Законод!$C$22,K708,Законод!$C$22*'01_Доходи'!K707),IF($B$704="Лікар-педіатр","x",IF($B$704="Лікар-терапевт",IF(L708&lt;=Законод!$C$26,K708,Законод!$C$26*'01_Доходи'!K707),0)))</f>
        <v>0</v>
      </c>
      <c r="L709" s="209">
        <f ca="1">SUM(G709:K709)</f>
        <v>0</v>
      </c>
      <c r="M709" s="942"/>
      <c r="N709" s="208">
        <f ca="1">IF($B$704="Лікар загальної практики - сімейний лікар",IF(S708&lt;=Законод!$C$22,N708,Законод!$C$22*'01_Доходи'!N707),IF($B$704="Лікар-педіатр",IF(S708&lt;=Законод!$C$18,N708,Законод!$C$18*'01_Доходи'!N707),IF($B$704="Лікар-терапевт","x",0)))</f>
        <v>0</v>
      </c>
      <c r="O709" s="208">
        <f ca="1">IF($B$704="Лікар загальної практики - сімейний лікар",IF(S708&lt;=Законод!$C$22,O708,Законод!$C$22*'01_Доходи'!O707),IF($B$704="Лікар-педіатр",IF(S708&lt;=Законод!$C$18,O708,Законод!$C$18*'01_Доходи'!O707),IF($B$704="Лікар-терапевт","x",0)))</f>
        <v>0</v>
      </c>
      <c r="P709" s="208">
        <f ca="1">IF($B$704="Лікар загальної практики - сімейний лікар",IF(S708&lt;=Законод!$C$22,P708,Законод!$C$22*'01_Доходи'!P707),IF($B$704="Лікар-педіатр","x",IF($B$704="Лікар-терапевт",IF(S708&lt;=Законод!$C$26,P708,Законод!$C$26*'01_Доходи'!P707),0)))</f>
        <v>0</v>
      </c>
      <c r="Q709" s="208">
        <f ca="1">IF($B$704="Лікар загальної практики - сімейний лікар",IF(S708&lt;=Законод!$C$22,Q708,Законод!$C$22*'01_Доходи'!Q707),IF($B$704="Лікар-педіатр","x",IF($B$704="Лікар-терапевт",IF(S708&lt;=Законод!$C$26,Q708,Законод!$C$26*'01_Доходи'!Q707),0)))</f>
        <v>0</v>
      </c>
      <c r="R709" s="208">
        <f ca="1">IF($B$704="Лікар загальної практики - сімейний лікар",IF(S708&lt;=Законод!$C$22,R708,Законод!$C$22*'01_Доходи'!R707),IF($B$704="Лікар-педіатр","x",IF($B$704="Лікар-терапевт",IF(S708&lt;=Законод!$C$26,R708,Законод!$C$26*'01_Доходи'!R707),0)))</f>
        <v>0</v>
      </c>
      <c r="S709" s="209">
        <f ca="1">SUM(N709:R709)</f>
        <v>0</v>
      </c>
      <c r="T709" s="942"/>
      <c r="U709" s="208">
        <f ca="1">IF($B$704="Лікар загальної практики - сімейний лікар",IF(Z708&lt;=Законод!$C$22,U708,Законод!$C$22*'01_Доходи'!U707),IF($B$704="Лікар-педіатр",IF(Z708&lt;=Законод!$C$18,U708,Законод!$C$18*'01_Доходи'!U707),IF($B$704="Лікар-терапевт","x",0)))</f>
        <v>0</v>
      </c>
      <c r="V709" s="208">
        <f ca="1">IF($B$704="Лікар загальної практики - сімейний лікар",IF(Z708&lt;=Законод!$C$22,V708,Законод!$C$22*'01_Доходи'!V707),IF($B$704="Лікар-педіатр",IF(Z708&lt;=Законод!$C$18,V708,Законод!$C$18*'01_Доходи'!V707),IF($B$704="Лікар-терапевт","x",0)))</f>
        <v>0</v>
      </c>
      <c r="W709" s="208">
        <f ca="1">IF($B$704="Лікар загальної практики - сімейний лікар",IF(Z708&lt;=Законод!$C$22,W708,Законод!$C$22*'01_Доходи'!W707),IF($B$704="Лікар-педіатр","x",IF($B$704="Лікар-терапевт",IF(Z708&lt;=Законод!$C$26,W708,Законод!$C$26*'01_Доходи'!W707),0)))</f>
        <v>0</v>
      </c>
      <c r="X709" s="208">
        <f ca="1">IF($B$704="Лікар загальної практики - сімейний лікар",IF(Z708&lt;=Законод!$C$22,X708,Законод!$C$22*'01_Доходи'!X707),IF($B$704="Лікар-педіатр","x",IF($B$704="Лікар-терапевт",IF(Z708&lt;=Законод!$C$26,X708,Законод!$C$26*'01_Доходи'!X707),0)))</f>
        <v>0</v>
      </c>
      <c r="Y709" s="208">
        <f ca="1">IF($B$704="Лікар загальної практики - сімейний лікар",IF(Z708&lt;=Законод!$C$22,Y708,Законод!$C$22*'01_Доходи'!Y707),IF($B$704="Лікар-педіатр","x",IF($B$704="Лікар-терапевт",IF(Z708&lt;=Законод!$C$26,Y708,Законод!$C$26*'01_Доходи'!Y707),0)))</f>
        <v>0</v>
      </c>
      <c r="Z709" s="209">
        <f ca="1">SUM(U709:Y709)</f>
        <v>0</v>
      </c>
      <c r="AA709" s="942"/>
      <c r="AB709" s="208">
        <f ca="1">IF($B$704="Лікар загальної практики - сімейний лікар",IF(AG708&lt;=Законод!$C$22,AB708,Законод!$C$22*'01_Доходи'!AB707),IF($B$704="Лікар-педіатр",IF(AG708&lt;=Законод!$C$18,AB708,Законод!$C$18*'01_Доходи'!AB707),IF($B$704="Лікар-терапевт","x",0)))</f>
        <v>0</v>
      </c>
      <c r="AC709" s="208">
        <f ca="1">IF($B$704="Лікар загальної практики - сімейний лікар",IF(AG708&lt;=Законод!$C$22,AC708,Законод!$C$22*'01_Доходи'!AC707),IF($B$704="Лікар-педіатр",IF(AG708&lt;=Законод!$C$18,AC708,Законод!$C$18*'01_Доходи'!AC707),IF($B$704="Лікар-терапевт","x",0)))</f>
        <v>0</v>
      </c>
      <c r="AD709" s="208">
        <f ca="1">IF($B$704="Лікар загальної практики - сімейний лікар",IF(AG708&lt;=Законод!$C$22,AD708,Законод!$C$22*'01_Доходи'!AD707),IF($B$704="Лікар-педіатр","x",IF($B$704="Лікар-терапевт",IF(AG708&lt;=Законод!$C$26,AD708,Законод!$C$26*'01_Доходи'!AD707),0)))</f>
        <v>0</v>
      </c>
      <c r="AE709" s="208">
        <f ca="1">IF($B$704="Лікар загальної практики - сімейний лікар",IF(AG708&lt;=Законод!$C$22,AE708,Законод!$C$22*'01_Доходи'!AE707),IF($B$704="Лікар-педіатр","x",IF($B$704="Лікар-терапевт",IF(AG708&lt;=Законод!$C$26,AE708,Законод!$C$26*'01_Доходи'!AE707),0)))</f>
        <v>0</v>
      </c>
      <c r="AF709" s="208">
        <f ca="1">IF($B$704="Лікар загальної практики - сімейний лікар",IF(AG708&lt;=Законод!$C$22,AF708,Законод!$C$22*'01_Доходи'!AF707),IF($B$704="Лікар-педіатр","x",IF($B$704="Лікар-терапевт",IF(AG708&lt;=Законод!$C$26,AF708,Законод!$C$26*'01_Доходи'!AF707),0)))</f>
        <v>0</v>
      </c>
      <c r="AG709" s="209">
        <f ca="1">SUM(AB709:AF709)</f>
        <v>0</v>
      </c>
      <c r="AH709" s="942"/>
      <c r="AI709" s="201"/>
      <c r="AJ709" s="945"/>
      <c r="AK709" s="960"/>
      <c r="AL709" s="960"/>
      <c r="AM709" s="348" t="s">
        <v>451</v>
      </c>
      <c r="AN709" s="210">
        <f ca="1">IF(B704="Лікар загальної практики - сімейний лікар",G709*Законод!$C$11+'01_Доходи'!H709*Законод!$D$11+'01_Доходи'!I709*Законод!$E$11+'01_Доходи'!J709*Законод!$F$11+'01_Доходи'!K709*Законод!$G$11,IF(B704="Лікар-педіатр",G709*Законод!$C$11+'01_Доходи'!H709*Законод!$D$11,IF(B704="Лікар-терапевт",'01_Доходи'!I709*Законод!$E$11+'01_Доходи'!J709*Законод!$F$11+'01_Доходи'!K709*Законод!$G$11,0)))</f>
        <v>0</v>
      </c>
      <c r="AO709" s="210">
        <f ca="1">IF(B704="Лікар загальної практики - сімейний лікар",N709*Законод!$C$11+'01_Доходи'!O709*Законод!$D$11+'01_Доходи'!P709*Законод!$E$11+'01_Доходи'!Q709*Законод!$F$11+'01_Доходи'!R709*Законод!$G$11,IF(B704="Лікар-педіатр",N709*Законод!$C$11+'01_Доходи'!O709*Законод!$D$11,IF(B704="Лікар-терапевт",'01_Доходи'!P709*Законод!$E$11+'01_Доходи'!Q709*Законод!$F$11+'01_Доходи'!R709*Законод!$G$11,0)))</f>
        <v>0</v>
      </c>
      <c r="AP709" s="210">
        <f ca="1">IF(B704="Лікар загальної практики - сімейний лікар",U709*Законод!$C$11+'01_Доходи'!V709*Законод!$D$11+'01_Доходи'!W709*Законод!$E$11+'01_Доходи'!X709*Законод!$F$11+'01_Доходи'!Y709*Законод!$G$11,IF(B704="Лікар-педіатр",U709*Законод!$C$11+'01_Доходи'!V709*Законод!$D$11,IF(B704="Лікар-терапевт",'01_Доходи'!W709*Законод!$E$11+'01_Доходи'!X709*Законод!$F$11+'01_Доходи'!Y709*Законод!$G$11,0)))</f>
        <v>0</v>
      </c>
      <c r="AQ709" s="210">
        <f ca="1">IF(B704="Лікар загальної практики - сімейний лікар",AB709*Законод!$C$11+'01_Доходи'!AC709*Законод!$D$11+'01_Доходи'!AD709*Законод!$E$11+'01_Доходи'!AE709*Законод!$F$11+'01_Доходи'!AF709*Законод!$G$11,IF(B704="Лікар-педіатр",AB709*Законод!$C$11+'01_Доходи'!AC709*Законод!$D$11,IF(B704="Лікар-терапевт",'01_Доходи'!AD709*Законод!$E$11+'01_Доходи'!AE709*Законод!$F$11+'01_Доходи'!AF709*Законод!$G$11,0)))</f>
        <v>0</v>
      </c>
      <c r="AR709" s="211">
        <f t="shared" ref="AR709:AR715" si="94">SUM(AN709:AQ709)</f>
        <v>0</v>
      </c>
    </row>
    <row r="710" spans="1:44" s="50" customFormat="1" ht="31.9" hidden="1" customHeight="1">
      <c r="A710" s="197"/>
      <c r="B710" s="951"/>
      <c r="C710" s="954"/>
      <c r="D710" s="957"/>
      <c r="E710" s="939"/>
      <c r="F710" s="238" t="str">
        <f ca="1">IF(B704="Лікар-педіатр",Законод!$E$17,IF(B704="Лікар загальної практики - сімейний лікар",Законод!$E$21,IF(B704="Лікар-терапевт",Законод!$E$25,"х")))</f>
        <v>х</v>
      </c>
      <c r="G710" s="935" t="s">
        <v>423</v>
      </c>
      <c r="H710" s="936"/>
      <c r="I710" s="936"/>
      <c r="J710" s="936"/>
      <c r="K710" s="937"/>
      <c r="L710" s="196">
        <f ca="1">IF($B$704="Лікар загальної практики - сімейний лікар",IF(L708&lt;Законод!$C$22,0,(IF(AND(L708&gt;=Законод!$E$22,L708&lt;=Законод!$E$23),L708-Законод!$C$22,IF('01_Доходи'!L708&gt;=Законод!$F$22,Законод!$E$24,0)))),IF($B$704="Лікар-педіатр",IF(L708&lt;Законод!$C$18,0,(IF(AND(L708&gt;=Законод!$E$18,L708&lt;=Законод!$E$19),L708-Законод!$C$18,IF('01_Доходи'!L708&gt;=Законод!$F$18,Законод!$E$20,0)))),IF($B$704="Лікар-терапевт",IF(L708&lt;Законод!$C$26,0,(IF(AND(L708&gt;=Законод!$E$26,L708&lt;=Законод!$E$27),L708-Законод!$C$26,IF('01_Доходи'!L708&gt;=Законод!$F$26,Законод!$E$28,0)))),0)))</f>
        <v>0</v>
      </c>
      <c r="M710" s="942"/>
      <c r="N710" s="935" t="s">
        <v>423</v>
      </c>
      <c r="O710" s="936"/>
      <c r="P710" s="936"/>
      <c r="Q710" s="936"/>
      <c r="R710" s="937"/>
      <c r="S710" s="196">
        <f ca="1">IF($B$704="Лікар загальної практики - сімейний лікар",IF(S708&lt;Законод!$C$22,0,(IF(AND(S708&gt;=Законод!$E$22,S708&lt;=Законод!$E$23),S708-Законод!$C$22,IF('01_Доходи'!S708&gt;=Законод!$F$22,Законод!$E$24,0)))),IF($B$704="Лікар-педіатр",IF(S708&lt;Законод!$C$18,0,(IF(AND(S708&gt;=Законод!$E$18,S708&lt;=Законод!$E$19),S708-Законод!$C$18,IF('01_Доходи'!S708&gt;=Законод!$F$18,Законод!$E$20,0)))),IF($B$704="Лікар-терапевт",IF(S708&lt;Законод!$C$26,0,(IF(AND(S708&gt;=Законод!$E$26,S708&lt;=Законод!$E$27),S708-Законод!$C$26,IF('01_Доходи'!S708&gt;=Законод!$F$26,Законод!$E$28,0)))),0)))</f>
        <v>0</v>
      </c>
      <c r="T710" s="942"/>
      <c r="U710" s="935" t="s">
        <v>423</v>
      </c>
      <c r="V710" s="936"/>
      <c r="W710" s="936"/>
      <c r="X710" s="936"/>
      <c r="Y710" s="937"/>
      <c r="Z710" s="196">
        <f ca="1">IF($B$704="Лікар загальної практики - сімейний лікар",IF(Z708&lt;Законод!$C$22,0,(IF(AND(Z708&gt;=Законод!$E$22,Z708&lt;=Законод!$E$23),Z708-Законод!$C$22,IF('01_Доходи'!Z708&gt;=Законод!$F$22,Законод!$E$24,0)))),IF($B$704="Лікар-педіатр",IF(Z708&lt;Законод!$C$18,0,(IF(AND(Z708&gt;=Законод!$E$18,Z708&lt;=Законод!$E$19),Z708-Законод!$C$18,IF('01_Доходи'!Z708&gt;=Законод!$F$18,Законод!$E$20,0)))),IF($B$704="Лікар-терапевт",IF(Z708&lt;Законод!$C$26,0,(IF(AND(Z708&gt;=Законод!$E$26,Z708&lt;=Законод!$E$27),Z708-Законод!$C$26,IF('01_Доходи'!Z708&gt;=Законод!$F$26,Законод!$E$28,0)))),0)))</f>
        <v>0</v>
      </c>
      <c r="AA710" s="942"/>
      <c r="AB710" s="935" t="s">
        <v>423</v>
      </c>
      <c r="AC710" s="936"/>
      <c r="AD710" s="936"/>
      <c r="AE710" s="936"/>
      <c r="AF710" s="937"/>
      <c r="AG710" s="196">
        <f ca="1">IF($B$704="Лікар загальної практики - сімейний лікар",IF(AG708&lt;Законод!$C$22,0,(IF(AND(AG708&gt;=Законод!$E$22,AG708&lt;=Законод!$E$23),AG708-Законод!$C$22,IF('01_Доходи'!AG708&gt;=Законод!$F$22,Законод!$E$24,0)))),IF($B$704="Лікар-педіатр",IF(AG708&lt;Законод!$C$18,0,(IF(AND(AG708&gt;=Законод!$E$18,AG708&lt;=Законод!$E$19),AG708-Законод!$C$18,IF('01_Доходи'!AG708&gt;=Законод!$F$18,Законод!$E$20,0)))),IF($B$704="Лікар-терапевт",IF(AG708&lt;Законод!$C$26,0,(IF(AND(AG708&gt;=Законод!$E$26,AG708&lt;=Законод!$E$27),AG708-Законод!$C$26,IF('01_Доходи'!AG708&gt;=Законод!$F$26,Законод!$E$28,0)))),0)))</f>
        <v>0</v>
      </c>
      <c r="AH710" s="942"/>
      <c r="AI710" s="201"/>
      <c r="AJ710" s="945"/>
      <c r="AK710" s="960"/>
      <c r="AL710" s="960"/>
      <c r="AM710" s="926" t="s">
        <v>452</v>
      </c>
      <c r="AN710" s="210">
        <f ca="1">IF(B704="Лікар загальної практики - сімейний лікар",L710*Законод!$C$9/4*Законод!$E$16,IF(B704="Лікар-педіатр",L710*Законод!$C$9/4*Законод!$E$16,IF(B704="Лікар-терапевт",L710*Законод!$C$9/4*Законод!$E$16,0)))</f>
        <v>0</v>
      </c>
      <c r="AO710" s="210">
        <f ca="1">IF(B704="Лікар загальної практики - сімейний лікар",S710*Законод!$C$9/4*Законод!$E$16,IF(B704="Лікар-педіатр",S710*Законод!$C$9/4*Законод!$E$16,IF(B704="Лікар-терапевт",S710*Законод!$C$9/4*Законод!$E$16,0)))</f>
        <v>0</v>
      </c>
      <c r="AP710" s="210">
        <f ca="1">IF(B704="Лікар загальної практики - сімейний лікар",Z710*Законод!$C$9/4*Законод!$E$16,IF(B704="Лікар-педіатр",Z710*Законод!$C$9/4*Законод!$E$16,IF(B704="Лікар-терапевт",Z710*Законод!$C$9/4*Законод!$E$16,0)))</f>
        <v>0</v>
      </c>
      <c r="AQ710" s="210">
        <f ca="1">IF(B704="Лікар загальної практики - сімейний лікар",AG710*Законод!$C$9/4*Законод!$E$16,IF(B704="Лікар-педіатр",AG710*Законод!$C$9/4*Законод!$E$16,IF(B704="Лікар-терапевт",AG710*Законод!$C$9/4*Законод!$E$16,0)))</f>
        <v>0</v>
      </c>
      <c r="AR710" s="211">
        <f t="shared" si="94"/>
        <v>0</v>
      </c>
    </row>
    <row r="711" spans="1:44" s="50" customFormat="1" ht="31.9" hidden="1" customHeight="1">
      <c r="A711" s="197"/>
      <c r="B711" s="951"/>
      <c r="C711" s="954"/>
      <c r="D711" s="957"/>
      <c r="E711" s="939"/>
      <c r="F711" s="238" t="str">
        <f ca="1">IF(B704="Лікар-педіатр",Законод!$F$17,IF(B704="Лікар загальної практики - сімейний лікар",Законод!$F$21,IF(B704="Лікар-терапевт",Законод!$F$25,"х")))</f>
        <v>х</v>
      </c>
      <c r="G711" s="935" t="s">
        <v>423</v>
      </c>
      <c r="H711" s="936"/>
      <c r="I711" s="936"/>
      <c r="J711" s="936"/>
      <c r="K711" s="937"/>
      <c r="L711" s="196">
        <f ca="1">IF($B$704="Лікар загальної практики - сімейний лікар",IF(L708&lt;Законод!$C$22,0,(IF(AND(L708&gt;=Законод!$F$22,L708&lt;=Законод!$F$23),L708-Законод!$E$23,IF('01_Доходи'!L708&gt;=Законод!$G$22,Законод!$F$24,0)))),IF($B$704="Лікар-педіатр",IF(L708&lt;Законод!$C$18,0,(IF(AND(L708&gt;=Законод!$F$18,L708&lt;=Законод!$F$19),L708-Законод!$E$19,IF('01_Доходи'!L708&gt;=Законод!$G$18,Законод!$F$20,0)))),IF($B$704="Лікар-терапевт",IF(L708&lt;Законод!$C$26,0,(IF(AND(L708&gt;=Законод!$F$26,L708&lt;=Законод!$F$27),L708-Законод!$E$27,IF('01_Доходи'!L708&gt;=Законод!$G$26,Законод!$F$28,0)))),0)))</f>
        <v>0</v>
      </c>
      <c r="M711" s="942"/>
      <c r="N711" s="935" t="s">
        <v>423</v>
      </c>
      <c r="O711" s="936"/>
      <c r="P711" s="936"/>
      <c r="Q711" s="936"/>
      <c r="R711" s="937"/>
      <c r="S711" s="196">
        <f ca="1">IF($B$704="Лікар загальної практики - сімейний лікар",IF(S708&lt;Законод!$C$22,0,(IF(AND(S708&gt;=Законод!$F$22,S708&lt;=Законод!$F$23),S708-Законод!$E$23,IF('01_Доходи'!S708&gt;=Законод!$G$22,Законод!$F$24,0)))),IF($B$704="Лікар-педіатр",IF(S708&lt;Законод!$C$18,0,(IF(AND(S708&gt;=Законод!$F$18,S708&lt;=Законод!$F$19),S708-Законод!$E$19,IF('01_Доходи'!S708&gt;=Законод!$G$18,Законод!$F$20,0)))),IF($B$704="Лікар-терапевт",IF(S708&lt;Законод!$C$26,0,(IF(AND(S708&gt;=Законод!$F$26,S708&lt;=Законод!$F$27),S708-Законод!$E$27,IF('01_Доходи'!S708&gt;=Законод!$G$26,Законод!$F$28,0)))),0)))</f>
        <v>0</v>
      </c>
      <c r="T711" s="942"/>
      <c r="U711" s="935" t="s">
        <v>423</v>
      </c>
      <c r="V711" s="936"/>
      <c r="W711" s="936"/>
      <c r="X711" s="936"/>
      <c r="Y711" s="937"/>
      <c r="Z711" s="196">
        <f ca="1">IF($B$704="Лікар загальної практики - сімейний лікар",IF(Z708&lt;Законод!$C$22,0,(IF(AND(Z708&gt;=Законод!$F$22,Z708&lt;=Законод!$F$23),Z708-Законод!$E$23,IF('01_Доходи'!Z708&gt;=Законод!$G$22,Законод!$F$24,0)))),IF($B$704="Лікар-педіатр",IF(Z708&lt;Законод!$C$18,0,(IF(AND(Z708&gt;=Законод!$F$18,Z708&lt;=Законод!$F$19),Z708-Законод!$E$19,IF('01_Доходи'!Z708&gt;=Законод!$G$18,Законод!$F$20,0)))),IF($B$704="Лікар-терапевт",IF(Z708&lt;Законод!$C$26,0,(IF(AND(Z708&gt;=Законод!$F$26,Z708&lt;=Законод!$F$27),Z708-Законод!$E$27,IF('01_Доходи'!Z708&gt;=Законод!$G$26,Законод!$F$28,0)))),0)))</f>
        <v>0</v>
      </c>
      <c r="AA711" s="942"/>
      <c r="AB711" s="935" t="s">
        <v>423</v>
      </c>
      <c r="AC711" s="936"/>
      <c r="AD711" s="936"/>
      <c r="AE711" s="936"/>
      <c r="AF711" s="937"/>
      <c r="AG711" s="196">
        <f ca="1">IF($B$704="Лікар загальної практики - сімейний лікар",IF(AG708&lt;Законод!$C$22,0,(IF(AND(AG708&gt;=Законод!$F$22,AG708&lt;=Законод!$F$23),AG708-Законод!$E$23,IF('01_Доходи'!AG708&gt;=Законод!$G$22,Законод!$F$24,0)))),IF($B$704="Лікар-педіатр",IF(AG708&lt;Законод!$C$18,0,(IF(AND(AG708&gt;=Законод!$F$18,AG708&lt;=Законод!$F$19),AG708-Законод!$E$19,IF('01_Доходи'!AG708&gt;=Законод!$G$18,Законод!$F$20,0)))),IF($B$704="Лікар-терапевт",IF(AG708&lt;Законод!$C$26,0,(IF(AND(AG708&gt;=Законод!$F$26,AG708&lt;=Законод!$F$27),AG708-Законод!$E$27,IF('01_Доходи'!AG708&gt;=Законод!$G$26,Законод!$F$28,0)))),0)))</f>
        <v>0</v>
      </c>
      <c r="AH711" s="942"/>
      <c r="AI711" s="201"/>
      <c r="AJ711" s="945"/>
      <c r="AK711" s="960"/>
      <c r="AL711" s="960"/>
      <c r="AM711" s="927"/>
      <c r="AN711" s="210">
        <f ca="1">IF(B704="Лікар загальної практики - сімейний лікар",L711*Законод!$C$9/4*Законод!$F$16,IF(B704="Лікар-педіатр",L711*Законод!$C$9/4*Законод!$F$16,IF(B704="Лікар-терапевт",L711*Законод!$C$9/4*Законод!$F$16,0)))</f>
        <v>0</v>
      </c>
      <c r="AO711" s="210">
        <f ca="1">IF(B704="Лікар загальної практики - сімейний лікар",S711*Законод!$C$9/4*Законод!$F$16,IF(B704="Лікар-педіатр",S711*Законод!$C$9/4*Законод!$F$16,IF(B704="Лікар-терапевт",S711*Законод!$C$9/4*Законод!$F$16,0)))</f>
        <v>0</v>
      </c>
      <c r="AP711" s="210">
        <f ca="1">IF(B704="Лікар загальної практики - сімейний лікар",Z711*Законод!$C$9/4*Законод!$F$16,IF(B704="Лікар-педіатр",Z711*Законод!$C$9/4*Законод!$F$16,IF(B704="Лікар-терапевт",Z711*Законод!$C$9/4*Законод!$F$16,0)))</f>
        <v>0</v>
      </c>
      <c r="AQ711" s="210">
        <f ca="1">IF(B704="Лікар загальної практики - сімейний лікар",AG711*Законод!$C$9/4*Законод!$F$16,IF(B704="Лікар-педіатр",AG711*Законод!$C$9/4*Законод!$F$16,IF(B704="Лікар-терапевт",AG711*Законод!$C$9/4*Законод!$F$16,0)))</f>
        <v>0</v>
      </c>
      <c r="AR711" s="211">
        <f t="shared" si="94"/>
        <v>0</v>
      </c>
    </row>
    <row r="712" spans="1:44" s="50" customFormat="1" ht="31.9" hidden="1" customHeight="1">
      <c r="A712" s="197"/>
      <c r="B712" s="951"/>
      <c r="C712" s="954"/>
      <c r="D712" s="957"/>
      <c r="E712" s="939"/>
      <c r="F712" s="238" t="str">
        <f ca="1">IF(B704="Лікар-педіатр",Законод!$G$17,IF(B704="Лікар загальної практики - сімейний лікар",Законод!$G$21,IF(B704="Лікар-терапевт",Законод!$G$25,"х")))</f>
        <v>х</v>
      </c>
      <c r="G712" s="935" t="s">
        <v>423</v>
      </c>
      <c r="H712" s="936"/>
      <c r="I712" s="936"/>
      <c r="J712" s="936"/>
      <c r="K712" s="937"/>
      <c r="L712" s="196">
        <f ca="1">IF($B$704="Лікар загальної практики - сімейний лікар",IF(L708&lt;Законод!$C$22,0,(IF(AND(L708&gt;=Законод!$G$22,L708&lt;=Законод!$G$23),L708-Законод!$F$23,IF('01_Доходи'!L708&gt;=Законод!$H$22,Законод!$G$24,0)))),IF($B$704="Лікар-педіатр",IF(L708&lt;Законод!$C$18,0,(IF(AND(L708&gt;=Законод!$G$18,L708&lt;=Законод!$G$19),L708-Законод!$F$19,IF('01_Доходи'!L708&gt;=Законод!$H$18,Законод!$G$20,0)))),IF($B$704="Лікар-терапевт",IF(L708&lt;Законод!$C$26,0,(IF(AND(L708&gt;=Законод!$G$26,L708&lt;=Законод!$G$27),L708-Законод!$F$27,IF('01_Доходи'!L708&gt;=Законод!$H$26,Законод!$G$28,0)))),0)))</f>
        <v>0</v>
      </c>
      <c r="M712" s="942"/>
      <c r="N712" s="935" t="s">
        <v>423</v>
      </c>
      <c r="O712" s="936"/>
      <c r="P712" s="936"/>
      <c r="Q712" s="936"/>
      <c r="R712" s="937"/>
      <c r="S712" s="196">
        <f ca="1">IF($B$704="Лікар загальної практики - сімейний лікар",IF(S708&lt;Законод!$C$22,0,(IF(AND(S708&gt;=Законод!$G$22,S708&lt;=Законод!$G$23),S708-Законод!$F$23,IF('01_Доходи'!S708&gt;=Законод!$H$22,Законод!$G$24,0)))),IF($B$704="Лікар-педіатр",IF(S708&lt;Законод!$C$18,0,(IF(AND(S708&gt;=Законод!$G$18,S708&lt;=Законод!$G$19),S708-Законод!$F$19,IF('01_Доходи'!S708&gt;=Законод!$H$18,Законод!$G$20,0)))),IF($B$704="Лікар-терапевт",IF(S708&lt;Законод!$C$26,0,(IF(AND(S708&gt;=Законод!$G$26,S708&lt;=Законод!$G$27),S708-Законод!$F$27,IF('01_Доходи'!S708&gt;=Законод!$H$26,Законод!$G$28,0)))),0)))</f>
        <v>0</v>
      </c>
      <c r="T712" s="942"/>
      <c r="U712" s="935" t="s">
        <v>423</v>
      </c>
      <c r="V712" s="936"/>
      <c r="W712" s="936"/>
      <c r="X712" s="936"/>
      <c r="Y712" s="937"/>
      <c r="Z712" s="196">
        <f ca="1">IF($B$704="Лікар загальної практики - сімейний лікар",IF(Z708&lt;Законод!$C$22,0,(IF(AND(Z708&gt;=Законод!$G$22,Z708&lt;=Законод!$G$23),Z708-Законод!$F$23,IF('01_Доходи'!Z708&gt;=Законод!$H$22,Законод!$G$24,0)))),IF($B$704="Лікар-педіатр",IF(Z708&lt;Законод!$C$18,0,(IF(AND(Z708&gt;=Законод!$G$18,Z708&lt;=Законод!$G$19),Z708-Законод!$F$19,IF('01_Доходи'!Z708&gt;=Законод!$H$18,Законод!$G$20,0)))),IF($B$704="Лікар-терапевт",IF(Z708&lt;Законод!$C$26,0,(IF(AND(Z708&gt;=Законод!$G$26,Z708&lt;=Законод!$G$27),Z708-Законод!$F$27,IF('01_Доходи'!Z708&gt;=Законод!$H$26,Законод!$G$28,0)))),0)))</f>
        <v>0</v>
      </c>
      <c r="AA712" s="942"/>
      <c r="AB712" s="935" t="s">
        <v>423</v>
      </c>
      <c r="AC712" s="936"/>
      <c r="AD712" s="936"/>
      <c r="AE712" s="936"/>
      <c r="AF712" s="937"/>
      <c r="AG712" s="196">
        <f ca="1">IF($B$704="Лікар загальної практики - сімейний лікар",IF(AG708&lt;Законод!$C$22,0,(IF(AND(AG708&gt;=Законод!$G$22,AG708&lt;=Законод!$G$23),AG708-Законод!$F$23,IF('01_Доходи'!AG708&gt;=Законод!$H$22,Законод!$G$24,0)))),IF($B$704="Лікар-педіатр",IF(AG708&lt;Законод!$C$18,0,(IF(AND(AG708&gt;=Законод!$G$18,AG708&lt;=Законод!$G$19),AG708-Законод!$F$19,IF('01_Доходи'!AG708&gt;=Законод!$H$18,Законод!$G$20,0)))),IF($B$704="Лікар-терапевт",IF(AG708&lt;Законод!$C$26,0,(IF(AND(AG708&gt;=Законод!$G$26,AG708&lt;=Законод!$G$27),AG708-Законод!$F$27,IF('01_Доходи'!AG708&gt;=Законод!$H$26,Законод!$G$28,0)))),0)))</f>
        <v>0</v>
      </c>
      <c r="AH712" s="942"/>
      <c r="AI712" s="201"/>
      <c r="AJ712" s="945"/>
      <c r="AK712" s="960"/>
      <c r="AL712" s="960"/>
      <c r="AM712" s="927"/>
      <c r="AN712" s="210">
        <f ca="1">IF(B704="Лікар загальної практики - сімейний лікар",L712*Законод!$C$9/4*Законод!$G$16,IF(B704="Лікар-педіатр",L712*Законод!$C$9/4*Законод!$G$16,IF(B704="Лікар-терапевт",L712*Законод!$C$9/4*Законод!$G$16,0)))</f>
        <v>0</v>
      </c>
      <c r="AO712" s="210">
        <f ca="1">IF(B704="Лікар загальної практики - сімейний лікар",S712*Законод!$C$9/4*Законод!$G$16,IF(B704="Лікар-педіатр",S712*Законод!$C$9/4*Законод!$G$16,IF(B704="Лікар-терапевт",S712*Законод!$C$9/4*Законод!$G$16,0)))</f>
        <v>0</v>
      </c>
      <c r="AP712" s="210">
        <f ca="1">IF(B704="Лікар загальної практики - сімейний лікар",Z712*Законод!$C$9/4*Законод!$G$16,IF(B704="Лікар-педіатр",Z712*Законод!$C$9/4*Законод!$G$16,IF(B704="Лікар-терапевт",Z712*Законод!$C$9/4*Законод!$G$16,0)))</f>
        <v>0</v>
      </c>
      <c r="AQ712" s="210">
        <f ca="1">IF(B704="Лікар загальної практики - сімейний лікар",AG712*Законод!$C$9/4*Законод!$G$16,IF(B704="Лікар-педіатр",AG712*Законод!$C$9/4*Законод!$G$16,IF(B704="Лікар-терапевт",AG712*Законод!$C$9/4*Законод!$G$16,0)))</f>
        <v>0</v>
      </c>
      <c r="AR712" s="211">
        <f t="shared" si="94"/>
        <v>0</v>
      </c>
    </row>
    <row r="713" spans="1:44" s="50" customFormat="1" ht="31.9" hidden="1" customHeight="1">
      <c r="A713" s="197"/>
      <c r="B713" s="951"/>
      <c r="C713" s="954"/>
      <c r="D713" s="957"/>
      <c r="E713" s="939"/>
      <c r="F713" s="238" t="str">
        <f ca="1">IF(B704="Лікар-педіатр",Законод!$H$17,IF(B704="Лікар загальної практики - сімейний лікар",Законод!$H$21,IF(B704="Лікар-терапевт",Законод!$H$25,"х")))</f>
        <v>х</v>
      </c>
      <c r="G713" s="935" t="s">
        <v>423</v>
      </c>
      <c r="H713" s="936"/>
      <c r="I713" s="936"/>
      <c r="J713" s="936"/>
      <c r="K713" s="937"/>
      <c r="L713" s="196">
        <f ca="1">IF($B$704="Лікар загальної практики - сімейний лікар",IF(L708&lt;Законод!$C$22,0,(IF(AND(L708&gt;=Законод!$H$22,L708&lt;=Законод!$H$23),L708-Законод!$G$23,IF('01_Доходи'!L708&gt;=Законод!$I$22,Законод!$H$24,0)))),IF($B$704="Лікар-педіатр",IF(L708&lt;Законод!$C$18,0,(IF(AND(L708&gt;=Законод!$H$18,L708&lt;=Законод!$H$19),L708-Законод!$G$19,IF('01_Доходи'!L708&gt;=Законод!$I$18,Законод!$H$20,0)))),IF($B$704="Лікар-терапевт",IF(L708&lt;Законод!$C$26,0,(IF(AND(L708&gt;=Законод!$H$26,L708&lt;=Законод!$H$27),L708-Законод!$G$27,IF(L708&gt;=Законод!$I$26,Законод!$H$28,0)))),0)))</f>
        <v>0</v>
      </c>
      <c r="M713" s="942"/>
      <c r="N713" s="935" t="s">
        <v>423</v>
      </c>
      <c r="O713" s="936"/>
      <c r="P713" s="936"/>
      <c r="Q713" s="936"/>
      <c r="R713" s="937"/>
      <c r="S713" s="196">
        <f ca="1">IF($B$704="Лікар загальної практики - сімейний лікар",IF(S708&lt;Законод!$C$22,0,(IF(AND(S708&gt;=Законод!$H$22,S708&lt;=Законод!$H$23),S708-Законод!$G$23,IF('01_Доходи'!S708&gt;=Законод!$I$22,Законод!$H$24,0)))),IF($B$704="Лікар-педіатр",IF(S708&lt;Законод!$C$18,0,(IF(AND(S708&gt;=Законод!$H$18,S708&lt;=Законод!$H$19),S708-Законод!$G$19,IF('01_Доходи'!S708&gt;=Законод!$I$18,Законод!$H$20,0)))),IF($B$704="Лікар-терапевт",IF(S708&lt;Законод!$C$26,0,(IF(AND(S708&gt;=Законод!$H$26,S708&lt;=Законод!$H$27),S708-Законод!$G$27,IF(S708&gt;=Законод!$I$26,Законод!$H$28,0)))),0)))</f>
        <v>0</v>
      </c>
      <c r="T713" s="942"/>
      <c r="U713" s="935" t="s">
        <v>423</v>
      </c>
      <c r="V713" s="936"/>
      <c r="W713" s="936"/>
      <c r="X713" s="936"/>
      <c r="Y713" s="937"/>
      <c r="Z713" s="196">
        <f ca="1">IF($B$704="Лікар загальної практики - сімейний лікар",IF(Z708&lt;Законод!$C$22,0,(IF(AND(Z708&gt;=Законод!$H$22,Z708&lt;=Законод!$H$23),Z708-Законод!$G$23,IF('01_Доходи'!Z708&gt;=Законод!$I$22,Законод!$H$24,0)))),IF($B$704="Лікар-педіатр",IF(Z708&lt;Законод!$C$18,0,(IF(AND(Z708&gt;=Законод!$H$18,Z708&lt;=Законод!$H$19),Z708-Законод!$G$19,IF('01_Доходи'!Z708&gt;=Законод!$I$18,Законод!$H$20,0)))),IF($B$704="Лікар-терапевт",IF(Z708&lt;Законод!$C$26,0,(IF(AND(Z708&gt;=Законод!$H$26,Z708&lt;=Законод!$H$27),Z708-Законод!$G$27,IF(Z708&gt;=Законод!$I$26,Законод!$H$28,0)))),0)))</f>
        <v>0</v>
      </c>
      <c r="AA713" s="942"/>
      <c r="AB713" s="935" t="s">
        <v>423</v>
      </c>
      <c r="AC713" s="936"/>
      <c r="AD713" s="936"/>
      <c r="AE713" s="936"/>
      <c r="AF713" s="937"/>
      <c r="AG713" s="196">
        <f ca="1">IF($B$704="Лікар загальної практики - сімейний лікар",IF(AG708&lt;Законод!$C$22,0,(IF(AND(AG708&gt;=Законод!$H$22,AG708&lt;=Законод!$H$23),AG708-Законод!$G$23,IF('01_Доходи'!AG708&gt;=Законод!$I$22,Законод!$H$24,0)))),IF($B$704="Лікар-педіатр",IF(AG708&lt;Законод!$C$18,0,(IF(AND(AG708&gt;=Законод!$H$18,AG708&lt;=Законод!$H$19),AG708-Законод!$G$19,IF('01_Доходи'!AG708&gt;=Законод!$I$18,Законод!$H$20,0)))),IF($B$704="Лікар-терапевт",IF(AG708&lt;Законод!$C$26,0,(IF(AND(AG708&gt;=Законод!$H$26,AG708&lt;=Законод!$H$27),AG708-Законод!$G$27,IF(AG708&gt;=Законод!$I$26,Законод!$H$28,0)))),0)))</f>
        <v>0</v>
      </c>
      <c r="AH713" s="942"/>
      <c r="AI713" s="201"/>
      <c r="AJ713" s="945"/>
      <c r="AK713" s="960"/>
      <c r="AL713" s="960"/>
      <c r="AM713" s="927"/>
      <c r="AN713" s="210">
        <f ca="1">IF(B704="Лікар загальної практики - сімейний лікар",L713*Законод!$C$9/4*Законод!$H$16,IF(B704="Лікар-педіатр",L713*Законод!$C$9/4*Законод!$H$16,IF(B704="Лікар-терапевт",L713*Законод!$C$9/4*Законод!$H$16,0)))</f>
        <v>0</v>
      </c>
      <c r="AO713" s="210">
        <f ca="1">IF(B704="Лікар загальної практики - сімейний лікар",S713*Законод!$C$9/4*Законод!$H$16,IF(B704="Лікар-педіатр",S713*Законод!$C$9/4*Законод!$H$16,IF(B704="Лікар-терапевт",S713*Законод!$C$9/4*Законод!$H$16,0)))</f>
        <v>0</v>
      </c>
      <c r="AP713" s="210">
        <f ca="1">IF(B704="Лікар загальної практики - сімейний лікар",Z713*Законод!$C$9/4*Законод!$H$16,IF(B704="Лікар-педіатр",Z713*Законод!$C$9/4*Законод!$H$16,IF(B704="Лікар-терапевт",Z713*Законод!$C$9/4*Законод!$H$16,0)))</f>
        <v>0</v>
      </c>
      <c r="AQ713" s="210">
        <f ca="1">IF(B704="Лікар загальної практики - сімейний лікар",AG713*Законод!$C$9/4*Законод!$H$16,IF(B704="Лікар-педіатр",AG713*Законод!$C$9/4*Законод!$H$16,IF(B704="Лікар-терапевт",AG713*Законод!$C$9/4*Законод!$H$16,0)))</f>
        <v>0</v>
      </c>
      <c r="AR713" s="211">
        <f t="shared" si="94"/>
        <v>0</v>
      </c>
    </row>
    <row r="714" spans="1:44" s="50" customFormat="1" ht="31.9" hidden="1" customHeight="1">
      <c r="A714" s="197"/>
      <c r="B714" s="951"/>
      <c r="C714" s="954"/>
      <c r="D714" s="957"/>
      <c r="E714" s="939"/>
      <c r="F714" s="238" t="str">
        <f ca="1">IF(B704="Лікар-педіатр",Законод!$I$17,IF(B704="Лікар загальної практики - сімейний лікар",Законод!$I$21,IF(B704="Лікар-терапевт",Законод!$I$25,"х")))</f>
        <v>х</v>
      </c>
      <c r="G714" s="935" t="s">
        <v>423</v>
      </c>
      <c r="H714" s="936"/>
      <c r="I714" s="936"/>
      <c r="J714" s="936"/>
      <c r="K714" s="937"/>
      <c r="L714" s="196">
        <f ca="1">IF($B$704="Лікар загальної практики - сімейний лікар",IF(L708&lt;Законод!$C$22,0,(IF(AND(L708&gt;=Законод!$I$22,L708&lt;=Законод!$I$23),L708-Законод!$H$23,IF('01_Доходи'!L708&gt;=Законод!$I$22,Законод!$I$24,0)))),IF($B$704="Лікар-педіатр",IF(L708&lt;Законод!$C$18,0,(IF(AND(L708&gt;=Законод!$I$18,L708&lt;=Законод!$I$19),L708-Законод!$H$19,IF('01_Доходи'!L708&gt;=Законод!$I$18,Законод!$H$20,0)))),IF($B$704="Лікар-терапевт",IF(L708&lt;Законод!$C$26,0,(IF(AND(L708&gt;=Законод!$I$26,L708&lt;=Законод!$I$27),L708-Законод!$H$27,IF('01_Доходи'!L708&gt;=Законод!$I$26,Законод!$H$28,0)))),0)))</f>
        <v>0</v>
      </c>
      <c r="M714" s="942"/>
      <c r="N714" s="935" t="s">
        <v>423</v>
      </c>
      <c r="O714" s="936"/>
      <c r="P714" s="936"/>
      <c r="Q714" s="936"/>
      <c r="R714" s="937"/>
      <c r="S714" s="196">
        <f ca="1">IF($B$704="Лікар загальної практики - сімейний лікар",IF(S708&lt;Законод!$C$22,0,(IF(AND(S708&gt;=Законод!$I$22,S708&lt;=Законод!$I$23),S708-Законод!$H$23,IF('01_Доходи'!S708&gt;=Законод!$I$22,Законод!$I$24,0)))),IF($B$704="Лікар-педіатр",IF(S708&lt;Законод!$C$18,0,(IF(AND(S708&gt;=Законод!$I$18,S708&lt;=Законод!$I$19),S708-Законод!$H$19,IF('01_Доходи'!S708&gt;=Законод!$I$18,Законод!$H$20,0)))),IF($B$704="Лікар-терапевт",IF(S708&lt;Законод!$C$26,0,(IF(AND(S708&gt;=Законод!$I$26,S708&lt;=Законод!$I$27),S708-Законод!$H$27,IF('01_Доходи'!S708&gt;=Законод!$I$26,Законод!$H$28,0)))),0)))</f>
        <v>0</v>
      </c>
      <c r="T714" s="942"/>
      <c r="U714" s="935" t="s">
        <v>423</v>
      </c>
      <c r="V714" s="936"/>
      <c r="W714" s="936"/>
      <c r="X714" s="936"/>
      <c r="Y714" s="937"/>
      <c r="Z714" s="196">
        <f ca="1">IF($B$704="Лікар загальної практики - сімейний лікар",IF(Z708&lt;Законод!$C$22,0,(IF(AND(Z708&gt;=Законод!$I$22,Z708&lt;=Законод!$I$23),Z708-Законод!$H$23,IF('01_Доходи'!Z708&gt;=Законод!$I$22,Законод!$I$24,0)))),IF($B$704="Лікар-педіатр",IF(Z708&lt;Законод!$C$18,0,(IF(AND(Z708&gt;=Законод!$I$18,Z708&lt;=Законод!$I$19),Z708-Законод!$H$19,IF('01_Доходи'!Z708&gt;=Законод!$I$18,Законод!$H$20,0)))),IF($B$704="Лікар-терапевт",IF(Z708&lt;Законод!$C$26,0,(IF(AND(Z708&gt;=Законод!$I$26,Z708&lt;=Законод!$I$27),Z708-Законод!$H$27,IF('01_Доходи'!Z708&gt;=Законод!$I$26,Законод!$H$28,0)))),0)))</f>
        <v>0</v>
      </c>
      <c r="AA714" s="942"/>
      <c r="AB714" s="935" t="s">
        <v>423</v>
      </c>
      <c r="AC714" s="936"/>
      <c r="AD714" s="936"/>
      <c r="AE714" s="936"/>
      <c r="AF714" s="937"/>
      <c r="AG714" s="196">
        <f ca="1">IF($B$704="Лікар загальної практики - сімейний лікар",IF(AG708&lt;Законод!$C$22,0,(IF(AND(AG708&gt;=Законод!$I$22,AG708&lt;=Законод!$I$23),AG708-Законод!$H$23,IF('01_Доходи'!AG708&gt;=Законод!$I$22,Законод!$I$24,0)))),IF($B$704="Лікар-педіатр",IF(AG708&lt;Законод!$C$18,0,(IF(AND(AG708&gt;=Законод!$I$18,AG708&lt;=Законод!$I$19),AG708-Законод!$H$19,IF('01_Доходи'!AG708&gt;=Законод!$I$18,Законод!$H$20,0)))),IF($B$704="Лікар-терапевт",IF(AG708&lt;Законод!$C$26,0,(IF(AND(AG708&gt;=Законод!$I$26,AG708&lt;=Законод!$I$27),AG708-Законод!$H$27,IF('01_Доходи'!AG708&gt;=Законод!$I$26,Законод!$H$28,0)))),0)))</f>
        <v>0</v>
      </c>
      <c r="AH714" s="942"/>
      <c r="AI714" s="201"/>
      <c r="AJ714" s="945"/>
      <c r="AK714" s="960"/>
      <c r="AL714" s="960"/>
      <c r="AM714" s="927"/>
      <c r="AN714" s="210">
        <f ca="1">IF(B704="Лікар загальної практики - сімейний лікар",L714*Законод!$C$9/4*Законод!$I$16,IF(B704="Лікар-педіатр",L714*Законод!$C$9/4*Законод!$I$16,IF(B704="Лікар-терапевт",L714*Законод!$C$9/4*Законод!$I$16,0)))</f>
        <v>0</v>
      </c>
      <c r="AO714" s="210">
        <f ca="1">IF(B704="Лікар загальної практики - сімейний лікар",S714*Законод!$C$9/4*Законод!$I$16,IF(B704="Лікар-педіатр",S714*Законод!$C$9/4*Законод!$I$16,IF(B704="Лікар-терапевт",S714*Законод!$C$9/4*Законод!$I$16,0)))</f>
        <v>0</v>
      </c>
      <c r="AP714" s="210">
        <f ca="1">IF(B704="Лікар загальної практики - сімейний лікар",Z714*Законод!$C$9/4*Законод!$I$16,IF(B704="Лікар-педіатр",Z714*Законод!$C$9/4*Законод!$I$16,IF(B704="Лікар-терапевт",Z714*Законод!$C$9/4*Законод!$I$16,0)))</f>
        <v>0</v>
      </c>
      <c r="AQ714" s="210">
        <f ca="1">IF(B704="Лікар загальної практики - сімейний лікар",AG714*Законод!$C$9/4*Законод!$I$16,IF(B704="Лікар-педіатр",AG714*Законод!$C$9/4*Законод!$I$16,IF(B704="Лікар-терапевт",AG714*Законод!$C$9/4*Законод!$I$16,0)))</f>
        <v>0</v>
      </c>
      <c r="AR714" s="211">
        <f t="shared" si="94"/>
        <v>0</v>
      </c>
    </row>
    <row r="715" spans="1:44" s="218" customFormat="1" ht="31.9" hidden="1" customHeight="1" thickBot="1">
      <c r="A715" s="213"/>
      <c r="B715" s="952"/>
      <c r="C715" s="955"/>
      <c r="D715" s="958"/>
      <c r="E715" s="940"/>
      <c r="F715" s="239" t="str">
        <f ca="1">IF(B704="Лікар-педіатр",Законод!$J$17,IF(B704="Лікар загальної практики - сімейний лікар",Законод!$J$21,IF(B704="Лікар-терапевт",Законод!$J$25,"х")))</f>
        <v>х</v>
      </c>
      <c r="G715" s="932" t="s">
        <v>423</v>
      </c>
      <c r="H715" s="933"/>
      <c r="I715" s="933"/>
      <c r="J715" s="933"/>
      <c r="K715" s="934"/>
      <c r="L715" s="196">
        <f ca="1">IF($B$704="Лікар загальної практики - сімейний лікар",IF(L708&gt;=Законод!$J$22,'01_Доходи'!L708-('01_Доходи'!L709+'01_Доходи'!L710+'01_Доходи'!L711+'01_Доходи'!L712+'01_Доходи'!L713+'01_Доходи'!L714),0),IF($B$704="Лікар-педіатр",IF(L708&gt;=Законод!$J$18,'01_Доходи'!L708-('01_Доходи'!L709+'01_Доходи'!L710+'01_Доходи'!L711+'01_Доходи'!L712+'01_Доходи'!L713+'01_Доходи'!L714),0),IF($B$704="Лікар-терапевт",IF('01_Доходи'!L708&gt;=Законод!$J$26,L708-Законод!$I$27,0),0)))</f>
        <v>0</v>
      </c>
      <c r="M715" s="943"/>
      <c r="N715" s="932" t="s">
        <v>423</v>
      </c>
      <c r="O715" s="933"/>
      <c r="P715" s="933"/>
      <c r="Q715" s="933"/>
      <c r="R715" s="934"/>
      <c r="S715" s="196">
        <f ca="1">IF($B$704="Лікар загальної практики - сімейний лікар",IF(S708&gt;=Законод!$J$22,'01_Доходи'!S708-('01_Доходи'!S709+'01_Доходи'!S710+'01_Доходи'!S711+'01_Доходи'!S712+'01_Доходи'!S713+'01_Доходи'!S714),0),IF($B$704="Лікар-педіатр",IF(S708&gt;=Законод!$J$18,'01_Доходи'!S708-('01_Доходи'!S709+'01_Доходи'!S710+'01_Доходи'!S711+'01_Доходи'!S712+'01_Доходи'!S713+'01_Доходи'!S714),0),IF($B$704="Лікар-терапевт",IF('01_Доходи'!S708&gt;=Законод!$J$26,S708-Законод!$I$27,0),0)))</f>
        <v>0</v>
      </c>
      <c r="T715" s="943"/>
      <c r="U715" s="932" t="s">
        <v>423</v>
      </c>
      <c r="V715" s="933"/>
      <c r="W715" s="933"/>
      <c r="X715" s="933"/>
      <c r="Y715" s="934"/>
      <c r="Z715" s="196">
        <f ca="1">IF($B$704="Лікар загальної практики - сімейний лікар",IF(Z708&gt;=Законод!$J$22,'01_Доходи'!Z708-('01_Доходи'!Z709+'01_Доходи'!Z710+'01_Доходи'!Z711+'01_Доходи'!Z712+'01_Доходи'!Z713+'01_Доходи'!Z714),0),IF($B$704="Лікар-педіатр",IF(Z708&gt;=Законод!$J$18,'01_Доходи'!Z708-('01_Доходи'!Z709+'01_Доходи'!Z710+'01_Доходи'!Z711+'01_Доходи'!Z712+'01_Доходи'!Z713+'01_Доходи'!Z714),0),IF($B$704="Лікар-терапевт",IF('01_Доходи'!Z708&gt;=Законод!$J$26,Z708-Законод!$I$27,0),0)))</f>
        <v>0</v>
      </c>
      <c r="AA715" s="943"/>
      <c r="AB715" s="932" t="s">
        <v>423</v>
      </c>
      <c r="AC715" s="933"/>
      <c r="AD715" s="933"/>
      <c r="AE715" s="933"/>
      <c r="AF715" s="934"/>
      <c r="AG715" s="196">
        <f ca="1">IF($B$704="Лікар загальної практики - сімейний лікар",IF(AG708&gt;=Законод!$J$22,'01_Доходи'!AG708-('01_Доходи'!AG709+'01_Доходи'!AG710+'01_Доходи'!AG711+'01_Доходи'!AG712+'01_Доходи'!AG713+'01_Доходи'!AG714),0),IF($B$704="Лікар-педіатр",IF(AG708&gt;=Законод!$J$18,'01_Доходи'!AG708-('01_Доходи'!AG709+'01_Доходи'!AG710+'01_Доходи'!AG711+'01_Доходи'!AG712+'01_Доходи'!AG713+'01_Доходи'!AG714),0),IF($B$704="Лікар-терапевт",IF('01_Доходи'!AG708&gt;=Законод!$J$26,AG708-Законод!$I$27,0),0)))</f>
        <v>0</v>
      </c>
      <c r="AH715" s="943"/>
      <c r="AI715" s="215"/>
      <c r="AJ715" s="946"/>
      <c r="AK715" s="961"/>
      <c r="AL715" s="961"/>
      <c r="AM715" s="928"/>
      <c r="AN715" s="216">
        <f ca="1">IF(B704="Лікар загальної практики - сімейний лікар",L715*Законод!$C$9/4*Законод!$J$16,IF(B704="Лікар-педіатр",L715*Законод!$C$9/4*Законод!$J$16,IF(B704="Лікар-терапевт",L715*Законод!$C$9/4*Законод!$J$16,0)))</f>
        <v>0</v>
      </c>
      <c r="AO715" s="216">
        <f ca="1">IF(B704="Лікар загальної практики - сімейний лікар",S715*Законод!$C$9/4*Законод!$J$16,IF(B704="Лікар-педіатр",S715*Законод!$C$9/4*Законод!$J$16,IF(B704="Лікар-терапевт",S715*Законод!$C$9/4*Законод!$J$16,0)))</f>
        <v>0</v>
      </c>
      <c r="AP715" s="216">
        <f ca="1">IF(B704="Лікар загальної практики - сімейний лікар",S715*Законод!$C$9/4*Законод!$J$16,IF(B704="Лікар-педіатр",S715*Законод!$C$9/4*Законод!$J$16,IF(B704="Лікар-терапевт",S715*Законод!$C$9/4*Законод!$J$16,0)))</f>
        <v>0</v>
      </c>
      <c r="AQ715" s="216">
        <f ca="1">IF(B704="Лікар загальної практики - сімейний лікар",AG715*Законод!$C$9/4*Законод!$J$16,IF(B704="Лікар-педіатр",AG715*Законод!$C$9/4*Законод!$J$16,IF(B704="Лікар-терапевт",AG715*Законод!$C$9/4*Законод!$J$16,0)))</f>
        <v>0</v>
      </c>
      <c r="AR715" s="217">
        <f t="shared" si="94"/>
        <v>0</v>
      </c>
    </row>
    <row r="716" spans="1:44" s="247" customFormat="1" ht="23.45" hidden="1" customHeight="1" thickBot="1">
      <c r="A716" s="243"/>
      <c r="B716" s="244"/>
      <c r="C716" s="244"/>
      <c r="D716" s="244"/>
      <c r="E716" s="244"/>
      <c r="F716" s="245"/>
      <c r="G716" s="246"/>
      <c r="H716" s="246"/>
      <c r="L716" s="248"/>
      <c r="S716" s="248"/>
      <c r="Z716" s="248"/>
      <c r="AG716" s="248"/>
      <c r="AM716" s="249"/>
      <c r="AR716" s="250"/>
    </row>
    <row r="717" spans="1:44" s="191" customFormat="1" ht="24.6" hidden="1" customHeight="1">
      <c r="A717" s="194">
        <f>A704+1</f>
        <v>53</v>
      </c>
      <c r="B717" s="950"/>
      <c r="C717" s="953"/>
      <c r="D717" s="956"/>
      <c r="E717" s="938"/>
      <c r="F717" s="234" t="s">
        <v>659</v>
      </c>
      <c r="G717" s="196">
        <f>IF($B$717="Лікар-педіатр",G720*L717,IF($B$717="Лікар-терапевт","х",IF($B$717="Лікар загальної практики - сімейний лікар",G720*L717,0)))</f>
        <v>0</v>
      </c>
      <c r="H717" s="196">
        <f>IF($B$717="Лікар-педіатр",H720*L717,IF($B$717="Лікар-терапевт","х",IF($B$717="Лікар загальної практики - сімейний лікар",H720*L717,0)))</f>
        <v>0</v>
      </c>
      <c r="I717" s="196">
        <f>IF($B$717="Лікар-педіатр","x",IF($B$717="Лікар-терапевт",I720*L717,IF($B$717="Лікар загальної практики - сімейний лікар",I720*L717,0)))</f>
        <v>0</v>
      </c>
      <c r="J717" s="196">
        <f>IF($B$717="Лікар-педіатр","x",IF($B$717="Лікар-терапевт",J720*L717,IF($B$717="Лікар загальної практики - сімейний лікар",J720*L717,0)))</f>
        <v>0</v>
      </c>
      <c r="K717" s="196">
        <f>IF($B$717="Лікар-педіатр","x",IF($B$717="Лікар-терапевт",K720*L717,IF($B$717="Лікар загальної практики - сімейний лікар",K720*L717,0)))</f>
        <v>0</v>
      </c>
      <c r="L717" s="557"/>
      <c r="M717" s="941"/>
      <c r="N717" s="196">
        <f>IF($B$717="Лікар-педіатр",N720*S717,IF($B$717="Лікар-терапевт","х",IF($B$717="Лікар загальної практики - сімейний лікар",N720*S717,0)))</f>
        <v>0</v>
      </c>
      <c r="O717" s="196">
        <f>IF($B$717="Лікар-педіатр",O720*S717,IF($B$717="Лікар-терапевт","х",IF($B$717="Лікар загальної практики - сімейний лікар",O720*S717,0)))</f>
        <v>0</v>
      </c>
      <c r="P717" s="196">
        <f>IF($B$717="Лікар-педіатр","x",IF($B$717="Лікар-терапевт",P720*S717,IF($B$717="Лікар загальної практики - сімейний лікар",P720*S717,0)))</f>
        <v>0</v>
      </c>
      <c r="Q717" s="196">
        <f>IF($B$717="Лікар-педіатр","x",IF($B$717="Лікар-терапевт",Q720*S717,IF($B$717="Лікар загальної практики - сімейний лікар",Q720*S717,0)))</f>
        <v>0</v>
      </c>
      <c r="R717" s="196">
        <f>IF($B$717="Лікар-педіатр","x",IF($B$717="Лікар-терапевт",R720*S717,IF($B$717="Лікар загальної практики - сімейний лікар",R720*S717,0)))</f>
        <v>0</v>
      </c>
      <c r="S717" s="557"/>
      <c r="T717" s="941"/>
      <c r="U717" s="196">
        <f>IF($B$717="Лікар-педіатр",U720*Z717,IF($B$717="Лікар-терапевт","х",IF($B$717="Лікар загальної практики - сімейний лікар",U720*Z717,0)))</f>
        <v>0</v>
      </c>
      <c r="V717" s="196">
        <f>IF($B$717="Лікар-педіатр",V720*Z717,IF($B$717="Лікар-терапевт","х",IF($B$717="Лікар загальної практики - сімейний лікар",V720*Z717,0)))</f>
        <v>0</v>
      </c>
      <c r="W717" s="196">
        <f>IF($B$717="Лікар-педіатр","x",IF($B$717="Лікар-терапевт",W720*Z717,IF($B$717="Лікар загальної практики - сімейний лікар",W720*Z717,0)))</f>
        <v>0</v>
      </c>
      <c r="X717" s="196">
        <f>IF($B$717="Лікар-педіатр","x",IF($B$717="Лікар-терапевт",X720*Z717,IF($B$717="Лікар загальної практики - сімейний лікар",X720*Z717,0)))</f>
        <v>0</v>
      </c>
      <c r="Y717" s="196">
        <f>IF($B$717="Лікар-педіатр","x",IF($B$717="Лікар-терапевт",Y720*Z717,IF($B$717="Лікар загальної практики - сімейний лікар",Y720*Z717,0)))</f>
        <v>0</v>
      </c>
      <c r="Z717" s="557"/>
      <c r="AA717" s="941"/>
      <c r="AB717" s="196">
        <f>IF($B$717="Лікар-педіатр",AB720*AG717,IF($B$717="Лікар-терапевт","х",IF($B$717="Лікар загальної практики - сімейний лікар",AB720*AG717,0)))</f>
        <v>0</v>
      </c>
      <c r="AC717" s="196">
        <f>IF($B$717="Лікар-педіатр",AC720*AG717,IF($B$717="Лікар-терапевт","х",IF($B$717="Лікар загальної практики - сімейний лікар",AC720*AG717,0)))</f>
        <v>0</v>
      </c>
      <c r="AD717" s="196">
        <f>IF($B$717="Лікар-педіатр","x",IF($B$717="Лікар-терапевт",AD720*AG717,IF($B$717="Лікар загальної практики - сімейний лікар",AD720*AG717,0)))</f>
        <v>0</v>
      </c>
      <c r="AE717" s="196">
        <f>IF($B$717="Лікар-педіатр","x",IF($B$717="Лікар-терапевт",AE720*AG717,IF($B$717="Лікар загальної практики - сімейний лікар",AE720*AG717,0)))</f>
        <v>0</v>
      </c>
      <c r="AF717" s="196">
        <f>IF($B$717="Лікар-педіатр","x",IF($B$717="Лікар-терапевт",AF720*AG717,IF($B$717="Лікар загальної практики - сімейний лікар",AF720*AG717,0)))</f>
        <v>0</v>
      </c>
      <c r="AG717" s="557"/>
      <c r="AH717" s="941"/>
      <c r="AI717" s="540">
        <f>A717</f>
        <v>53</v>
      </c>
      <c r="AJ717" s="944">
        <f>B717</f>
        <v>0</v>
      </c>
      <c r="AK717" s="959">
        <f>C717</f>
        <v>0</v>
      </c>
      <c r="AL717" s="959">
        <f>D717</f>
        <v>0</v>
      </c>
      <c r="AM717" s="929" t="s">
        <v>79</v>
      </c>
      <c r="AN717" s="947">
        <f>SUM(AN722:AN728)</f>
        <v>0</v>
      </c>
      <c r="AO717" s="947">
        <f>SUM(AO722:AO728)</f>
        <v>0</v>
      </c>
      <c r="AP717" s="947">
        <f>SUM(AP722:AP728)</f>
        <v>0</v>
      </c>
      <c r="AQ717" s="947">
        <f>SUM(AQ722:AQ728)</f>
        <v>0</v>
      </c>
      <c r="AR717" s="962">
        <f>SUM(AN717:AQ721)</f>
        <v>0</v>
      </c>
    </row>
    <row r="718" spans="1:44" s="50" customFormat="1" ht="28.15" hidden="1" customHeight="1">
      <c r="A718" s="197"/>
      <c r="B718" s="951"/>
      <c r="C718" s="954"/>
      <c r="D718" s="957"/>
      <c r="E718" s="939"/>
      <c r="F718" s="234" t="s">
        <v>660</v>
      </c>
      <c r="G718" s="196">
        <f>IF($B$717="Лікар-педіатр",G720*L718,IF($B$717="Лікар-терапевт","х",IF($B$717="Лікар загальної практики - сімейний лікар",G720*L718,0)))</f>
        <v>0</v>
      </c>
      <c r="H718" s="196">
        <f>IF($B$717="Лікар-педіатр",H720*L718,IF($B$717="Лікар-терапевт","х",IF($B$717="Лікар загальної практики - сімейний лікар",H720*L718,0)))</f>
        <v>0</v>
      </c>
      <c r="I718" s="196">
        <f>IF($B$717="Лікар-педіатр","x",IF($B$717="Лікар-терапевт",I720*L718,IF($B$717="Лікар загальної практики - сімейний лікар",I720*L718,0)))</f>
        <v>0</v>
      </c>
      <c r="J718" s="196">
        <f>IF($B$717="Лікар-педіатр","x",IF($B$717="Лікар-терапевт",J720*L718,IF($B$717="Лікар загальної практики - сімейний лікар",J720*L718,0)))</f>
        <v>0</v>
      </c>
      <c r="K718" s="196">
        <f>IF($B$717="Лікар-педіатр","x",IF($B$717="Лікар-терапевт",K720*L718,IF($B$717="Лікар загальної практики - сімейний лікар",K720*L718,0)))</f>
        <v>0</v>
      </c>
      <c r="L718" s="557"/>
      <c r="M718" s="942"/>
      <c r="N718" s="196">
        <f>IF($B$717="Лікар-педіатр",N720*S718,IF($B$717="Лікар-терапевт","х",IF($B$717="Лікар загальної практики - сімейний лікар",N720*S718,0)))</f>
        <v>0</v>
      </c>
      <c r="O718" s="196">
        <f>IF($B$717="Лікар-педіатр",O720*S718,IF($B$717="Лікар-терапевт","х",IF($B$717="Лікар загальної практики - сімейний лікар",O720*S718,0)))</f>
        <v>0</v>
      </c>
      <c r="P718" s="196">
        <f>IF($B$717="Лікар-педіатр","x",IF($B$717="Лікар-терапевт",P720*S718,IF($B$717="Лікар загальної практики - сімейний лікар",P720*S718,0)))</f>
        <v>0</v>
      </c>
      <c r="Q718" s="196">
        <f>IF($B$717="Лікар-педіатр","x",IF($B$717="Лікар-терапевт",Q720*S718,IF($B$717="Лікар загальної практики - сімейний лікар",Q720*S718,0)))</f>
        <v>0</v>
      </c>
      <c r="R718" s="196">
        <f>IF($B$717="Лікар-педіатр","x",IF($B$717="Лікар-терапевт",R720*S718,IF($B$717="Лікар загальної практики - сімейний лікар",R720*S718,0)))</f>
        <v>0</v>
      </c>
      <c r="S718" s="557"/>
      <c r="T718" s="942"/>
      <c r="U718" s="196">
        <f>IF($B$717="Лікар-педіатр",U720*Z718,IF($B$717="Лікар-терапевт","х",IF($B$717="Лікар загальної практики - сімейний лікар",U720*Z718,0)))</f>
        <v>0</v>
      </c>
      <c r="V718" s="196">
        <f>IF($B$717="Лікар-педіатр",V720*Z718,IF($B$717="Лікар-терапевт","х",IF($B$717="Лікар загальної практики - сімейний лікар",V720*Z718,0)))</f>
        <v>0</v>
      </c>
      <c r="W718" s="196">
        <f>IF($B$717="Лікар-педіатр","x",IF($B$717="Лікар-терапевт",W720*Z718,IF($B$717="Лікар загальної практики - сімейний лікар",W720*Z718,0)))</f>
        <v>0</v>
      </c>
      <c r="X718" s="196">
        <f>IF($B$717="Лікар-педіатр","x",IF($B$717="Лікар-терапевт",X720*Z718,IF($B$717="Лікар загальної практики - сімейний лікар",X720*Z718,0)))</f>
        <v>0</v>
      </c>
      <c r="Y718" s="196">
        <f>IF($B$717="Лікар-педіатр","x",IF($B$717="Лікар-терапевт",Y720*Z718,IF($B$717="Лікар загальної практики - сімейний лікар",Y720*Z718,0)))</f>
        <v>0</v>
      </c>
      <c r="Z718" s="557"/>
      <c r="AA718" s="942"/>
      <c r="AB718" s="196">
        <f>IF($B$717="Лікар-педіатр",AB720*AG718,IF($B$717="Лікар-терапевт","х",IF($B$717="Лікар загальної практики - сімейний лікар",AB720*AG718,0)))</f>
        <v>0</v>
      </c>
      <c r="AC718" s="196">
        <f>IF($B$717="Лікар-педіатр",AC720*AG718,IF($B$717="Лікар-терапевт","х",IF($B$717="Лікар загальної практики - сімейний лікар",AC720*AG718,0)))</f>
        <v>0</v>
      </c>
      <c r="AD718" s="196">
        <f>IF($B$717="Лікар-педіатр","x",IF($B$717="Лікар-терапевт",AD720*AG718,IF($B$717="Лікар загальної практики - сімейний лікар",AD720*AG718,0)))</f>
        <v>0</v>
      </c>
      <c r="AE718" s="196">
        <f>IF($B$717="Лікар-педіатр","x",IF($B$717="Лікар-терапевт",AE720*AG718,IF($B$717="Лікар загальної практики - сімейний лікар",AE720*AG718,0)))</f>
        <v>0</v>
      </c>
      <c r="AF718" s="196">
        <f>IF($B$717="Лікар-педіатр","x",IF($B$717="Лікар-терапевт",AF720*AG718,IF($B$717="Лікар загальної практики - сімейний лікар",AF720*AG718,0)))</f>
        <v>0</v>
      </c>
      <c r="AG718" s="557"/>
      <c r="AH718" s="942"/>
      <c r="AI718" s="198"/>
      <c r="AJ718" s="945"/>
      <c r="AK718" s="960"/>
      <c r="AL718" s="960"/>
      <c r="AM718" s="930"/>
      <c r="AN718" s="948"/>
      <c r="AO718" s="948"/>
      <c r="AP718" s="948"/>
      <c r="AQ718" s="948"/>
      <c r="AR718" s="963"/>
    </row>
    <row r="719" spans="1:44" s="90" customFormat="1" ht="31.15" hidden="1" customHeight="1">
      <c r="A719" s="240"/>
      <c r="B719" s="951"/>
      <c r="C719" s="954"/>
      <c r="D719" s="957"/>
      <c r="E719" s="939"/>
      <c r="F719" s="241" t="s">
        <v>661</v>
      </c>
      <c r="G719" s="199">
        <f>IF(B717="Лікар загальної практики - сімейний лікар"," ",IF(B717="Лікар-педіатр"," ",IF(B717="Лікар-терапевт","х",0)))</f>
        <v>0</v>
      </c>
      <c r="H719" s="199">
        <f>IF(B717="Лікар загальної практики - сімейний лікар"," ",IF(B717="Лікар-педіатр"," ",IF(B717="Лікар-терапевт","х",0)))</f>
        <v>0</v>
      </c>
      <c r="I719" s="199">
        <f>IF(B717="Лікар загальної практики - сімейний лікар"," ",IF(B717="Лікар-педіатр","х",IF(B717="Лікар-терапевт"," ",0)))</f>
        <v>0</v>
      </c>
      <c r="J719" s="199">
        <f>IF(B717="Лікар загальної практики - сімейний лікар"," ",IF(B717="Лікар-педіатр","х",IF(B717="Лікар-терапевт"," ",0)))</f>
        <v>0</v>
      </c>
      <c r="K719" s="199">
        <f>IF(B717="Лікар загальної практики - сімейний лікар"," ",IF(B717="Лікар-педіатр","х",IF(B717="Лікар-терапевт"," ",0)))</f>
        <v>0</v>
      </c>
      <c r="L719" s="200">
        <f>SUM(G719:K719)</f>
        <v>0</v>
      </c>
      <c r="M719" s="942"/>
      <c r="N719" s="199">
        <f>IF(B717="Лікар загальної практики - сімейний лікар"," ",IF(B717="Лікар-педіатр"," ",IF(B717="Лікар-терапевт","х",0)))</f>
        <v>0</v>
      </c>
      <c r="O719" s="199">
        <f>IF(B717="Лікар загальної практики - сімейний лікар"," ",IF(B717="Лікар-педіатр"," ",IF(B717="Лікар-терапевт","х",0)))</f>
        <v>0</v>
      </c>
      <c r="P719" s="199">
        <f>IF(B717="Лікар загальної практики - сімейний лікар"," ",IF(B717="Лікар-педіатр","х",IF(B717="Лікар-терапевт"," ",0)))</f>
        <v>0</v>
      </c>
      <c r="Q719" s="199">
        <f>IF(B717="Лікар загальної практики - сімейний лікар"," ",IF(B717="Лікар-педіатр","х",IF(B717="Лікар-терапевт"," ",0)))</f>
        <v>0</v>
      </c>
      <c r="R719" s="199">
        <f>IF(B717="Лікар загальної практики - сімейний лікар"," ",IF(B717="Лікар-педіатр","х",IF(B717="Лікар-терапевт"," ",0)))</f>
        <v>0</v>
      </c>
      <c r="S719" s="200">
        <f>SUM(N719:R719)</f>
        <v>0</v>
      </c>
      <c r="T719" s="942"/>
      <c r="U719" s="199">
        <f>IF(B717="Лікар загальної практики - сімейний лікар"," ",IF(B717="Лікар-педіатр"," ",IF(B717="Лікар-терапевт","х",0)))</f>
        <v>0</v>
      </c>
      <c r="V719" s="199">
        <f>IF(B717="Лікар загальної практики - сімейний лікар"," ",IF(B717="Лікар-педіатр"," ",IF(B717="Лікар-терапевт","х",0)))</f>
        <v>0</v>
      </c>
      <c r="W719" s="199">
        <f>IF(B717="Лікар загальної практики - сімейний лікар"," ",IF(B717="Лікар-педіатр","х",IF(B717="Лікар-терапевт"," ",0)))</f>
        <v>0</v>
      </c>
      <c r="X719" s="199">
        <f>IF(B717="Лікар загальної практики - сімейний лікар"," ",IF(B717="Лікар-педіатр","х",IF(B717="Лікар-терапевт"," ",0)))</f>
        <v>0</v>
      </c>
      <c r="Y719" s="199">
        <f>IF(B717="Лікар загальної практики - сімейний лікар"," ",IF(B717="Лікар-педіатр","х",IF(B717="Лікар-терапевт"," ",0)))</f>
        <v>0</v>
      </c>
      <c r="Z719" s="200">
        <f>SUM(U719:Y719)</f>
        <v>0</v>
      </c>
      <c r="AA719" s="942"/>
      <c r="AB719" s="199">
        <f>IF(B717="Лікар загальної практики - сімейний лікар"," ",IF(B717="Лікар-педіатр"," ",IF(B717="Лікар-терапевт","х",0)))</f>
        <v>0</v>
      </c>
      <c r="AC719" s="199">
        <f>IF(B717="Лікар загальної практики - сімейний лікар"," ",IF(B717="Лікар-педіатр"," ",IF(B717="Лікар-терапевт","х",0)))</f>
        <v>0</v>
      </c>
      <c r="AD719" s="199">
        <f>IF(B717="Лікар загальної практики - сімейний лікар"," ",IF(B717="Лікар-педіатр","х",IF(B717="Лікар-терапевт"," ",0)))</f>
        <v>0</v>
      </c>
      <c r="AE719" s="199">
        <f>IF(B717="Лікар загальної практики - сімейний лікар"," ",IF(B717="Лікар-педіатр","х",IF(B717="Лікар-терапевт"," ",0)))</f>
        <v>0</v>
      </c>
      <c r="AF719" s="199">
        <f>IF(B717="Лікар загальної практики - сімейний лікар"," ",IF(B717="Лікар-педіатр","х",IF(B717="Лікар-терапевт"," ",0)))</f>
        <v>0</v>
      </c>
      <c r="AG719" s="200">
        <f>SUM(AB719:AF719)</f>
        <v>0</v>
      </c>
      <c r="AH719" s="942"/>
      <c r="AI719" s="242"/>
      <c r="AJ719" s="945"/>
      <c r="AK719" s="960"/>
      <c r="AL719" s="960"/>
      <c r="AM719" s="930"/>
      <c r="AN719" s="948"/>
      <c r="AO719" s="948"/>
      <c r="AP719" s="948"/>
      <c r="AQ719" s="948"/>
      <c r="AR719" s="963"/>
    </row>
    <row r="720" spans="1:44" s="50" customFormat="1" ht="31.9" hidden="1" customHeight="1" thickBot="1">
      <c r="A720" s="197"/>
      <c r="B720" s="951"/>
      <c r="C720" s="954"/>
      <c r="D720" s="957"/>
      <c r="E720" s="939"/>
      <c r="F720" s="236" t="s">
        <v>426</v>
      </c>
      <c r="G720" s="203">
        <f>IF($B$717="Лікар-педіатр",G719/L719,IF($B$717="Лікар-терапевт","х",IF($B$717="Лікар загальної практики - сімейний лікар",G719/L719,0)))</f>
        <v>0</v>
      </c>
      <c r="H720" s="203">
        <f>IF($B$717="Лікар-педіатр",H719/L719,IF($B$717="Лікар-терапевт","х",IF($B$717="Лікар загальної практики - сімейний лікар",H719/L719,0)))</f>
        <v>0</v>
      </c>
      <c r="I720" s="203">
        <f>IF($B$717="Лікар-педіатр","x",IF($B$717="Лікар-терапевт",I719/L719,IF($B$717="Лікар загальної практики - сімейний лікар",I719/L719,0)))</f>
        <v>0</v>
      </c>
      <c r="J720" s="203">
        <f>IF($B$717="Лікар-педіатр","x",IF($B$717="Лікар-терапевт",J719/L719,IF($B$717="Лікар загальної практики - сімейний лікар",J719/L719,0)))</f>
        <v>0</v>
      </c>
      <c r="K720" s="203">
        <f>IF($B$717="Лікар-педіатр","x",IF($B$717="Лікар-терапевт",K719/L719,IF($B$717="Лікар загальної практики - сімейний лікар",K719/L719,0)))</f>
        <v>0</v>
      </c>
      <c r="L720" s="203">
        <f>SUM(G720:K720)</f>
        <v>0</v>
      </c>
      <c r="M720" s="942"/>
      <c r="N720" s="203">
        <f>IF($B$717="Лікар-педіатр",N719/S719,IF($B$717="Лікар-терапевт","х",IF($B$717="Лікар загальної практики - сімейний лікар",N719/S719,0)))</f>
        <v>0</v>
      </c>
      <c r="O720" s="203">
        <f>IF($B$717="Лікар-педіатр",O719/S719,IF($B$717="Лікар-терапевт","х",IF($B$717="Лікар загальної практики - сімейний лікар",O719/S719,0)))</f>
        <v>0</v>
      </c>
      <c r="P720" s="203">
        <f>IF($B$717="Лікар-педіатр","x",IF($B$717="Лікар-терапевт",P719/S719,IF($B$717="Лікар загальної практики - сімейний лікар",P719/S719,0)))</f>
        <v>0</v>
      </c>
      <c r="Q720" s="203">
        <f>IF($B$717="Лікар-педіатр","x",IF($B$717="Лікар-терапевт",Q719/S719,IF($B$717="Лікар загальної практики - сімейний лікар",Q719/S719,0)))</f>
        <v>0</v>
      </c>
      <c r="R720" s="203">
        <f>IF($B$717="Лікар-педіатр","x",IF($B$717="Лікар-терапевт",R719/S719,IF($B$717="Лікар загальної практики - сімейний лікар",R719/S719,0)))</f>
        <v>0</v>
      </c>
      <c r="S720" s="203">
        <f>SUM(N720:R720)</f>
        <v>0</v>
      </c>
      <c r="T720" s="942"/>
      <c r="U720" s="203">
        <f>IF($B$717="Лікар-педіатр",U719/Z719,IF($B$717="Лікар-терапевт","х",IF($B$717="Лікар загальної практики - сімейний лікар",U719/Z719,0)))</f>
        <v>0</v>
      </c>
      <c r="V720" s="203">
        <f>IF($B$717="Лікар-педіатр",V719/Z719,IF($B$717="Лікар-терапевт","х",IF($B$717="Лікар загальної практики - сімейний лікар",V719/Z719,0)))</f>
        <v>0</v>
      </c>
      <c r="W720" s="203">
        <f>IF($B$717="Лікар-педіатр","x",IF($B$717="Лікар-терапевт",W719/Z719,IF($B$717="Лікар загальної практики - сімейний лікар",W719/Z719,0)))</f>
        <v>0</v>
      </c>
      <c r="X720" s="203">
        <f>IF($B$717="Лікар-педіатр","x",IF($B$717="Лікар-терапевт",X719/Z719,IF($B$717="Лікар загальної практики - сімейний лікар",X719/Z719,0)))</f>
        <v>0</v>
      </c>
      <c r="Y720" s="203">
        <f>IF($B$717="Лікар-педіатр","x",IF($B$717="Лікар-терапевт",Y719/Z719,IF($B$717="Лікар загальної практики - сімейний лікар",Y719/Z719,0)))</f>
        <v>0</v>
      </c>
      <c r="Z720" s="203">
        <f>SUM(U720:Y720)</f>
        <v>0</v>
      </c>
      <c r="AA720" s="942"/>
      <c r="AB720" s="203">
        <f>IF($B$717="Лікар-педіатр",AB719/AG719,IF($B$717="Лікар-терапевт","х",IF($B$717="Лікар загальної практики - сімейний лікар",AB719/AG719,0)))</f>
        <v>0</v>
      </c>
      <c r="AC720" s="203">
        <f>IF($B$717="Лікар-педіатр",AC719/AG719,IF($B$717="Лікар-терапевт","х",IF($B$717="Лікар загальної практики - сімейний лікар",AC719/AG719,0)))</f>
        <v>0</v>
      </c>
      <c r="AD720" s="203">
        <f>IF($B$717="Лікар-педіатр","x",IF($B$717="Лікар-терапевт",AD719/AG719,IF($B$717="Лікар загальної практики - сімейний лікар",AD719/AG719,0)))</f>
        <v>0</v>
      </c>
      <c r="AE720" s="203">
        <f>IF($B$717="Лікар-педіатр","x",IF($B$717="Лікар-терапевт",AE719/AG719,IF($B$717="Лікар загальної практики - сімейний лікар",AE719/AG719,0)))</f>
        <v>0</v>
      </c>
      <c r="AF720" s="203">
        <f>IF($B$717="Лікар-педіатр","x",IF($B$717="Лікар-терапевт",AF719/AG719,IF($B$717="Лікар загальної практики - сімейний лікар",AF719/AG719,0)))</f>
        <v>0</v>
      </c>
      <c r="AG720" s="203">
        <f>SUM(AB720:AF720)</f>
        <v>0</v>
      </c>
      <c r="AH720" s="942"/>
      <c r="AI720" s="201"/>
      <c r="AJ720" s="945"/>
      <c r="AK720" s="960"/>
      <c r="AL720" s="960"/>
      <c r="AM720" s="930"/>
      <c r="AN720" s="948"/>
      <c r="AO720" s="948"/>
      <c r="AP720" s="948"/>
      <c r="AQ720" s="948"/>
      <c r="AR720" s="963"/>
    </row>
    <row r="721" spans="1:44" s="50" customFormat="1" ht="45" hidden="1" customHeight="1" thickBot="1">
      <c r="A721" s="197"/>
      <c r="B721" s="951"/>
      <c r="C721" s="954"/>
      <c r="D721" s="957"/>
      <c r="E721" s="939"/>
      <c r="F721" s="204" t="s">
        <v>662</v>
      </c>
      <c r="G721" s="205">
        <f>IF($B$717="Лікар загальної практики - сімейний лікар",AVERAGE(G717:G719),IF($B$717="Лікар-педіатр",AVERAGE(G717:G719),IF($B$717="Лікар-терапевт","х",0)))</f>
        <v>0</v>
      </c>
      <c r="H721" s="205">
        <f>IF($B$717="Лікар загальної практики - сімейний лікар",AVERAGE(H717:H719),IF($B$717="Лікар-педіатр",AVERAGE(H717:H719),IF($B$717="Лікар-терапевт","х",0)))</f>
        <v>0</v>
      </c>
      <c r="I721" s="205">
        <f>IF($B$717="Лікар загальної практики - сімейний лікар",AVERAGE(I717:I719),IF($B$717="Лікар-педіатр","x",IF($B$717="Лікар-терапевт",AVERAGE(I717:I719),0)))</f>
        <v>0</v>
      </c>
      <c r="J721" s="205">
        <f>IF($B$717="Лікар загальної практики - сімейний лікар",AVERAGE(J717:J719),IF($B$717="Лікар-педіатр","x",IF($B$717="Лікар-терапевт",AVERAGE(J717:J719),0)))</f>
        <v>0</v>
      </c>
      <c r="K721" s="205">
        <f>IF($B$717="Лікар загальної практики - сімейний лікар",AVERAGE(K717:K719),IF($B$717="Лікар-педіатр","x",IF($B$717="Лікар-терапевт",AVERAGE(K717:K719),0)))</f>
        <v>0</v>
      </c>
      <c r="L721" s="206">
        <f>SUM(G721:K721)</f>
        <v>0</v>
      </c>
      <c r="M721" s="942"/>
      <c r="N721" s="205">
        <f>IF($B$717="Лікар загальної практики - сімейний лікар",AVERAGE(N717:N719),IF($B$717="Лікар-педіатр",AVERAGE(N717:N719),IF($B$717="Лікар-терапевт","х",0)))</f>
        <v>0</v>
      </c>
      <c r="O721" s="205">
        <f>IF($B$717="Лікар загальної практики - сімейний лікар",AVERAGE(O717:O719),IF($B$717="Лікар-педіатр",AVERAGE(O717:O719),IF($B$717="Лікар-терапевт","х",0)))</f>
        <v>0</v>
      </c>
      <c r="P721" s="205">
        <f>IF($B$717="Лікар загальної практики - сімейний лікар",AVERAGE(P717:P719),IF($B$717="Лікар-педіатр","x",IF($B$717="Лікар-терапевт",AVERAGE(P717:P719),0)))</f>
        <v>0</v>
      </c>
      <c r="Q721" s="205">
        <f>IF($B$717="Лікар загальної практики - сімейний лікар",AVERAGE(Q717:Q719),IF($B$717="Лікар-педіатр","x",IF($B$717="Лікар-терапевт",AVERAGE(Q717:Q719),0)))</f>
        <v>0</v>
      </c>
      <c r="R721" s="205">
        <f>IF($B$717="Лікар загальної практики - сімейний лікар",AVERAGE(R717:R719),IF($B$717="Лікар-педіатр","x",IF($B$717="Лікар-терапевт",AVERAGE(R717:R719),0)))</f>
        <v>0</v>
      </c>
      <c r="S721" s="206">
        <f>SUM(N721:R721)</f>
        <v>0</v>
      </c>
      <c r="T721" s="942"/>
      <c r="U721" s="205">
        <f>IF($B$717="Лікар загальної практики - сімейний лікар",AVERAGE(U717:U719),IF($B$717="Лікар-педіатр",AVERAGE(U717:U719),IF($B$717="Лікар-терапевт","х",0)))</f>
        <v>0</v>
      </c>
      <c r="V721" s="205">
        <f>IF($B$717="Лікар загальної практики - сімейний лікар",AVERAGE(V717:V719),IF($B$717="Лікар-педіатр",AVERAGE(V717:V719),IF($B$717="Лікар-терапевт","х",0)))</f>
        <v>0</v>
      </c>
      <c r="W721" s="205">
        <f>IF($B$717="Лікар загальної практики - сімейний лікар",AVERAGE(W717:W719),IF($B$717="Лікар-педіатр","x",IF($B$717="Лікар-терапевт",AVERAGE(W717:W719),0)))</f>
        <v>0</v>
      </c>
      <c r="X721" s="205">
        <f>IF($B$717="Лікар загальної практики - сімейний лікар",AVERAGE(X717:X719),IF($B$717="Лікар-педіатр","x",IF($B$717="Лікар-терапевт",AVERAGE(X717:X719),0)))</f>
        <v>0</v>
      </c>
      <c r="Y721" s="205">
        <f>IF($B$717="Лікар загальної практики - сімейний лікар",AVERAGE(Y717:Y719),IF($B$717="Лікар-педіатр","x",IF($B$717="Лікар-терапевт",AVERAGE(Y717:Y719),0)))</f>
        <v>0</v>
      </c>
      <c r="Z721" s="206">
        <f>SUM(U721:Y721)</f>
        <v>0</v>
      </c>
      <c r="AA721" s="942"/>
      <c r="AB721" s="205">
        <f>IF($B$717="Лікар загальної практики - сімейний лікар",AVERAGE(AB717:AB719),IF($B$717="Лікар-педіатр",AVERAGE(AB717:AB719),IF($B$717="Лікар-терапевт","х",0)))</f>
        <v>0</v>
      </c>
      <c r="AC721" s="205">
        <f>IF($B$717="Лікар загальної практики - сімейний лікар",AVERAGE(AC717:AC719),IF($B$717="Лікар-педіатр",AVERAGE(AC717:AC719),IF($B$717="Лікар-терапевт","х",0)))</f>
        <v>0</v>
      </c>
      <c r="AD721" s="205">
        <f>IF($B$717="Лікар загальної практики - сімейний лікар",AVERAGE(AD717:AD719),IF($B$717="Лікар-педіатр","x",IF($B$717="Лікар-терапевт",AVERAGE(AD717:AD719),0)))</f>
        <v>0</v>
      </c>
      <c r="AE721" s="205">
        <f>IF($B$717="Лікар загальної практики - сімейний лікар",AVERAGE(AE717:AE719),IF($B$717="Лікар-педіатр","x",IF($B$717="Лікар-терапевт",AVERAGE(AE717:AE719),0)))</f>
        <v>0</v>
      </c>
      <c r="AF721" s="205">
        <f>IF($B$717="Лікар загальної практики - сімейний лікар",AVERAGE(AF717:AF719),IF($B$717="Лікар-педіатр","x",IF($B$717="Лікар-терапевт",AVERAGE(AF717:AF719),0)))</f>
        <v>0</v>
      </c>
      <c r="AG721" s="206">
        <f>SUM(AB721:AF721)</f>
        <v>0</v>
      </c>
      <c r="AH721" s="942"/>
      <c r="AI721" s="201"/>
      <c r="AJ721" s="945"/>
      <c r="AK721" s="960"/>
      <c r="AL721" s="960"/>
      <c r="AM721" s="931"/>
      <c r="AN721" s="949"/>
      <c r="AO721" s="949"/>
      <c r="AP721" s="949"/>
      <c r="AQ721" s="949"/>
      <c r="AR721" s="964"/>
    </row>
    <row r="722" spans="1:44" s="50" customFormat="1" ht="40.5" hidden="1">
      <c r="A722" s="197"/>
      <c r="B722" s="951"/>
      <c r="C722" s="954"/>
      <c r="D722" s="957"/>
      <c r="E722" s="939"/>
      <c r="F722" s="237" t="str">
        <f ca="1">IF(B717="Лікар-педіатр",Законод!$C$17,IF(B717="Лікар загальної практики - сімейний лікар",Законод!$C$21,IF(B717="Лікар-терапевт",Законод!$C$25,"х")))</f>
        <v>х</v>
      </c>
      <c r="G722" s="208">
        <f ca="1">IF($B$717="Лікар загальної практики - сімейний лікар",IF(L721&lt;=Законод!$C$22,G721,Законод!$C$22*'01_Доходи'!G720),IF($B$717="Лікар-педіатр",IF(L721&lt;=Законод!$C$18,G721,Законод!$C$18*'01_Доходи'!G720),IF($B$717="Лікар-терапевт","x",0)))</f>
        <v>0</v>
      </c>
      <c r="H722" s="208">
        <f ca="1">IF($B$717="Лікар загальної практики - сімейний лікар",IF(L721&lt;=Законод!$C$22,H721,Законод!$C$22*'01_Доходи'!H720),IF($B$717="Лікар-педіатр",IF(L721&lt;=Законод!$C$18,H721,Законод!$C$18*'01_Доходи'!H720),IF($B$717="Лікар-терапевт","x",0)))</f>
        <v>0</v>
      </c>
      <c r="I722" s="208">
        <f ca="1">IF($B$717="Лікар загальної практики - сімейний лікар",IF(L721&lt;=Законод!$C$22,I721,Законод!$C$22*'01_Доходи'!I720),IF($B$717="Лікар-педіатр","x",IF($B$717="Лікар-терапевт",IF(L721&lt;=Законод!$C$26,I721,Законод!$C$26*'01_Доходи'!I720),0)))</f>
        <v>0</v>
      </c>
      <c r="J722" s="208">
        <f ca="1">IF($B$717="Лікар загальної практики - сімейний лікар",IF(L721&lt;=Законод!$C$22,J721,Законод!$C$22*'01_Доходи'!J720),IF($B$717="Лікар-педіатр","x",IF($B$717="Лікар-терапевт",IF(L721&lt;=Законод!$C$26,J721,Законод!$C$26*'01_Доходи'!J720),0)))</f>
        <v>0</v>
      </c>
      <c r="K722" s="208">
        <f ca="1">IF($B$717="Лікар загальної практики - сімейний лікар",IF(L721&lt;=Законод!$C$22,K721,Законод!$C$22*'01_Доходи'!K720),IF($B$717="Лікар-педіатр","x",IF($B$717="Лікар-терапевт",IF(L721&lt;=Законод!$C$26,K721,Законод!$C$26*'01_Доходи'!K720),0)))</f>
        <v>0</v>
      </c>
      <c r="L722" s="209">
        <f ca="1">SUM(G722:K722)</f>
        <v>0</v>
      </c>
      <c r="M722" s="942"/>
      <c r="N722" s="208">
        <f ca="1">IF($B$717="Лікар загальної практики - сімейний лікар",IF(S721&lt;=Законод!$C$22,N721,Законод!$C$22*'01_Доходи'!N720),IF($B$717="Лікар-педіатр",IF(S721&lt;=Законод!$C$18,N721,Законод!$C$18*'01_Доходи'!N720),IF($B$717="Лікар-терапевт","x",0)))</f>
        <v>0</v>
      </c>
      <c r="O722" s="208">
        <f ca="1">IF($B$717="Лікар загальної практики - сімейний лікар",IF(S721&lt;=Законод!$C$22,O721,Законод!$C$22*'01_Доходи'!O720),IF($B$717="Лікар-педіатр",IF(S721&lt;=Законод!$C$18,O721,Законод!$C$18*'01_Доходи'!O720),IF($B$717="Лікар-терапевт","x",0)))</f>
        <v>0</v>
      </c>
      <c r="P722" s="208">
        <f ca="1">IF($B$717="Лікар загальної практики - сімейний лікар",IF(S721&lt;=Законод!$C$22,P721,Законод!$C$22*'01_Доходи'!P720),IF($B$717="Лікар-педіатр","x",IF($B$717="Лікар-терапевт",IF(S721&lt;=Законод!$C$26,P721,Законод!$C$26*'01_Доходи'!P720),0)))</f>
        <v>0</v>
      </c>
      <c r="Q722" s="208">
        <f ca="1">IF($B$717="Лікар загальної практики - сімейний лікар",IF(S721&lt;=Законод!$C$22,Q721,Законод!$C$22*'01_Доходи'!Q720),IF($B$717="Лікар-педіатр","x",IF($B$717="Лікар-терапевт",IF(S721&lt;=Законод!$C$26,Q721,Законод!$C$26*'01_Доходи'!Q720),0)))</f>
        <v>0</v>
      </c>
      <c r="R722" s="208">
        <f ca="1">IF($B$717="Лікар загальної практики - сімейний лікар",IF(S721&lt;=Законод!$C$22,R721,Законод!$C$22*'01_Доходи'!R720),IF($B$717="Лікар-педіатр","x",IF($B$717="Лікар-терапевт",IF(S721&lt;=Законод!$C$26,R721,Законод!$C$26*'01_Доходи'!R720),0)))</f>
        <v>0</v>
      </c>
      <c r="S722" s="209">
        <f ca="1">SUM(N722:R722)</f>
        <v>0</v>
      </c>
      <c r="T722" s="942"/>
      <c r="U722" s="208">
        <f ca="1">IF($B$717="Лікар загальної практики - сімейний лікар",IF(Z721&lt;=Законод!$C$22,U721,Законод!$C$22*'01_Доходи'!U720),IF($B$717="Лікар-педіатр",IF(Z721&lt;=Законод!$C$18,U721,Законод!$C$18*'01_Доходи'!U720),IF($B$717="Лікар-терапевт","x",0)))</f>
        <v>0</v>
      </c>
      <c r="V722" s="208">
        <f ca="1">IF($B$717="Лікар загальної практики - сімейний лікар",IF(Z721&lt;=Законод!$C$22,V721,Законод!$C$22*'01_Доходи'!V720),IF($B$717="Лікар-педіатр",IF(Z721&lt;=Законод!$C$18,V721,Законод!$C$18*'01_Доходи'!V720),IF($B$717="Лікар-терапевт","x",0)))</f>
        <v>0</v>
      </c>
      <c r="W722" s="208">
        <f ca="1">IF($B$717="Лікар загальної практики - сімейний лікар",IF(Z721&lt;=Законод!$C$22,W721,Законод!$C$22*'01_Доходи'!W720),IF($B$717="Лікар-педіатр","x",IF($B$717="Лікар-терапевт",IF(Z721&lt;=Законод!$C$26,W721,Законод!$C$26*'01_Доходи'!W720),0)))</f>
        <v>0</v>
      </c>
      <c r="X722" s="208">
        <f ca="1">IF($B$717="Лікар загальної практики - сімейний лікар",IF(Z721&lt;=Законод!$C$22,X721,Законод!$C$22*'01_Доходи'!X720),IF($B$717="Лікар-педіатр","x",IF($B$717="Лікар-терапевт",IF(Z721&lt;=Законод!$C$26,X721,Законод!$C$26*'01_Доходи'!X720),0)))</f>
        <v>0</v>
      </c>
      <c r="Y722" s="208">
        <f ca="1">IF($B$717="Лікар загальної практики - сімейний лікар",IF(Z721&lt;=Законод!$C$22,Y721,Законод!$C$22*'01_Доходи'!Y720),IF($B$717="Лікар-педіатр","x",IF($B$717="Лікар-терапевт",IF(Z721&lt;=Законод!$C$26,Y721,Законод!$C$26*'01_Доходи'!Y720),0)))</f>
        <v>0</v>
      </c>
      <c r="Z722" s="209">
        <f ca="1">SUM(U722:Y722)</f>
        <v>0</v>
      </c>
      <c r="AA722" s="942"/>
      <c r="AB722" s="208">
        <f ca="1">IF($B$717="Лікар загальної практики - сімейний лікар",IF(AG721&lt;=Законод!$C$22,AB721,Законод!$C$22*'01_Доходи'!AB720),IF($B$717="Лікар-педіатр",IF(AG721&lt;=Законод!$C$18,AB721,Законод!$C$18*'01_Доходи'!AB720),IF($B$717="Лікар-терапевт","x",0)))</f>
        <v>0</v>
      </c>
      <c r="AC722" s="208">
        <f ca="1">IF($B$717="Лікар загальної практики - сімейний лікар",IF(AG721&lt;=Законод!$C$22,AC721,Законод!$C$22*'01_Доходи'!AC720),IF($B$717="Лікар-педіатр",IF(AG721&lt;=Законод!$C$18,AC721,Законод!$C$18*'01_Доходи'!AC720),IF($B$717="Лікар-терапевт","x",0)))</f>
        <v>0</v>
      </c>
      <c r="AD722" s="208">
        <f ca="1">IF($B$717="Лікар загальної практики - сімейний лікар",IF(AG721&lt;=Законод!$C$22,AD721,Законод!$C$22*'01_Доходи'!AD720),IF($B$717="Лікар-педіатр","x",IF($B$717="Лікар-терапевт",IF(AG721&lt;=Законод!$C$26,AD721,Законод!$C$26*'01_Доходи'!AD720),0)))</f>
        <v>0</v>
      </c>
      <c r="AE722" s="208">
        <f ca="1">IF($B$717="Лікар загальної практики - сімейний лікар",IF(AG721&lt;=Законод!$C$22,AE721,Законод!$C$22*'01_Доходи'!AE720),IF($B$717="Лікар-педіатр","x",IF($B$717="Лікар-терапевт",IF(AG721&lt;=Законод!$C$26,AE721,Законод!$C$26*'01_Доходи'!AE720),0)))</f>
        <v>0</v>
      </c>
      <c r="AF722" s="208">
        <f ca="1">IF($B$717="Лікар загальної практики - сімейний лікар",IF(AG721&lt;=Законод!$C$22,AF721,Законод!$C$22*'01_Доходи'!AF720),IF($B$717="Лікар-педіатр","x",IF($B$717="Лікар-терапевт",IF(AG721&lt;=Законод!$C$26,AF721,Законод!$C$26*'01_Доходи'!AF720),0)))</f>
        <v>0</v>
      </c>
      <c r="AG722" s="209">
        <f ca="1">SUM(AB722:AF722)</f>
        <v>0</v>
      </c>
      <c r="AH722" s="942"/>
      <c r="AI722" s="201"/>
      <c r="AJ722" s="945"/>
      <c r="AK722" s="960"/>
      <c r="AL722" s="960"/>
      <c r="AM722" s="348" t="s">
        <v>451</v>
      </c>
      <c r="AN722" s="210">
        <f ca="1">IF(B717="Лікар загальної практики - сімейний лікар",G722*Законод!$C$11+'01_Доходи'!H722*Законод!$D$11+'01_Доходи'!I722*Законод!$E$11+'01_Доходи'!J722*Законод!$F$11+'01_Доходи'!K722*Законод!$G$11,IF(B717="Лікар-педіатр",G722*Законод!$C$11+'01_Доходи'!H722*Законод!$D$11,IF(B717="Лікар-терапевт",'01_Доходи'!I722*Законод!$E$11+'01_Доходи'!J722*Законод!$F$11+'01_Доходи'!K722*Законод!$G$11,0)))</f>
        <v>0</v>
      </c>
      <c r="AO722" s="210">
        <f ca="1">IF(B717="Лікар загальної практики - сімейний лікар",N722*Законод!$C$11+'01_Доходи'!O722*Законод!$D$11+'01_Доходи'!P722*Законод!$E$11+'01_Доходи'!Q722*Законод!$F$11+'01_Доходи'!R722*Законод!$G$11,IF(B717="Лікар-педіатр",N722*Законод!$C$11+'01_Доходи'!O722*Законод!$D$11,IF(B717="Лікар-терапевт",'01_Доходи'!P722*Законод!$E$11+'01_Доходи'!Q722*Законод!$F$11+'01_Доходи'!R722*Законод!$G$11,0)))</f>
        <v>0</v>
      </c>
      <c r="AP722" s="210">
        <f ca="1">IF(B717="Лікар загальної практики - сімейний лікар",U722*Законод!$C$11+'01_Доходи'!V722*Законод!$D$11+'01_Доходи'!W722*Законод!$E$11+'01_Доходи'!X722*Законод!$F$11+'01_Доходи'!Y722*Законод!$G$11,IF(B717="Лікар-педіатр",U722*Законод!$C$11+'01_Доходи'!V722*Законод!$D$11,IF(B717="Лікар-терапевт",'01_Доходи'!W722*Законод!$E$11+'01_Доходи'!X722*Законод!$F$11+'01_Доходи'!Y722*Законод!$G$11,0)))</f>
        <v>0</v>
      </c>
      <c r="AQ722" s="210">
        <f ca="1">IF(B717="Лікар загальної практики - сімейний лікар",AB722*Законод!$C$11+'01_Доходи'!AC722*Законод!$D$11+'01_Доходи'!AD722*Законод!$E$11+'01_Доходи'!AE722*Законод!$F$11+'01_Доходи'!AF722*Законод!$G$11,IF(B717="Лікар-педіатр",AB722*Законод!$C$11+'01_Доходи'!AC722*Законод!$D$11,IF(B717="Лікар-терапевт",'01_Доходи'!AD722*Законод!$E$11+'01_Доходи'!AE722*Законод!$F$11+'01_Доходи'!AF722*Законод!$G$11,0)))</f>
        <v>0</v>
      </c>
      <c r="AR722" s="211">
        <f t="shared" ref="AR722:AR728" si="95">SUM(AN722:AQ722)</f>
        <v>0</v>
      </c>
    </row>
    <row r="723" spans="1:44" s="50" customFormat="1" ht="31.9" hidden="1" customHeight="1">
      <c r="A723" s="197"/>
      <c r="B723" s="951"/>
      <c r="C723" s="954"/>
      <c r="D723" s="957"/>
      <c r="E723" s="939"/>
      <c r="F723" s="238" t="str">
        <f ca="1">IF(B717="Лікар-педіатр",Законод!$E$17,IF(B717="Лікар загальної практики - сімейний лікар",Законод!$E$21,IF(B717="Лікар-терапевт",Законод!$E$25,"х")))</f>
        <v>х</v>
      </c>
      <c r="G723" s="935" t="s">
        <v>423</v>
      </c>
      <c r="H723" s="936"/>
      <c r="I723" s="936"/>
      <c r="J723" s="936"/>
      <c r="K723" s="937"/>
      <c r="L723" s="196">
        <f ca="1">IF($B$717="Лікар загальної практики - сімейний лікар",IF(L721&lt;Законод!$C$22,0,(IF(AND(L721&gt;=Законод!$E$22,L721&lt;=Законод!$E$23),L721-Законод!$C$22,IF('01_Доходи'!L721&gt;=Законод!$F$22,Законод!$E$24,0)))),IF($B$717="Лікар-педіатр",IF(L721&lt;Законод!$C$18,0,(IF(AND(L721&gt;=Законод!$E$18,L721&lt;=Законод!$E$19),L721-Законод!$C$18,IF('01_Доходи'!L721&gt;=Законод!$F$18,Законод!$E$20,0)))),IF($B$717="Лікар-терапевт",IF(L721&lt;Законод!$C$26,0,(IF(AND(L721&gt;=Законод!$E$26,L721&lt;=Законод!$E$27),L721-Законод!$C$26,IF('01_Доходи'!L721&gt;=Законод!$F$26,Законод!$E$28,0)))),0)))</f>
        <v>0</v>
      </c>
      <c r="M723" s="942"/>
      <c r="N723" s="935" t="s">
        <v>423</v>
      </c>
      <c r="O723" s="936"/>
      <c r="P723" s="936"/>
      <c r="Q723" s="936"/>
      <c r="R723" s="937"/>
      <c r="S723" s="196">
        <f ca="1">IF($B$717="Лікар загальної практики - сімейний лікар",IF(S721&lt;Законод!$C$22,0,(IF(AND(S721&gt;=Законод!$E$22,S721&lt;=Законод!$E$23),S721-Законод!$C$22,IF('01_Доходи'!S721&gt;=Законод!$F$22,Законод!$E$24,0)))),IF($B$717="Лікар-педіатр",IF(S721&lt;Законод!$C$18,0,(IF(AND(S721&gt;=Законод!$E$18,S721&lt;=Законод!$E$19),S721-Законод!$C$18,IF('01_Доходи'!S721&gt;=Законод!$F$18,Законод!$E$20,0)))),IF($B$717="Лікар-терапевт",IF(S721&lt;Законод!$C$26,0,(IF(AND(S721&gt;=Законод!$E$26,S721&lt;=Законод!$E$27),S721-Законод!$C$26,IF('01_Доходи'!S721&gt;=Законод!$F$26,Законод!$E$28,0)))),0)))</f>
        <v>0</v>
      </c>
      <c r="T723" s="942"/>
      <c r="U723" s="935" t="s">
        <v>423</v>
      </c>
      <c r="V723" s="936"/>
      <c r="W723" s="936"/>
      <c r="X723" s="936"/>
      <c r="Y723" s="937"/>
      <c r="Z723" s="196">
        <f ca="1">IF($B$717="Лікар загальної практики - сімейний лікар",IF(Z721&lt;Законод!$C$22,0,(IF(AND(Z721&gt;=Законод!$E$22,Z721&lt;=Законод!$E$23),Z721-Законод!$C$22,IF('01_Доходи'!Z721&gt;=Законод!$F$22,Законод!$E$24,0)))),IF($B$717="Лікар-педіатр",IF(Z721&lt;Законод!$C$18,0,(IF(AND(Z721&gt;=Законод!$E$18,Z721&lt;=Законод!$E$19),Z721-Законод!$C$18,IF('01_Доходи'!Z721&gt;=Законод!$F$18,Законод!$E$20,0)))),IF($B$717="Лікар-терапевт",IF(Z721&lt;Законод!$C$26,0,(IF(AND(Z721&gt;=Законод!$E$26,Z721&lt;=Законод!$E$27),Z721-Законод!$C$26,IF('01_Доходи'!Z721&gt;=Законод!$F$26,Законод!$E$28,0)))),0)))</f>
        <v>0</v>
      </c>
      <c r="AA723" s="942"/>
      <c r="AB723" s="935" t="s">
        <v>423</v>
      </c>
      <c r="AC723" s="936"/>
      <c r="AD723" s="936"/>
      <c r="AE723" s="936"/>
      <c r="AF723" s="937"/>
      <c r="AG723" s="196">
        <f ca="1">IF($B$717="Лікар загальної практики - сімейний лікар",IF(AG721&lt;Законод!$C$22,0,(IF(AND(AG721&gt;=Законод!$E$22,AG721&lt;=Законод!$E$23),AG721-Законод!$C$22,IF('01_Доходи'!AG721&gt;=Законод!$F$22,Законод!$E$24,0)))),IF($B$717="Лікар-педіатр",IF(AG721&lt;Законод!$C$18,0,(IF(AND(AG721&gt;=Законод!$E$18,AG721&lt;=Законод!$E$19),AG721-Законод!$C$18,IF('01_Доходи'!AG721&gt;=Законод!$F$18,Законод!$E$20,0)))),IF($B$717="Лікар-терапевт",IF(AG721&lt;Законод!$C$26,0,(IF(AND(AG721&gt;=Законод!$E$26,AG721&lt;=Законод!$E$27),AG721-Законод!$C$26,IF('01_Доходи'!AG721&gt;=Законод!$F$26,Законод!$E$28,0)))),0)))</f>
        <v>0</v>
      </c>
      <c r="AH723" s="942"/>
      <c r="AI723" s="201"/>
      <c r="AJ723" s="945"/>
      <c r="AK723" s="960"/>
      <c r="AL723" s="960"/>
      <c r="AM723" s="926" t="s">
        <v>452</v>
      </c>
      <c r="AN723" s="210">
        <f ca="1">IF(B717="Лікар загальної практики - сімейний лікар",L723*Законод!$C$9/4*Законод!$E$16,IF(B717="Лікар-педіатр",L723*Законод!$C$9/4*Законод!$E$16,IF(B717="Лікар-терапевт",L723*Законод!$C$9/4*Законод!$E$16,0)))</f>
        <v>0</v>
      </c>
      <c r="AO723" s="210">
        <f ca="1">IF(B717="Лікар загальної практики - сімейний лікар",S723*Законод!$C$9/4*Законод!$E$16,IF(B717="Лікар-педіатр",S723*Законод!$C$9/4*Законод!$E$16,IF(B717="Лікар-терапевт",S723*Законод!$C$9/4*Законод!$E$16,0)))</f>
        <v>0</v>
      </c>
      <c r="AP723" s="210">
        <f ca="1">IF(B717="Лікар загальної практики - сімейний лікар",Z723*Законод!$C$9/4*Законод!$E$16,IF(B717="Лікар-педіатр",Z723*Законод!$C$9/4*Законод!$E$16,IF(B717="Лікар-терапевт",Z723*Законод!$C$9/4*Законод!$E$16,0)))</f>
        <v>0</v>
      </c>
      <c r="AQ723" s="210">
        <f ca="1">IF(B717="Лікар загальної практики - сімейний лікар",AG723*Законод!$C$9/4*Законод!$E$16,IF(B717="Лікар-педіатр",AG723*Законод!$C$9/4*Законод!$E$16,IF(B717="Лікар-терапевт",AG723*Законод!$C$9/4*Законод!$E$16,0)))</f>
        <v>0</v>
      </c>
      <c r="AR723" s="211">
        <f t="shared" si="95"/>
        <v>0</v>
      </c>
    </row>
    <row r="724" spans="1:44" s="50" customFormat="1" ht="31.9" hidden="1" customHeight="1">
      <c r="A724" s="197"/>
      <c r="B724" s="951"/>
      <c r="C724" s="954"/>
      <c r="D724" s="957"/>
      <c r="E724" s="939"/>
      <c r="F724" s="238" t="str">
        <f ca="1">IF(B717="Лікар-педіатр",Законод!$F$17,IF(B717="Лікар загальної практики - сімейний лікар",Законод!$F$21,IF(B717="Лікар-терапевт",Законод!$F$25,"х")))</f>
        <v>х</v>
      </c>
      <c r="G724" s="935" t="s">
        <v>423</v>
      </c>
      <c r="H724" s="936"/>
      <c r="I724" s="936"/>
      <c r="J724" s="936"/>
      <c r="K724" s="937"/>
      <c r="L724" s="196">
        <f ca="1">IF($B$717="Лікар загальної практики - сімейний лікар",IF(L721&lt;Законод!$C$22,0,(IF(AND(L721&gt;=Законод!$F$22,L721&lt;=Законод!$F$23),L721-Законод!$E$23,IF('01_Доходи'!L721&gt;=Законод!$G$22,Законод!$F$24,0)))),IF($B$717="Лікар-педіатр",IF(L721&lt;Законод!$C$18,0,(IF(AND(L721&gt;=Законод!$F$18,L721&lt;=Законод!$F$19),L721-Законод!$E$19,IF('01_Доходи'!L721&gt;=Законод!$G$18,Законод!$F$20,0)))),IF($B$717="Лікар-терапевт",IF(L721&lt;Законод!$C$26,0,(IF(AND(L721&gt;=Законод!$F$26,L721&lt;=Законод!$F$27),L721-Законод!$E$27,IF('01_Доходи'!L721&gt;=Законод!$G$26,Законод!$F$28,0)))),0)))</f>
        <v>0</v>
      </c>
      <c r="M724" s="942"/>
      <c r="N724" s="935" t="s">
        <v>423</v>
      </c>
      <c r="O724" s="936"/>
      <c r="P724" s="936"/>
      <c r="Q724" s="936"/>
      <c r="R724" s="937"/>
      <c r="S724" s="196">
        <f ca="1">IF($B$717="Лікар загальної практики - сімейний лікар",IF(S721&lt;Законод!$C$22,0,(IF(AND(S721&gt;=Законод!$F$22,S721&lt;=Законод!$F$23),S721-Законод!$E$23,IF('01_Доходи'!S721&gt;=Законод!$G$22,Законод!$F$24,0)))),IF($B$717="Лікар-педіатр",IF(S721&lt;Законод!$C$18,0,(IF(AND(S721&gt;=Законод!$F$18,S721&lt;=Законод!$F$19),S721-Законод!$E$19,IF('01_Доходи'!S721&gt;=Законод!$G$18,Законод!$F$20,0)))),IF($B$717="Лікар-терапевт",IF(S721&lt;Законод!$C$26,0,(IF(AND(S721&gt;=Законод!$F$26,S721&lt;=Законод!$F$27),S721-Законод!$E$27,IF('01_Доходи'!S721&gt;=Законод!$G$26,Законод!$F$28,0)))),0)))</f>
        <v>0</v>
      </c>
      <c r="T724" s="942"/>
      <c r="U724" s="935" t="s">
        <v>423</v>
      </c>
      <c r="V724" s="936"/>
      <c r="W724" s="936"/>
      <c r="X724" s="936"/>
      <c r="Y724" s="937"/>
      <c r="Z724" s="196">
        <f ca="1">IF($B$717="Лікар загальної практики - сімейний лікар",IF(Z721&lt;Законод!$C$22,0,(IF(AND(Z721&gt;=Законод!$F$22,Z721&lt;=Законод!$F$23),Z721-Законод!$E$23,IF('01_Доходи'!Z721&gt;=Законод!$G$22,Законод!$F$24,0)))),IF($B$717="Лікар-педіатр",IF(Z721&lt;Законод!$C$18,0,(IF(AND(Z721&gt;=Законод!$F$18,Z721&lt;=Законод!$F$19),Z721-Законод!$E$19,IF('01_Доходи'!Z721&gt;=Законод!$G$18,Законод!$F$20,0)))),IF($B$717="Лікар-терапевт",IF(Z721&lt;Законод!$C$26,0,(IF(AND(Z721&gt;=Законод!$F$26,Z721&lt;=Законод!$F$27),Z721-Законод!$E$27,IF('01_Доходи'!Z721&gt;=Законод!$G$26,Законод!$F$28,0)))),0)))</f>
        <v>0</v>
      </c>
      <c r="AA724" s="942"/>
      <c r="AB724" s="935" t="s">
        <v>423</v>
      </c>
      <c r="AC724" s="936"/>
      <c r="AD724" s="936"/>
      <c r="AE724" s="936"/>
      <c r="AF724" s="937"/>
      <c r="AG724" s="196">
        <f ca="1">IF($B$717="Лікар загальної практики - сімейний лікар",IF(AG721&lt;Законод!$C$22,0,(IF(AND(AG721&gt;=Законод!$F$22,AG721&lt;=Законод!$F$23),AG721-Законод!$E$23,IF('01_Доходи'!AG721&gt;=Законод!$G$22,Законод!$F$24,0)))),IF($B$717="Лікар-педіатр",IF(AG721&lt;Законод!$C$18,0,(IF(AND(AG721&gt;=Законод!$F$18,AG721&lt;=Законод!$F$19),AG721-Законод!$E$19,IF('01_Доходи'!AG721&gt;=Законод!$G$18,Законод!$F$20,0)))),IF($B$717="Лікар-терапевт",IF(AG721&lt;Законод!$C$26,0,(IF(AND(AG721&gt;=Законод!$F$26,AG721&lt;=Законод!$F$27),AG721-Законод!$E$27,IF('01_Доходи'!AG721&gt;=Законод!$G$26,Законод!$F$28,0)))),0)))</f>
        <v>0</v>
      </c>
      <c r="AH724" s="942"/>
      <c r="AI724" s="201"/>
      <c r="AJ724" s="945"/>
      <c r="AK724" s="960"/>
      <c r="AL724" s="960"/>
      <c r="AM724" s="927"/>
      <c r="AN724" s="210">
        <f ca="1">IF(B717="Лікар загальної практики - сімейний лікар",L724*Законод!$C$9/4*Законод!$F$16,IF(B717="Лікар-педіатр",L724*Законод!$C$9/4*Законод!$F$16,IF(B717="Лікар-терапевт",L724*Законод!$C$9/4*Законод!$F$16,0)))</f>
        <v>0</v>
      </c>
      <c r="AO724" s="210">
        <f ca="1">IF(B717="Лікар загальної практики - сімейний лікар",S724*Законод!$C$9/4*Законод!$F$16,IF(B717="Лікар-педіатр",S724*Законод!$C$9/4*Законод!$F$16,IF(B717="Лікар-терапевт",S724*Законод!$C$9/4*Законод!$F$16,0)))</f>
        <v>0</v>
      </c>
      <c r="AP724" s="210">
        <f ca="1">IF(B717="Лікар загальної практики - сімейний лікар",Z724*Законод!$C$9/4*Законод!$F$16,IF(B717="Лікар-педіатр",Z724*Законод!$C$9/4*Законод!$F$16,IF(B717="Лікар-терапевт",Z724*Законод!$C$9/4*Законод!$F$16,0)))</f>
        <v>0</v>
      </c>
      <c r="AQ724" s="210">
        <f ca="1">IF(B717="Лікар загальної практики - сімейний лікар",AG724*Законод!$C$9/4*Законод!$F$16,IF(B717="Лікар-педіатр",AG724*Законод!$C$9/4*Законод!$F$16,IF(B717="Лікар-терапевт",AG724*Законод!$C$9/4*Законод!$F$16,0)))</f>
        <v>0</v>
      </c>
      <c r="AR724" s="211">
        <f t="shared" si="95"/>
        <v>0</v>
      </c>
    </row>
    <row r="725" spans="1:44" s="50" customFormat="1" ht="31.9" hidden="1" customHeight="1">
      <c r="A725" s="197"/>
      <c r="B725" s="951"/>
      <c r="C725" s="954"/>
      <c r="D725" s="957"/>
      <c r="E725" s="939"/>
      <c r="F725" s="238" t="str">
        <f ca="1">IF(B717="Лікар-педіатр",Законод!$G$17,IF(B717="Лікар загальної практики - сімейний лікар",Законод!$G$21,IF(B717="Лікар-терапевт",Законод!$G$25,"х")))</f>
        <v>х</v>
      </c>
      <c r="G725" s="935" t="s">
        <v>423</v>
      </c>
      <c r="H725" s="936"/>
      <c r="I725" s="936"/>
      <c r="J725" s="936"/>
      <c r="K725" s="937"/>
      <c r="L725" s="196">
        <f ca="1">IF($B$717="Лікар загальної практики - сімейний лікар",IF(L721&lt;Законод!$C$22,0,(IF(AND(L721&gt;=Законод!$G$22,L721&lt;=Законод!$G$23),L721-Законод!$F$23,IF('01_Доходи'!L721&gt;=Законод!$H$22,Законод!$G$24,0)))),IF($B$717="Лікар-педіатр",IF(L721&lt;Законод!$C$18,0,(IF(AND(L721&gt;=Законод!$G$18,L721&lt;=Законод!$G$19),L721-Законод!$F$19,IF('01_Доходи'!L721&gt;=Законод!$H$18,Законод!$G$20,0)))),IF($B$717="Лікар-терапевт",IF(L721&lt;Законод!$C$26,0,(IF(AND(L721&gt;=Законод!$G$26,L721&lt;=Законод!$G$27),L721-Законод!$F$27,IF('01_Доходи'!L721&gt;=Законод!$H$26,Законод!$G$28,0)))),0)))</f>
        <v>0</v>
      </c>
      <c r="M725" s="942"/>
      <c r="N725" s="935" t="s">
        <v>423</v>
      </c>
      <c r="O725" s="936"/>
      <c r="P725" s="936"/>
      <c r="Q725" s="936"/>
      <c r="R725" s="937"/>
      <c r="S725" s="196">
        <f ca="1">IF($B$717="Лікар загальної практики - сімейний лікар",IF(S721&lt;Законод!$C$22,0,(IF(AND(S721&gt;=Законод!$G$22,S721&lt;=Законод!$G$23),S721-Законод!$F$23,IF('01_Доходи'!S721&gt;=Законод!$H$22,Законод!$G$24,0)))),IF($B$717="Лікар-педіатр",IF(S721&lt;Законод!$C$18,0,(IF(AND(S721&gt;=Законод!$G$18,S721&lt;=Законод!$G$19),S721-Законод!$F$19,IF('01_Доходи'!S721&gt;=Законод!$H$18,Законод!$G$20,0)))),IF($B$717="Лікар-терапевт",IF(S721&lt;Законод!$C$26,0,(IF(AND(S721&gt;=Законод!$G$26,S721&lt;=Законод!$G$27),S721-Законод!$F$27,IF('01_Доходи'!S721&gt;=Законод!$H$26,Законод!$G$28,0)))),0)))</f>
        <v>0</v>
      </c>
      <c r="T725" s="942"/>
      <c r="U725" s="935" t="s">
        <v>423</v>
      </c>
      <c r="V725" s="936"/>
      <c r="W725" s="936"/>
      <c r="X725" s="936"/>
      <c r="Y725" s="937"/>
      <c r="Z725" s="196">
        <f ca="1">IF($B$717="Лікар загальної практики - сімейний лікар",IF(Z721&lt;Законод!$C$22,0,(IF(AND(Z721&gt;=Законод!$G$22,Z721&lt;=Законод!$G$23),Z721-Законод!$F$23,IF('01_Доходи'!Z721&gt;=Законод!$H$22,Законод!$G$24,0)))),IF($B$717="Лікар-педіатр",IF(Z721&lt;Законод!$C$18,0,(IF(AND(Z721&gt;=Законод!$G$18,Z721&lt;=Законод!$G$19),Z721-Законод!$F$19,IF('01_Доходи'!Z721&gt;=Законод!$H$18,Законод!$G$20,0)))),IF($B$717="Лікар-терапевт",IF(Z721&lt;Законод!$C$26,0,(IF(AND(Z721&gt;=Законод!$G$26,Z721&lt;=Законод!$G$27),Z721-Законод!$F$27,IF('01_Доходи'!Z721&gt;=Законод!$H$26,Законод!$G$28,0)))),0)))</f>
        <v>0</v>
      </c>
      <c r="AA725" s="942"/>
      <c r="AB725" s="935" t="s">
        <v>423</v>
      </c>
      <c r="AC725" s="936"/>
      <c r="AD725" s="936"/>
      <c r="AE725" s="936"/>
      <c r="AF725" s="937"/>
      <c r="AG725" s="196">
        <f ca="1">IF($B$717="Лікар загальної практики - сімейний лікар",IF(AG721&lt;Законод!$C$22,0,(IF(AND(AG721&gt;=Законод!$G$22,AG721&lt;=Законод!$G$23),AG721-Законод!$F$23,IF('01_Доходи'!AG721&gt;=Законод!$H$22,Законод!$G$24,0)))),IF($B$717="Лікар-педіатр",IF(AG721&lt;Законод!$C$18,0,(IF(AND(AG721&gt;=Законод!$G$18,AG721&lt;=Законод!$G$19),AG721-Законод!$F$19,IF('01_Доходи'!AG721&gt;=Законод!$H$18,Законод!$G$20,0)))),IF($B$717="Лікар-терапевт",IF(AG721&lt;Законод!$C$26,0,(IF(AND(AG721&gt;=Законод!$G$26,AG721&lt;=Законод!$G$27),AG721-Законод!$F$27,IF('01_Доходи'!AG721&gt;=Законод!$H$26,Законод!$G$28,0)))),0)))</f>
        <v>0</v>
      </c>
      <c r="AH725" s="942"/>
      <c r="AI725" s="201"/>
      <c r="AJ725" s="945"/>
      <c r="AK725" s="960"/>
      <c r="AL725" s="960"/>
      <c r="AM725" s="927"/>
      <c r="AN725" s="210">
        <f ca="1">IF(B717="Лікар загальної практики - сімейний лікар",L725*Законод!$C$9/4*Законод!$G$16,IF(B717="Лікар-педіатр",L725*Законод!$C$9/4*Законод!$G$16,IF(B717="Лікар-терапевт",L725*Законод!$C$9/4*Законод!$G$16,0)))</f>
        <v>0</v>
      </c>
      <c r="AO725" s="210">
        <f ca="1">IF(B717="Лікар загальної практики - сімейний лікар",S725*Законод!$C$9/4*Законод!$G$16,IF(B717="Лікар-педіатр",S725*Законод!$C$9/4*Законод!$G$16,IF(B717="Лікар-терапевт",S725*Законод!$C$9/4*Законод!$G$16,0)))</f>
        <v>0</v>
      </c>
      <c r="AP725" s="210">
        <f ca="1">IF(B717="Лікар загальної практики - сімейний лікар",Z725*Законод!$C$9/4*Законод!$G$16,IF(B717="Лікар-педіатр",Z725*Законод!$C$9/4*Законод!$G$16,IF(B717="Лікар-терапевт",Z725*Законод!$C$9/4*Законод!$G$16,0)))</f>
        <v>0</v>
      </c>
      <c r="AQ725" s="210">
        <f ca="1">IF(B717="Лікар загальної практики - сімейний лікар",AG725*Законод!$C$9/4*Законод!$G$16,IF(B717="Лікар-педіатр",AG725*Законод!$C$9/4*Законод!$G$16,IF(B717="Лікар-терапевт",AG725*Законод!$C$9/4*Законод!$G$16,0)))</f>
        <v>0</v>
      </c>
      <c r="AR725" s="211">
        <f t="shared" si="95"/>
        <v>0</v>
      </c>
    </row>
    <row r="726" spans="1:44" s="50" customFormat="1" ht="31.9" hidden="1" customHeight="1">
      <c r="A726" s="197"/>
      <c r="B726" s="951"/>
      <c r="C726" s="954"/>
      <c r="D726" s="957"/>
      <c r="E726" s="939"/>
      <c r="F726" s="238" t="str">
        <f ca="1">IF(B717="Лікар-педіатр",Законод!$H$17,IF(B717="Лікар загальної практики - сімейний лікар",Законод!$H$21,IF(B717="Лікар-терапевт",Законод!$H$25,"х")))</f>
        <v>х</v>
      </c>
      <c r="G726" s="935" t="s">
        <v>423</v>
      </c>
      <c r="H726" s="936"/>
      <c r="I726" s="936"/>
      <c r="J726" s="936"/>
      <c r="K726" s="937"/>
      <c r="L726" s="196">
        <f ca="1">IF($B$717="Лікар загальної практики - сімейний лікар",IF(L721&lt;Законод!$C$22,0,(IF(AND(L721&gt;=Законод!$H$22,L721&lt;=Законод!$H$23),L721-Законод!$G$23,IF('01_Доходи'!L721&gt;=Законод!$I$22,Законод!$H$24,0)))),IF($B$717="Лікар-педіатр",IF(L721&lt;Законод!$C$18,0,(IF(AND(L721&gt;=Законод!$H$18,L721&lt;=Законод!$H$19),L721-Законод!$G$19,IF('01_Доходи'!L721&gt;=Законод!$I$18,Законод!$H$20,0)))),IF($B$717="Лікар-терапевт",IF(L721&lt;Законод!$C$26,0,(IF(AND(L721&gt;=Законод!$H$26,L721&lt;=Законод!$H$27),L721-Законод!$G$27,IF(L721&gt;=Законод!$I$26,Законод!$H$28,0)))),0)))</f>
        <v>0</v>
      </c>
      <c r="M726" s="942"/>
      <c r="N726" s="935" t="s">
        <v>423</v>
      </c>
      <c r="O726" s="936"/>
      <c r="P726" s="936"/>
      <c r="Q726" s="936"/>
      <c r="R726" s="937"/>
      <c r="S726" s="196">
        <f ca="1">IF($B$717="Лікар загальної практики - сімейний лікар",IF(S721&lt;Законод!$C$22,0,(IF(AND(S721&gt;=Законод!$H$22,S721&lt;=Законод!$H$23),S721-Законод!$G$23,IF('01_Доходи'!S721&gt;=Законод!$I$22,Законод!$H$24,0)))),IF($B$717="Лікар-педіатр",IF(S721&lt;Законод!$C$18,0,(IF(AND(S721&gt;=Законод!$H$18,S721&lt;=Законод!$H$19),S721-Законод!$G$19,IF('01_Доходи'!S721&gt;=Законод!$I$18,Законод!$H$20,0)))),IF($B$717="Лікар-терапевт",IF(S721&lt;Законод!$C$26,0,(IF(AND(S721&gt;=Законод!$H$26,S721&lt;=Законод!$H$27),S721-Законод!$G$27,IF(S721&gt;=Законод!$I$26,Законод!$H$28,0)))),0)))</f>
        <v>0</v>
      </c>
      <c r="T726" s="942"/>
      <c r="U726" s="935" t="s">
        <v>423</v>
      </c>
      <c r="V726" s="936"/>
      <c r="W726" s="936"/>
      <c r="X726" s="936"/>
      <c r="Y726" s="937"/>
      <c r="Z726" s="196">
        <f ca="1">IF($B$717="Лікар загальної практики - сімейний лікар",IF(Z721&lt;Законод!$C$22,0,(IF(AND(Z721&gt;=Законод!$H$22,Z721&lt;=Законод!$H$23),Z721-Законод!$G$23,IF('01_Доходи'!Z721&gt;=Законод!$I$22,Законод!$H$24,0)))),IF($B$717="Лікар-педіатр",IF(Z721&lt;Законод!$C$18,0,(IF(AND(Z721&gt;=Законод!$H$18,Z721&lt;=Законод!$H$19),Z721-Законод!$G$19,IF('01_Доходи'!Z721&gt;=Законод!$I$18,Законод!$H$20,0)))),IF($B$717="Лікар-терапевт",IF(Z721&lt;Законод!$C$26,0,(IF(AND(Z721&gt;=Законод!$H$26,Z721&lt;=Законод!$H$27),Z721-Законод!$G$27,IF(Z721&gt;=Законод!$I$26,Законод!$H$28,0)))),0)))</f>
        <v>0</v>
      </c>
      <c r="AA726" s="942"/>
      <c r="AB726" s="935" t="s">
        <v>423</v>
      </c>
      <c r="AC726" s="936"/>
      <c r="AD726" s="936"/>
      <c r="AE726" s="936"/>
      <c r="AF726" s="937"/>
      <c r="AG726" s="196">
        <f ca="1">IF($B$717="Лікар загальної практики - сімейний лікар",IF(AG721&lt;Законод!$C$22,0,(IF(AND(AG721&gt;=Законод!$H$22,AG721&lt;=Законод!$H$23),AG721-Законод!$G$23,IF('01_Доходи'!AG721&gt;=Законод!$I$22,Законод!$H$24,0)))),IF($B$717="Лікар-педіатр",IF(AG721&lt;Законод!$C$18,0,(IF(AND(AG721&gt;=Законод!$H$18,AG721&lt;=Законод!$H$19),AG721-Законод!$G$19,IF('01_Доходи'!AG721&gt;=Законод!$I$18,Законод!$H$20,0)))),IF($B$717="Лікар-терапевт",IF(AG721&lt;Законод!$C$26,0,(IF(AND(AG721&gt;=Законод!$H$26,AG721&lt;=Законод!$H$27),AG721-Законод!$G$27,IF(AG721&gt;=Законод!$I$26,Законод!$H$28,0)))),0)))</f>
        <v>0</v>
      </c>
      <c r="AH726" s="942"/>
      <c r="AI726" s="201"/>
      <c r="AJ726" s="945"/>
      <c r="AK726" s="960"/>
      <c r="AL726" s="960"/>
      <c r="AM726" s="927"/>
      <c r="AN726" s="210">
        <f ca="1">IF(B717="Лікар загальної практики - сімейний лікар",L726*Законод!$C$9/4*Законод!$H$16,IF(B717="Лікар-педіатр",L726*Законод!$C$9/4*Законод!$H$16,IF(B717="Лікар-терапевт",L726*Законод!$C$9/4*Законод!$H$16,0)))</f>
        <v>0</v>
      </c>
      <c r="AO726" s="210">
        <f ca="1">IF(B717="Лікар загальної практики - сімейний лікар",S726*Законод!$C$9/4*Законод!$H$16,IF(B717="Лікар-педіатр",S726*Законод!$C$9/4*Законод!$H$16,IF(B717="Лікар-терапевт",S726*Законод!$C$9/4*Законод!$H$16,0)))</f>
        <v>0</v>
      </c>
      <c r="AP726" s="210">
        <f ca="1">IF(B717="Лікар загальної практики - сімейний лікар",Z726*Законод!$C$9/4*Законод!$H$16,IF(B717="Лікар-педіатр",Z726*Законод!$C$9/4*Законод!$H$16,IF(B717="Лікар-терапевт",Z726*Законод!$C$9/4*Законод!$H$16,0)))</f>
        <v>0</v>
      </c>
      <c r="AQ726" s="210">
        <f ca="1">IF(B717="Лікар загальної практики - сімейний лікар",AG726*Законод!$C$9/4*Законод!$H$16,IF(B717="Лікар-педіатр",AG726*Законод!$C$9/4*Законод!$H$16,IF(B717="Лікар-терапевт",AG726*Законод!$C$9/4*Законод!$H$16,0)))</f>
        <v>0</v>
      </c>
      <c r="AR726" s="211">
        <f t="shared" si="95"/>
        <v>0</v>
      </c>
    </row>
    <row r="727" spans="1:44" s="50" customFormat="1" ht="31.9" hidden="1" customHeight="1">
      <c r="A727" s="197"/>
      <c r="B727" s="951"/>
      <c r="C727" s="954"/>
      <c r="D727" s="957"/>
      <c r="E727" s="939"/>
      <c r="F727" s="238" t="str">
        <f ca="1">IF(B717="Лікар-педіатр",Законод!$I$17,IF(B717="Лікар загальної практики - сімейний лікар",Законод!$I$21,IF(B717="Лікар-терапевт",Законод!$I$25,"х")))</f>
        <v>х</v>
      </c>
      <c r="G727" s="935" t="s">
        <v>423</v>
      </c>
      <c r="H727" s="936"/>
      <c r="I727" s="936"/>
      <c r="J727" s="936"/>
      <c r="K727" s="937"/>
      <c r="L727" s="196">
        <f ca="1">IF($B$717="Лікар загальної практики - сімейний лікар",IF(L721&lt;Законод!$C$22,0,(IF(AND(L721&gt;=Законод!$I$22,L721&lt;=Законод!$I$23),L721-Законод!$H$23,IF('01_Доходи'!L721&gt;=Законод!$I$22,Законод!$I$24,0)))),IF($B$717="Лікар-педіатр",IF(L721&lt;Законод!$C$18,0,(IF(AND(L721&gt;=Законод!$I$18,L721&lt;=Законод!$I$19),L721-Законод!$H$19,IF('01_Доходи'!L721&gt;=Законод!$I$18,Законод!$H$20,0)))),IF($B$717="Лікар-терапевт",IF(L721&lt;Законод!$C$26,0,(IF(AND(L721&gt;=Законод!$I$26,L721&lt;=Законод!$I$27),L721-Законод!$H$27,IF('01_Доходи'!L721&gt;=Законод!$I$26,Законод!$H$28,0)))),0)))</f>
        <v>0</v>
      </c>
      <c r="M727" s="942"/>
      <c r="N727" s="935" t="s">
        <v>423</v>
      </c>
      <c r="O727" s="936"/>
      <c r="P727" s="936"/>
      <c r="Q727" s="936"/>
      <c r="R727" s="937"/>
      <c r="S727" s="196">
        <f ca="1">IF($B$717="Лікар загальної практики - сімейний лікар",IF(S721&lt;Законод!$C$22,0,(IF(AND(S721&gt;=Законод!$I$22,S721&lt;=Законод!$I$23),S721-Законод!$H$23,IF('01_Доходи'!S721&gt;=Законод!$I$22,Законод!$I$24,0)))),IF($B$717="Лікар-педіатр",IF(S721&lt;Законод!$C$18,0,(IF(AND(S721&gt;=Законод!$I$18,S721&lt;=Законод!$I$19),S721-Законод!$H$19,IF('01_Доходи'!S721&gt;=Законод!$I$18,Законод!$H$20,0)))),IF($B$717="Лікар-терапевт",IF(S721&lt;Законод!$C$26,0,(IF(AND(S721&gt;=Законод!$I$26,S721&lt;=Законод!$I$27),S721-Законод!$H$27,IF('01_Доходи'!S721&gt;=Законод!$I$26,Законод!$H$28,0)))),0)))</f>
        <v>0</v>
      </c>
      <c r="T727" s="942"/>
      <c r="U727" s="935" t="s">
        <v>423</v>
      </c>
      <c r="V727" s="936"/>
      <c r="W727" s="936"/>
      <c r="X727" s="936"/>
      <c r="Y727" s="937"/>
      <c r="Z727" s="196">
        <f ca="1">IF($B$717="Лікар загальної практики - сімейний лікар",IF(Z721&lt;Законод!$C$22,0,(IF(AND(Z721&gt;=Законод!$I$22,Z721&lt;=Законод!$I$23),Z721-Законод!$H$23,IF('01_Доходи'!Z721&gt;=Законод!$I$22,Законод!$I$24,0)))),IF($B$717="Лікар-педіатр",IF(Z721&lt;Законод!$C$18,0,(IF(AND(Z721&gt;=Законод!$I$18,Z721&lt;=Законод!$I$19),Z721-Законод!$H$19,IF('01_Доходи'!Z721&gt;=Законод!$I$18,Законод!$H$20,0)))),IF($B$717="Лікар-терапевт",IF(Z721&lt;Законод!$C$26,0,(IF(AND(Z721&gt;=Законод!$I$26,Z721&lt;=Законод!$I$27),Z721-Законод!$H$27,IF('01_Доходи'!Z721&gt;=Законод!$I$26,Законод!$H$28,0)))),0)))</f>
        <v>0</v>
      </c>
      <c r="AA727" s="942"/>
      <c r="AB727" s="935" t="s">
        <v>423</v>
      </c>
      <c r="AC727" s="936"/>
      <c r="AD727" s="936"/>
      <c r="AE727" s="936"/>
      <c r="AF727" s="937"/>
      <c r="AG727" s="196">
        <f ca="1">IF($B$717="Лікар загальної практики - сімейний лікар",IF(AG721&lt;Законод!$C$22,0,(IF(AND(AG721&gt;=Законод!$I$22,AG721&lt;=Законод!$I$23),AG721-Законод!$H$23,IF('01_Доходи'!AG721&gt;=Законод!$I$22,Законод!$I$24,0)))),IF($B$717="Лікар-педіатр",IF(AG721&lt;Законод!$C$18,0,(IF(AND(AG721&gt;=Законод!$I$18,AG721&lt;=Законод!$I$19),AG721-Законод!$H$19,IF('01_Доходи'!AG721&gt;=Законод!$I$18,Законод!$H$20,0)))),IF($B$717="Лікар-терапевт",IF(AG721&lt;Законод!$C$26,0,(IF(AND(AG721&gt;=Законод!$I$26,AG721&lt;=Законод!$I$27),AG721-Законод!$H$27,IF('01_Доходи'!AG721&gt;=Законод!$I$26,Законод!$H$28,0)))),0)))</f>
        <v>0</v>
      </c>
      <c r="AH727" s="942"/>
      <c r="AI727" s="201"/>
      <c r="AJ727" s="945"/>
      <c r="AK727" s="960"/>
      <c r="AL727" s="960"/>
      <c r="AM727" s="927"/>
      <c r="AN727" s="210">
        <f ca="1">IF(B717="Лікар загальної практики - сімейний лікар",L727*Законод!$C$9/4*Законод!$I$16,IF(B717="Лікар-педіатр",L727*Законод!$C$9/4*Законод!$I$16,IF(B717="Лікар-терапевт",L727*Законод!$C$9/4*Законод!$I$16,0)))</f>
        <v>0</v>
      </c>
      <c r="AO727" s="210">
        <f ca="1">IF(B717="Лікар загальної практики - сімейний лікар",S727*Законод!$C$9/4*Законод!$I$16,IF(B717="Лікар-педіатр",S727*Законод!$C$9/4*Законод!$I$16,IF(B717="Лікар-терапевт",S727*Законод!$C$9/4*Законод!$I$16,0)))</f>
        <v>0</v>
      </c>
      <c r="AP727" s="210">
        <f ca="1">IF(B717="Лікар загальної практики - сімейний лікар",Z727*Законод!$C$9/4*Законод!$I$16,IF(B717="Лікар-педіатр",Z727*Законод!$C$9/4*Законод!$I$16,IF(B717="Лікар-терапевт",Z727*Законод!$C$9/4*Законод!$I$16,0)))</f>
        <v>0</v>
      </c>
      <c r="AQ727" s="210">
        <f ca="1">IF(B717="Лікар загальної практики - сімейний лікар",AG727*Законод!$C$9/4*Законод!$I$16,IF(B717="Лікар-педіатр",AG727*Законод!$C$9/4*Законод!$I$16,IF(B717="Лікар-терапевт",AG727*Законод!$C$9/4*Законод!$I$16,0)))</f>
        <v>0</v>
      </c>
      <c r="AR727" s="211">
        <f t="shared" si="95"/>
        <v>0</v>
      </c>
    </row>
    <row r="728" spans="1:44" s="218" customFormat="1" ht="31.9" hidden="1" customHeight="1" thickBot="1">
      <c r="A728" s="213"/>
      <c r="B728" s="952"/>
      <c r="C728" s="955"/>
      <c r="D728" s="958"/>
      <c r="E728" s="940"/>
      <c r="F728" s="239" t="str">
        <f ca="1">IF(B717="Лікар-педіатр",Законод!$J$17,IF(B717="Лікар загальної практики - сімейний лікар",Законод!$J$21,IF(B717="Лікар-терапевт",Законод!$J$25,"х")))</f>
        <v>х</v>
      </c>
      <c r="G728" s="932" t="s">
        <v>423</v>
      </c>
      <c r="H728" s="933"/>
      <c r="I728" s="933"/>
      <c r="J728" s="933"/>
      <c r="K728" s="934"/>
      <c r="L728" s="196">
        <f ca="1">IF($B$717="Лікар загальної практики - сімейний лікар",IF(L721&gt;=Законод!$J$22,'01_Доходи'!L721-('01_Доходи'!L722+'01_Доходи'!L723+'01_Доходи'!L724+'01_Доходи'!L725+'01_Доходи'!L726+'01_Доходи'!L727),0),IF($B$717="Лікар-педіатр",IF(L721&gt;=Законод!$J$18,'01_Доходи'!L721-('01_Доходи'!L722+'01_Доходи'!L723+'01_Доходи'!L724+'01_Доходи'!L725+'01_Доходи'!L726+'01_Доходи'!L727),0),IF($B$717="Лікар-терапевт",IF('01_Доходи'!L721&gt;=Законод!$J$26,L721-Законод!$I$27,0),0)))</f>
        <v>0</v>
      </c>
      <c r="M728" s="943"/>
      <c r="N728" s="932" t="s">
        <v>423</v>
      </c>
      <c r="O728" s="933"/>
      <c r="P728" s="933"/>
      <c r="Q728" s="933"/>
      <c r="R728" s="934"/>
      <c r="S728" s="196">
        <f ca="1">IF($B$717="Лікар загальної практики - сімейний лікар",IF(S721&gt;=Законод!$J$22,'01_Доходи'!S721-('01_Доходи'!S722+'01_Доходи'!S723+'01_Доходи'!S724+'01_Доходи'!S725+'01_Доходи'!S726+'01_Доходи'!S727),0),IF($B$717="Лікар-педіатр",IF(S721&gt;=Законод!$J$18,'01_Доходи'!S721-('01_Доходи'!S722+'01_Доходи'!S723+'01_Доходи'!S724+'01_Доходи'!S725+'01_Доходи'!S726+'01_Доходи'!S727),0),IF($B$717="Лікар-терапевт",IF('01_Доходи'!S721&gt;=Законод!$J$26,S721-Законод!$I$27,0),0)))</f>
        <v>0</v>
      </c>
      <c r="T728" s="943"/>
      <c r="U728" s="932" t="s">
        <v>423</v>
      </c>
      <c r="V728" s="933"/>
      <c r="W728" s="933"/>
      <c r="X728" s="933"/>
      <c r="Y728" s="934"/>
      <c r="Z728" s="196">
        <f ca="1">IF($B$717="Лікар загальної практики - сімейний лікар",IF(Z721&gt;=Законод!$J$22,'01_Доходи'!Z721-('01_Доходи'!Z722+'01_Доходи'!Z723+'01_Доходи'!Z724+'01_Доходи'!Z725+'01_Доходи'!Z726+'01_Доходи'!Z727),0),IF($B$717="Лікар-педіатр",IF(Z721&gt;=Законод!$J$18,'01_Доходи'!Z721-('01_Доходи'!Z722+'01_Доходи'!Z723+'01_Доходи'!Z724+'01_Доходи'!Z725+'01_Доходи'!Z726+'01_Доходи'!Z727),0),IF($B$717="Лікар-терапевт",IF('01_Доходи'!Z721&gt;=Законод!$J$26,Z721-Законод!$I$27,0),0)))</f>
        <v>0</v>
      </c>
      <c r="AA728" s="943"/>
      <c r="AB728" s="932" t="s">
        <v>423</v>
      </c>
      <c r="AC728" s="933"/>
      <c r="AD728" s="933"/>
      <c r="AE728" s="933"/>
      <c r="AF728" s="934"/>
      <c r="AG728" s="196">
        <f ca="1">IF($B$717="Лікар загальної практики - сімейний лікар",IF(AG721&gt;=Законод!$J$22,'01_Доходи'!AG721-('01_Доходи'!AG722+'01_Доходи'!AG723+'01_Доходи'!AG724+'01_Доходи'!AG725+'01_Доходи'!AG726+'01_Доходи'!AG727),0),IF($B$717="Лікар-педіатр",IF(AG721&gt;=Законод!$J$18,'01_Доходи'!AG721-('01_Доходи'!AG722+'01_Доходи'!AG723+'01_Доходи'!AG724+'01_Доходи'!AG725+'01_Доходи'!AG726+'01_Доходи'!AG727),0),IF($B$717="Лікар-терапевт",IF('01_Доходи'!AG721&gt;=Законод!$J$26,AG721-Законод!$I$27,0),0)))</f>
        <v>0</v>
      </c>
      <c r="AH728" s="943"/>
      <c r="AI728" s="215"/>
      <c r="AJ728" s="946"/>
      <c r="AK728" s="961"/>
      <c r="AL728" s="961"/>
      <c r="AM728" s="928"/>
      <c r="AN728" s="216">
        <f ca="1">IF(B717="Лікар загальної практики - сімейний лікар",L728*Законод!$C$9/4*Законод!$J$16,IF(B717="Лікар-педіатр",L728*Законод!$C$9/4*Законод!$J$16,IF(B717="Лікар-терапевт",L728*Законод!$C$9/4*Законод!$J$16,0)))</f>
        <v>0</v>
      </c>
      <c r="AO728" s="216">
        <f ca="1">IF(B717="Лікар загальної практики - сімейний лікар",S728*Законод!$C$9/4*Законод!$J$16,IF(B717="Лікар-педіатр",S728*Законод!$C$9/4*Законод!$J$16,IF(B717="Лікар-терапевт",S728*Законод!$C$9/4*Законод!$J$16,0)))</f>
        <v>0</v>
      </c>
      <c r="AP728" s="216">
        <f ca="1">IF(B717="Лікар загальної практики - сімейний лікар",S728*Законод!$C$9/4*Законод!$J$16,IF(B717="Лікар-педіатр",S728*Законод!$C$9/4*Законод!$J$16,IF(B717="Лікар-терапевт",S728*Законод!$C$9/4*Законод!$J$16,0)))</f>
        <v>0</v>
      </c>
      <c r="AQ728" s="216">
        <f ca="1">IF(B717="Лікар загальної практики - сімейний лікар",AG728*Законод!$C$9/4*Законод!$J$16,IF(B717="Лікар-педіатр",AG728*Законод!$C$9/4*Законод!$J$16,IF(B717="Лікар-терапевт",AG728*Законод!$C$9/4*Законод!$J$16,0)))</f>
        <v>0</v>
      </c>
      <c r="AR728" s="217">
        <f t="shared" si="95"/>
        <v>0</v>
      </c>
    </row>
    <row r="729" spans="1:44" s="247" customFormat="1" ht="23.45" hidden="1" customHeight="1" thickBot="1">
      <c r="A729" s="243"/>
      <c r="B729" s="244"/>
      <c r="C729" s="244"/>
      <c r="D729" s="244"/>
      <c r="E729" s="244"/>
      <c r="F729" s="245"/>
      <c r="G729" s="246"/>
      <c r="H729" s="246"/>
      <c r="L729" s="248"/>
      <c r="S729" s="248"/>
      <c r="Z729" s="248"/>
      <c r="AG729" s="248"/>
      <c r="AM729" s="249"/>
      <c r="AR729" s="250"/>
    </row>
    <row r="730" spans="1:44" s="191" customFormat="1" ht="24.6" hidden="1" customHeight="1">
      <c r="A730" s="194">
        <f>A717+1</f>
        <v>54</v>
      </c>
      <c r="B730" s="950"/>
      <c r="C730" s="953"/>
      <c r="D730" s="956"/>
      <c r="E730" s="938"/>
      <c r="F730" s="234" t="s">
        <v>659</v>
      </c>
      <c r="G730" s="196">
        <f>IF($B$730="Лікар-педіатр",G733*L730,IF($B$730="Лікар-терапевт","х",IF($B$730="Лікар загальної практики - сімейний лікар",G733*L730,0)))</f>
        <v>0</v>
      </c>
      <c r="H730" s="196">
        <f>IF($B$730="Лікар-педіатр",H733*L730,IF($B$730="Лікар-терапевт","х",IF($B$730="Лікар загальної практики - сімейний лікар",H733*L730,0)))</f>
        <v>0</v>
      </c>
      <c r="I730" s="196">
        <f>IF($B$730="Лікар-педіатр","x",IF($B$730="Лікар-терапевт",I733*L730,IF($B$730="Лікар загальної практики - сімейний лікар",I733*L730,0)))</f>
        <v>0</v>
      </c>
      <c r="J730" s="196">
        <f>IF($B$730="Лікар-педіатр","x",IF($B$730="Лікар-терапевт",J733*L730,IF($B$730="Лікар загальної практики - сімейний лікар",J733*L730,0)))</f>
        <v>0</v>
      </c>
      <c r="K730" s="196">
        <f>IF($B$730="Лікар-педіатр","x",IF($B$730="Лікар-терапевт",K733*L730,IF($B$730="Лікар загальної практики - сімейний лікар",K733*L730,0)))</f>
        <v>0</v>
      </c>
      <c r="L730" s="557"/>
      <c r="M730" s="941"/>
      <c r="N730" s="196">
        <f>IF($B$730="Лікар-педіатр",N733*S730,IF($B$730="Лікар-терапевт","х",IF($B$730="Лікар загальної практики - сімейний лікар",N733*S730,0)))</f>
        <v>0</v>
      </c>
      <c r="O730" s="196">
        <f>IF($B$730="Лікар-педіатр",O733*S730,IF($B$730="Лікар-терапевт","х",IF($B$730="Лікар загальної практики - сімейний лікар",O733*S730,0)))</f>
        <v>0</v>
      </c>
      <c r="P730" s="196">
        <f>IF($B$730="Лікар-педіатр","x",IF($B$730="Лікар-терапевт",P733*S730,IF($B$730="Лікар загальної практики - сімейний лікар",P733*S730,0)))</f>
        <v>0</v>
      </c>
      <c r="Q730" s="196">
        <f>IF($B$730="Лікар-педіатр","x",IF($B$730="Лікар-терапевт",Q733*S730,IF($B$730="Лікар загальної практики - сімейний лікар",Q733*S730,0)))</f>
        <v>0</v>
      </c>
      <c r="R730" s="196">
        <f>IF($B$730="Лікар-педіатр","x",IF($B$730="Лікар-терапевт",R733*S730,IF($B$730="Лікар загальної практики - сімейний лікар",R733*S730,0)))</f>
        <v>0</v>
      </c>
      <c r="S730" s="557"/>
      <c r="T730" s="941"/>
      <c r="U730" s="196">
        <f>IF($B$730="Лікар-педіатр",U733*Z730,IF($B$730="Лікар-терапевт","х",IF($B$730="Лікар загальної практики - сімейний лікар",U733*Z730,0)))</f>
        <v>0</v>
      </c>
      <c r="V730" s="196">
        <f>IF($B$730="Лікар-педіатр",V733*Z730,IF($B$730="Лікар-терапевт","х",IF($B$730="Лікар загальної практики - сімейний лікар",V733*Z730,0)))</f>
        <v>0</v>
      </c>
      <c r="W730" s="196">
        <f>IF($B$730="Лікар-педіатр","x",IF($B$730="Лікар-терапевт",W733*Z730,IF($B$730="Лікар загальної практики - сімейний лікар",W733*Z730,0)))</f>
        <v>0</v>
      </c>
      <c r="X730" s="196">
        <f>IF($B$730="Лікар-педіатр","x",IF($B$730="Лікар-терапевт",X733*Z730,IF($B$730="Лікар загальної практики - сімейний лікар",X733*Z730,0)))</f>
        <v>0</v>
      </c>
      <c r="Y730" s="196">
        <f>IF($B$730="Лікар-педіатр","x",IF($B$730="Лікар-терапевт",Y733*Z730,IF($B$730="Лікар загальної практики - сімейний лікар",Y733*Z730,0)))</f>
        <v>0</v>
      </c>
      <c r="Z730" s="557"/>
      <c r="AA730" s="941"/>
      <c r="AB730" s="196">
        <f>IF($B$730="Лікар-педіатр",AB733*AG730,IF($B$730="Лікар-терапевт","х",IF($B$730="Лікар загальної практики - сімейний лікар",AB733*AG730,0)))</f>
        <v>0</v>
      </c>
      <c r="AC730" s="196">
        <f>IF($B$730="Лікар-педіатр",AC733*AG730,IF($B$730="Лікар-терапевт","х",IF($B$730="Лікар загальної практики - сімейний лікар",AC733*AG730,0)))</f>
        <v>0</v>
      </c>
      <c r="AD730" s="196">
        <f>IF($B$730="Лікар-педіатр","x",IF($B$730="Лікар-терапевт",AD733*AG730,IF($B$730="Лікар загальної практики - сімейний лікар",AD733*AG730,0)))</f>
        <v>0</v>
      </c>
      <c r="AE730" s="196">
        <f>IF($B$730="Лікар-педіатр","x",IF($B$730="Лікар-терапевт",AE733*AG730,IF($B$730="Лікар загальної практики - сімейний лікар",AE733*AG730,0)))</f>
        <v>0</v>
      </c>
      <c r="AF730" s="196">
        <f>IF($B$730="Лікар-педіатр","x",IF($B$730="Лікар-терапевт",AF733*AG730,IF($B$730="Лікар загальної практики - сімейний лікар",AF733*AG730,0)))</f>
        <v>0</v>
      </c>
      <c r="AG730" s="557"/>
      <c r="AH730" s="941"/>
      <c r="AI730" s="540">
        <f>A730</f>
        <v>54</v>
      </c>
      <c r="AJ730" s="944">
        <f>B730</f>
        <v>0</v>
      </c>
      <c r="AK730" s="959">
        <f>C730</f>
        <v>0</v>
      </c>
      <c r="AL730" s="959">
        <f>D730</f>
        <v>0</v>
      </c>
      <c r="AM730" s="929" t="s">
        <v>79</v>
      </c>
      <c r="AN730" s="947">
        <f>SUM(AN735:AN741)</f>
        <v>0</v>
      </c>
      <c r="AO730" s="947">
        <f>SUM(AO735:AO741)</f>
        <v>0</v>
      </c>
      <c r="AP730" s="947">
        <f>SUM(AP735:AP741)</f>
        <v>0</v>
      </c>
      <c r="AQ730" s="947">
        <f>SUM(AQ735:AQ741)</f>
        <v>0</v>
      </c>
      <c r="AR730" s="962">
        <f>SUM(AN730:AQ734)</f>
        <v>0</v>
      </c>
    </row>
    <row r="731" spans="1:44" s="50" customFormat="1" ht="28.15" hidden="1" customHeight="1">
      <c r="A731" s="197"/>
      <c r="B731" s="951"/>
      <c r="C731" s="954"/>
      <c r="D731" s="957"/>
      <c r="E731" s="939"/>
      <c r="F731" s="234" t="s">
        <v>660</v>
      </c>
      <c r="G731" s="196">
        <f>IF($B$730="Лікар-педіатр",G733*L731,IF($B$730="Лікар-терапевт","х",IF($B$730="Лікар загальної практики - сімейний лікар",G733*L731,0)))</f>
        <v>0</v>
      </c>
      <c r="H731" s="196">
        <f>IF($B$730="Лікар-педіатр",H733*L731,IF($B$730="Лікар-терапевт","х",IF($B$730="Лікар загальної практики - сімейний лікар",H733*L731,0)))</f>
        <v>0</v>
      </c>
      <c r="I731" s="196">
        <f>IF($B$730="Лікар-педіатр","x",IF($B$730="Лікар-терапевт",I733*L731,IF($B$730="Лікар загальної практики - сімейний лікар",I733*L731,0)))</f>
        <v>0</v>
      </c>
      <c r="J731" s="196">
        <f>IF($B$730="Лікар-педіатр","x",IF($B$730="Лікар-терапевт",J733*L731,IF($B$730="Лікар загальної практики - сімейний лікар",J733*L731,0)))</f>
        <v>0</v>
      </c>
      <c r="K731" s="196">
        <f>IF($B$730="Лікар-педіатр","x",IF($B$730="Лікар-терапевт",K733*L731,IF($B$730="Лікар загальної практики - сімейний лікар",K733*L731,0)))</f>
        <v>0</v>
      </c>
      <c r="L731" s="557"/>
      <c r="M731" s="942"/>
      <c r="N731" s="196">
        <f>IF($B$730="Лікар-педіатр",N733*S731,IF($B$730="Лікар-терапевт","х",IF($B$730="Лікар загальної практики - сімейний лікар",N733*S731,0)))</f>
        <v>0</v>
      </c>
      <c r="O731" s="196">
        <f>IF($B$730="Лікар-педіатр",O733*S731,IF($B$730="Лікар-терапевт","х",IF($B$730="Лікар загальної практики - сімейний лікар",O733*S731,0)))</f>
        <v>0</v>
      </c>
      <c r="P731" s="196">
        <f>IF($B$730="Лікар-педіатр","x",IF($B$730="Лікар-терапевт",P733*S731,IF($B$730="Лікар загальної практики - сімейний лікар",P733*S731,0)))</f>
        <v>0</v>
      </c>
      <c r="Q731" s="196">
        <f>IF($B$730="Лікар-педіатр","x",IF($B$730="Лікар-терапевт",Q733*S731,IF($B$730="Лікар загальної практики - сімейний лікар",Q733*S731,0)))</f>
        <v>0</v>
      </c>
      <c r="R731" s="196">
        <f>IF($B$730="Лікар-педіатр","x",IF($B$730="Лікар-терапевт",R733*S731,IF($B$730="Лікар загальної практики - сімейний лікар",R733*S731,0)))</f>
        <v>0</v>
      </c>
      <c r="S731" s="557"/>
      <c r="T731" s="942"/>
      <c r="U731" s="196">
        <f>IF($B$730="Лікар-педіатр",U733*Z731,IF($B$730="Лікар-терапевт","х",IF($B$730="Лікар загальної практики - сімейний лікар",U733*Z731,0)))</f>
        <v>0</v>
      </c>
      <c r="V731" s="196">
        <f>IF($B$730="Лікар-педіатр",V733*Z731,IF($B$730="Лікар-терапевт","х",IF($B$730="Лікар загальної практики - сімейний лікар",V733*Z731,0)))</f>
        <v>0</v>
      </c>
      <c r="W731" s="196">
        <f>IF($B$730="Лікар-педіатр","x",IF($B$730="Лікар-терапевт",W733*Z731,IF($B$730="Лікар загальної практики - сімейний лікар",W733*Z731,0)))</f>
        <v>0</v>
      </c>
      <c r="X731" s="196">
        <f>IF($B$730="Лікар-педіатр","x",IF($B$730="Лікар-терапевт",X733*Z731,IF($B$730="Лікар загальної практики - сімейний лікар",X733*Z731,0)))</f>
        <v>0</v>
      </c>
      <c r="Y731" s="196">
        <f>IF($B$730="Лікар-педіатр","x",IF($B$730="Лікар-терапевт",Y733*Z731,IF($B$730="Лікар загальної практики - сімейний лікар",Y733*Z731,0)))</f>
        <v>0</v>
      </c>
      <c r="Z731" s="557"/>
      <c r="AA731" s="942"/>
      <c r="AB731" s="196">
        <f>IF($B$730="Лікар-педіатр",AB733*AG731,IF($B$730="Лікар-терапевт","х",IF($B$730="Лікар загальної практики - сімейний лікар",AB733*AG731,0)))</f>
        <v>0</v>
      </c>
      <c r="AC731" s="196">
        <f>IF($B$730="Лікар-педіатр",AC733*AG731,IF($B$730="Лікар-терапевт","х",IF($B$730="Лікар загальної практики - сімейний лікар",AC733*AG731,0)))</f>
        <v>0</v>
      </c>
      <c r="AD731" s="196">
        <f>IF($B$730="Лікар-педіатр","x",IF($B$730="Лікар-терапевт",AD733*AG731,IF($B$730="Лікар загальної практики - сімейний лікар",AD733*AG731,0)))</f>
        <v>0</v>
      </c>
      <c r="AE731" s="196">
        <f>IF($B$730="Лікар-педіатр","x",IF($B$730="Лікар-терапевт",AE733*AG731,IF($B$730="Лікар загальної практики - сімейний лікар",AE733*AG731,0)))</f>
        <v>0</v>
      </c>
      <c r="AF731" s="196">
        <f>IF($B$730="Лікар-педіатр","x",IF($B$730="Лікар-терапевт",AF733*AG731,IF($B$730="Лікар загальної практики - сімейний лікар",AF733*AG731,0)))</f>
        <v>0</v>
      </c>
      <c r="AG731" s="557"/>
      <c r="AH731" s="942"/>
      <c r="AI731" s="198"/>
      <c r="AJ731" s="945"/>
      <c r="AK731" s="960"/>
      <c r="AL731" s="960"/>
      <c r="AM731" s="930"/>
      <c r="AN731" s="948"/>
      <c r="AO731" s="948"/>
      <c r="AP731" s="948"/>
      <c r="AQ731" s="948"/>
      <c r="AR731" s="963"/>
    </row>
    <row r="732" spans="1:44" s="90" customFormat="1" ht="31.15" hidden="1" customHeight="1">
      <c r="A732" s="240"/>
      <c r="B732" s="951"/>
      <c r="C732" s="954"/>
      <c r="D732" s="957"/>
      <c r="E732" s="939"/>
      <c r="F732" s="241" t="s">
        <v>661</v>
      </c>
      <c r="G732" s="199">
        <f>IF(B730="Лікар загальної практики - сімейний лікар"," ",IF(B730="Лікар-педіатр"," ",IF(B730="Лікар-терапевт","х",0)))</f>
        <v>0</v>
      </c>
      <c r="H732" s="199">
        <f>IF(B730="Лікар загальної практики - сімейний лікар"," ",IF(B730="Лікар-педіатр"," ",IF(B730="Лікар-терапевт","х",0)))</f>
        <v>0</v>
      </c>
      <c r="I732" s="199">
        <f>IF(B730="Лікар загальної практики - сімейний лікар"," ",IF(B730="Лікар-педіатр","х",IF(B730="Лікар-терапевт"," ",0)))</f>
        <v>0</v>
      </c>
      <c r="J732" s="199">
        <f>IF(B730="Лікар загальної практики - сімейний лікар"," ",IF(B730="Лікар-педіатр","х",IF(B730="Лікар-терапевт"," ",0)))</f>
        <v>0</v>
      </c>
      <c r="K732" s="199">
        <f>IF(B730="Лікар загальної практики - сімейний лікар"," ",IF(B730="Лікар-педіатр","х",IF(B730="Лікар-терапевт"," ",0)))</f>
        <v>0</v>
      </c>
      <c r="L732" s="200">
        <f>SUM(G732:K732)</f>
        <v>0</v>
      </c>
      <c r="M732" s="942"/>
      <c r="N732" s="199">
        <f>IF(B730="Лікар загальної практики - сімейний лікар"," ",IF(B730="Лікар-педіатр"," ",IF(B730="Лікар-терапевт","х",0)))</f>
        <v>0</v>
      </c>
      <c r="O732" s="199">
        <f>IF(B730="Лікар загальної практики - сімейний лікар"," ",IF(B730="Лікар-педіатр"," ",IF(B730="Лікар-терапевт","х",0)))</f>
        <v>0</v>
      </c>
      <c r="P732" s="199">
        <f>IF(B730="Лікар загальної практики - сімейний лікар"," ",IF(B730="Лікар-педіатр","х",IF(B730="Лікар-терапевт"," ",0)))</f>
        <v>0</v>
      </c>
      <c r="Q732" s="199">
        <f>IF(B730="Лікар загальної практики - сімейний лікар"," ",IF(B730="Лікар-педіатр","х",IF(B730="Лікар-терапевт"," ",0)))</f>
        <v>0</v>
      </c>
      <c r="R732" s="199">
        <f>IF(B730="Лікар загальної практики - сімейний лікар"," ",IF(B730="Лікар-педіатр","х",IF(B730="Лікар-терапевт"," ",0)))</f>
        <v>0</v>
      </c>
      <c r="S732" s="200">
        <f>SUM(N732:R732)</f>
        <v>0</v>
      </c>
      <c r="T732" s="942"/>
      <c r="U732" s="199">
        <f>IF(B730="Лікар загальної практики - сімейний лікар"," ",IF(B730="Лікар-педіатр"," ",IF(B730="Лікар-терапевт","х",0)))</f>
        <v>0</v>
      </c>
      <c r="V732" s="199">
        <f>IF(B730="Лікар загальної практики - сімейний лікар"," ",IF(B730="Лікар-педіатр"," ",IF(B730="Лікар-терапевт","х",0)))</f>
        <v>0</v>
      </c>
      <c r="W732" s="199">
        <f>IF(B730="Лікар загальної практики - сімейний лікар"," ",IF(B730="Лікар-педіатр","х",IF(B730="Лікар-терапевт"," ",0)))</f>
        <v>0</v>
      </c>
      <c r="X732" s="199">
        <f>IF(B730="Лікар загальної практики - сімейний лікар"," ",IF(B730="Лікар-педіатр","х",IF(B730="Лікар-терапевт"," ",0)))</f>
        <v>0</v>
      </c>
      <c r="Y732" s="199">
        <f>IF(B730="Лікар загальної практики - сімейний лікар"," ",IF(B730="Лікар-педіатр","х",IF(B730="Лікар-терапевт"," ",0)))</f>
        <v>0</v>
      </c>
      <c r="Z732" s="200">
        <f>SUM(U732:Y732)</f>
        <v>0</v>
      </c>
      <c r="AA732" s="942"/>
      <c r="AB732" s="199">
        <f>IF(B730="Лікар загальної практики - сімейний лікар"," ",IF(B730="Лікар-педіатр"," ",IF(B730="Лікар-терапевт","х",0)))</f>
        <v>0</v>
      </c>
      <c r="AC732" s="199">
        <f>IF(B730="Лікар загальної практики - сімейний лікар"," ",IF(B730="Лікар-педіатр"," ",IF(B730="Лікар-терапевт","х",0)))</f>
        <v>0</v>
      </c>
      <c r="AD732" s="199">
        <f>IF(B730="Лікар загальної практики - сімейний лікар"," ",IF(B730="Лікар-педіатр","х",IF(B730="Лікар-терапевт"," ",0)))</f>
        <v>0</v>
      </c>
      <c r="AE732" s="199">
        <f>IF(B730="Лікар загальної практики - сімейний лікар"," ",IF(B730="Лікар-педіатр","х",IF(B730="Лікар-терапевт"," ",0)))</f>
        <v>0</v>
      </c>
      <c r="AF732" s="199">
        <f>IF(B730="Лікар загальної практики - сімейний лікар"," ",IF(B730="Лікар-педіатр","х",IF(B730="Лікар-терапевт"," ",0)))</f>
        <v>0</v>
      </c>
      <c r="AG732" s="200">
        <f>SUM(AB732:AF732)</f>
        <v>0</v>
      </c>
      <c r="AH732" s="942"/>
      <c r="AI732" s="242"/>
      <c r="AJ732" s="945"/>
      <c r="AK732" s="960"/>
      <c r="AL732" s="960"/>
      <c r="AM732" s="930"/>
      <c r="AN732" s="948"/>
      <c r="AO732" s="948"/>
      <c r="AP732" s="948"/>
      <c r="AQ732" s="948"/>
      <c r="AR732" s="963"/>
    </row>
    <row r="733" spans="1:44" s="50" customFormat="1" ht="31.9" hidden="1" customHeight="1" thickBot="1">
      <c r="A733" s="197"/>
      <c r="B733" s="951"/>
      <c r="C733" s="954"/>
      <c r="D733" s="957"/>
      <c r="E733" s="939"/>
      <c r="F733" s="236" t="s">
        <v>426</v>
      </c>
      <c r="G733" s="203">
        <f>IF($B$730="Лікар-педіатр",G732/L732,IF($B$730="Лікар-терапевт","х",IF($B$730="Лікар загальної практики - сімейний лікар",G732/L732,0)))</f>
        <v>0</v>
      </c>
      <c r="H733" s="203">
        <f>IF($B$730="Лікар-педіатр",H732/L732,IF($B$730="Лікар-терапевт","х",IF($B$730="Лікар загальної практики - сімейний лікар",H732/L732,0)))</f>
        <v>0</v>
      </c>
      <c r="I733" s="203">
        <f>IF($B$730="Лікар-педіатр","x",IF($B$730="Лікар-терапевт",I732/L732,IF($B$730="Лікар загальної практики - сімейний лікар",I732/L732,0)))</f>
        <v>0</v>
      </c>
      <c r="J733" s="203">
        <f>IF($B$730="Лікар-педіатр","x",IF($B$730="Лікар-терапевт",J732/L732,IF($B$730="Лікар загальної практики - сімейний лікар",J732/L732,0)))</f>
        <v>0</v>
      </c>
      <c r="K733" s="203">
        <f>IF($B$730="Лікар-педіатр","x",IF($B$730="Лікар-терапевт",K732/L732,IF($B$730="Лікар загальної практики - сімейний лікар",K732/L732,0)))</f>
        <v>0</v>
      </c>
      <c r="L733" s="203">
        <f>SUM(G733:K733)</f>
        <v>0</v>
      </c>
      <c r="M733" s="942"/>
      <c r="N733" s="203">
        <f>IF($B$730="Лікар-педіатр",N732/S732,IF($B$730="Лікар-терапевт","х",IF($B$730="Лікар загальної практики - сімейний лікар",N732/S732,0)))</f>
        <v>0</v>
      </c>
      <c r="O733" s="203">
        <f>IF($B$730="Лікар-педіатр",O732/S732,IF($B$730="Лікар-терапевт","х",IF($B$730="Лікар загальної практики - сімейний лікар",O732/S732,0)))</f>
        <v>0</v>
      </c>
      <c r="P733" s="203">
        <f>IF($B$730="Лікар-педіатр","x",IF($B$730="Лікар-терапевт",P732/S732,IF($B$730="Лікар загальної практики - сімейний лікар",P732/S732,0)))</f>
        <v>0</v>
      </c>
      <c r="Q733" s="203">
        <f>IF($B$730="Лікар-педіатр","x",IF($B$730="Лікар-терапевт",Q732/S732,IF($B$730="Лікар загальної практики - сімейний лікар",Q732/S732,0)))</f>
        <v>0</v>
      </c>
      <c r="R733" s="203">
        <f>IF($B$730="Лікар-педіатр","x",IF($B$730="Лікар-терапевт",R732/S732,IF($B$730="Лікар загальної практики - сімейний лікар",R732/S732,0)))</f>
        <v>0</v>
      </c>
      <c r="S733" s="203">
        <f>SUM(N733:R733)</f>
        <v>0</v>
      </c>
      <c r="T733" s="942"/>
      <c r="U733" s="203">
        <f>IF($B$730="Лікар-педіатр",U732/Z732,IF($B$730="Лікар-терапевт","х",IF($B$730="Лікар загальної практики - сімейний лікар",U732/Z732,0)))</f>
        <v>0</v>
      </c>
      <c r="V733" s="203">
        <f>IF($B$730="Лікар-педіатр",V732/Z732,IF($B$730="Лікар-терапевт","х",IF($B$730="Лікар загальної практики - сімейний лікар",V732/Z732,0)))</f>
        <v>0</v>
      </c>
      <c r="W733" s="203">
        <f>IF($B$730="Лікар-педіатр","x",IF($B$730="Лікар-терапевт",W732/Z732,IF($B$730="Лікар загальної практики - сімейний лікар",W732/Z732,0)))</f>
        <v>0</v>
      </c>
      <c r="X733" s="203">
        <f>IF($B$730="Лікар-педіатр","x",IF($B$730="Лікар-терапевт",X732/Z732,IF($B$730="Лікар загальної практики - сімейний лікар",X732/Z732,0)))</f>
        <v>0</v>
      </c>
      <c r="Y733" s="203">
        <f>IF($B$730="Лікар-педіатр","x",IF($B$730="Лікар-терапевт",Y732/Z732,IF($B$730="Лікар загальної практики - сімейний лікар",Y732/Z732,0)))</f>
        <v>0</v>
      </c>
      <c r="Z733" s="203">
        <f>SUM(U733:Y733)</f>
        <v>0</v>
      </c>
      <c r="AA733" s="942"/>
      <c r="AB733" s="203">
        <f>IF($B$730="Лікар-педіатр",AB732/AG732,IF($B$730="Лікар-терапевт","х",IF($B$730="Лікар загальної практики - сімейний лікар",AB732/AG732,0)))</f>
        <v>0</v>
      </c>
      <c r="AC733" s="203">
        <f>IF($B$730="Лікар-педіатр",AC732/AG732,IF($B$730="Лікар-терапевт","х",IF($B$730="Лікар загальної практики - сімейний лікар",AC732/AG732,0)))</f>
        <v>0</v>
      </c>
      <c r="AD733" s="203">
        <f>IF($B$730="Лікар-педіатр","x",IF($B$730="Лікар-терапевт",AD732/AG732,IF($B$730="Лікар загальної практики - сімейний лікар",AD732/AG732,0)))</f>
        <v>0</v>
      </c>
      <c r="AE733" s="203">
        <f>IF($B$730="Лікар-педіатр","x",IF($B$730="Лікар-терапевт",AE732/AG732,IF($B$730="Лікар загальної практики - сімейний лікар",AE732/AG732,0)))</f>
        <v>0</v>
      </c>
      <c r="AF733" s="203">
        <f>IF($B$730="Лікар-педіатр","x",IF($B$730="Лікар-терапевт",AF732/AG732,IF($B$730="Лікар загальної практики - сімейний лікар",AF732/AG732,0)))</f>
        <v>0</v>
      </c>
      <c r="AG733" s="203">
        <f>SUM(AB733:AF733)</f>
        <v>0</v>
      </c>
      <c r="AH733" s="942"/>
      <c r="AI733" s="201"/>
      <c r="AJ733" s="945"/>
      <c r="AK733" s="960"/>
      <c r="AL733" s="960"/>
      <c r="AM733" s="930"/>
      <c r="AN733" s="948"/>
      <c r="AO733" s="948"/>
      <c r="AP733" s="948"/>
      <c r="AQ733" s="948"/>
      <c r="AR733" s="963"/>
    </row>
    <row r="734" spans="1:44" s="50" customFormat="1" ht="45" hidden="1" customHeight="1" thickBot="1">
      <c r="A734" s="197"/>
      <c r="B734" s="951"/>
      <c r="C734" s="954"/>
      <c r="D734" s="957"/>
      <c r="E734" s="939"/>
      <c r="F734" s="204" t="s">
        <v>662</v>
      </c>
      <c r="G734" s="205">
        <f>IF($B$730="Лікар загальної практики - сімейний лікар",AVERAGE(G730:G732),IF($B$730="Лікар-педіатр",AVERAGE(G730:G732),IF($B$730="Лікар-терапевт","х",0)))</f>
        <v>0</v>
      </c>
      <c r="H734" s="205">
        <f>IF($B$730="Лікар загальної практики - сімейний лікар",AVERAGE(H730:H732),IF($B$730="Лікар-педіатр",AVERAGE(H730:H732),IF($B$730="Лікар-терапевт","х",0)))</f>
        <v>0</v>
      </c>
      <c r="I734" s="205">
        <f>IF($B$730="Лікар загальної практики - сімейний лікар",AVERAGE(I730:I732),IF($B$730="Лікар-педіатр","x",IF($B$730="Лікар-терапевт",AVERAGE(I730:I732),0)))</f>
        <v>0</v>
      </c>
      <c r="J734" s="205">
        <f>IF($B$730="Лікар загальної практики - сімейний лікар",AVERAGE(J730:J732),IF($B$730="Лікар-педіатр","x",IF($B$730="Лікар-терапевт",AVERAGE(J730:J732),0)))</f>
        <v>0</v>
      </c>
      <c r="K734" s="205">
        <f>IF($B$730="Лікар загальної практики - сімейний лікар",AVERAGE(K730:K732),IF($B$730="Лікар-педіатр","x",IF($B$730="Лікар-терапевт",AVERAGE(K730:K732),0)))</f>
        <v>0</v>
      </c>
      <c r="L734" s="206">
        <f>SUM(G734:K734)</f>
        <v>0</v>
      </c>
      <c r="M734" s="942"/>
      <c r="N734" s="205">
        <f>IF($B$730="Лікар загальної практики - сімейний лікар",AVERAGE(N730:N732),IF($B$730="Лікар-педіатр",AVERAGE(N730:N732),IF($B$730="Лікар-терапевт","х",0)))</f>
        <v>0</v>
      </c>
      <c r="O734" s="205">
        <f>IF($B$730="Лікар загальної практики - сімейний лікар",AVERAGE(O730:O732),IF($B$730="Лікар-педіатр",AVERAGE(O730:O732),IF($B$730="Лікар-терапевт","х",0)))</f>
        <v>0</v>
      </c>
      <c r="P734" s="205">
        <f>IF($B$730="Лікар загальної практики - сімейний лікар",AVERAGE(P730:P732),IF($B$730="Лікар-педіатр","x",IF($B$730="Лікар-терапевт",AVERAGE(P730:P732),0)))</f>
        <v>0</v>
      </c>
      <c r="Q734" s="205">
        <f>IF($B$730="Лікар загальної практики - сімейний лікар",AVERAGE(Q730:Q732),IF($B$730="Лікар-педіатр","x",IF($B$730="Лікар-терапевт",AVERAGE(Q730:Q732),0)))</f>
        <v>0</v>
      </c>
      <c r="R734" s="205">
        <f>IF($B$730="Лікар загальної практики - сімейний лікар",AVERAGE(R730:R732),IF($B$730="Лікар-педіатр","x",IF($B$730="Лікар-терапевт",AVERAGE(R730:R732),0)))</f>
        <v>0</v>
      </c>
      <c r="S734" s="206">
        <f>SUM(N734:R734)</f>
        <v>0</v>
      </c>
      <c r="T734" s="942"/>
      <c r="U734" s="205">
        <f>IF($B$730="Лікар загальної практики - сімейний лікар",AVERAGE(U730:U732),IF($B$730="Лікар-педіатр",AVERAGE(U730:U732),IF($B$730="Лікар-терапевт","х",0)))</f>
        <v>0</v>
      </c>
      <c r="V734" s="205">
        <f>IF($B$730="Лікар загальної практики - сімейний лікар",AVERAGE(V730:V732),IF($B$730="Лікар-педіатр",AVERAGE(V730:V732),IF($B$730="Лікар-терапевт","х",0)))</f>
        <v>0</v>
      </c>
      <c r="W734" s="205">
        <f>IF($B$730="Лікар загальної практики - сімейний лікар",AVERAGE(W730:W732),IF($B$730="Лікар-педіатр","x",IF($B$730="Лікар-терапевт",AVERAGE(W730:W732),0)))</f>
        <v>0</v>
      </c>
      <c r="X734" s="205">
        <f>IF($B$730="Лікар загальної практики - сімейний лікар",AVERAGE(X730:X732),IF($B$730="Лікар-педіатр","x",IF($B$730="Лікар-терапевт",AVERAGE(X730:X732),0)))</f>
        <v>0</v>
      </c>
      <c r="Y734" s="205">
        <f>IF($B$730="Лікар загальної практики - сімейний лікар",AVERAGE(Y730:Y732),IF($B$730="Лікар-педіатр","x",IF($B$730="Лікар-терапевт",AVERAGE(Y730:Y732),0)))</f>
        <v>0</v>
      </c>
      <c r="Z734" s="206">
        <f>SUM(U734:Y734)</f>
        <v>0</v>
      </c>
      <c r="AA734" s="942"/>
      <c r="AB734" s="205">
        <f>IF($B$730="Лікар загальної практики - сімейний лікар",AVERAGE(AB730:AB732),IF($B$730="Лікар-педіатр",AVERAGE(AB730:AB732),IF($B$730="Лікар-терапевт","х",0)))</f>
        <v>0</v>
      </c>
      <c r="AC734" s="205">
        <f>IF($B$730="Лікар загальної практики - сімейний лікар",AVERAGE(AC730:AC732),IF($B$730="Лікар-педіатр",AVERAGE(AC730:AC732),IF($B$730="Лікар-терапевт","х",0)))</f>
        <v>0</v>
      </c>
      <c r="AD734" s="205">
        <f>IF($B$730="Лікар загальної практики - сімейний лікар",AVERAGE(AD730:AD732),IF($B$730="Лікар-педіатр","x",IF($B$730="Лікар-терапевт",AVERAGE(AD730:AD732),0)))</f>
        <v>0</v>
      </c>
      <c r="AE734" s="205">
        <f>IF($B$730="Лікар загальної практики - сімейний лікар",AVERAGE(AE730:AE732),IF($B$730="Лікар-педіатр","x",IF($B$730="Лікар-терапевт",AVERAGE(AE730:AE732),0)))</f>
        <v>0</v>
      </c>
      <c r="AF734" s="205">
        <f>IF($B$730="Лікар загальної практики - сімейний лікар",AVERAGE(AF730:AF732),IF($B$730="Лікар-педіатр","x",IF($B$730="Лікар-терапевт",AVERAGE(AF730:AF732),0)))</f>
        <v>0</v>
      </c>
      <c r="AG734" s="206">
        <f>SUM(AB734:AF734)</f>
        <v>0</v>
      </c>
      <c r="AH734" s="942"/>
      <c r="AI734" s="201"/>
      <c r="AJ734" s="945"/>
      <c r="AK734" s="960"/>
      <c r="AL734" s="960"/>
      <c r="AM734" s="931"/>
      <c r="AN734" s="949"/>
      <c r="AO734" s="949"/>
      <c r="AP734" s="949"/>
      <c r="AQ734" s="949"/>
      <c r="AR734" s="964"/>
    </row>
    <row r="735" spans="1:44" s="50" customFormat="1" ht="40.5" hidden="1">
      <c r="A735" s="197"/>
      <c r="B735" s="951"/>
      <c r="C735" s="954"/>
      <c r="D735" s="957"/>
      <c r="E735" s="939"/>
      <c r="F735" s="237" t="str">
        <f ca="1">IF(B730="Лікар-педіатр",Законод!$C$17,IF(B730="Лікар загальної практики - сімейний лікар",Законод!$C$21,IF(B730="Лікар-терапевт",Законод!$C$25,"х")))</f>
        <v>х</v>
      </c>
      <c r="G735" s="208">
        <f ca="1">IF($B$730="Лікар загальної практики - сімейний лікар",IF(L734&lt;=Законод!$C$22,G734,Законод!$C$22*'01_Доходи'!G733),IF($B$730="Лікар-педіатр",IF(L734&lt;=Законод!$C$18,G734,Законод!$C$18*'01_Доходи'!G733),IF($B$730="Лікар-терапевт","x",0)))</f>
        <v>0</v>
      </c>
      <c r="H735" s="208">
        <f ca="1">IF($B$730="Лікар загальної практики - сімейний лікар",IF(L734&lt;=Законод!$C$22,H734,Законод!$C$22*'01_Доходи'!H733),IF($B$730="Лікар-педіатр",IF(L734&lt;=Законод!$C$18,H734,Законод!$C$18*'01_Доходи'!H733),IF($B$730="Лікар-терапевт","x",0)))</f>
        <v>0</v>
      </c>
      <c r="I735" s="208">
        <f ca="1">IF($B$730="Лікар загальної практики - сімейний лікар",IF(L734&lt;=Законод!$C$22,I734,Законод!$C$22*'01_Доходи'!I733),IF($B$730="Лікар-педіатр","x",IF($B$730="Лікар-терапевт",IF(L734&lt;=Законод!$C$26,I734,Законод!$C$26*'01_Доходи'!I733),0)))</f>
        <v>0</v>
      </c>
      <c r="J735" s="208">
        <f ca="1">IF($B$730="Лікар загальної практики - сімейний лікар",IF(L734&lt;=Законод!$C$22,J734,Законод!$C$22*'01_Доходи'!J733),IF($B$730="Лікар-педіатр","x",IF($B$730="Лікар-терапевт",IF(L734&lt;=Законод!$C$26,J734,Законод!$C$26*'01_Доходи'!J733),0)))</f>
        <v>0</v>
      </c>
      <c r="K735" s="208">
        <f ca="1">IF($B$730="Лікар загальної практики - сімейний лікар",IF(L734&lt;=Законод!$C$22,K734,Законод!$C$22*'01_Доходи'!K733),IF($B$730="Лікар-педіатр","x",IF($B$730="Лікар-терапевт",IF(L734&lt;=Законод!$C$26,K734,Законод!$C$26*'01_Доходи'!K733),0)))</f>
        <v>0</v>
      </c>
      <c r="L735" s="209">
        <f ca="1">SUM(G735:K735)</f>
        <v>0</v>
      </c>
      <c r="M735" s="942"/>
      <c r="N735" s="208">
        <f ca="1">IF($B$730="Лікар загальної практики - сімейний лікар",IF(S734&lt;=Законод!$C$22,N734,Законод!$C$22*'01_Доходи'!N733),IF($B$730="Лікар-педіатр",IF(S734&lt;=Законод!$C$18,N734,Законод!$C$18*'01_Доходи'!N733),IF($B$730="Лікар-терапевт","x",0)))</f>
        <v>0</v>
      </c>
      <c r="O735" s="208">
        <f ca="1">IF($B$730="Лікар загальної практики - сімейний лікар",IF(S734&lt;=Законод!$C$22,O734,Законод!$C$22*'01_Доходи'!O733),IF($B$730="Лікар-педіатр",IF(S734&lt;=Законод!$C$18,O734,Законод!$C$18*'01_Доходи'!O733),IF($B$730="Лікар-терапевт","x",0)))</f>
        <v>0</v>
      </c>
      <c r="P735" s="208">
        <f ca="1">IF($B$730="Лікар загальної практики - сімейний лікар",IF(S734&lt;=Законод!$C$22,P734,Законод!$C$22*'01_Доходи'!P733),IF($B$730="Лікар-педіатр","x",IF($B$730="Лікар-терапевт",IF(S734&lt;=Законод!$C$26,P734,Законод!$C$26*'01_Доходи'!P733),0)))</f>
        <v>0</v>
      </c>
      <c r="Q735" s="208">
        <f ca="1">IF($B$730="Лікар загальної практики - сімейний лікар",IF(S734&lt;=Законод!$C$22,Q734,Законод!$C$22*'01_Доходи'!Q733),IF($B$730="Лікар-педіатр","x",IF($B$730="Лікар-терапевт",IF(S734&lt;=Законод!$C$26,Q734,Законод!$C$26*'01_Доходи'!Q733),0)))</f>
        <v>0</v>
      </c>
      <c r="R735" s="208">
        <f ca="1">IF($B$730="Лікар загальної практики - сімейний лікар",IF(S734&lt;=Законод!$C$22,R734,Законод!$C$22*'01_Доходи'!R733),IF($B$730="Лікар-педіатр","x",IF($B$730="Лікар-терапевт",IF(S734&lt;=Законод!$C$26,R734,Законод!$C$26*'01_Доходи'!R733),0)))</f>
        <v>0</v>
      </c>
      <c r="S735" s="209">
        <f ca="1">SUM(N735:R735)</f>
        <v>0</v>
      </c>
      <c r="T735" s="942"/>
      <c r="U735" s="208">
        <f ca="1">IF($B$730="Лікар загальної практики - сімейний лікар",IF(Z734&lt;=Законод!$C$22,U734,Законод!$C$22*'01_Доходи'!U733),IF($B$730="Лікар-педіатр",IF(Z734&lt;=Законод!$C$18,U734,Законод!$C$18*'01_Доходи'!U733),IF($B$730="Лікар-терапевт","x",0)))</f>
        <v>0</v>
      </c>
      <c r="V735" s="208">
        <f ca="1">IF($B$730="Лікар загальної практики - сімейний лікар",IF(Z734&lt;=Законод!$C$22,V734,Законод!$C$22*'01_Доходи'!V733),IF($B$730="Лікар-педіатр",IF(Z734&lt;=Законод!$C$18,V734,Законод!$C$18*'01_Доходи'!V733),IF($B$730="Лікар-терапевт","x",0)))</f>
        <v>0</v>
      </c>
      <c r="W735" s="208">
        <f ca="1">IF($B$730="Лікар загальної практики - сімейний лікар",IF(Z734&lt;=Законод!$C$22,W734,Законод!$C$22*'01_Доходи'!W733),IF($B$730="Лікар-педіатр","x",IF($B$730="Лікар-терапевт",IF(Z734&lt;=Законод!$C$26,W734,Законод!$C$26*'01_Доходи'!W733),0)))</f>
        <v>0</v>
      </c>
      <c r="X735" s="208">
        <f ca="1">IF($B$730="Лікар загальної практики - сімейний лікар",IF(Z734&lt;=Законод!$C$22,X734,Законод!$C$22*'01_Доходи'!X733),IF($B$730="Лікар-педіатр","x",IF($B$730="Лікар-терапевт",IF(Z734&lt;=Законод!$C$26,X734,Законод!$C$26*'01_Доходи'!X733),0)))</f>
        <v>0</v>
      </c>
      <c r="Y735" s="208">
        <f ca="1">IF($B$730="Лікар загальної практики - сімейний лікар",IF(Z734&lt;=Законод!$C$22,Y734,Законод!$C$22*'01_Доходи'!Y733),IF($B$730="Лікар-педіатр","x",IF($B$730="Лікар-терапевт",IF(Z734&lt;=Законод!$C$26,Y734,Законод!$C$26*'01_Доходи'!Y733),0)))</f>
        <v>0</v>
      </c>
      <c r="Z735" s="209">
        <f ca="1">SUM(U735:Y735)</f>
        <v>0</v>
      </c>
      <c r="AA735" s="942"/>
      <c r="AB735" s="208">
        <f ca="1">IF($B$730="Лікар загальної практики - сімейний лікар",IF(AG734&lt;=Законод!$C$22,AB734,Законод!$C$22*'01_Доходи'!AB733),IF($B$730="Лікар-педіатр",IF(AG734&lt;=Законод!$C$18,AB734,Законод!$C$18*'01_Доходи'!AB733),IF($B$730="Лікар-терапевт","x",0)))</f>
        <v>0</v>
      </c>
      <c r="AC735" s="208">
        <f ca="1">IF($B$730="Лікар загальної практики - сімейний лікар",IF(AG734&lt;=Законод!$C$22,AC734,Законод!$C$22*'01_Доходи'!AC733),IF($B$730="Лікар-педіатр",IF(AG734&lt;=Законод!$C$18,AC734,Законод!$C$18*'01_Доходи'!AC733),IF($B$730="Лікар-терапевт","x",0)))</f>
        <v>0</v>
      </c>
      <c r="AD735" s="208">
        <f ca="1">IF($B$730="Лікар загальної практики - сімейний лікар",IF(AG734&lt;=Законод!$C$22,AD734,Законод!$C$22*'01_Доходи'!AD733),IF($B$730="Лікар-педіатр","x",IF($B$730="Лікар-терапевт",IF(AG734&lt;=Законод!$C$26,AD734,Законод!$C$26*'01_Доходи'!AD733),0)))</f>
        <v>0</v>
      </c>
      <c r="AE735" s="208">
        <f ca="1">IF($B$730="Лікар загальної практики - сімейний лікар",IF(AG734&lt;=Законод!$C$22,AE734,Законод!$C$22*'01_Доходи'!AE733),IF($B$730="Лікар-педіатр","x",IF($B$730="Лікар-терапевт",IF(AG734&lt;=Законод!$C$26,AE734,Законод!$C$26*'01_Доходи'!AE733),0)))</f>
        <v>0</v>
      </c>
      <c r="AF735" s="208">
        <f ca="1">IF($B$730="Лікар загальної практики - сімейний лікар",IF(AG734&lt;=Законод!$C$22,AF734,Законод!$C$22*'01_Доходи'!AF733),IF($B$730="Лікар-педіатр","x",IF($B$730="Лікар-терапевт",IF(AG734&lt;=Законод!$C$26,AF734,Законод!$C$26*'01_Доходи'!AF733),0)))</f>
        <v>0</v>
      </c>
      <c r="AG735" s="209">
        <f ca="1">SUM(AB735:AF735)</f>
        <v>0</v>
      </c>
      <c r="AH735" s="942"/>
      <c r="AI735" s="201"/>
      <c r="AJ735" s="945"/>
      <c r="AK735" s="960"/>
      <c r="AL735" s="960"/>
      <c r="AM735" s="348" t="s">
        <v>451</v>
      </c>
      <c r="AN735" s="210">
        <f ca="1">IF(B730="Лікар загальної практики - сімейний лікар",G735*Законод!$C$11+'01_Доходи'!H735*Законод!$D$11+'01_Доходи'!I735*Законод!$E$11+'01_Доходи'!J735*Законод!$F$11+'01_Доходи'!K735*Законод!$G$11,IF(B730="Лікар-педіатр",G735*Законод!$C$11+'01_Доходи'!H735*Законод!$D$11,IF(B730="Лікар-терапевт",'01_Доходи'!I735*Законод!$E$11+'01_Доходи'!J735*Законод!$F$11+'01_Доходи'!K735*Законод!$G$11,0)))</f>
        <v>0</v>
      </c>
      <c r="AO735" s="210">
        <f ca="1">IF(B730="Лікар загальної практики - сімейний лікар",N735*Законод!$C$11+'01_Доходи'!O735*Законод!$D$11+'01_Доходи'!P735*Законод!$E$11+'01_Доходи'!Q735*Законод!$F$11+'01_Доходи'!R735*Законод!$G$11,IF(B730="Лікар-педіатр",N735*Законод!$C$11+'01_Доходи'!O735*Законод!$D$11,IF(B730="Лікар-терапевт",'01_Доходи'!P735*Законод!$E$11+'01_Доходи'!Q735*Законод!$F$11+'01_Доходи'!R735*Законод!$G$11,0)))</f>
        <v>0</v>
      </c>
      <c r="AP735" s="210">
        <f ca="1">IF(B730="Лікар загальної практики - сімейний лікар",U735*Законод!$C$11+'01_Доходи'!V735*Законод!$D$11+'01_Доходи'!W735*Законод!$E$11+'01_Доходи'!X735*Законод!$F$11+'01_Доходи'!Y735*Законод!$G$11,IF(B730="Лікар-педіатр",U735*Законод!$C$11+'01_Доходи'!V735*Законод!$D$11,IF(B730="Лікар-терапевт",'01_Доходи'!W735*Законод!$E$11+'01_Доходи'!X735*Законод!$F$11+'01_Доходи'!Y735*Законод!$G$11,0)))</f>
        <v>0</v>
      </c>
      <c r="AQ735" s="210">
        <f ca="1">IF(B730="Лікар загальної практики - сімейний лікар",AB735*Законод!$C$11+'01_Доходи'!AC735*Законод!$D$11+'01_Доходи'!AD735*Законод!$E$11+'01_Доходи'!AE735*Законод!$F$11+'01_Доходи'!AF735*Законод!$G$11,IF(B730="Лікар-педіатр",AB735*Законод!$C$11+'01_Доходи'!AC735*Законод!$D$11,IF(B730="Лікар-терапевт",'01_Доходи'!AD735*Законод!$E$11+'01_Доходи'!AE735*Законод!$F$11+'01_Доходи'!AF735*Законод!$G$11,0)))</f>
        <v>0</v>
      </c>
      <c r="AR735" s="211">
        <f t="shared" ref="AR735:AR741" si="96">SUM(AN735:AQ735)</f>
        <v>0</v>
      </c>
    </row>
    <row r="736" spans="1:44" s="50" customFormat="1" ht="31.9" hidden="1" customHeight="1">
      <c r="A736" s="197"/>
      <c r="B736" s="951"/>
      <c r="C736" s="954"/>
      <c r="D736" s="957"/>
      <c r="E736" s="939"/>
      <c r="F736" s="238" t="str">
        <f ca="1">IF(B730="Лікар-педіатр",Законод!$E$17,IF(B730="Лікар загальної практики - сімейний лікар",Законод!$E$21,IF(B730="Лікар-терапевт",Законод!$E$25,"х")))</f>
        <v>х</v>
      </c>
      <c r="G736" s="935" t="s">
        <v>423</v>
      </c>
      <c r="H736" s="936"/>
      <c r="I736" s="936"/>
      <c r="J736" s="936"/>
      <c r="K736" s="937"/>
      <c r="L736" s="196">
        <f ca="1">IF($B$730="Лікар загальної практики - сімейний лікар",IF(L734&lt;Законод!$C$22,0,(IF(AND(L734&gt;=Законод!$E$22,L734&lt;=Законод!$E$23),L734-Законод!$C$22,IF('01_Доходи'!L734&gt;=Законод!$F$22,Законод!$E$24,0)))),IF($B$730="Лікар-педіатр",IF(L734&lt;Законод!$C$18,0,(IF(AND(L734&gt;=Законод!$E$18,L734&lt;=Законод!$E$19),L734-Законод!$C$18,IF('01_Доходи'!L734&gt;=Законод!$F$18,Законод!$E$20,0)))),IF($B$730="Лікар-терапевт",IF(L734&lt;Законод!$C$26,0,(IF(AND(L734&gt;=Законод!$E$26,L734&lt;=Законод!$E$27),L734-Законод!$C$26,IF('01_Доходи'!L734&gt;=Законод!$F$26,Законод!$E$28,0)))),0)))</f>
        <v>0</v>
      </c>
      <c r="M736" s="942"/>
      <c r="N736" s="935" t="s">
        <v>423</v>
      </c>
      <c r="O736" s="936"/>
      <c r="P736" s="936"/>
      <c r="Q736" s="936"/>
      <c r="R736" s="937"/>
      <c r="S736" s="196">
        <f ca="1">IF($B$730="Лікар загальної практики - сімейний лікар",IF(S734&lt;Законод!$C$22,0,(IF(AND(S734&gt;=Законод!$E$22,S734&lt;=Законод!$E$23),S734-Законод!$C$22,IF('01_Доходи'!S734&gt;=Законод!$F$22,Законод!$E$24,0)))),IF($B$730="Лікар-педіатр",IF(S734&lt;Законод!$C$18,0,(IF(AND(S734&gt;=Законод!$E$18,S734&lt;=Законод!$E$19),S734-Законод!$C$18,IF('01_Доходи'!S734&gt;=Законод!$F$18,Законод!$E$20,0)))),IF($B$730="Лікар-терапевт",IF(S734&lt;Законод!$C$26,0,(IF(AND(S734&gt;=Законод!$E$26,S734&lt;=Законод!$E$27),S734-Законод!$C$26,IF('01_Доходи'!S734&gt;=Законод!$F$26,Законод!$E$28,0)))),0)))</f>
        <v>0</v>
      </c>
      <c r="T736" s="942"/>
      <c r="U736" s="935" t="s">
        <v>423</v>
      </c>
      <c r="V736" s="936"/>
      <c r="W736" s="936"/>
      <c r="X736" s="936"/>
      <c r="Y736" s="937"/>
      <c r="Z736" s="196">
        <f ca="1">IF($B$730="Лікар загальної практики - сімейний лікар",IF(Z734&lt;Законод!$C$22,0,(IF(AND(Z734&gt;=Законод!$E$22,Z734&lt;=Законод!$E$23),Z734-Законод!$C$22,IF('01_Доходи'!Z734&gt;=Законод!$F$22,Законод!$E$24,0)))),IF($B$730="Лікар-педіатр",IF(Z734&lt;Законод!$C$18,0,(IF(AND(Z734&gt;=Законод!$E$18,Z734&lt;=Законод!$E$19),Z734-Законод!$C$18,IF('01_Доходи'!Z734&gt;=Законод!$F$18,Законод!$E$20,0)))),IF($B$730="Лікар-терапевт",IF(Z734&lt;Законод!$C$26,0,(IF(AND(Z734&gt;=Законод!$E$26,Z734&lt;=Законод!$E$27),Z734-Законод!$C$26,IF('01_Доходи'!Z734&gt;=Законод!$F$26,Законод!$E$28,0)))),0)))</f>
        <v>0</v>
      </c>
      <c r="AA736" s="942"/>
      <c r="AB736" s="935" t="s">
        <v>423</v>
      </c>
      <c r="AC736" s="936"/>
      <c r="AD736" s="936"/>
      <c r="AE736" s="936"/>
      <c r="AF736" s="937"/>
      <c r="AG736" s="196">
        <f ca="1">IF($B$730="Лікар загальної практики - сімейний лікар",IF(AG734&lt;Законод!$C$22,0,(IF(AND(AG734&gt;=Законод!$E$22,AG734&lt;=Законод!$E$23),AG734-Законод!$C$22,IF('01_Доходи'!AG734&gt;=Законод!$F$22,Законод!$E$24,0)))),IF($B$730="Лікар-педіатр",IF(AG734&lt;Законод!$C$18,0,(IF(AND(AG734&gt;=Законод!$E$18,AG734&lt;=Законод!$E$19),AG734-Законод!$C$18,IF('01_Доходи'!AG734&gt;=Законод!$F$18,Законод!$E$20,0)))),IF($B$730="Лікар-терапевт",IF(AG734&lt;Законод!$C$26,0,(IF(AND(AG734&gt;=Законод!$E$26,AG734&lt;=Законод!$E$27),AG734-Законод!$C$26,IF('01_Доходи'!AG734&gt;=Законод!$F$26,Законод!$E$28,0)))),0)))</f>
        <v>0</v>
      </c>
      <c r="AH736" s="942"/>
      <c r="AI736" s="201"/>
      <c r="AJ736" s="945"/>
      <c r="AK736" s="960"/>
      <c r="AL736" s="960"/>
      <c r="AM736" s="926" t="s">
        <v>452</v>
      </c>
      <c r="AN736" s="210">
        <f ca="1">IF(B730="Лікар загальної практики - сімейний лікар",L736*Законод!$C$9/4*Законод!$E$16,IF(B730="Лікар-педіатр",L736*Законод!$C$9/4*Законод!$E$16,IF(B730="Лікар-терапевт",L736*Законод!$C$9/4*Законод!$E$16,0)))</f>
        <v>0</v>
      </c>
      <c r="AO736" s="210">
        <f ca="1">IF(B730="Лікар загальної практики - сімейний лікар",S736*Законод!$C$9/4*Законод!$E$16,IF(B730="Лікар-педіатр",S736*Законод!$C$9/4*Законод!$E$16,IF(B730="Лікар-терапевт",S736*Законод!$C$9/4*Законод!$E$16,0)))</f>
        <v>0</v>
      </c>
      <c r="AP736" s="210">
        <f ca="1">IF(B730="Лікар загальної практики - сімейний лікар",Z736*Законод!$C$9/4*Законод!$E$16,IF(B730="Лікар-педіатр",Z736*Законод!$C$9/4*Законод!$E$16,IF(B730="Лікар-терапевт",Z736*Законод!$C$9/4*Законод!$E$16,0)))</f>
        <v>0</v>
      </c>
      <c r="AQ736" s="210">
        <f ca="1">IF(B730="Лікар загальної практики - сімейний лікар",AG736*Законод!$C$9/4*Законод!$E$16,IF(B730="Лікар-педіатр",AG736*Законод!$C$9/4*Законод!$E$16,IF(B730="Лікар-терапевт",AG736*Законод!$C$9/4*Законод!$E$16,0)))</f>
        <v>0</v>
      </c>
      <c r="AR736" s="211">
        <f t="shared" si="96"/>
        <v>0</v>
      </c>
    </row>
    <row r="737" spans="1:44" s="50" customFormat="1" ht="31.9" hidden="1" customHeight="1">
      <c r="A737" s="197"/>
      <c r="B737" s="951"/>
      <c r="C737" s="954"/>
      <c r="D737" s="957"/>
      <c r="E737" s="939"/>
      <c r="F737" s="238" t="str">
        <f ca="1">IF(B730="Лікар-педіатр",Законод!$F$17,IF(B730="Лікар загальної практики - сімейний лікар",Законод!$F$21,IF(B730="Лікар-терапевт",Законод!$F$25,"х")))</f>
        <v>х</v>
      </c>
      <c r="G737" s="935" t="s">
        <v>423</v>
      </c>
      <c r="H737" s="936"/>
      <c r="I737" s="936"/>
      <c r="J737" s="936"/>
      <c r="K737" s="937"/>
      <c r="L737" s="196">
        <f ca="1">IF($B$730="Лікар загальної практики - сімейний лікар",IF(L734&lt;Законод!$C$22,0,(IF(AND(L734&gt;=Законод!$F$22,L734&lt;=Законод!$F$23),L734-Законод!$E$23,IF('01_Доходи'!L734&gt;=Законод!$G$22,Законод!$F$24,0)))),IF($B$730="Лікар-педіатр",IF(L734&lt;Законод!$C$18,0,(IF(AND(L734&gt;=Законод!$F$18,L734&lt;=Законод!$F$19),L734-Законод!$E$19,IF('01_Доходи'!L734&gt;=Законод!$G$18,Законод!$F$20,0)))),IF($B$730="Лікар-терапевт",IF(L734&lt;Законод!$C$26,0,(IF(AND(L734&gt;=Законод!$F$26,L734&lt;=Законод!$F$27),L734-Законод!$E$27,IF('01_Доходи'!L734&gt;=Законод!$G$26,Законод!$F$28,0)))),0)))</f>
        <v>0</v>
      </c>
      <c r="M737" s="942"/>
      <c r="N737" s="935" t="s">
        <v>423</v>
      </c>
      <c r="O737" s="936"/>
      <c r="P737" s="936"/>
      <c r="Q737" s="936"/>
      <c r="R737" s="937"/>
      <c r="S737" s="196">
        <f ca="1">IF($B$730="Лікар загальної практики - сімейний лікар",IF(S734&lt;Законод!$C$22,0,(IF(AND(S734&gt;=Законод!$F$22,S734&lt;=Законод!$F$23),S734-Законод!$E$23,IF('01_Доходи'!S734&gt;=Законод!$G$22,Законод!$F$24,0)))),IF($B$730="Лікар-педіатр",IF(S734&lt;Законод!$C$18,0,(IF(AND(S734&gt;=Законод!$F$18,S734&lt;=Законод!$F$19),S734-Законод!$E$19,IF('01_Доходи'!S734&gt;=Законод!$G$18,Законод!$F$20,0)))),IF($B$730="Лікар-терапевт",IF(S734&lt;Законод!$C$26,0,(IF(AND(S734&gt;=Законод!$F$26,S734&lt;=Законод!$F$27),S734-Законод!$E$27,IF('01_Доходи'!S734&gt;=Законод!$G$26,Законод!$F$28,0)))),0)))</f>
        <v>0</v>
      </c>
      <c r="T737" s="942"/>
      <c r="U737" s="935" t="s">
        <v>423</v>
      </c>
      <c r="V737" s="936"/>
      <c r="W737" s="936"/>
      <c r="X737" s="936"/>
      <c r="Y737" s="937"/>
      <c r="Z737" s="196">
        <f ca="1">IF($B$730="Лікар загальної практики - сімейний лікар",IF(Z734&lt;Законод!$C$22,0,(IF(AND(Z734&gt;=Законод!$F$22,Z734&lt;=Законод!$F$23),Z734-Законод!$E$23,IF('01_Доходи'!Z734&gt;=Законод!$G$22,Законод!$F$24,0)))),IF($B$730="Лікар-педіатр",IF(Z734&lt;Законод!$C$18,0,(IF(AND(Z734&gt;=Законод!$F$18,Z734&lt;=Законод!$F$19),Z734-Законод!$E$19,IF('01_Доходи'!Z734&gt;=Законод!$G$18,Законод!$F$20,0)))),IF($B$730="Лікар-терапевт",IF(Z734&lt;Законод!$C$26,0,(IF(AND(Z734&gt;=Законод!$F$26,Z734&lt;=Законод!$F$27),Z734-Законод!$E$27,IF('01_Доходи'!Z734&gt;=Законод!$G$26,Законод!$F$28,0)))),0)))</f>
        <v>0</v>
      </c>
      <c r="AA737" s="942"/>
      <c r="AB737" s="935" t="s">
        <v>423</v>
      </c>
      <c r="AC737" s="936"/>
      <c r="AD737" s="936"/>
      <c r="AE737" s="936"/>
      <c r="AF737" s="937"/>
      <c r="AG737" s="196">
        <f ca="1">IF($B$730="Лікар загальної практики - сімейний лікар",IF(AG734&lt;Законод!$C$22,0,(IF(AND(AG734&gt;=Законод!$F$22,AG734&lt;=Законод!$F$23),AG734-Законод!$E$23,IF('01_Доходи'!AG734&gt;=Законод!$G$22,Законод!$F$24,0)))),IF($B$730="Лікар-педіатр",IF(AG734&lt;Законод!$C$18,0,(IF(AND(AG734&gt;=Законод!$F$18,AG734&lt;=Законод!$F$19),AG734-Законод!$E$19,IF('01_Доходи'!AG734&gt;=Законод!$G$18,Законод!$F$20,0)))),IF($B$730="Лікар-терапевт",IF(AG734&lt;Законод!$C$26,0,(IF(AND(AG734&gt;=Законод!$F$26,AG734&lt;=Законод!$F$27),AG734-Законод!$E$27,IF('01_Доходи'!AG734&gt;=Законод!$G$26,Законод!$F$28,0)))),0)))</f>
        <v>0</v>
      </c>
      <c r="AH737" s="942"/>
      <c r="AI737" s="201"/>
      <c r="AJ737" s="945"/>
      <c r="AK737" s="960"/>
      <c r="AL737" s="960"/>
      <c r="AM737" s="927"/>
      <c r="AN737" s="210">
        <f ca="1">IF(B730="Лікар загальної практики - сімейний лікар",L737*Законод!$C$9/4*Законод!$F$16,IF(B730="Лікар-педіатр",L737*Законод!$C$9/4*Законод!$F$16,IF(B730="Лікар-терапевт",L737*Законод!$C$9/4*Законод!$F$16,0)))</f>
        <v>0</v>
      </c>
      <c r="AO737" s="210">
        <f ca="1">IF(B730="Лікар загальної практики - сімейний лікар",S737*Законод!$C$9/4*Законод!$F$16,IF(B730="Лікар-педіатр",S737*Законод!$C$9/4*Законод!$F$16,IF(B730="Лікар-терапевт",S737*Законод!$C$9/4*Законод!$F$16,0)))</f>
        <v>0</v>
      </c>
      <c r="AP737" s="210">
        <f ca="1">IF(B730="Лікар загальної практики - сімейний лікар",Z737*Законод!$C$9/4*Законод!$F$16,IF(B730="Лікар-педіатр",Z737*Законод!$C$9/4*Законод!$F$16,IF(B730="Лікар-терапевт",Z737*Законод!$C$9/4*Законод!$F$16,0)))</f>
        <v>0</v>
      </c>
      <c r="AQ737" s="210">
        <f ca="1">IF(B730="Лікар загальної практики - сімейний лікар",AG737*Законод!$C$9/4*Законод!$F$16,IF(B730="Лікар-педіатр",AG737*Законод!$C$9/4*Законод!$F$16,IF(B730="Лікар-терапевт",AG737*Законод!$C$9/4*Законод!$F$16,0)))</f>
        <v>0</v>
      </c>
      <c r="AR737" s="211">
        <f t="shared" si="96"/>
        <v>0</v>
      </c>
    </row>
    <row r="738" spans="1:44" s="50" customFormat="1" ht="31.9" hidden="1" customHeight="1">
      <c r="A738" s="197"/>
      <c r="B738" s="951"/>
      <c r="C738" s="954"/>
      <c r="D738" s="957"/>
      <c r="E738" s="939"/>
      <c r="F738" s="238" t="str">
        <f ca="1">IF(B730="Лікар-педіатр",Законод!$G$17,IF(B730="Лікар загальної практики - сімейний лікар",Законод!$G$21,IF(B730="Лікар-терапевт",Законод!$G$25,"х")))</f>
        <v>х</v>
      </c>
      <c r="G738" s="935" t="s">
        <v>423</v>
      </c>
      <c r="H738" s="936"/>
      <c r="I738" s="936"/>
      <c r="J738" s="936"/>
      <c r="K738" s="937"/>
      <c r="L738" s="196">
        <f ca="1">IF($B$730="Лікар загальної практики - сімейний лікар",IF(L734&lt;Законод!$C$22,0,(IF(AND(L734&gt;=Законод!$G$22,L734&lt;=Законод!$G$23),L734-Законод!$F$23,IF('01_Доходи'!L734&gt;=Законод!$H$22,Законод!$G$24,0)))),IF($B$730="Лікар-педіатр",IF(L734&lt;Законод!$C$18,0,(IF(AND(L734&gt;=Законод!$G$18,L734&lt;=Законод!$G$19),L734-Законод!$F$19,IF('01_Доходи'!L734&gt;=Законод!$H$18,Законод!$G$20,0)))),IF($B$730="Лікар-терапевт",IF(L734&lt;Законод!$C$26,0,(IF(AND(L734&gt;=Законод!$G$26,L734&lt;=Законод!$G$27),L734-Законод!$F$27,IF('01_Доходи'!L734&gt;=Законод!$H$26,Законод!$G$28,0)))),0)))</f>
        <v>0</v>
      </c>
      <c r="M738" s="942"/>
      <c r="N738" s="935" t="s">
        <v>423</v>
      </c>
      <c r="O738" s="936"/>
      <c r="P738" s="936"/>
      <c r="Q738" s="936"/>
      <c r="R738" s="937"/>
      <c r="S738" s="196">
        <f ca="1">IF($B$730="Лікар загальної практики - сімейний лікар",IF(S734&lt;Законод!$C$22,0,(IF(AND(S734&gt;=Законод!$G$22,S734&lt;=Законод!$G$23),S734-Законод!$F$23,IF('01_Доходи'!S734&gt;=Законод!$H$22,Законод!$G$24,0)))),IF($B$730="Лікар-педіатр",IF(S734&lt;Законод!$C$18,0,(IF(AND(S734&gt;=Законод!$G$18,S734&lt;=Законод!$G$19),S734-Законод!$F$19,IF('01_Доходи'!S734&gt;=Законод!$H$18,Законод!$G$20,0)))),IF($B$730="Лікар-терапевт",IF(S734&lt;Законод!$C$26,0,(IF(AND(S734&gt;=Законод!$G$26,S734&lt;=Законод!$G$27),S734-Законод!$F$27,IF('01_Доходи'!S734&gt;=Законод!$H$26,Законод!$G$28,0)))),0)))</f>
        <v>0</v>
      </c>
      <c r="T738" s="942"/>
      <c r="U738" s="935" t="s">
        <v>423</v>
      </c>
      <c r="V738" s="936"/>
      <c r="W738" s="936"/>
      <c r="X738" s="936"/>
      <c r="Y738" s="937"/>
      <c r="Z738" s="196">
        <f ca="1">IF($B$730="Лікар загальної практики - сімейний лікар",IF(Z734&lt;Законод!$C$22,0,(IF(AND(Z734&gt;=Законод!$G$22,Z734&lt;=Законод!$G$23),Z734-Законод!$F$23,IF('01_Доходи'!Z734&gt;=Законод!$H$22,Законод!$G$24,0)))),IF($B$730="Лікар-педіатр",IF(Z734&lt;Законод!$C$18,0,(IF(AND(Z734&gt;=Законод!$G$18,Z734&lt;=Законод!$G$19),Z734-Законод!$F$19,IF('01_Доходи'!Z734&gt;=Законод!$H$18,Законод!$G$20,0)))),IF($B$730="Лікар-терапевт",IF(Z734&lt;Законод!$C$26,0,(IF(AND(Z734&gt;=Законод!$G$26,Z734&lt;=Законод!$G$27),Z734-Законод!$F$27,IF('01_Доходи'!Z734&gt;=Законод!$H$26,Законод!$G$28,0)))),0)))</f>
        <v>0</v>
      </c>
      <c r="AA738" s="942"/>
      <c r="AB738" s="935" t="s">
        <v>423</v>
      </c>
      <c r="AC738" s="936"/>
      <c r="AD738" s="936"/>
      <c r="AE738" s="936"/>
      <c r="AF738" s="937"/>
      <c r="AG738" s="196">
        <f ca="1">IF($B$730="Лікар загальної практики - сімейний лікар",IF(AG734&lt;Законод!$C$22,0,(IF(AND(AG734&gt;=Законод!$G$22,AG734&lt;=Законод!$G$23),AG734-Законод!$F$23,IF('01_Доходи'!AG734&gt;=Законод!$H$22,Законод!$G$24,0)))),IF($B$730="Лікар-педіатр",IF(AG734&lt;Законод!$C$18,0,(IF(AND(AG734&gt;=Законод!$G$18,AG734&lt;=Законод!$G$19),AG734-Законод!$F$19,IF('01_Доходи'!AG734&gt;=Законод!$H$18,Законод!$G$20,0)))),IF($B$730="Лікар-терапевт",IF(AG734&lt;Законод!$C$26,0,(IF(AND(AG734&gt;=Законод!$G$26,AG734&lt;=Законод!$G$27),AG734-Законод!$F$27,IF('01_Доходи'!AG734&gt;=Законод!$H$26,Законод!$G$28,0)))),0)))</f>
        <v>0</v>
      </c>
      <c r="AH738" s="942"/>
      <c r="AI738" s="201"/>
      <c r="AJ738" s="945"/>
      <c r="AK738" s="960"/>
      <c r="AL738" s="960"/>
      <c r="AM738" s="927"/>
      <c r="AN738" s="210">
        <f ca="1">IF(B730="Лікар загальної практики - сімейний лікар",L738*Законод!$C$9/4*Законод!$G$16,IF(B730="Лікар-педіатр",L738*Законод!$C$9/4*Законод!$G$16,IF(B730="Лікар-терапевт",L738*Законод!$C$9/4*Законод!$G$16,0)))</f>
        <v>0</v>
      </c>
      <c r="AO738" s="210">
        <f ca="1">IF(B730="Лікар загальної практики - сімейний лікар",S738*Законод!$C$9/4*Законод!$G$16,IF(B730="Лікар-педіатр",S738*Законод!$C$9/4*Законод!$G$16,IF(B730="Лікар-терапевт",S738*Законод!$C$9/4*Законод!$G$16,0)))</f>
        <v>0</v>
      </c>
      <c r="AP738" s="210">
        <f ca="1">IF(B730="Лікар загальної практики - сімейний лікар",Z738*Законод!$C$9/4*Законод!$G$16,IF(B730="Лікар-педіатр",Z738*Законод!$C$9/4*Законод!$G$16,IF(B730="Лікар-терапевт",Z738*Законод!$C$9/4*Законод!$G$16,0)))</f>
        <v>0</v>
      </c>
      <c r="AQ738" s="210">
        <f ca="1">IF(B730="Лікар загальної практики - сімейний лікар",AG738*Законод!$C$9/4*Законод!$G$16,IF(B730="Лікар-педіатр",AG738*Законод!$C$9/4*Законод!$G$16,IF(B730="Лікар-терапевт",AG738*Законод!$C$9/4*Законод!$G$16,0)))</f>
        <v>0</v>
      </c>
      <c r="AR738" s="211">
        <f t="shared" si="96"/>
        <v>0</v>
      </c>
    </row>
    <row r="739" spans="1:44" s="50" customFormat="1" ht="31.9" hidden="1" customHeight="1">
      <c r="A739" s="197"/>
      <c r="B739" s="951"/>
      <c r="C739" s="954"/>
      <c r="D739" s="957"/>
      <c r="E739" s="939"/>
      <c r="F739" s="238" t="str">
        <f ca="1">IF(B730="Лікар-педіатр",Законод!$H$17,IF(B730="Лікар загальної практики - сімейний лікар",Законод!$H$21,IF(B730="Лікар-терапевт",Законод!$H$25,"х")))</f>
        <v>х</v>
      </c>
      <c r="G739" s="935" t="s">
        <v>423</v>
      </c>
      <c r="H739" s="936"/>
      <c r="I739" s="936"/>
      <c r="J739" s="936"/>
      <c r="K739" s="937"/>
      <c r="L739" s="196">
        <f ca="1">IF($B$730="Лікар загальної практики - сімейний лікар",IF(L734&lt;Законод!$C$22,0,(IF(AND(L734&gt;=Законод!$H$22,L734&lt;=Законод!$H$23),L734-Законод!$G$23,IF('01_Доходи'!L734&gt;=Законод!$I$22,Законод!$H$24,0)))),IF($B$730="Лікар-педіатр",IF(L734&lt;Законод!$C$18,0,(IF(AND(L734&gt;=Законод!$H$18,L734&lt;=Законод!$H$19),L734-Законод!$G$19,IF('01_Доходи'!L734&gt;=Законод!$I$18,Законод!$H$20,0)))),IF($B$730="Лікар-терапевт",IF(L734&lt;Законод!$C$26,0,(IF(AND(L734&gt;=Законод!$H$26,L734&lt;=Законод!$H$27),L734-Законод!$G$27,IF(L734&gt;=Законод!$I$26,Законод!$H$28,0)))),0)))</f>
        <v>0</v>
      </c>
      <c r="M739" s="942"/>
      <c r="N739" s="935" t="s">
        <v>423</v>
      </c>
      <c r="O739" s="936"/>
      <c r="P739" s="936"/>
      <c r="Q739" s="936"/>
      <c r="R739" s="937"/>
      <c r="S739" s="196">
        <f ca="1">IF($B$730="Лікар загальної практики - сімейний лікар",IF(S734&lt;Законод!$C$22,0,(IF(AND(S734&gt;=Законод!$H$22,S734&lt;=Законод!$H$23),S734-Законод!$G$23,IF('01_Доходи'!S734&gt;=Законод!$I$22,Законод!$H$24,0)))),IF($B$730="Лікар-педіатр",IF(S734&lt;Законод!$C$18,0,(IF(AND(S734&gt;=Законод!$H$18,S734&lt;=Законод!$H$19),S734-Законод!$G$19,IF('01_Доходи'!S734&gt;=Законод!$I$18,Законод!$H$20,0)))),IF($B$730="Лікар-терапевт",IF(S734&lt;Законод!$C$26,0,(IF(AND(S734&gt;=Законод!$H$26,S734&lt;=Законод!$H$27),S734-Законод!$G$27,IF(S734&gt;=Законод!$I$26,Законод!$H$28,0)))),0)))</f>
        <v>0</v>
      </c>
      <c r="T739" s="942"/>
      <c r="U739" s="935" t="s">
        <v>423</v>
      </c>
      <c r="V739" s="936"/>
      <c r="W739" s="936"/>
      <c r="X739" s="936"/>
      <c r="Y739" s="937"/>
      <c r="Z739" s="196">
        <f ca="1">IF($B$730="Лікар загальної практики - сімейний лікар",IF(Z734&lt;Законод!$C$22,0,(IF(AND(Z734&gt;=Законод!$H$22,Z734&lt;=Законод!$H$23),Z734-Законод!$G$23,IF('01_Доходи'!Z734&gt;=Законод!$I$22,Законод!$H$24,0)))),IF($B$730="Лікар-педіатр",IF(Z734&lt;Законод!$C$18,0,(IF(AND(Z734&gt;=Законод!$H$18,Z734&lt;=Законод!$H$19),Z734-Законод!$G$19,IF('01_Доходи'!Z734&gt;=Законод!$I$18,Законод!$H$20,0)))),IF($B$730="Лікар-терапевт",IF(Z734&lt;Законод!$C$26,0,(IF(AND(Z734&gt;=Законод!$H$26,Z734&lt;=Законод!$H$27),Z734-Законод!$G$27,IF(Z734&gt;=Законод!$I$26,Законод!$H$28,0)))),0)))</f>
        <v>0</v>
      </c>
      <c r="AA739" s="942"/>
      <c r="AB739" s="935" t="s">
        <v>423</v>
      </c>
      <c r="AC739" s="936"/>
      <c r="AD739" s="936"/>
      <c r="AE739" s="936"/>
      <c r="AF739" s="937"/>
      <c r="AG739" s="196">
        <f ca="1">IF($B$730="Лікар загальної практики - сімейний лікар",IF(AG734&lt;Законод!$C$22,0,(IF(AND(AG734&gt;=Законод!$H$22,AG734&lt;=Законод!$H$23),AG734-Законод!$G$23,IF('01_Доходи'!AG734&gt;=Законод!$I$22,Законод!$H$24,0)))),IF($B$730="Лікар-педіатр",IF(AG734&lt;Законод!$C$18,0,(IF(AND(AG734&gt;=Законод!$H$18,AG734&lt;=Законод!$H$19),AG734-Законод!$G$19,IF('01_Доходи'!AG734&gt;=Законод!$I$18,Законод!$H$20,0)))),IF($B$730="Лікар-терапевт",IF(AG734&lt;Законод!$C$26,0,(IF(AND(AG734&gt;=Законод!$H$26,AG734&lt;=Законод!$H$27),AG734-Законод!$G$27,IF(AG734&gt;=Законод!$I$26,Законод!$H$28,0)))),0)))</f>
        <v>0</v>
      </c>
      <c r="AH739" s="942"/>
      <c r="AI739" s="201"/>
      <c r="AJ739" s="945"/>
      <c r="AK739" s="960"/>
      <c r="AL739" s="960"/>
      <c r="AM739" s="927"/>
      <c r="AN739" s="210">
        <f ca="1">IF(B730="Лікар загальної практики - сімейний лікар",L739*Законод!$C$9/4*Законод!$H$16,IF(B730="Лікар-педіатр",L739*Законод!$C$9/4*Законод!$H$16,IF(B730="Лікар-терапевт",L739*Законод!$C$9/4*Законод!$H$16,0)))</f>
        <v>0</v>
      </c>
      <c r="AO739" s="210">
        <f ca="1">IF(B730="Лікар загальної практики - сімейний лікар",S739*Законод!$C$9/4*Законод!$H$16,IF(B730="Лікар-педіатр",S739*Законод!$C$9/4*Законод!$H$16,IF(B730="Лікар-терапевт",S739*Законод!$C$9/4*Законод!$H$16,0)))</f>
        <v>0</v>
      </c>
      <c r="AP739" s="210">
        <f ca="1">IF(B730="Лікар загальної практики - сімейний лікар",Z739*Законод!$C$9/4*Законод!$H$16,IF(B730="Лікар-педіатр",Z739*Законод!$C$9/4*Законод!$H$16,IF(B730="Лікар-терапевт",Z739*Законод!$C$9/4*Законод!$H$16,0)))</f>
        <v>0</v>
      </c>
      <c r="AQ739" s="210">
        <f ca="1">IF(B730="Лікар загальної практики - сімейний лікар",AG739*Законод!$C$9/4*Законод!$H$16,IF(B730="Лікар-педіатр",AG739*Законод!$C$9/4*Законод!$H$16,IF(B730="Лікар-терапевт",AG739*Законод!$C$9/4*Законод!$H$16,0)))</f>
        <v>0</v>
      </c>
      <c r="AR739" s="211">
        <f t="shared" si="96"/>
        <v>0</v>
      </c>
    </row>
    <row r="740" spans="1:44" s="50" customFormat="1" ht="31.9" hidden="1" customHeight="1">
      <c r="A740" s="197"/>
      <c r="B740" s="951"/>
      <c r="C740" s="954"/>
      <c r="D740" s="957"/>
      <c r="E740" s="939"/>
      <c r="F740" s="238" t="str">
        <f ca="1">IF(B730="Лікар-педіатр",Законод!$I$17,IF(B730="Лікар загальної практики - сімейний лікар",Законод!$I$21,IF(B730="Лікар-терапевт",Законод!$I$25,"х")))</f>
        <v>х</v>
      </c>
      <c r="G740" s="935" t="s">
        <v>423</v>
      </c>
      <c r="H740" s="936"/>
      <c r="I740" s="936"/>
      <c r="J740" s="936"/>
      <c r="K740" s="937"/>
      <c r="L740" s="196">
        <f ca="1">IF($B$730="Лікар загальної практики - сімейний лікар",IF(L734&lt;Законод!$C$22,0,(IF(AND(L734&gt;=Законод!$I$22,L734&lt;=Законод!$I$23),L734-Законод!$H$23,IF('01_Доходи'!L734&gt;=Законод!$I$22,Законод!$I$24,0)))),IF($B$730="Лікар-педіатр",IF(L734&lt;Законод!$C$18,0,(IF(AND(L734&gt;=Законод!$I$18,L734&lt;=Законод!$I$19),L734-Законод!$H$19,IF('01_Доходи'!L734&gt;=Законод!$I$18,Законод!$H$20,0)))),IF($B$730="Лікар-терапевт",IF(L734&lt;Законод!$C$26,0,(IF(AND(L734&gt;=Законод!$I$26,L734&lt;=Законод!$I$27),L734-Законод!$H$27,IF('01_Доходи'!L734&gt;=Законод!$I$26,Законод!$H$28,0)))),0)))</f>
        <v>0</v>
      </c>
      <c r="M740" s="942"/>
      <c r="N740" s="935" t="s">
        <v>423</v>
      </c>
      <c r="O740" s="936"/>
      <c r="P740" s="936"/>
      <c r="Q740" s="936"/>
      <c r="R740" s="937"/>
      <c r="S740" s="196">
        <f ca="1">IF($B$730="Лікар загальної практики - сімейний лікар",IF(S734&lt;Законод!$C$22,0,(IF(AND(S734&gt;=Законод!$I$22,S734&lt;=Законод!$I$23),S734-Законод!$H$23,IF('01_Доходи'!S734&gt;=Законод!$I$22,Законод!$I$24,0)))),IF($B$730="Лікар-педіатр",IF(S734&lt;Законод!$C$18,0,(IF(AND(S734&gt;=Законод!$I$18,S734&lt;=Законод!$I$19),S734-Законод!$H$19,IF('01_Доходи'!S734&gt;=Законод!$I$18,Законод!$H$20,0)))),IF($B$730="Лікар-терапевт",IF(S734&lt;Законод!$C$26,0,(IF(AND(S734&gt;=Законод!$I$26,S734&lt;=Законод!$I$27),S734-Законод!$H$27,IF('01_Доходи'!S734&gt;=Законод!$I$26,Законод!$H$28,0)))),0)))</f>
        <v>0</v>
      </c>
      <c r="T740" s="942"/>
      <c r="U740" s="935" t="s">
        <v>423</v>
      </c>
      <c r="V740" s="936"/>
      <c r="W740" s="936"/>
      <c r="X740" s="936"/>
      <c r="Y740" s="937"/>
      <c r="Z740" s="196">
        <f ca="1">IF($B$730="Лікар загальної практики - сімейний лікар",IF(Z734&lt;Законод!$C$22,0,(IF(AND(Z734&gt;=Законод!$I$22,Z734&lt;=Законод!$I$23),Z734-Законод!$H$23,IF('01_Доходи'!Z734&gt;=Законод!$I$22,Законод!$I$24,0)))),IF($B$730="Лікар-педіатр",IF(Z734&lt;Законод!$C$18,0,(IF(AND(Z734&gt;=Законод!$I$18,Z734&lt;=Законод!$I$19),Z734-Законод!$H$19,IF('01_Доходи'!Z734&gt;=Законод!$I$18,Законод!$H$20,0)))),IF($B$730="Лікар-терапевт",IF(Z734&lt;Законод!$C$26,0,(IF(AND(Z734&gt;=Законод!$I$26,Z734&lt;=Законод!$I$27),Z734-Законод!$H$27,IF('01_Доходи'!Z734&gt;=Законод!$I$26,Законод!$H$28,0)))),0)))</f>
        <v>0</v>
      </c>
      <c r="AA740" s="942"/>
      <c r="AB740" s="935" t="s">
        <v>423</v>
      </c>
      <c r="AC740" s="936"/>
      <c r="AD740" s="936"/>
      <c r="AE740" s="936"/>
      <c r="AF740" s="937"/>
      <c r="AG740" s="196">
        <f ca="1">IF($B$730="Лікар загальної практики - сімейний лікар",IF(AG734&lt;Законод!$C$22,0,(IF(AND(AG734&gt;=Законод!$I$22,AG734&lt;=Законод!$I$23),AG734-Законод!$H$23,IF('01_Доходи'!AG734&gt;=Законод!$I$22,Законод!$I$24,0)))),IF($B$730="Лікар-педіатр",IF(AG734&lt;Законод!$C$18,0,(IF(AND(AG734&gt;=Законод!$I$18,AG734&lt;=Законод!$I$19),AG734-Законод!$H$19,IF('01_Доходи'!AG734&gt;=Законод!$I$18,Законод!$H$20,0)))),IF($B$730="Лікар-терапевт",IF(AG734&lt;Законод!$C$26,0,(IF(AND(AG734&gt;=Законод!$I$26,AG734&lt;=Законод!$I$27),AG734-Законод!$H$27,IF('01_Доходи'!AG734&gt;=Законод!$I$26,Законод!$H$28,0)))),0)))</f>
        <v>0</v>
      </c>
      <c r="AH740" s="942"/>
      <c r="AI740" s="201"/>
      <c r="AJ740" s="945"/>
      <c r="AK740" s="960"/>
      <c r="AL740" s="960"/>
      <c r="AM740" s="927"/>
      <c r="AN740" s="210">
        <f ca="1">IF(B730="Лікар загальної практики - сімейний лікар",L740*Законод!$C$9/4*Законод!$I$16,IF(B730="Лікар-педіатр",L740*Законод!$C$9/4*Законод!$I$16,IF(B730="Лікар-терапевт",L740*Законод!$C$9/4*Законод!$I$16,0)))</f>
        <v>0</v>
      </c>
      <c r="AO740" s="210">
        <f ca="1">IF(B730="Лікар загальної практики - сімейний лікар",S740*Законод!$C$9/4*Законод!$I$16,IF(B730="Лікар-педіатр",S740*Законод!$C$9/4*Законод!$I$16,IF(B730="Лікар-терапевт",S740*Законод!$C$9/4*Законод!$I$16,0)))</f>
        <v>0</v>
      </c>
      <c r="AP740" s="210">
        <f ca="1">IF(B730="Лікар загальної практики - сімейний лікар",Z740*Законод!$C$9/4*Законод!$I$16,IF(B730="Лікар-педіатр",Z740*Законод!$C$9/4*Законод!$I$16,IF(B730="Лікар-терапевт",Z740*Законод!$C$9/4*Законод!$I$16,0)))</f>
        <v>0</v>
      </c>
      <c r="AQ740" s="210">
        <f ca="1">IF(B730="Лікар загальної практики - сімейний лікар",AG740*Законод!$C$9/4*Законод!$I$16,IF(B730="Лікар-педіатр",AG740*Законод!$C$9/4*Законод!$I$16,IF(B730="Лікар-терапевт",AG740*Законод!$C$9/4*Законод!$I$16,0)))</f>
        <v>0</v>
      </c>
      <c r="AR740" s="211">
        <f t="shared" si="96"/>
        <v>0</v>
      </c>
    </row>
    <row r="741" spans="1:44" s="218" customFormat="1" ht="31.9" hidden="1" customHeight="1" thickBot="1">
      <c r="A741" s="213"/>
      <c r="B741" s="952"/>
      <c r="C741" s="955"/>
      <c r="D741" s="958"/>
      <c r="E741" s="940"/>
      <c r="F741" s="239" t="str">
        <f ca="1">IF(B730="Лікар-педіатр",Законод!$J$17,IF(B730="Лікар загальної практики - сімейний лікар",Законод!$J$21,IF(B730="Лікар-терапевт",Законод!$J$25,"х")))</f>
        <v>х</v>
      </c>
      <c r="G741" s="932" t="s">
        <v>423</v>
      </c>
      <c r="H741" s="933"/>
      <c r="I741" s="933"/>
      <c r="J741" s="933"/>
      <c r="K741" s="934"/>
      <c r="L741" s="196">
        <f ca="1">IF($B$730="Лікар загальної практики - сімейний лікар",IF(L734&gt;=Законод!$J$22,'01_Доходи'!L734-('01_Доходи'!L735+'01_Доходи'!L736+'01_Доходи'!L737+'01_Доходи'!L738+'01_Доходи'!L739+'01_Доходи'!L740),0),IF($B$730="Лікар-педіатр",IF(L734&gt;=Законод!$J$18,'01_Доходи'!L734-('01_Доходи'!L735+'01_Доходи'!L736+'01_Доходи'!L737+'01_Доходи'!L738+'01_Доходи'!L739+'01_Доходи'!L740),0),IF($B$730="Лікар-терапевт",IF('01_Доходи'!L734&gt;=Законод!$J$26,L734-Законод!$I$27,0),0)))</f>
        <v>0</v>
      </c>
      <c r="M741" s="943"/>
      <c r="N741" s="932" t="s">
        <v>423</v>
      </c>
      <c r="O741" s="933"/>
      <c r="P741" s="933"/>
      <c r="Q741" s="933"/>
      <c r="R741" s="934"/>
      <c r="S741" s="196">
        <f ca="1">IF($B$730="Лікар загальної практики - сімейний лікар",IF(S734&gt;=Законод!$J$22,'01_Доходи'!S734-('01_Доходи'!S735+'01_Доходи'!S736+'01_Доходи'!S737+'01_Доходи'!S738+'01_Доходи'!S739+'01_Доходи'!S740),0),IF($B$730="Лікар-педіатр",IF(S734&gt;=Законод!$J$18,'01_Доходи'!S734-('01_Доходи'!S735+'01_Доходи'!S736+'01_Доходи'!S737+'01_Доходи'!S738+'01_Доходи'!S739+'01_Доходи'!S740),0),IF($B$730="Лікар-терапевт",IF('01_Доходи'!S734&gt;=Законод!$J$26,S734-Законод!$I$27,0),0)))</f>
        <v>0</v>
      </c>
      <c r="T741" s="943"/>
      <c r="U741" s="932" t="s">
        <v>423</v>
      </c>
      <c r="V741" s="933"/>
      <c r="W741" s="933"/>
      <c r="X741" s="933"/>
      <c r="Y741" s="934"/>
      <c r="Z741" s="196">
        <f ca="1">IF($B$730="Лікар загальної практики - сімейний лікар",IF(Z734&gt;=Законод!$J$22,'01_Доходи'!Z734-('01_Доходи'!Z735+'01_Доходи'!Z736+'01_Доходи'!Z737+'01_Доходи'!Z738+'01_Доходи'!Z739+'01_Доходи'!Z740),0),IF($B$730="Лікар-педіатр",IF(Z734&gt;=Законод!$J$18,'01_Доходи'!Z734-('01_Доходи'!Z735+'01_Доходи'!Z736+'01_Доходи'!Z737+'01_Доходи'!Z738+'01_Доходи'!Z739+'01_Доходи'!Z740),0),IF($B$730="Лікар-терапевт",IF('01_Доходи'!Z734&gt;=Законод!$J$26,Z734-Законод!$I$27,0),0)))</f>
        <v>0</v>
      </c>
      <c r="AA741" s="943"/>
      <c r="AB741" s="932" t="s">
        <v>423</v>
      </c>
      <c r="AC741" s="933"/>
      <c r="AD741" s="933"/>
      <c r="AE741" s="933"/>
      <c r="AF741" s="934"/>
      <c r="AG741" s="196">
        <f ca="1">IF($B$730="Лікар загальної практики - сімейний лікар",IF(AG734&gt;=Законод!$J$22,'01_Доходи'!AG734-('01_Доходи'!AG735+'01_Доходи'!AG736+'01_Доходи'!AG737+'01_Доходи'!AG738+'01_Доходи'!AG739+'01_Доходи'!AG740),0),IF($B$730="Лікар-педіатр",IF(AG734&gt;=Законод!$J$18,'01_Доходи'!AG734-('01_Доходи'!AG735+'01_Доходи'!AG736+'01_Доходи'!AG737+'01_Доходи'!AG738+'01_Доходи'!AG739+'01_Доходи'!AG740),0),IF($B$730="Лікар-терапевт",IF('01_Доходи'!AG734&gt;=Законод!$J$26,AG734-Законод!$I$27,0),0)))</f>
        <v>0</v>
      </c>
      <c r="AH741" s="943"/>
      <c r="AI741" s="215"/>
      <c r="AJ741" s="946"/>
      <c r="AK741" s="961"/>
      <c r="AL741" s="961"/>
      <c r="AM741" s="928"/>
      <c r="AN741" s="216">
        <f ca="1">IF(B730="Лікар загальної практики - сімейний лікар",L741*Законод!$C$9/4*Законод!$J$16,IF(B730="Лікар-педіатр",L741*Законод!$C$9/4*Законод!$J$16,IF(B730="Лікар-терапевт",L741*Законод!$C$9/4*Законод!$J$16,0)))</f>
        <v>0</v>
      </c>
      <c r="AO741" s="216">
        <f ca="1">IF(B730="Лікар загальної практики - сімейний лікар",S741*Законод!$C$9/4*Законод!$J$16,IF(B730="Лікар-педіатр",S741*Законод!$C$9/4*Законод!$J$16,IF(B730="Лікар-терапевт",S741*Законод!$C$9/4*Законод!$J$16,0)))</f>
        <v>0</v>
      </c>
      <c r="AP741" s="216">
        <f ca="1">IF(B730="Лікар загальної практики - сімейний лікар",S741*Законод!$C$9/4*Законод!$J$16,IF(B730="Лікар-педіатр",S741*Законод!$C$9/4*Законод!$J$16,IF(B730="Лікар-терапевт",S741*Законод!$C$9/4*Законод!$J$16,0)))</f>
        <v>0</v>
      </c>
      <c r="AQ741" s="216">
        <f ca="1">IF(B730="Лікар загальної практики - сімейний лікар",AG741*Законод!$C$9/4*Законод!$J$16,IF(B730="Лікар-педіатр",AG741*Законод!$C$9/4*Законод!$J$16,IF(B730="Лікар-терапевт",AG741*Законод!$C$9/4*Законод!$J$16,0)))</f>
        <v>0</v>
      </c>
      <c r="AR741" s="217">
        <f t="shared" si="96"/>
        <v>0</v>
      </c>
    </row>
    <row r="742" spans="1:44" s="247" customFormat="1" ht="23.45" hidden="1" customHeight="1" thickBot="1">
      <c r="A742" s="243"/>
      <c r="B742" s="244"/>
      <c r="C742" s="244"/>
      <c r="D742" s="244"/>
      <c r="E742" s="244"/>
      <c r="F742" s="245"/>
      <c r="G742" s="246"/>
      <c r="H742" s="246"/>
      <c r="L742" s="248"/>
      <c r="S742" s="248"/>
      <c r="Z742" s="248"/>
      <c r="AG742" s="248"/>
      <c r="AM742" s="249"/>
      <c r="AR742" s="250"/>
    </row>
    <row r="743" spans="1:44" s="191" customFormat="1" ht="24.6" hidden="1" customHeight="1">
      <c r="A743" s="194">
        <f>A730+1</f>
        <v>55</v>
      </c>
      <c r="B743" s="950"/>
      <c r="C743" s="953"/>
      <c r="D743" s="956"/>
      <c r="E743" s="938"/>
      <c r="F743" s="234" t="s">
        <v>659</v>
      </c>
      <c r="G743" s="196">
        <f>IF($B$743="Лікар-педіатр",G746*L743,IF($B$743="Лікар-терапевт","х",IF($B$743="Лікар загальної практики - сімейний лікар",G746*L743,0)))</f>
        <v>0</v>
      </c>
      <c r="H743" s="196">
        <f>IF($B$743="Лікар-педіатр",H746*L743,IF($B$743="Лікар-терапевт","х",IF($B$743="Лікар загальної практики - сімейний лікар",H746*L743,0)))</f>
        <v>0</v>
      </c>
      <c r="I743" s="196">
        <f>IF($B$743="Лікар-педіатр","x",IF($B$743="Лікар-терапевт",I746*L743,IF($B$743="Лікар загальної практики - сімейний лікар",I746*L743,0)))</f>
        <v>0</v>
      </c>
      <c r="J743" s="196">
        <f>IF($B$743="Лікар-педіатр","x",IF($B$743="Лікар-терапевт",J746*L743,IF($B$743="Лікар загальної практики - сімейний лікар",J746*L743,0)))</f>
        <v>0</v>
      </c>
      <c r="K743" s="196">
        <f>IF($B$743="Лікар-педіатр","x",IF($B$743="Лікар-терапевт",K746*L743,IF($B$743="Лікар загальної практики - сімейний лікар",K746*L743,0)))</f>
        <v>0</v>
      </c>
      <c r="L743" s="557"/>
      <c r="M743" s="941"/>
      <c r="N743" s="196">
        <f>IF($B$743="Лікар-педіатр",N746*S743,IF($B$743="Лікар-терапевт","х",IF($B$743="Лікар загальної практики - сімейний лікар",N746*S743,0)))</f>
        <v>0</v>
      </c>
      <c r="O743" s="196">
        <f>IF($B$743="Лікар-педіатр",O746*S743,IF($B$743="Лікар-терапевт","х",IF($B$743="Лікар загальної практики - сімейний лікар",O746*S743,0)))</f>
        <v>0</v>
      </c>
      <c r="P743" s="196">
        <f>IF($B$743="Лікар-педіатр","x",IF($B$743="Лікар-терапевт",P746*S743,IF($B$743="Лікар загальної практики - сімейний лікар",P746*S743,0)))</f>
        <v>0</v>
      </c>
      <c r="Q743" s="196">
        <f>IF($B$743="Лікар-педіатр","x",IF($B$743="Лікар-терапевт",Q746*S743,IF($B$743="Лікар загальної практики - сімейний лікар",Q746*S743,0)))</f>
        <v>0</v>
      </c>
      <c r="R743" s="196">
        <f>IF($B$743="Лікар-педіатр","x",IF($B$743="Лікар-терапевт",R746*S743,IF($B$743="Лікар загальної практики - сімейний лікар",R746*S743,0)))</f>
        <v>0</v>
      </c>
      <c r="S743" s="557"/>
      <c r="T743" s="941"/>
      <c r="U743" s="196">
        <f>IF($B$743="Лікар-педіатр",U746*Z743,IF($B$743="Лікар-терапевт","х",IF($B$743="Лікар загальної практики - сімейний лікар",U746*Z743,0)))</f>
        <v>0</v>
      </c>
      <c r="V743" s="196">
        <f>IF($B$743="Лікар-педіатр",V746*Z743,IF($B$743="Лікар-терапевт","х",IF($B$743="Лікар загальної практики - сімейний лікар",V746*Z743,0)))</f>
        <v>0</v>
      </c>
      <c r="W743" s="196">
        <f>IF($B$743="Лікар-педіатр","x",IF($B$743="Лікар-терапевт",W746*Z743,IF($B$743="Лікар загальної практики - сімейний лікар",W746*Z743,0)))</f>
        <v>0</v>
      </c>
      <c r="X743" s="196">
        <f>IF($B$743="Лікар-педіатр","x",IF($B$743="Лікар-терапевт",X746*Z743,IF($B$743="Лікар загальної практики - сімейний лікар",X746*Z743,0)))</f>
        <v>0</v>
      </c>
      <c r="Y743" s="196">
        <f>IF($B$743="Лікар-педіатр","x",IF($B$743="Лікар-терапевт",Y746*Z743,IF($B$743="Лікар загальної практики - сімейний лікар",Y746*Z743,0)))</f>
        <v>0</v>
      </c>
      <c r="Z743" s="557"/>
      <c r="AA743" s="941"/>
      <c r="AB743" s="196">
        <f>IF($B$743="Лікар-педіатр",AB746*AG743,IF($B$743="Лікар-терапевт","х",IF($B$743="Лікар загальної практики - сімейний лікар",AB746*AG743,0)))</f>
        <v>0</v>
      </c>
      <c r="AC743" s="196">
        <f>IF($B$743="Лікар-педіатр",AC746*AG743,IF($B$743="Лікар-терапевт","х",IF($B$743="Лікар загальної практики - сімейний лікар",AC746*AG743,0)))</f>
        <v>0</v>
      </c>
      <c r="AD743" s="196">
        <f>IF($B$743="Лікар-педіатр","x",IF($B$743="Лікар-терапевт",AD746*AG743,IF($B$743="Лікар загальної практики - сімейний лікар",AD746*AG743,0)))</f>
        <v>0</v>
      </c>
      <c r="AE743" s="196">
        <f>IF($B$743="Лікар-педіатр","x",IF($B$743="Лікар-терапевт",AE746*AG743,IF($B$743="Лікар загальної практики - сімейний лікар",AE746*AG743,0)))</f>
        <v>0</v>
      </c>
      <c r="AF743" s="196">
        <f>IF($B$743="Лікар-педіатр","x",IF($B$743="Лікар-терапевт",AF746*AG743,IF($B$743="Лікар загальної практики - сімейний лікар",AF746*AG743,0)))</f>
        <v>0</v>
      </c>
      <c r="AG743" s="557"/>
      <c r="AH743" s="941"/>
      <c r="AI743" s="540">
        <f>A743</f>
        <v>55</v>
      </c>
      <c r="AJ743" s="944">
        <f>B743</f>
        <v>0</v>
      </c>
      <c r="AK743" s="959">
        <f>C743</f>
        <v>0</v>
      </c>
      <c r="AL743" s="959">
        <f>D743</f>
        <v>0</v>
      </c>
      <c r="AM743" s="929" t="s">
        <v>79</v>
      </c>
      <c r="AN743" s="947">
        <f>SUM(AN748:AN754)</f>
        <v>0</v>
      </c>
      <c r="AO743" s="947">
        <f>SUM(AO748:AO754)</f>
        <v>0</v>
      </c>
      <c r="AP743" s="947">
        <f>SUM(AP748:AP754)</f>
        <v>0</v>
      </c>
      <c r="AQ743" s="947">
        <f>SUM(AQ748:AQ754)</f>
        <v>0</v>
      </c>
      <c r="AR743" s="962">
        <f>SUM(AN743:AQ747)</f>
        <v>0</v>
      </c>
    </row>
    <row r="744" spans="1:44" s="50" customFormat="1" ht="28.15" hidden="1" customHeight="1">
      <c r="A744" s="197"/>
      <c r="B744" s="951"/>
      <c r="C744" s="954"/>
      <c r="D744" s="957"/>
      <c r="E744" s="939"/>
      <c r="F744" s="234" t="s">
        <v>660</v>
      </c>
      <c r="G744" s="196">
        <f>IF($B$743="Лікар-педіатр",G746*L744,IF($B$743="Лікар-терапевт","х",IF($B$743="Лікар загальної практики - сімейний лікар",G746*L744,0)))</f>
        <v>0</v>
      </c>
      <c r="H744" s="196">
        <f>IF($B$743="Лікар-педіатр",H746*L744,IF($B$743="Лікар-терапевт","х",IF($B$743="Лікар загальної практики - сімейний лікар",H746*L744,0)))</f>
        <v>0</v>
      </c>
      <c r="I744" s="196">
        <f>IF($B$743="Лікар-педіатр","x",IF($B$743="Лікар-терапевт",I746*L744,IF($B$743="Лікар загальної практики - сімейний лікар",I746*L744,0)))</f>
        <v>0</v>
      </c>
      <c r="J744" s="196">
        <f>IF($B$743="Лікар-педіатр","x",IF($B$743="Лікар-терапевт",J746*L744,IF($B$743="Лікар загальної практики - сімейний лікар",J746*L744,0)))</f>
        <v>0</v>
      </c>
      <c r="K744" s="196">
        <f>IF($B$743="Лікар-педіатр","x",IF($B$743="Лікар-терапевт",K746*L744,IF($B$743="Лікар загальної практики - сімейний лікар",K746*L744,0)))</f>
        <v>0</v>
      </c>
      <c r="L744" s="557"/>
      <c r="M744" s="942"/>
      <c r="N744" s="196">
        <f>IF($B$743="Лікар-педіатр",N746*S744,IF($B$743="Лікар-терапевт","х",IF($B$743="Лікар загальної практики - сімейний лікар",N746*S744,0)))</f>
        <v>0</v>
      </c>
      <c r="O744" s="196">
        <f>IF($B$743="Лікар-педіатр",O746*S744,IF($B$743="Лікар-терапевт","х",IF($B$743="Лікар загальної практики - сімейний лікар",O746*S744,0)))</f>
        <v>0</v>
      </c>
      <c r="P744" s="196">
        <f>IF($B$743="Лікар-педіатр","x",IF($B$743="Лікар-терапевт",P746*S744,IF($B$743="Лікар загальної практики - сімейний лікар",P746*S744,0)))</f>
        <v>0</v>
      </c>
      <c r="Q744" s="196">
        <f>IF($B$743="Лікар-педіатр","x",IF($B$743="Лікар-терапевт",Q746*S744,IF($B$743="Лікар загальної практики - сімейний лікар",Q746*S744,0)))</f>
        <v>0</v>
      </c>
      <c r="R744" s="196">
        <f>IF($B$743="Лікар-педіатр","x",IF($B$743="Лікар-терапевт",R746*S744,IF($B$743="Лікар загальної практики - сімейний лікар",R746*S744,0)))</f>
        <v>0</v>
      </c>
      <c r="S744" s="557"/>
      <c r="T744" s="942"/>
      <c r="U744" s="196">
        <f>IF($B$743="Лікар-педіатр",U746*Z744,IF($B$743="Лікар-терапевт","х",IF($B$743="Лікар загальної практики - сімейний лікар",U746*Z744,0)))</f>
        <v>0</v>
      </c>
      <c r="V744" s="196">
        <f>IF($B$743="Лікар-педіатр",V746*Z744,IF($B$743="Лікар-терапевт","х",IF($B$743="Лікар загальної практики - сімейний лікар",V746*Z744,0)))</f>
        <v>0</v>
      </c>
      <c r="W744" s="196">
        <f>IF($B$743="Лікар-педіатр","x",IF($B$743="Лікар-терапевт",W746*Z744,IF($B$743="Лікар загальної практики - сімейний лікар",W746*Z744,0)))</f>
        <v>0</v>
      </c>
      <c r="X744" s="196">
        <f>IF($B$743="Лікар-педіатр","x",IF($B$743="Лікар-терапевт",X746*Z744,IF($B$743="Лікар загальної практики - сімейний лікар",X746*Z744,0)))</f>
        <v>0</v>
      </c>
      <c r="Y744" s="196">
        <f>IF($B$743="Лікар-педіатр","x",IF($B$743="Лікар-терапевт",Y746*Z744,IF($B$743="Лікар загальної практики - сімейний лікар",Y746*Z744,0)))</f>
        <v>0</v>
      </c>
      <c r="Z744" s="557"/>
      <c r="AA744" s="942"/>
      <c r="AB744" s="196">
        <f>IF($B$743="Лікар-педіатр",AB746*AG744,IF($B$743="Лікар-терапевт","х",IF($B$743="Лікар загальної практики - сімейний лікар",AB746*AG744,0)))</f>
        <v>0</v>
      </c>
      <c r="AC744" s="196">
        <f>IF($B$743="Лікар-педіатр",AC746*AG744,IF($B$743="Лікар-терапевт","х",IF($B$743="Лікар загальної практики - сімейний лікар",AC746*AG744,0)))</f>
        <v>0</v>
      </c>
      <c r="AD744" s="196">
        <f>IF($B$743="Лікар-педіатр","x",IF($B$743="Лікар-терапевт",AD746*AG744,IF($B$743="Лікар загальної практики - сімейний лікар",AD746*AG744,0)))</f>
        <v>0</v>
      </c>
      <c r="AE744" s="196">
        <f>IF($B$743="Лікар-педіатр","x",IF($B$743="Лікар-терапевт",AE746*AG744,IF($B$743="Лікар загальної практики - сімейний лікар",AE746*AG744,0)))</f>
        <v>0</v>
      </c>
      <c r="AF744" s="196">
        <f>IF($B$743="Лікар-педіатр","x",IF($B$743="Лікар-терапевт",AF746*AG744,IF($B$743="Лікар загальної практики - сімейний лікар",AF746*AG744,0)))</f>
        <v>0</v>
      </c>
      <c r="AG744" s="557"/>
      <c r="AH744" s="942"/>
      <c r="AI744" s="198"/>
      <c r="AJ744" s="945"/>
      <c r="AK744" s="960"/>
      <c r="AL744" s="960"/>
      <c r="AM744" s="930"/>
      <c r="AN744" s="948"/>
      <c r="AO744" s="948"/>
      <c r="AP744" s="948"/>
      <c r="AQ744" s="948"/>
      <c r="AR744" s="963"/>
    </row>
    <row r="745" spans="1:44" s="90" customFormat="1" ht="31.15" hidden="1" customHeight="1">
      <c r="A745" s="240"/>
      <c r="B745" s="951"/>
      <c r="C745" s="954"/>
      <c r="D745" s="957"/>
      <c r="E745" s="939"/>
      <c r="F745" s="241" t="s">
        <v>661</v>
      </c>
      <c r="G745" s="199">
        <f>IF(B743="Лікар загальної практики - сімейний лікар"," ",IF(B743="Лікар-педіатр"," ",IF(B743="Лікар-терапевт","х",0)))</f>
        <v>0</v>
      </c>
      <c r="H745" s="199">
        <f>IF(B743="Лікар загальної практики - сімейний лікар"," ",IF(B743="Лікар-педіатр"," ",IF(B743="Лікар-терапевт","х",0)))</f>
        <v>0</v>
      </c>
      <c r="I745" s="199">
        <f>IF(B743="Лікар загальної практики - сімейний лікар"," ",IF(B743="Лікар-педіатр","х",IF(B743="Лікар-терапевт"," ",0)))</f>
        <v>0</v>
      </c>
      <c r="J745" s="199">
        <f>IF(B743="Лікар загальної практики - сімейний лікар"," ",IF(B743="Лікар-педіатр","х",IF(B743="Лікар-терапевт"," ",0)))</f>
        <v>0</v>
      </c>
      <c r="K745" s="199">
        <f>IF(B743="Лікар загальної практики - сімейний лікар"," ",IF(B743="Лікар-педіатр","х",IF(B743="Лікар-терапевт"," ",0)))</f>
        <v>0</v>
      </c>
      <c r="L745" s="200">
        <f>SUM(G745:K745)</f>
        <v>0</v>
      </c>
      <c r="M745" s="942"/>
      <c r="N745" s="199">
        <f>IF(B743="Лікар загальної практики - сімейний лікар"," ",IF(B743="Лікар-педіатр"," ",IF(B743="Лікар-терапевт","х",0)))</f>
        <v>0</v>
      </c>
      <c r="O745" s="199">
        <f>IF(B743="Лікар загальної практики - сімейний лікар"," ",IF(B743="Лікар-педіатр"," ",IF(B743="Лікар-терапевт","х",0)))</f>
        <v>0</v>
      </c>
      <c r="P745" s="199">
        <f>IF(B743="Лікар загальної практики - сімейний лікар"," ",IF(B743="Лікар-педіатр","х",IF(B743="Лікар-терапевт"," ",0)))</f>
        <v>0</v>
      </c>
      <c r="Q745" s="199">
        <f>IF(B743="Лікар загальної практики - сімейний лікар"," ",IF(B743="Лікар-педіатр","х",IF(B743="Лікар-терапевт"," ",0)))</f>
        <v>0</v>
      </c>
      <c r="R745" s="199">
        <f>IF(B743="Лікар загальної практики - сімейний лікар"," ",IF(B743="Лікар-педіатр","х",IF(B743="Лікар-терапевт"," ",0)))</f>
        <v>0</v>
      </c>
      <c r="S745" s="200">
        <f>SUM(N745:R745)</f>
        <v>0</v>
      </c>
      <c r="T745" s="942"/>
      <c r="U745" s="199">
        <f>IF(B743="Лікар загальної практики - сімейний лікар"," ",IF(B743="Лікар-педіатр"," ",IF(B743="Лікар-терапевт","х",0)))</f>
        <v>0</v>
      </c>
      <c r="V745" s="199">
        <f>IF(B743="Лікар загальної практики - сімейний лікар"," ",IF(B743="Лікар-педіатр"," ",IF(B743="Лікар-терапевт","х",0)))</f>
        <v>0</v>
      </c>
      <c r="W745" s="199">
        <f>IF(B743="Лікар загальної практики - сімейний лікар"," ",IF(B743="Лікар-педіатр","х",IF(B743="Лікар-терапевт"," ",0)))</f>
        <v>0</v>
      </c>
      <c r="X745" s="199">
        <f>IF(B743="Лікар загальної практики - сімейний лікар"," ",IF(B743="Лікар-педіатр","х",IF(B743="Лікар-терапевт"," ",0)))</f>
        <v>0</v>
      </c>
      <c r="Y745" s="199">
        <f>IF(B743="Лікар загальної практики - сімейний лікар"," ",IF(B743="Лікар-педіатр","х",IF(B743="Лікар-терапевт"," ",0)))</f>
        <v>0</v>
      </c>
      <c r="Z745" s="200">
        <f>SUM(U745:Y745)</f>
        <v>0</v>
      </c>
      <c r="AA745" s="942"/>
      <c r="AB745" s="199">
        <f>IF(B743="Лікар загальної практики - сімейний лікар"," ",IF(B743="Лікар-педіатр"," ",IF(B743="Лікар-терапевт","х",0)))</f>
        <v>0</v>
      </c>
      <c r="AC745" s="199">
        <f>IF(B743="Лікар загальної практики - сімейний лікар"," ",IF(B743="Лікар-педіатр"," ",IF(B743="Лікар-терапевт","х",0)))</f>
        <v>0</v>
      </c>
      <c r="AD745" s="199">
        <f>IF(B743="Лікар загальної практики - сімейний лікар"," ",IF(B743="Лікар-педіатр","х",IF(B743="Лікар-терапевт"," ",0)))</f>
        <v>0</v>
      </c>
      <c r="AE745" s="199">
        <f>IF(B743="Лікар загальної практики - сімейний лікар"," ",IF(B743="Лікар-педіатр","х",IF(B743="Лікар-терапевт"," ",0)))</f>
        <v>0</v>
      </c>
      <c r="AF745" s="199">
        <f>IF(B743="Лікар загальної практики - сімейний лікар"," ",IF(B743="Лікар-педіатр","х",IF(B743="Лікар-терапевт"," ",0)))</f>
        <v>0</v>
      </c>
      <c r="AG745" s="200">
        <f>SUM(AB745:AF745)</f>
        <v>0</v>
      </c>
      <c r="AH745" s="942"/>
      <c r="AI745" s="242"/>
      <c r="AJ745" s="945"/>
      <c r="AK745" s="960"/>
      <c r="AL745" s="960"/>
      <c r="AM745" s="930"/>
      <c r="AN745" s="948"/>
      <c r="AO745" s="948"/>
      <c r="AP745" s="948"/>
      <c r="AQ745" s="948"/>
      <c r="AR745" s="963"/>
    </row>
    <row r="746" spans="1:44" s="50" customFormat="1" ht="31.9" hidden="1" customHeight="1" thickBot="1">
      <c r="A746" s="197"/>
      <c r="B746" s="951"/>
      <c r="C746" s="954"/>
      <c r="D746" s="957"/>
      <c r="E746" s="939"/>
      <c r="F746" s="236" t="s">
        <v>426</v>
      </c>
      <c r="G746" s="203">
        <f>IF($B$743="Лікар-педіатр",G745/L745,IF($B$743="Лікар-терапевт","х",IF($B$743="Лікар загальної практики - сімейний лікар",G745/L745,0)))</f>
        <v>0</v>
      </c>
      <c r="H746" s="203">
        <f>IF($B$743="Лікар-педіатр",H745/L745,IF($B$743="Лікар-терапевт","х",IF($B$743="Лікар загальної практики - сімейний лікар",H745/L745,0)))</f>
        <v>0</v>
      </c>
      <c r="I746" s="203">
        <f>IF($B$743="Лікар-педіатр","x",IF($B$743="Лікар-терапевт",I745/L745,IF($B$743="Лікар загальної практики - сімейний лікар",I745/L745,0)))</f>
        <v>0</v>
      </c>
      <c r="J746" s="203">
        <f>IF($B$743="Лікар-педіатр","x",IF($B$743="Лікар-терапевт",J745/L745,IF($B$743="Лікар загальної практики - сімейний лікар",J745/L745,0)))</f>
        <v>0</v>
      </c>
      <c r="K746" s="203">
        <f>IF($B$743="Лікар-педіатр","x",IF($B$743="Лікар-терапевт",K745/L745,IF($B$743="Лікар загальної практики - сімейний лікар",K745/L745,0)))</f>
        <v>0</v>
      </c>
      <c r="L746" s="203">
        <f>SUM(G746:K746)</f>
        <v>0</v>
      </c>
      <c r="M746" s="942"/>
      <c r="N746" s="203">
        <f>IF($B$743="Лікар-педіатр",N745/S745,IF($B$743="Лікар-терапевт","х",IF($B$743="Лікар загальної практики - сімейний лікар",N745/S745,0)))</f>
        <v>0</v>
      </c>
      <c r="O746" s="203">
        <f>IF($B$743="Лікар-педіатр",O745/S745,IF($B$743="Лікар-терапевт","х",IF($B$743="Лікар загальної практики - сімейний лікар",O745/S745,0)))</f>
        <v>0</v>
      </c>
      <c r="P746" s="203">
        <f>IF($B$743="Лікар-педіатр","x",IF($B$743="Лікар-терапевт",P745/S745,IF($B$743="Лікар загальної практики - сімейний лікар",P745/S745,0)))</f>
        <v>0</v>
      </c>
      <c r="Q746" s="203">
        <f>IF($B$743="Лікар-педіатр","x",IF($B$743="Лікар-терапевт",Q745/S745,IF($B$743="Лікар загальної практики - сімейний лікар",Q745/S745,0)))</f>
        <v>0</v>
      </c>
      <c r="R746" s="203">
        <f>IF($B$743="Лікар-педіатр","x",IF($B$743="Лікар-терапевт",R745/S745,IF($B$743="Лікар загальної практики - сімейний лікар",R745/S745,0)))</f>
        <v>0</v>
      </c>
      <c r="S746" s="203">
        <f>SUM(N746:R746)</f>
        <v>0</v>
      </c>
      <c r="T746" s="942"/>
      <c r="U746" s="203">
        <f>IF($B$743="Лікар-педіатр",U745/Z745,IF($B$743="Лікар-терапевт","х",IF($B$743="Лікар загальної практики - сімейний лікар",U745/Z745,0)))</f>
        <v>0</v>
      </c>
      <c r="V746" s="203">
        <f>IF($B$743="Лікар-педіатр",V745/Z745,IF($B$743="Лікар-терапевт","х",IF($B$743="Лікар загальної практики - сімейний лікар",V745/Z745,0)))</f>
        <v>0</v>
      </c>
      <c r="W746" s="203">
        <f>IF($B$743="Лікар-педіатр","x",IF($B$743="Лікар-терапевт",W745/Z745,IF($B$743="Лікар загальної практики - сімейний лікар",W745/Z745,0)))</f>
        <v>0</v>
      </c>
      <c r="X746" s="203">
        <f>IF($B$743="Лікар-педіатр","x",IF($B$743="Лікар-терапевт",X745/Z745,IF($B$743="Лікар загальної практики - сімейний лікар",X745/Z745,0)))</f>
        <v>0</v>
      </c>
      <c r="Y746" s="203">
        <f>IF($B$743="Лікар-педіатр","x",IF($B$743="Лікар-терапевт",Y745/Z745,IF($B$743="Лікар загальної практики - сімейний лікар",Y745/Z745,0)))</f>
        <v>0</v>
      </c>
      <c r="Z746" s="203">
        <f>SUM(U746:Y746)</f>
        <v>0</v>
      </c>
      <c r="AA746" s="942"/>
      <c r="AB746" s="203">
        <f>IF($B$743="Лікар-педіатр",AB745/AG745,IF($B$743="Лікар-терапевт","х",IF($B$743="Лікар загальної практики - сімейний лікар",AB745/AG745,0)))</f>
        <v>0</v>
      </c>
      <c r="AC746" s="203">
        <f>IF($B$743="Лікар-педіатр",AC745/AG745,IF($B$743="Лікар-терапевт","х",IF($B$743="Лікар загальної практики - сімейний лікар",AC745/AG745,0)))</f>
        <v>0</v>
      </c>
      <c r="AD746" s="203">
        <f>IF($B$743="Лікар-педіатр","x",IF($B$743="Лікар-терапевт",AD745/AG745,IF($B$743="Лікар загальної практики - сімейний лікар",AD745/AG745,0)))</f>
        <v>0</v>
      </c>
      <c r="AE746" s="203">
        <f>IF($B$743="Лікар-педіатр","x",IF($B$743="Лікар-терапевт",AE745/AG745,IF($B$743="Лікар загальної практики - сімейний лікар",AE745/AG745,0)))</f>
        <v>0</v>
      </c>
      <c r="AF746" s="203">
        <f>IF($B$743="Лікар-педіатр","x",IF($B$743="Лікар-терапевт",AF745/AG745,IF($B$743="Лікар загальної практики - сімейний лікар",AF745/AG745,0)))</f>
        <v>0</v>
      </c>
      <c r="AG746" s="203">
        <f>SUM(AB746:AF746)</f>
        <v>0</v>
      </c>
      <c r="AH746" s="942"/>
      <c r="AI746" s="201"/>
      <c r="AJ746" s="945"/>
      <c r="AK746" s="960"/>
      <c r="AL746" s="960"/>
      <c r="AM746" s="930"/>
      <c r="AN746" s="948"/>
      <c r="AO746" s="948"/>
      <c r="AP746" s="948"/>
      <c r="AQ746" s="948"/>
      <c r="AR746" s="963"/>
    </row>
    <row r="747" spans="1:44" s="50" customFormat="1" ht="45" hidden="1" customHeight="1" thickBot="1">
      <c r="A747" s="197"/>
      <c r="B747" s="951"/>
      <c r="C747" s="954"/>
      <c r="D747" s="957"/>
      <c r="E747" s="939"/>
      <c r="F747" s="204" t="s">
        <v>662</v>
      </c>
      <c r="G747" s="205">
        <f>IF($B$743="Лікар загальної практики - сімейний лікар",AVERAGE(G743:G745),IF($B$743="Лікар-педіатр",AVERAGE(G743:G745),IF($B$743="Лікар-терапевт","х",0)))</f>
        <v>0</v>
      </c>
      <c r="H747" s="205">
        <f>IF($B$743="Лікар загальної практики - сімейний лікар",AVERAGE(H743:H745),IF($B$743="Лікар-педіатр",AVERAGE(H743:H745),IF($B$743="Лікар-терапевт","х",0)))</f>
        <v>0</v>
      </c>
      <c r="I747" s="205">
        <f>IF($B$743="Лікар загальної практики - сімейний лікар",AVERAGE(I743:I745),IF($B$743="Лікар-педіатр","x",IF($B$743="Лікар-терапевт",AVERAGE(I743:I745),0)))</f>
        <v>0</v>
      </c>
      <c r="J747" s="205">
        <f>IF($B$743="Лікар загальної практики - сімейний лікар",AVERAGE(J743:J745),IF($B$743="Лікар-педіатр","x",IF($B$743="Лікар-терапевт",AVERAGE(J743:J745),0)))</f>
        <v>0</v>
      </c>
      <c r="K747" s="205">
        <f>IF($B$743="Лікар загальної практики - сімейний лікар",AVERAGE(K743:K745),IF($B$743="Лікар-педіатр","x",IF($B$743="Лікар-терапевт",AVERAGE(K743:K745),0)))</f>
        <v>0</v>
      </c>
      <c r="L747" s="206">
        <f>SUM(G747:K747)</f>
        <v>0</v>
      </c>
      <c r="M747" s="942"/>
      <c r="N747" s="205">
        <f>IF($B$743="Лікар загальної практики - сімейний лікар",AVERAGE(N743:N745),IF($B$743="Лікар-педіатр",AVERAGE(N743:N745),IF($B$743="Лікар-терапевт","х",0)))</f>
        <v>0</v>
      </c>
      <c r="O747" s="205">
        <f>IF($B$743="Лікар загальної практики - сімейний лікар",AVERAGE(O743:O745),IF($B$743="Лікар-педіатр",AVERAGE(O743:O745),IF($B$743="Лікар-терапевт","х",0)))</f>
        <v>0</v>
      </c>
      <c r="P747" s="205">
        <f>IF($B$743="Лікар загальної практики - сімейний лікар",AVERAGE(P743:P745),IF($B$743="Лікар-педіатр","x",IF($B$743="Лікар-терапевт",AVERAGE(P743:P745),0)))</f>
        <v>0</v>
      </c>
      <c r="Q747" s="205">
        <f>IF($B$743="Лікар загальної практики - сімейний лікар",AVERAGE(Q743:Q745),IF($B$743="Лікар-педіатр","x",IF($B$743="Лікар-терапевт",AVERAGE(Q743:Q745),0)))</f>
        <v>0</v>
      </c>
      <c r="R747" s="205">
        <f>IF($B$743="Лікар загальної практики - сімейний лікар",AVERAGE(R743:R745),IF($B$743="Лікар-педіатр","x",IF($B$743="Лікар-терапевт",AVERAGE(R743:R745),0)))</f>
        <v>0</v>
      </c>
      <c r="S747" s="206">
        <f>SUM(N747:R747)</f>
        <v>0</v>
      </c>
      <c r="T747" s="942"/>
      <c r="U747" s="205">
        <f>IF($B$743="Лікар загальної практики - сімейний лікар",AVERAGE(U743:U745),IF($B$743="Лікар-педіатр",AVERAGE(U743:U745),IF($B$743="Лікар-терапевт","х",0)))</f>
        <v>0</v>
      </c>
      <c r="V747" s="205">
        <f>IF($B$743="Лікар загальної практики - сімейний лікар",AVERAGE(V743:V745),IF($B$743="Лікар-педіатр",AVERAGE(V743:V745),IF($B$743="Лікар-терапевт","х",0)))</f>
        <v>0</v>
      </c>
      <c r="W747" s="205">
        <f>IF($B$743="Лікар загальної практики - сімейний лікар",AVERAGE(W743:W745),IF($B$743="Лікар-педіатр","x",IF($B$743="Лікар-терапевт",AVERAGE(W743:W745),0)))</f>
        <v>0</v>
      </c>
      <c r="X747" s="205">
        <f>IF($B$743="Лікар загальної практики - сімейний лікар",AVERAGE(X743:X745),IF($B$743="Лікар-педіатр","x",IF($B$743="Лікар-терапевт",AVERAGE(X743:X745),0)))</f>
        <v>0</v>
      </c>
      <c r="Y747" s="205">
        <f>IF($B$743="Лікар загальної практики - сімейний лікар",AVERAGE(Y743:Y745),IF($B$743="Лікар-педіатр","x",IF($B$743="Лікар-терапевт",AVERAGE(Y743:Y745),0)))</f>
        <v>0</v>
      </c>
      <c r="Z747" s="206">
        <f>SUM(U747:Y747)</f>
        <v>0</v>
      </c>
      <c r="AA747" s="942"/>
      <c r="AB747" s="205">
        <f>IF($B$743="Лікар загальної практики - сімейний лікар",AVERAGE(AB743:AB745),IF($B$743="Лікар-педіатр",AVERAGE(AB743:AB745),IF($B$743="Лікар-терапевт","х",0)))</f>
        <v>0</v>
      </c>
      <c r="AC747" s="205">
        <f>IF($B$743="Лікар загальної практики - сімейний лікар",AVERAGE(AC743:AC745),IF($B$743="Лікар-педіатр",AVERAGE(AC743:AC745),IF($B$743="Лікар-терапевт","х",0)))</f>
        <v>0</v>
      </c>
      <c r="AD747" s="205">
        <f>IF($B$743="Лікар загальної практики - сімейний лікар",AVERAGE(AD743:AD745),IF($B$743="Лікар-педіатр","x",IF($B$743="Лікар-терапевт",AVERAGE(AD743:AD745),0)))</f>
        <v>0</v>
      </c>
      <c r="AE747" s="205">
        <f>IF($B$743="Лікар загальної практики - сімейний лікар",AVERAGE(AE743:AE745),IF($B$743="Лікар-педіатр","x",IF($B$743="Лікар-терапевт",AVERAGE(AE743:AE745),0)))</f>
        <v>0</v>
      </c>
      <c r="AF747" s="205">
        <f>IF($B$743="Лікар загальної практики - сімейний лікар",AVERAGE(AF743:AF745),IF($B$743="Лікар-педіатр","x",IF($B$743="Лікар-терапевт",AVERAGE(AF743:AF745),0)))</f>
        <v>0</v>
      </c>
      <c r="AG747" s="206">
        <f>SUM(AB747:AF747)</f>
        <v>0</v>
      </c>
      <c r="AH747" s="942"/>
      <c r="AI747" s="201"/>
      <c r="AJ747" s="945"/>
      <c r="AK747" s="960"/>
      <c r="AL747" s="960"/>
      <c r="AM747" s="931"/>
      <c r="AN747" s="949"/>
      <c r="AO747" s="949"/>
      <c r="AP747" s="949"/>
      <c r="AQ747" s="949"/>
      <c r="AR747" s="964"/>
    </row>
    <row r="748" spans="1:44" s="50" customFormat="1" ht="40.5" hidden="1">
      <c r="A748" s="197"/>
      <c r="B748" s="951"/>
      <c r="C748" s="954"/>
      <c r="D748" s="957"/>
      <c r="E748" s="939"/>
      <c r="F748" s="237" t="str">
        <f ca="1">IF(B743="Лікар-педіатр",Законод!$C$17,IF(B743="Лікар загальної практики - сімейний лікар",Законод!$C$21,IF(B743="Лікар-терапевт",Законод!$C$25,"х")))</f>
        <v>х</v>
      </c>
      <c r="G748" s="208">
        <f ca="1">IF($B$743="Лікар загальної практики - сімейний лікар",IF(L747&lt;=Законод!$C$22,G747,Законод!$C$22*'01_Доходи'!G746),IF($B$743="Лікар-педіатр",IF(L747&lt;=Законод!$C$18,G747,Законод!$C$18*'01_Доходи'!G746),IF($B$743="Лікар-терапевт","x",0)))</f>
        <v>0</v>
      </c>
      <c r="H748" s="208">
        <f ca="1">IF($B$743="Лікар загальної практики - сімейний лікар",IF(L747&lt;=Законод!$C$22,H747,Законод!$C$22*'01_Доходи'!H746),IF($B$743="Лікар-педіатр",IF(L747&lt;=Законод!$C$18,H747,Законод!$C$18*'01_Доходи'!H746),IF($B$743="Лікар-терапевт","x",0)))</f>
        <v>0</v>
      </c>
      <c r="I748" s="208">
        <f ca="1">IF($B$743="Лікар загальної практики - сімейний лікар",IF(L747&lt;=Законод!$C$22,I747,Законод!$C$22*'01_Доходи'!I746),IF($B$743="Лікар-педіатр","x",IF($B$743="Лікар-терапевт",IF(L747&lt;=Законод!$C$26,I747,Законод!$C$26*'01_Доходи'!I746),0)))</f>
        <v>0</v>
      </c>
      <c r="J748" s="208">
        <f ca="1">IF($B$743="Лікар загальної практики - сімейний лікар",IF(L747&lt;=Законод!$C$22,J747,Законод!$C$22*'01_Доходи'!J746),IF($B$743="Лікар-педіатр","x",IF($B$743="Лікар-терапевт",IF(L747&lt;=Законод!$C$26,J747,Законод!$C$26*'01_Доходи'!J746),0)))</f>
        <v>0</v>
      </c>
      <c r="K748" s="208">
        <f ca="1">IF($B$743="Лікар загальної практики - сімейний лікар",IF(L747&lt;=Законод!$C$22,K747,Законод!$C$22*'01_Доходи'!K746),IF($B$743="Лікар-педіатр","x",IF($B$743="Лікар-терапевт",IF(L747&lt;=Законод!$C$26,K747,Законод!$C$26*'01_Доходи'!K746),0)))</f>
        <v>0</v>
      </c>
      <c r="L748" s="209">
        <f ca="1">SUM(G748:K748)</f>
        <v>0</v>
      </c>
      <c r="M748" s="942"/>
      <c r="N748" s="208">
        <f ca="1">IF($B$743="Лікар загальної практики - сімейний лікар",IF(S747&lt;=Законод!$C$22,N747,Законод!$C$22*'01_Доходи'!N746),IF($B$743="Лікар-педіатр",IF(S747&lt;=Законод!$C$18,N747,Законод!$C$18*'01_Доходи'!N746),IF($B$743="Лікар-терапевт","x",0)))</f>
        <v>0</v>
      </c>
      <c r="O748" s="208">
        <f ca="1">IF($B$743="Лікар загальної практики - сімейний лікар",IF(S747&lt;=Законод!$C$22,O747,Законод!$C$22*'01_Доходи'!O746),IF($B$743="Лікар-педіатр",IF(S747&lt;=Законод!$C$18,O747,Законод!$C$18*'01_Доходи'!O746),IF($B$743="Лікар-терапевт","x",0)))</f>
        <v>0</v>
      </c>
      <c r="P748" s="208">
        <f ca="1">IF($B$743="Лікар загальної практики - сімейний лікар",IF(S747&lt;=Законод!$C$22,P747,Законод!$C$22*'01_Доходи'!P746),IF($B$743="Лікар-педіатр","x",IF($B$743="Лікар-терапевт",IF(S747&lt;=Законод!$C$26,P747,Законод!$C$26*'01_Доходи'!P746),0)))</f>
        <v>0</v>
      </c>
      <c r="Q748" s="208">
        <f ca="1">IF($B$743="Лікар загальної практики - сімейний лікар",IF(S747&lt;=Законод!$C$22,Q747,Законод!$C$22*'01_Доходи'!Q746),IF($B$743="Лікар-педіатр","x",IF($B$743="Лікар-терапевт",IF(S747&lt;=Законод!$C$26,Q747,Законод!$C$26*'01_Доходи'!Q746),0)))</f>
        <v>0</v>
      </c>
      <c r="R748" s="208">
        <f ca="1">IF($B$743="Лікар загальної практики - сімейний лікар",IF(S747&lt;=Законод!$C$22,R747,Законод!$C$22*'01_Доходи'!R746),IF($B$743="Лікар-педіатр","x",IF($B$743="Лікар-терапевт",IF(S747&lt;=Законод!$C$26,R747,Законод!$C$26*'01_Доходи'!R746),0)))</f>
        <v>0</v>
      </c>
      <c r="S748" s="209">
        <f ca="1">SUM(N748:R748)</f>
        <v>0</v>
      </c>
      <c r="T748" s="942"/>
      <c r="U748" s="208">
        <f ca="1">IF($B$743="Лікар загальної практики - сімейний лікар",IF(Z747&lt;=Законод!$C$22,U747,Законод!$C$22*'01_Доходи'!U746),IF($B$743="Лікар-педіатр",IF(Z747&lt;=Законод!$C$18,U747,Законод!$C$18*'01_Доходи'!U746),IF($B$743="Лікар-терапевт","x",0)))</f>
        <v>0</v>
      </c>
      <c r="V748" s="208">
        <f ca="1">IF($B$743="Лікар загальної практики - сімейний лікар",IF(Z747&lt;=Законод!$C$22,V747,Законод!$C$22*'01_Доходи'!V746),IF($B$743="Лікар-педіатр",IF(Z747&lt;=Законод!$C$18,V747,Законод!$C$18*'01_Доходи'!V746),IF($B$743="Лікар-терапевт","x",0)))</f>
        <v>0</v>
      </c>
      <c r="W748" s="208">
        <f ca="1">IF($B$743="Лікар загальної практики - сімейний лікар",IF(Z747&lt;=Законод!$C$22,W747,Законод!$C$22*'01_Доходи'!W746),IF($B$743="Лікар-педіатр","x",IF($B$743="Лікар-терапевт",IF(Z747&lt;=Законод!$C$26,W747,Законод!$C$26*'01_Доходи'!W746),0)))</f>
        <v>0</v>
      </c>
      <c r="X748" s="208">
        <f ca="1">IF($B$743="Лікар загальної практики - сімейний лікар",IF(Z747&lt;=Законод!$C$22,X747,Законод!$C$22*'01_Доходи'!X746),IF($B$743="Лікар-педіатр","x",IF($B$743="Лікар-терапевт",IF(Z747&lt;=Законод!$C$26,X747,Законод!$C$26*'01_Доходи'!X746),0)))</f>
        <v>0</v>
      </c>
      <c r="Y748" s="208">
        <f ca="1">IF($B$743="Лікар загальної практики - сімейний лікар",IF(Z747&lt;=Законод!$C$22,Y747,Законод!$C$22*'01_Доходи'!Y746),IF($B$743="Лікар-педіатр","x",IF($B$743="Лікар-терапевт",IF(Z747&lt;=Законод!$C$26,Y747,Законод!$C$26*'01_Доходи'!Y746),0)))</f>
        <v>0</v>
      </c>
      <c r="Z748" s="209">
        <f ca="1">SUM(U748:Y748)</f>
        <v>0</v>
      </c>
      <c r="AA748" s="942"/>
      <c r="AB748" s="208">
        <f ca="1">IF($B$743="Лікар загальної практики - сімейний лікар",IF(AG747&lt;=Законод!$C$22,AB747,Законод!$C$22*'01_Доходи'!AB746),IF($B$743="Лікар-педіатр",IF(AG747&lt;=Законод!$C$18,AB747,Законод!$C$18*'01_Доходи'!AB746),IF($B$743="Лікар-терапевт","x",0)))</f>
        <v>0</v>
      </c>
      <c r="AC748" s="208">
        <f ca="1">IF($B$743="Лікар загальної практики - сімейний лікар",IF(AG747&lt;=Законод!$C$22,AC747,Законод!$C$22*'01_Доходи'!AC746),IF($B$743="Лікар-педіатр",IF(AG747&lt;=Законод!$C$18,AC747,Законод!$C$18*'01_Доходи'!AC746),IF($B$743="Лікар-терапевт","x",0)))</f>
        <v>0</v>
      </c>
      <c r="AD748" s="208">
        <f ca="1">IF($B$743="Лікар загальної практики - сімейний лікар",IF(AG747&lt;=Законод!$C$22,AD747,Законод!$C$22*'01_Доходи'!AD746),IF($B$743="Лікар-педіатр","x",IF($B$743="Лікар-терапевт",IF(AG747&lt;=Законод!$C$26,AD747,Законод!$C$26*'01_Доходи'!AD746),0)))</f>
        <v>0</v>
      </c>
      <c r="AE748" s="208">
        <f ca="1">IF($B$743="Лікар загальної практики - сімейний лікар",IF(AG747&lt;=Законод!$C$22,AE747,Законод!$C$22*'01_Доходи'!AE746),IF($B$743="Лікар-педіатр","x",IF($B$743="Лікар-терапевт",IF(AG747&lt;=Законод!$C$26,AE747,Законод!$C$26*'01_Доходи'!AE746),0)))</f>
        <v>0</v>
      </c>
      <c r="AF748" s="208">
        <f ca="1">IF($B$743="Лікар загальної практики - сімейний лікар",IF(AG747&lt;=Законод!$C$22,AF747,Законод!$C$22*'01_Доходи'!AF746),IF($B$743="Лікар-педіатр","x",IF($B$743="Лікар-терапевт",IF(AG747&lt;=Законод!$C$26,AF747,Законод!$C$26*'01_Доходи'!AF746),0)))</f>
        <v>0</v>
      </c>
      <c r="AG748" s="209">
        <f ca="1">SUM(AB748:AF748)</f>
        <v>0</v>
      </c>
      <c r="AH748" s="942"/>
      <c r="AI748" s="201"/>
      <c r="AJ748" s="945"/>
      <c r="AK748" s="960"/>
      <c r="AL748" s="960"/>
      <c r="AM748" s="348" t="s">
        <v>451</v>
      </c>
      <c r="AN748" s="210">
        <f ca="1">IF(B743="Лікар загальної практики - сімейний лікар",G748*Законод!$C$11+'01_Доходи'!H748*Законод!$D$11+'01_Доходи'!I748*Законод!$E$11+'01_Доходи'!J748*Законод!$F$11+'01_Доходи'!K748*Законод!$G$11,IF(B743="Лікар-педіатр",G748*Законод!$C$11+'01_Доходи'!H748*Законод!$D$11,IF(B743="Лікар-терапевт",'01_Доходи'!I748*Законод!$E$11+'01_Доходи'!J748*Законод!$F$11+'01_Доходи'!K748*Законод!$G$11,0)))</f>
        <v>0</v>
      </c>
      <c r="AO748" s="210">
        <f ca="1">IF(B743="Лікар загальної практики - сімейний лікар",N748*Законод!$C$11+'01_Доходи'!O748*Законод!$D$11+'01_Доходи'!P748*Законод!$E$11+'01_Доходи'!Q748*Законод!$F$11+'01_Доходи'!R748*Законод!$G$11,IF(B743="Лікар-педіатр",N748*Законод!$C$11+'01_Доходи'!O748*Законод!$D$11,IF(B743="Лікар-терапевт",'01_Доходи'!P748*Законод!$E$11+'01_Доходи'!Q748*Законод!$F$11+'01_Доходи'!R748*Законод!$G$11,0)))</f>
        <v>0</v>
      </c>
      <c r="AP748" s="210">
        <f ca="1">IF(B743="Лікар загальної практики - сімейний лікар",U748*Законод!$C$11+'01_Доходи'!V748*Законод!$D$11+'01_Доходи'!W748*Законод!$E$11+'01_Доходи'!X748*Законод!$F$11+'01_Доходи'!Y748*Законод!$G$11,IF(B743="Лікар-педіатр",U748*Законод!$C$11+'01_Доходи'!V748*Законод!$D$11,IF(B743="Лікар-терапевт",'01_Доходи'!W748*Законод!$E$11+'01_Доходи'!X748*Законод!$F$11+'01_Доходи'!Y748*Законод!$G$11,0)))</f>
        <v>0</v>
      </c>
      <c r="AQ748" s="210">
        <f ca="1">IF(B743="Лікар загальної практики - сімейний лікар",AB748*Законод!$C$11+'01_Доходи'!AC748*Законод!$D$11+'01_Доходи'!AD748*Законод!$E$11+'01_Доходи'!AE748*Законод!$F$11+'01_Доходи'!AF748*Законод!$G$11,IF(B743="Лікар-педіатр",AB748*Законод!$C$11+'01_Доходи'!AC748*Законод!$D$11,IF(B743="Лікар-терапевт",'01_Доходи'!AD748*Законод!$E$11+'01_Доходи'!AE748*Законод!$F$11+'01_Доходи'!AF748*Законод!$G$11,0)))</f>
        <v>0</v>
      </c>
      <c r="AR748" s="211">
        <f t="shared" ref="AR748:AR754" si="97">SUM(AN748:AQ748)</f>
        <v>0</v>
      </c>
    </row>
    <row r="749" spans="1:44" s="50" customFormat="1" ht="31.9" hidden="1" customHeight="1">
      <c r="A749" s="197"/>
      <c r="B749" s="951"/>
      <c r="C749" s="954"/>
      <c r="D749" s="957"/>
      <c r="E749" s="939"/>
      <c r="F749" s="238" t="str">
        <f ca="1">IF(B743="Лікар-педіатр",Законод!$E$17,IF(B743="Лікар загальної практики - сімейний лікар",Законод!$E$21,IF(B743="Лікар-терапевт",Законод!$E$25,"х")))</f>
        <v>х</v>
      </c>
      <c r="G749" s="935" t="s">
        <v>423</v>
      </c>
      <c r="H749" s="936"/>
      <c r="I749" s="936"/>
      <c r="J749" s="936"/>
      <c r="K749" s="937"/>
      <c r="L749" s="196">
        <f ca="1">IF($B$743="Лікар загальної практики - сімейний лікар",IF(L747&lt;Законод!$C$22,0,(IF(AND(L747&gt;=Законод!$E$22,L747&lt;=Законод!$E$23),L747-Законод!$C$22,IF('01_Доходи'!L747&gt;=Законод!$F$22,Законод!$E$24,0)))),IF($B$743="Лікар-педіатр",IF(L747&lt;Законод!$C$18,0,(IF(AND(L747&gt;=Законод!$E$18,L747&lt;=Законод!$E$19),L747-Законод!$C$18,IF('01_Доходи'!L747&gt;=Законод!$F$18,Законод!$E$20,0)))),IF($B$743="Лікар-терапевт",IF(L747&lt;Законод!$C$26,0,(IF(AND(L747&gt;=Законод!$E$26,L747&lt;=Законод!$E$27),L747-Законод!$C$26,IF('01_Доходи'!L747&gt;=Законод!$F$26,Законод!$E$28,0)))),0)))</f>
        <v>0</v>
      </c>
      <c r="M749" s="942"/>
      <c r="N749" s="935" t="s">
        <v>423</v>
      </c>
      <c r="O749" s="936"/>
      <c r="P749" s="936"/>
      <c r="Q749" s="936"/>
      <c r="R749" s="937"/>
      <c r="S749" s="196">
        <f ca="1">IF($B$743="Лікар загальної практики - сімейний лікар",IF(S747&lt;Законод!$C$22,0,(IF(AND(S747&gt;=Законод!$E$22,S747&lt;=Законод!$E$23),S747-Законод!$C$22,IF('01_Доходи'!S747&gt;=Законод!$F$22,Законод!$E$24,0)))),IF($B$743="Лікар-педіатр",IF(S747&lt;Законод!$C$18,0,(IF(AND(S747&gt;=Законод!$E$18,S747&lt;=Законод!$E$19),S747-Законод!$C$18,IF('01_Доходи'!S747&gt;=Законод!$F$18,Законод!$E$20,0)))),IF($B$743="Лікар-терапевт",IF(S747&lt;Законод!$C$26,0,(IF(AND(S747&gt;=Законод!$E$26,S747&lt;=Законод!$E$27),S747-Законод!$C$26,IF('01_Доходи'!S747&gt;=Законод!$F$26,Законод!$E$28,0)))),0)))</f>
        <v>0</v>
      </c>
      <c r="T749" s="942"/>
      <c r="U749" s="935" t="s">
        <v>423</v>
      </c>
      <c r="V749" s="936"/>
      <c r="W749" s="936"/>
      <c r="X749" s="936"/>
      <c r="Y749" s="937"/>
      <c r="Z749" s="196">
        <f ca="1">IF($B$743="Лікар загальної практики - сімейний лікар",IF(Z747&lt;Законод!$C$22,0,(IF(AND(Z747&gt;=Законод!$E$22,Z747&lt;=Законод!$E$23),Z747-Законод!$C$22,IF('01_Доходи'!Z747&gt;=Законод!$F$22,Законод!$E$24,0)))),IF($B$743="Лікар-педіатр",IF(Z747&lt;Законод!$C$18,0,(IF(AND(Z747&gt;=Законод!$E$18,Z747&lt;=Законод!$E$19),Z747-Законод!$C$18,IF('01_Доходи'!Z747&gt;=Законод!$F$18,Законод!$E$20,0)))),IF($B$743="Лікар-терапевт",IF(Z747&lt;Законод!$C$26,0,(IF(AND(Z747&gt;=Законод!$E$26,Z747&lt;=Законод!$E$27),Z747-Законод!$C$26,IF('01_Доходи'!Z747&gt;=Законод!$F$26,Законод!$E$28,0)))),0)))</f>
        <v>0</v>
      </c>
      <c r="AA749" s="942"/>
      <c r="AB749" s="935" t="s">
        <v>423</v>
      </c>
      <c r="AC749" s="936"/>
      <c r="AD749" s="936"/>
      <c r="AE749" s="936"/>
      <c r="AF749" s="937"/>
      <c r="AG749" s="196">
        <f ca="1">IF($B$743="Лікар загальної практики - сімейний лікар",IF(AG747&lt;Законод!$C$22,0,(IF(AND(AG747&gt;=Законод!$E$22,AG747&lt;=Законод!$E$23),AG747-Законод!$C$22,IF('01_Доходи'!AG747&gt;=Законод!$F$22,Законод!$E$24,0)))),IF($B$743="Лікар-педіатр",IF(AG747&lt;Законод!$C$18,0,(IF(AND(AG747&gt;=Законод!$E$18,AG747&lt;=Законод!$E$19),AG747-Законод!$C$18,IF('01_Доходи'!AG747&gt;=Законод!$F$18,Законод!$E$20,0)))),IF($B$743="Лікар-терапевт",IF(AG747&lt;Законод!$C$26,0,(IF(AND(AG747&gt;=Законод!$E$26,AG747&lt;=Законод!$E$27),AG747-Законод!$C$26,IF('01_Доходи'!AG747&gt;=Законод!$F$26,Законод!$E$28,0)))),0)))</f>
        <v>0</v>
      </c>
      <c r="AH749" s="942"/>
      <c r="AI749" s="201"/>
      <c r="AJ749" s="945"/>
      <c r="AK749" s="960"/>
      <c r="AL749" s="960"/>
      <c r="AM749" s="926" t="s">
        <v>452</v>
      </c>
      <c r="AN749" s="210">
        <f ca="1">IF(B743="Лікар загальної практики - сімейний лікар",L749*Законод!$C$9/4*Законод!$E$16,IF(B743="Лікар-педіатр",L749*Законод!$C$9/4*Законод!$E$16,IF(B743="Лікар-терапевт",L749*Законод!$C$9/4*Законод!$E$16,0)))</f>
        <v>0</v>
      </c>
      <c r="AO749" s="210">
        <f ca="1">IF(B743="Лікар загальної практики - сімейний лікар",S749*Законод!$C$9/4*Законод!$E$16,IF(B743="Лікар-педіатр",S749*Законод!$C$9/4*Законод!$E$16,IF(B743="Лікар-терапевт",S749*Законод!$C$9/4*Законод!$E$16,0)))</f>
        <v>0</v>
      </c>
      <c r="AP749" s="210">
        <f ca="1">IF(B743="Лікар загальної практики - сімейний лікар",Z749*Законод!$C$9/4*Законод!$E$16,IF(B743="Лікар-педіатр",Z749*Законод!$C$9/4*Законод!$E$16,IF(B743="Лікар-терапевт",Z749*Законод!$C$9/4*Законод!$E$16,0)))</f>
        <v>0</v>
      </c>
      <c r="AQ749" s="210">
        <f ca="1">IF(B743="Лікар загальної практики - сімейний лікар",AG749*Законод!$C$9/4*Законод!$E$16,IF(B743="Лікар-педіатр",AG749*Законод!$C$9/4*Законод!$E$16,IF(B743="Лікар-терапевт",AG749*Законод!$C$9/4*Законод!$E$16,0)))</f>
        <v>0</v>
      </c>
      <c r="AR749" s="211">
        <f t="shared" si="97"/>
        <v>0</v>
      </c>
    </row>
    <row r="750" spans="1:44" s="50" customFormat="1" ht="31.9" hidden="1" customHeight="1">
      <c r="A750" s="197"/>
      <c r="B750" s="951"/>
      <c r="C750" s="954"/>
      <c r="D750" s="957"/>
      <c r="E750" s="939"/>
      <c r="F750" s="238" t="str">
        <f ca="1">IF(B743="Лікар-педіатр",Законод!$F$17,IF(B743="Лікар загальної практики - сімейний лікар",Законод!$F$21,IF(B743="Лікар-терапевт",Законод!$F$25,"х")))</f>
        <v>х</v>
      </c>
      <c r="G750" s="935" t="s">
        <v>423</v>
      </c>
      <c r="H750" s="936"/>
      <c r="I750" s="936"/>
      <c r="J750" s="936"/>
      <c r="K750" s="937"/>
      <c r="L750" s="196">
        <f ca="1">IF($B$743="Лікар загальної практики - сімейний лікар",IF(L747&lt;Законод!$C$22,0,(IF(AND(L747&gt;=Законод!$F$22,L747&lt;=Законод!$F$23),L747-Законод!$E$23,IF('01_Доходи'!L747&gt;=Законод!$G$22,Законод!$F$24,0)))),IF($B$743="Лікар-педіатр",IF(L747&lt;Законод!$C$18,0,(IF(AND(L747&gt;=Законод!$F$18,L747&lt;=Законод!$F$19),L747-Законод!$E$19,IF('01_Доходи'!L747&gt;=Законод!$G$18,Законод!$F$20,0)))),IF($B$743="Лікар-терапевт",IF(L747&lt;Законод!$C$26,0,(IF(AND(L747&gt;=Законод!$F$26,L747&lt;=Законод!$F$27),L747-Законод!$E$27,IF('01_Доходи'!L747&gt;=Законод!$G$26,Законод!$F$28,0)))),0)))</f>
        <v>0</v>
      </c>
      <c r="M750" s="942"/>
      <c r="N750" s="935" t="s">
        <v>423</v>
      </c>
      <c r="O750" s="936"/>
      <c r="P750" s="936"/>
      <c r="Q750" s="936"/>
      <c r="R750" s="937"/>
      <c r="S750" s="196">
        <f ca="1">IF($B$743="Лікар загальної практики - сімейний лікар",IF(S747&lt;Законод!$C$22,0,(IF(AND(S747&gt;=Законод!$F$22,S747&lt;=Законод!$F$23),S747-Законод!$E$23,IF('01_Доходи'!S747&gt;=Законод!$G$22,Законод!$F$24,0)))),IF($B$743="Лікар-педіатр",IF(S747&lt;Законод!$C$18,0,(IF(AND(S747&gt;=Законод!$F$18,S747&lt;=Законод!$F$19),S747-Законод!$E$19,IF('01_Доходи'!S747&gt;=Законод!$G$18,Законод!$F$20,0)))),IF($B$743="Лікар-терапевт",IF(S747&lt;Законод!$C$26,0,(IF(AND(S747&gt;=Законод!$F$26,S747&lt;=Законод!$F$27),S747-Законод!$E$27,IF('01_Доходи'!S747&gt;=Законод!$G$26,Законод!$F$28,0)))),0)))</f>
        <v>0</v>
      </c>
      <c r="T750" s="942"/>
      <c r="U750" s="935" t="s">
        <v>423</v>
      </c>
      <c r="V750" s="936"/>
      <c r="W750" s="936"/>
      <c r="X750" s="936"/>
      <c r="Y750" s="937"/>
      <c r="Z750" s="196">
        <f ca="1">IF($B$743="Лікар загальної практики - сімейний лікар",IF(Z747&lt;Законод!$C$22,0,(IF(AND(Z747&gt;=Законод!$F$22,Z747&lt;=Законод!$F$23),Z747-Законод!$E$23,IF('01_Доходи'!Z747&gt;=Законод!$G$22,Законод!$F$24,0)))),IF($B$743="Лікар-педіатр",IF(Z747&lt;Законод!$C$18,0,(IF(AND(Z747&gt;=Законод!$F$18,Z747&lt;=Законод!$F$19),Z747-Законод!$E$19,IF('01_Доходи'!Z747&gt;=Законод!$G$18,Законод!$F$20,0)))),IF($B$743="Лікар-терапевт",IF(Z747&lt;Законод!$C$26,0,(IF(AND(Z747&gt;=Законод!$F$26,Z747&lt;=Законод!$F$27),Z747-Законод!$E$27,IF('01_Доходи'!Z747&gt;=Законод!$G$26,Законод!$F$28,0)))),0)))</f>
        <v>0</v>
      </c>
      <c r="AA750" s="942"/>
      <c r="AB750" s="935" t="s">
        <v>423</v>
      </c>
      <c r="AC750" s="936"/>
      <c r="AD750" s="936"/>
      <c r="AE750" s="936"/>
      <c r="AF750" s="937"/>
      <c r="AG750" s="196">
        <f ca="1">IF($B$743="Лікар загальної практики - сімейний лікар",IF(AG747&lt;Законод!$C$22,0,(IF(AND(AG747&gt;=Законод!$F$22,AG747&lt;=Законод!$F$23),AG747-Законод!$E$23,IF('01_Доходи'!AG747&gt;=Законод!$G$22,Законод!$F$24,0)))),IF($B$743="Лікар-педіатр",IF(AG747&lt;Законод!$C$18,0,(IF(AND(AG747&gt;=Законод!$F$18,AG747&lt;=Законод!$F$19),AG747-Законод!$E$19,IF('01_Доходи'!AG747&gt;=Законод!$G$18,Законод!$F$20,0)))),IF($B$743="Лікар-терапевт",IF(AG747&lt;Законод!$C$26,0,(IF(AND(AG747&gt;=Законод!$F$26,AG747&lt;=Законод!$F$27),AG747-Законод!$E$27,IF('01_Доходи'!AG747&gt;=Законод!$G$26,Законод!$F$28,0)))),0)))</f>
        <v>0</v>
      </c>
      <c r="AH750" s="942"/>
      <c r="AI750" s="201"/>
      <c r="AJ750" s="945"/>
      <c r="AK750" s="960"/>
      <c r="AL750" s="960"/>
      <c r="AM750" s="927"/>
      <c r="AN750" s="210">
        <f ca="1">IF(B743="Лікар загальної практики - сімейний лікар",L750*Законод!$C$9/4*Законод!$F$16,IF(B743="Лікар-педіатр",L750*Законод!$C$9/4*Законод!$F$16,IF(B743="Лікар-терапевт",L750*Законод!$C$9/4*Законод!$F$16,0)))</f>
        <v>0</v>
      </c>
      <c r="AO750" s="210">
        <f ca="1">IF(B743="Лікар загальної практики - сімейний лікар",S750*Законод!$C$9/4*Законод!$F$16,IF(B743="Лікар-педіатр",S750*Законод!$C$9/4*Законод!$F$16,IF(B743="Лікар-терапевт",S750*Законод!$C$9/4*Законод!$F$16,0)))</f>
        <v>0</v>
      </c>
      <c r="AP750" s="210">
        <f ca="1">IF(B743="Лікар загальної практики - сімейний лікар",Z750*Законод!$C$9/4*Законод!$F$16,IF(B743="Лікар-педіатр",Z750*Законод!$C$9/4*Законод!$F$16,IF(B743="Лікар-терапевт",Z750*Законод!$C$9/4*Законод!$F$16,0)))</f>
        <v>0</v>
      </c>
      <c r="AQ750" s="210">
        <f ca="1">IF(B743="Лікар загальної практики - сімейний лікар",AG750*Законод!$C$9/4*Законод!$F$16,IF(B743="Лікар-педіатр",AG750*Законод!$C$9/4*Законод!$F$16,IF(B743="Лікар-терапевт",AG750*Законод!$C$9/4*Законод!$F$16,0)))</f>
        <v>0</v>
      </c>
      <c r="AR750" s="211">
        <f t="shared" si="97"/>
        <v>0</v>
      </c>
    </row>
    <row r="751" spans="1:44" s="50" customFormat="1" ht="31.9" hidden="1" customHeight="1">
      <c r="A751" s="197"/>
      <c r="B751" s="951"/>
      <c r="C751" s="954"/>
      <c r="D751" s="957"/>
      <c r="E751" s="939"/>
      <c r="F751" s="238" t="str">
        <f ca="1">IF(B743="Лікар-педіатр",Законод!$G$17,IF(B743="Лікар загальної практики - сімейний лікар",Законод!$G$21,IF(B743="Лікар-терапевт",Законод!$G$25,"х")))</f>
        <v>х</v>
      </c>
      <c r="G751" s="935" t="s">
        <v>423</v>
      </c>
      <c r="H751" s="936"/>
      <c r="I751" s="936"/>
      <c r="J751" s="936"/>
      <c r="K751" s="937"/>
      <c r="L751" s="196">
        <f ca="1">IF($B$743="Лікар загальної практики - сімейний лікар",IF(L747&lt;Законод!$C$22,0,(IF(AND(L747&gt;=Законод!$G$22,L747&lt;=Законод!$G$23),L747-Законод!$F$23,IF('01_Доходи'!L747&gt;=Законод!$H$22,Законод!$G$24,0)))),IF($B$743="Лікар-педіатр",IF(L747&lt;Законод!$C$18,0,(IF(AND(L747&gt;=Законод!$G$18,L747&lt;=Законод!$G$19),L747-Законод!$F$19,IF('01_Доходи'!L747&gt;=Законод!$H$18,Законод!$G$20,0)))),IF($B$743="Лікар-терапевт",IF(L747&lt;Законод!$C$26,0,(IF(AND(L747&gt;=Законод!$G$26,L747&lt;=Законод!$G$27),L747-Законод!$F$27,IF('01_Доходи'!L747&gt;=Законод!$H$26,Законод!$G$28,0)))),0)))</f>
        <v>0</v>
      </c>
      <c r="M751" s="942"/>
      <c r="N751" s="935" t="s">
        <v>423</v>
      </c>
      <c r="O751" s="936"/>
      <c r="P751" s="936"/>
      <c r="Q751" s="936"/>
      <c r="R751" s="937"/>
      <c r="S751" s="196">
        <f ca="1">IF($B$743="Лікар загальної практики - сімейний лікар",IF(S747&lt;Законод!$C$22,0,(IF(AND(S747&gt;=Законод!$G$22,S747&lt;=Законод!$G$23),S747-Законод!$F$23,IF('01_Доходи'!S747&gt;=Законод!$H$22,Законод!$G$24,0)))),IF($B$743="Лікар-педіатр",IF(S747&lt;Законод!$C$18,0,(IF(AND(S747&gt;=Законод!$G$18,S747&lt;=Законод!$G$19),S747-Законод!$F$19,IF('01_Доходи'!S747&gt;=Законод!$H$18,Законод!$G$20,0)))),IF($B$743="Лікар-терапевт",IF(S747&lt;Законод!$C$26,0,(IF(AND(S747&gt;=Законод!$G$26,S747&lt;=Законод!$G$27),S747-Законод!$F$27,IF('01_Доходи'!S747&gt;=Законод!$H$26,Законод!$G$28,0)))),0)))</f>
        <v>0</v>
      </c>
      <c r="T751" s="942"/>
      <c r="U751" s="935" t="s">
        <v>423</v>
      </c>
      <c r="V751" s="936"/>
      <c r="W751" s="936"/>
      <c r="X751" s="936"/>
      <c r="Y751" s="937"/>
      <c r="Z751" s="196">
        <f ca="1">IF($B$743="Лікар загальної практики - сімейний лікар",IF(Z747&lt;Законод!$C$22,0,(IF(AND(Z747&gt;=Законод!$G$22,Z747&lt;=Законод!$G$23),Z747-Законод!$F$23,IF('01_Доходи'!Z747&gt;=Законод!$H$22,Законод!$G$24,0)))),IF($B$743="Лікар-педіатр",IF(Z747&lt;Законод!$C$18,0,(IF(AND(Z747&gt;=Законод!$G$18,Z747&lt;=Законод!$G$19),Z747-Законод!$F$19,IF('01_Доходи'!Z747&gt;=Законод!$H$18,Законод!$G$20,0)))),IF($B$743="Лікар-терапевт",IF(Z747&lt;Законод!$C$26,0,(IF(AND(Z747&gt;=Законод!$G$26,Z747&lt;=Законод!$G$27),Z747-Законод!$F$27,IF('01_Доходи'!Z747&gt;=Законод!$H$26,Законод!$G$28,0)))),0)))</f>
        <v>0</v>
      </c>
      <c r="AA751" s="942"/>
      <c r="AB751" s="935" t="s">
        <v>423</v>
      </c>
      <c r="AC751" s="936"/>
      <c r="AD751" s="936"/>
      <c r="AE751" s="936"/>
      <c r="AF751" s="937"/>
      <c r="AG751" s="196">
        <f ca="1">IF($B$743="Лікар загальної практики - сімейний лікар",IF(AG747&lt;Законод!$C$22,0,(IF(AND(AG747&gt;=Законод!$G$22,AG747&lt;=Законод!$G$23),AG747-Законод!$F$23,IF('01_Доходи'!AG747&gt;=Законод!$H$22,Законод!$G$24,0)))),IF($B$743="Лікар-педіатр",IF(AG747&lt;Законод!$C$18,0,(IF(AND(AG747&gt;=Законод!$G$18,AG747&lt;=Законод!$G$19),AG747-Законод!$F$19,IF('01_Доходи'!AG747&gt;=Законод!$H$18,Законод!$G$20,0)))),IF($B$743="Лікар-терапевт",IF(AG747&lt;Законод!$C$26,0,(IF(AND(AG747&gt;=Законод!$G$26,AG747&lt;=Законод!$G$27),AG747-Законод!$F$27,IF('01_Доходи'!AG747&gt;=Законод!$H$26,Законод!$G$28,0)))),0)))</f>
        <v>0</v>
      </c>
      <c r="AH751" s="942"/>
      <c r="AI751" s="201"/>
      <c r="AJ751" s="945"/>
      <c r="AK751" s="960"/>
      <c r="AL751" s="960"/>
      <c r="AM751" s="927"/>
      <c r="AN751" s="210">
        <f ca="1">IF(B743="Лікар загальної практики - сімейний лікар",L751*Законод!$C$9/4*Законод!$G$16,IF(B743="Лікар-педіатр",L751*Законод!$C$9/4*Законод!$G$16,IF(B743="Лікар-терапевт",L751*Законод!$C$9/4*Законод!$G$16,0)))</f>
        <v>0</v>
      </c>
      <c r="AO751" s="210">
        <f ca="1">IF(B743="Лікар загальної практики - сімейний лікар",S751*Законод!$C$9/4*Законод!$G$16,IF(B743="Лікар-педіатр",S751*Законод!$C$9/4*Законод!$G$16,IF(B743="Лікар-терапевт",S751*Законод!$C$9/4*Законод!$G$16,0)))</f>
        <v>0</v>
      </c>
      <c r="AP751" s="210">
        <f ca="1">IF(B743="Лікар загальної практики - сімейний лікар",Z751*Законод!$C$9/4*Законод!$G$16,IF(B743="Лікар-педіатр",Z751*Законод!$C$9/4*Законод!$G$16,IF(B743="Лікар-терапевт",Z751*Законод!$C$9/4*Законод!$G$16,0)))</f>
        <v>0</v>
      </c>
      <c r="AQ751" s="210">
        <f ca="1">IF(B743="Лікар загальної практики - сімейний лікар",AG751*Законод!$C$9/4*Законод!$G$16,IF(B743="Лікар-педіатр",AG751*Законод!$C$9/4*Законод!$G$16,IF(B743="Лікар-терапевт",AG751*Законод!$C$9/4*Законод!$G$16,0)))</f>
        <v>0</v>
      </c>
      <c r="AR751" s="211">
        <f t="shared" si="97"/>
        <v>0</v>
      </c>
    </row>
    <row r="752" spans="1:44" s="50" customFormat="1" ht="31.9" hidden="1" customHeight="1">
      <c r="A752" s="197"/>
      <c r="B752" s="951"/>
      <c r="C752" s="954"/>
      <c r="D752" s="957"/>
      <c r="E752" s="939"/>
      <c r="F752" s="238" t="str">
        <f ca="1">IF(B743="Лікар-педіатр",Законод!$H$17,IF(B743="Лікар загальної практики - сімейний лікар",Законод!$H$21,IF(B743="Лікар-терапевт",Законод!$H$25,"х")))</f>
        <v>х</v>
      </c>
      <c r="G752" s="935" t="s">
        <v>423</v>
      </c>
      <c r="H752" s="936"/>
      <c r="I752" s="936"/>
      <c r="J752" s="936"/>
      <c r="K752" s="937"/>
      <c r="L752" s="196">
        <f ca="1">IF($B$743="Лікар загальної практики - сімейний лікар",IF(L747&lt;Законод!$C$22,0,(IF(AND(L747&gt;=Законод!$H$22,L747&lt;=Законод!$H$23),L747-Законод!$G$23,IF('01_Доходи'!L747&gt;=Законод!$I$22,Законод!$H$24,0)))),IF($B$743="Лікар-педіатр",IF(L747&lt;Законод!$C$18,0,(IF(AND(L747&gt;=Законод!$H$18,L747&lt;=Законод!$H$19),L747-Законод!$G$19,IF('01_Доходи'!L747&gt;=Законод!$I$18,Законод!$H$20,0)))),IF($B$743="Лікар-терапевт",IF(L747&lt;Законод!$C$26,0,(IF(AND(L747&gt;=Законод!$H$26,L747&lt;=Законод!$H$27),L747-Законод!$G$27,IF(L747&gt;=Законод!$I$26,Законод!$H$28,0)))),0)))</f>
        <v>0</v>
      </c>
      <c r="M752" s="942"/>
      <c r="N752" s="935" t="s">
        <v>423</v>
      </c>
      <c r="O752" s="936"/>
      <c r="P752" s="936"/>
      <c r="Q752" s="936"/>
      <c r="R752" s="937"/>
      <c r="S752" s="196">
        <f ca="1">IF($B$743="Лікар загальної практики - сімейний лікар",IF(S747&lt;Законод!$C$22,0,(IF(AND(S747&gt;=Законод!$H$22,S747&lt;=Законод!$H$23),S747-Законод!$G$23,IF('01_Доходи'!S747&gt;=Законод!$I$22,Законод!$H$24,0)))),IF($B$743="Лікар-педіатр",IF(S747&lt;Законод!$C$18,0,(IF(AND(S747&gt;=Законод!$H$18,S747&lt;=Законод!$H$19),S747-Законод!$G$19,IF('01_Доходи'!S747&gt;=Законод!$I$18,Законод!$H$20,0)))),IF($B$743="Лікар-терапевт",IF(S747&lt;Законод!$C$26,0,(IF(AND(S747&gt;=Законод!$H$26,S747&lt;=Законод!$H$27),S747-Законод!$G$27,IF(S747&gt;=Законод!$I$26,Законод!$H$28,0)))),0)))</f>
        <v>0</v>
      </c>
      <c r="T752" s="942"/>
      <c r="U752" s="935" t="s">
        <v>423</v>
      </c>
      <c r="V752" s="936"/>
      <c r="W752" s="936"/>
      <c r="X752" s="936"/>
      <c r="Y752" s="937"/>
      <c r="Z752" s="196">
        <f ca="1">IF($B$743="Лікар загальної практики - сімейний лікар",IF(Z747&lt;Законод!$C$22,0,(IF(AND(Z747&gt;=Законод!$H$22,Z747&lt;=Законод!$H$23),Z747-Законод!$G$23,IF('01_Доходи'!Z747&gt;=Законод!$I$22,Законод!$H$24,0)))),IF($B$743="Лікар-педіатр",IF(Z747&lt;Законод!$C$18,0,(IF(AND(Z747&gt;=Законод!$H$18,Z747&lt;=Законод!$H$19),Z747-Законод!$G$19,IF('01_Доходи'!Z747&gt;=Законод!$I$18,Законод!$H$20,0)))),IF($B$743="Лікар-терапевт",IF(Z747&lt;Законод!$C$26,0,(IF(AND(Z747&gt;=Законод!$H$26,Z747&lt;=Законод!$H$27),Z747-Законод!$G$27,IF(Z747&gt;=Законод!$I$26,Законод!$H$28,0)))),0)))</f>
        <v>0</v>
      </c>
      <c r="AA752" s="942"/>
      <c r="AB752" s="935" t="s">
        <v>423</v>
      </c>
      <c r="AC752" s="936"/>
      <c r="AD752" s="936"/>
      <c r="AE752" s="936"/>
      <c r="AF752" s="937"/>
      <c r="AG752" s="196">
        <f ca="1">IF($B$743="Лікар загальної практики - сімейний лікар",IF(AG747&lt;Законод!$C$22,0,(IF(AND(AG747&gt;=Законод!$H$22,AG747&lt;=Законод!$H$23),AG747-Законод!$G$23,IF('01_Доходи'!AG747&gt;=Законод!$I$22,Законод!$H$24,0)))),IF($B$743="Лікар-педіатр",IF(AG747&lt;Законод!$C$18,0,(IF(AND(AG747&gt;=Законод!$H$18,AG747&lt;=Законод!$H$19),AG747-Законод!$G$19,IF('01_Доходи'!AG747&gt;=Законод!$I$18,Законод!$H$20,0)))),IF($B$743="Лікар-терапевт",IF(AG747&lt;Законод!$C$26,0,(IF(AND(AG747&gt;=Законод!$H$26,AG747&lt;=Законод!$H$27),AG747-Законод!$G$27,IF(AG747&gt;=Законод!$I$26,Законод!$H$28,0)))),0)))</f>
        <v>0</v>
      </c>
      <c r="AH752" s="942"/>
      <c r="AI752" s="201"/>
      <c r="AJ752" s="945"/>
      <c r="AK752" s="960"/>
      <c r="AL752" s="960"/>
      <c r="AM752" s="927"/>
      <c r="AN752" s="210">
        <f ca="1">IF(B743="Лікар загальної практики - сімейний лікар",L752*Законод!$C$9/4*Законод!$H$16,IF(B743="Лікар-педіатр",L752*Законод!$C$9/4*Законод!$H$16,IF(B743="Лікар-терапевт",L752*Законод!$C$9/4*Законод!$H$16,0)))</f>
        <v>0</v>
      </c>
      <c r="AO752" s="210">
        <f ca="1">IF(B743="Лікар загальної практики - сімейний лікар",S752*Законод!$C$9/4*Законод!$H$16,IF(B743="Лікар-педіатр",S752*Законод!$C$9/4*Законод!$H$16,IF(B743="Лікар-терапевт",S752*Законод!$C$9/4*Законод!$H$16,0)))</f>
        <v>0</v>
      </c>
      <c r="AP752" s="210">
        <f ca="1">IF(B743="Лікар загальної практики - сімейний лікар",Z752*Законод!$C$9/4*Законод!$H$16,IF(B743="Лікар-педіатр",Z752*Законод!$C$9/4*Законод!$H$16,IF(B743="Лікар-терапевт",Z752*Законод!$C$9/4*Законод!$H$16,0)))</f>
        <v>0</v>
      </c>
      <c r="AQ752" s="210">
        <f ca="1">IF(B743="Лікар загальної практики - сімейний лікар",AG752*Законод!$C$9/4*Законод!$H$16,IF(B743="Лікар-педіатр",AG752*Законод!$C$9/4*Законод!$H$16,IF(B743="Лікар-терапевт",AG752*Законод!$C$9/4*Законод!$H$16,0)))</f>
        <v>0</v>
      </c>
      <c r="AR752" s="211">
        <f t="shared" si="97"/>
        <v>0</v>
      </c>
    </row>
    <row r="753" spans="1:44" s="50" customFormat="1" ht="31.9" hidden="1" customHeight="1">
      <c r="A753" s="197"/>
      <c r="B753" s="951"/>
      <c r="C753" s="954"/>
      <c r="D753" s="957"/>
      <c r="E753" s="939"/>
      <c r="F753" s="238" t="str">
        <f ca="1">IF(B743="Лікар-педіатр",Законод!$I$17,IF(B743="Лікар загальної практики - сімейний лікар",Законод!$I$21,IF(B743="Лікар-терапевт",Законод!$I$25,"х")))</f>
        <v>х</v>
      </c>
      <c r="G753" s="935" t="s">
        <v>423</v>
      </c>
      <c r="H753" s="936"/>
      <c r="I753" s="936"/>
      <c r="J753" s="936"/>
      <c r="K753" s="937"/>
      <c r="L753" s="196">
        <f ca="1">IF($B$743="Лікар загальної практики - сімейний лікар",IF(L747&lt;Законод!$C$22,0,(IF(AND(L747&gt;=Законод!$I$22,L747&lt;=Законод!$I$23),L747-Законод!$H$23,IF('01_Доходи'!L747&gt;=Законод!$I$22,Законод!$I$24,0)))),IF($B$743="Лікар-педіатр",IF(L747&lt;Законод!$C$18,0,(IF(AND(L747&gt;=Законод!$I$18,L747&lt;=Законод!$I$19),L747-Законод!$H$19,IF('01_Доходи'!L747&gt;=Законод!$I$18,Законод!$H$20,0)))),IF($B$743="Лікар-терапевт",IF(L747&lt;Законод!$C$26,0,(IF(AND(L747&gt;=Законод!$I$26,L747&lt;=Законод!$I$27),L747-Законод!$H$27,IF('01_Доходи'!L747&gt;=Законод!$I$26,Законод!$H$28,0)))),0)))</f>
        <v>0</v>
      </c>
      <c r="M753" s="942"/>
      <c r="N753" s="935" t="s">
        <v>423</v>
      </c>
      <c r="O753" s="936"/>
      <c r="P753" s="936"/>
      <c r="Q753" s="936"/>
      <c r="R753" s="937"/>
      <c r="S753" s="196">
        <f ca="1">IF($B$743="Лікар загальної практики - сімейний лікар",IF(S747&lt;Законод!$C$22,0,(IF(AND(S747&gt;=Законод!$I$22,S747&lt;=Законод!$I$23),S747-Законод!$H$23,IF('01_Доходи'!S747&gt;=Законод!$I$22,Законод!$I$24,0)))),IF($B$743="Лікар-педіатр",IF(S747&lt;Законод!$C$18,0,(IF(AND(S747&gt;=Законод!$I$18,S747&lt;=Законод!$I$19),S747-Законод!$H$19,IF('01_Доходи'!S747&gt;=Законод!$I$18,Законод!$H$20,0)))),IF($B$743="Лікар-терапевт",IF(S747&lt;Законод!$C$26,0,(IF(AND(S747&gt;=Законод!$I$26,S747&lt;=Законод!$I$27),S747-Законод!$H$27,IF('01_Доходи'!S747&gt;=Законод!$I$26,Законод!$H$28,0)))),0)))</f>
        <v>0</v>
      </c>
      <c r="T753" s="942"/>
      <c r="U753" s="935" t="s">
        <v>423</v>
      </c>
      <c r="V753" s="936"/>
      <c r="W753" s="936"/>
      <c r="X753" s="936"/>
      <c r="Y753" s="937"/>
      <c r="Z753" s="196">
        <f ca="1">IF($B$743="Лікар загальної практики - сімейний лікар",IF(Z747&lt;Законод!$C$22,0,(IF(AND(Z747&gt;=Законод!$I$22,Z747&lt;=Законод!$I$23),Z747-Законод!$H$23,IF('01_Доходи'!Z747&gt;=Законод!$I$22,Законод!$I$24,0)))),IF($B$743="Лікар-педіатр",IF(Z747&lt;Законод!$C$18,0,(IF(AND(Z747&gt;=Законод!$I$18,Z747&lt;=Законод!$I$19),Z747-Законод!$H$19,IF('01_Доходи'!Z747&gt;=Законод!$I$18,Законод!$H$20,0)))),IF($B$743="Лікар-терапевт",IF(Z747&lt;Законод!$C$26,0,(IF(AND(Z747&gt;=Законод!$I$26,Z747&lt;=Законод!$I$27),Z747-Законод!$H$27,IF('01_Доходи'!Z747&gt;=Законод!$I$26,Законод!$H$28,0)))),0)))</f>
        <v>0</v>
      </c>
      <c r="AA753" s="942"/>
      <c r="AB753" s="935" t="s">
        <v>423</v>
      </c>
      <c r="AC753" s="936"/>
      <c r="AD753" s="936"/>
      <c r="AE753" s="936"/>
      <c r="AF753" s="937"/>
      <c r="AG753" s="196">
        <f ca="1">IF($B$743="Лікар загальної практики - сімейний лікар",IF(AG747&lt;Законод!$C$22,0,(IF(AND(AG747&gt;=Законод!$I$22,AG747&lt;=Законод!$I$23),AG747-Законод!$H$23,IF('01_Доходи'!AG747&gt;=Законод!$I$22,Законод!$I$24,0)))),IF($B$743="Лікар-педіатр",IF(AG747&lt;Законод!$C$18,0,(IF(AND(AG747&gt;=Законод!$I$18,AG747&lt;=Законод!$I$19),AG747-Законод!$H$19,IF('01_Доходи'!AG747&gt;=Законод!$I$18,Законод!$H$20,0)))),IF($B$743="Лікар-терапевт",IF(AG747&lt;Законод!$C$26,0,(IF(AND(AG747&gt;=Законод!$I$26,AG747&lt;=Законод!$I$27),AG747-Законод!$H$27,IF('01_Доходи'!AG747&gt;=Законод!$I$26,Законод!$H$28,0)))),0)))</f>
        <v>0</v>
      </c>
      <c r="AH753" s="942"/>
      <c r="AI753" s="201"/>
      <c r="AJ753" s="945"/>
      <c r="AK753" s="960"/>
      <c r="AL753" s="960"/>
      <c r="AM753" s="927"/>
      <c r="AN753" s="210">
        <f ca="1">IF(B743="Лікар загальної практики - сімейний лікар",L753*Законод!$C$9/4*Законод!$I$16,IF(B743="Лікар-педіатр",L753*Законод!$C$9/4*Законод!$I$16,IF(B743="Лікар-терапевт",L753*Законод!$C$9/4*Законод!$I$16,0)))</f>
        <v>0</v>
      </c>
      <c r="AO753" s="210">
        <f ca="1">IF(B743="Лікар загальної практики - сімейний лікар",S753*Законод!$C$9/4*Законод!$I$16,IF(B743="Лікар-педіатр",S753*Законод!$C$9/4*Законод!$I$16,IF(B743="Лікар-терапевт",S753*Законод!$C$9/4*Законод!$I$16,0)))</f>
        <v>0</v>
      </c>
      <c r="AP753" s="210">
        <f ca="1">IF(B743="Лікар загальної практики - сімейний лікар",Z753*Законод!$C$9/4*Законод!$I$16,IF(B743="Лікар-педіатр",Z753*Законод!$C$9/4*Законод!$I$16,IF(B743="Лікар-терапевт",Z753*Законод!$C$9/4*Законод!$I$16,0)))</f>
        <v>0</v>
      </c>
      <c r="AQ753" s="210">
        <f ca="1">IF(B743="Лікар загальної практики - сімейний лікар",AG753*Законод!$C$9/4*Законод!$I$16,IF(B743="Лікар-педіатр",AG753*Законод!$C$9/4*Законод!$I$16,IF(B743="Лікар-терапевт",AG753*Законод!$C$9/4*Законод!$I$16,0)))</f>
        <v>0</v>
      </c>
      <c r="AR753" s="211">
        <f t="shared" si="97"/>
        <v>0</v>
      </c>
    </row>
    <row r="754" spans="1:44" s="218" customFormat="1" ht="31.9" hidden="1" customHeight="1" thickBot="1">
      <c r="A754" s="213"/>
      <c r="B754" s="952"/>
      <c r="C754" s="955"/>
      <c r="D754" s="958"/>
      <c r="E754" s="940"/>
      <c r="F754" s="239" t="str">
        <f ca="1">IF(B743="Лікар-педіатр",Законод!$J$17,IF(B743="Лікар загальної практики - сімейний лікар",Законод!$J$21,IF(B743="Лікар-терапевт",Законод!$J$25,"х")))</f>
        <v>х</v>
      </c>
      <c r="G754" s="932" t="s">
        <v>423</v>
      </c>
      <c r="H754" s="933"/>
      <c r="I754" s="933"/>
      <c r="J754" s="933"/>
      <c r="K754" s="934"/>
      <c r="L754" s="196">
        <f ca="1">IF($B$743="Лікар загальної практики - сімейний лікар",IF(L747&gt;=Законод!$J$22,'01_Доходи'!L747-('01_Доходи'!L748+'01_Доходи'!L749+'01_Доходи'!L750+'01_Доходи'!L751+'01_Доходи'!L752+'01_Доходи'!L753),0),IF($B$743="Лікар-педіатр",IF(L747&gt;=Законод!$J$18,'01_Доходи'!L747-('01_Доходи'!L748+'01_Доходи'!L749+'01_Доходи'!L750+'01_Доходи'!L751+'01_Доходи'!L752+'01_Доходи'!L753),0),IF($B$743="Лікар-терапевт",IF('01_Доходи'!L747&gt;=Законод!$J$26,L747-Законод!$I$27,0),0)))</f>
        <v>0</v>
      </c>
      <c r="M754" s="943"/>
      <c r="N754" s="932" t="s">
        <v>423</v>
      </c>
      <c r="O754" s="933"/>
      <c r="P754" s="933"/>
      <c r="Q754" s="933"/>
      <c r="R754" s="934"/>
      <c r="S754" s="196">
        <f ca="1">IF($B$743="Лікар загальної практики - сімейний лікар",IF(S747&gt;=Законод!$J$22,'01_Доходи'!S747-('01_Доходи'!S748+'01_Доходи'!S749+'01_Доходи'!S750+'01_Доходи'!S751+'01_Доходи'!S752+'01_Доходи'!S753),0),IF($B$743="Лікар-педіатр",IF(S747&gt;=Законод!$J$18,'01_Доходи'!S747-('01_Доходи'!S748+'01_Доходи'!S749+'01_Доходи'!S750+'01_Доходи'!S751+'01_Доходи'!S752+'01_Доходи'!S753),0),IF($B$743="Лікар-терапевт",IF('01_Доходи'!S747&gt;=Законод!$J$26,S747-Законод!$I$27,0),0)))</f>
        <v>0</v>
      </c>
      <c r="T754" s="943"/>
      <c r="U754" s="932" t="s">
        <v>423</v>
      </c>
      <c r="V754" s="933"/>
      <c r="W754" s="933"/>
      <c r="X754" s="933"/>
      <c r="Y754" s="934"/>
      <c r="Z754" s="196">
        <f ca="1">IF($B$743="Лікар загальної практики - сімейний лікар",IF(Z747&gt;=Законод!$J$22,'01_Доходи'!Z747-('01_Доходи'!Z748+'01_Доходи'!Z749+'01_Доходи'!Z750+'01_Доходи'!Z751+'01_Доходи'!Z752+'01_Доходи'!Z753),0),IF($B$743="Лікар-педіатр",IF(Z747&gt;=Законод!$J$18,'01_Доходи'!Z747-('01_Доходи'!Z748+'01_Доходи'!Z749+'01_Доходи'!Z750+'01_Доходи'!Z751+'01_Доходи'!Z752+'01_Доходи'!Z753),0),IF($B$743="Лікар-терапевт",IF('01_Доходи'!Z747&gt;=Законод!$J$26,Z747-Законод!$I$27,0),0)))</f>
        <v>0</v>
      </c>
      <c r="AA754" s="943"/>
      <c r="AB754" s="932" t="s">
        <v>423</v>
      </c>
      <c r="AC754" s="933"/>
      <c r="AD754" s="933"/>
      <c r="AE754" s="933"/>
      <c r="AF754" s="934"/>
      <c r="AG754" s="196">
        <f ca="1">IF($B$743="Лікар загальної практики - сімейний лікар",IF(AG747&gt;=Законод!$J$22,'01_Доходи'!AG747-('01_Доходи'!AG748+'01_Доходи'!AG749+'01_Доходи'!AG750+'01_Доходи'!AG751+'01_Доходи'!AG752+'01_Доходи'!AG753),0),IF($B$743="Лікар-педіатр",IF(AG747&gt;=Законод!$J$18,'01_Доходи'!AG747-('01_Доходи'!AG748+'01_Доходи'!AG749+'01_Доходи'!AG750+'01_Доходи'!AG751+'01_Доходи'!AG752+'01_Доходи'!AG753),0),IF($B$743="Лікар-терапевт",IF('01_Доходи'!AG747&gt;=Законод!$J$26,AG747-Законод!$I$27,0),0)))</f>
        <v>0</v>
      </c>
      <c r="AH754" s="943"/>
      <c r="AI754" s="215"/>
      <c r="AJ754" s="946"/>
      <c r="AK754" s="961"/>
      <c r="AL754" s="961"/>
      <c r="AM754" s="928"/>
      <c r="AN754" s="216">
        <f ca="1">IF(B743="Лікар загальної практики - сімейний лікар",L754*Законод!$C$9/4*Законод!$J$16,IF(B743="Лікар-педіатр",L754*Законод!$C$9/4*Законод!$J$16,IF(B743="Лікар-терапевт",L754*Законод!$C$9/4*Законод!$J$16,0)))</f>
        <v>0</v>
      </c>
      <c r="AO754" s="216">
        <f ca="1">IF(B743="Лікар загальної практики - сімейний лікар",S754*Законод!$C$9/4*Законод!$J$16,IF(B743="Лікар-педіатр",S754*Законод!$C$9/4*Законод!$J$16,IF(B743="Лікар-терапевт",S754*Законод!$C$9/4*Законод!$J$16,0)))</f>
        <v>0</v>
      </c>
      <c r="AP754" s="216">
        <f ca="1">IF(B743="Лікар загальної практики - сімейний лікар",S754*Законод!$C$9/4*Законод!$J$16,IF(B743="Лікар-педіатр",S754*Законод!$C$9/4*Законод!$J$16,IF(B743="Лікар-терапевт",S754*Законод!$C$9/4*Законод!$J$16,0)))</f>
        <v>0</v>
      </c>
      <c r="AQ754" s="216">
        <f ca="1">IF(B743="Лікар загальної практики - сімейний лікар",AG754*Законод!$C$9/4*Законод!$J$16,IF(B743="Лікар-педіатр",AG754*Законод!$C$9/4*Законод!$J$16,IF(B743="Лікар-терапевт",AG754*Законод!$C$9/4*Законод!$J$16,0)))</f>
        <v>0</v>
      </c>
      <c r="AR754" s="217">
        <f t="shared" si="97"/>
        <v>0</v>
      </c>
    </row>
    <row r="755" spans="1:44" s="247" customFormat="1" ht="23.45" hidden="1" customHeight="1" thickBot="1">
      <c r="A755" s="243"/>
      <c r="B755" s="244"/>
      <c r="C755" s="244"/>
      <c r="D755" s="244"/>
      <c r="E755" s="244"/>
      <c r="F755" s="245"/>
      <c r="G755" s="246"/>
      <c r="H755" s="246"/>
      <c r="L755" s="248"/>
      <c r="S755" s="248"/>
      <c r="Z755" s="248"/>
      <c r="AG755" s="248"/>
      <c r="AM755" s="249"/>
      <c r="AR755" s="250"/>
    </row>
    <row r="756" spans="1:44" s="191" customFormat="1" ht="24.6" hidden="1" customHeight="1">
      <c r="A756" s="194">
        <f>A743+1</f>
        <v>56</v>
      </c>
      <c r="B756" s="950"/>
      <c r="C756" s="953"/>
      <c r="D756" s="956"/>
      <c r="E756" s="938"/>
      <c r="F756" s="234" t="s">
        <v>659</v>
      </c>
      <c r="G756" s="196">
        <f>IF($B$756="Лікар-педіатр",G759*L756,IF($B$756="Лікар-терапевт","х",IF($B$756="Лікар загальної практики - сімейний лікар",G759*L756,0)))</f>
        <v>0</v>
      </c>
      <c r="H756" s="196">
        <f>IF($B$756="Лікар-педіатр",H759*L756,IF($B$756="Лікар-терапевт","х",IF($B$756="Лікар загальної практики - сімейний лікар",H759*L756,0)))</f>
        <v>0</v>
      </c>
      <c r="I756" s="196">
        <f>IF($B$756="Лікар-педіатр","x",IF($B$756="Лікар-терапевт",I759*L756,IF($B$756="Лікар загальної практики - сімейний лікар",I759*L756,0)))</f>
        <v>0</v>
      </c>
      <c r="J756" s="196">
        <f>IF($B$756="Лікар-педіатр","x",IF($B$756="Лікар-терапевт",J759*L756,IF($B$756="Лікар загальної практики - сімейний лікар",J759*L756,0)))</f>
        <v>0</v>
      </c>
      <c r="K756" s="196">
        <f>IF($B$756="Лікар-педіатр","x",IF($B$756="Лікар-терапевт",K759*L756,IF($B$756="Лікар загальної практики - сімейний лікар",K759*L756,0)))</f>
        <v>0</v>
      </c>
      <c r="L756" s="557"/>
      <c r="M756" s="941"/>
      <c r="N756" s="196">
        <f>IF($B$756="Лікар-педіатр",N759*S756,IF($B$756="Лікар-терапевт","х",IF($B$756="Лікар загальної практики - сімейний лікар",N759*S756,0)))</f>
        <v>0</v>
      </c>
      <c r="O756" s="196">
        <f>IF($B$756="Лікар-педіатр",O759*S756,IF($B$756="Лікар-терапевт","х",IF($B$756="Лікар загальної практики - сімейний лікар",O759*S756,0)))</f>
        <v>0</v>
      </c>
      <c r="P756" s="196">
        <f>IF($B$756="Лікар-педіатр","x",IF($B$756="Лікар-терапевт",P759*S756,IF($B$756="Лікар загальної практики - сімейний лікар",P759*S756,0)))</f>
        <v>0</v>
      </c>
      <c r="Q756" s="196">
        <f>IF($B$756="Лікар-педіатр","x",IF($B$756="Лікар-терапевт",Q759*S756,IF($B$756="Лікар загальної практики - сімейний лікар",Q759*S756,0)))</f>
        <v>0</v>
      </c>
      <c r="R756" s="196">
        <f>IF($B$756="Лікар-педіатр","x",IF($B$756="Лікар-терапевт",R759*S756,IF($B$756="Лікар загальної практики - сімейний лікар",R759*S756,0)))</f>
        <v>0</v>
      </c>
      <c r="S756" s="557"/>
      <c r="T756" s="941"/>
      <c r="U756" s="196">
        <f>IF($B$756="Лікар-педіатр",U759*Z756,IF($B$756="Лікар-терапевт","х",IF($B$756="Лікар загальної практики - сімейний лікар",U759*Z756,0)))</f>
        <v>0</v>
      </c>
      <c r="V756" s="196">
        <f>IF($B$756="Лікар-педіатр",V759*Z756,IF($B$756="Лікар-терапевт","х",IF($B$756="Лікар загальної практики - сімейний лікар",V759*Z756,0)))</f>
        <v>0</v>
      </c>
      <c r="W756" s="196">
        <f>IF($B$756="Лікар-педіатр","x",IF($B$756="Лікар-терапевт",W759*Z756,IF($B$756="Лікар загальної практики - сімейний лікар",W759*Z756,0)))</f>
        <v>0</v>
      </c>
      <c r="X756" s="196">
        <f>IF($B$756="Лікар-педіатр","x",IF($B$756="Лікар-терапевт",X759*Z756,IF($B$756="Лікар загальної практики - сімейний лікар",X759*Z756,0)))</f>
        <v>0</v>
      </c>
      <c r="Y756" s="196">
        <f>IF($B$756="Лікар-педіатр","x",IF($B$756="Лікар-терапевт",Y759*Z756,IF($B$756="Лікар загальної практики - сімейний лікар",Y759*Z756,0)))</f>
        <v>0</v>
      </c>
      <c r="Z756" s="557"/>
      <c r="AA756" s="941"/>
      <c r="AB756" s="196">
        <f>IF($B$756="Лікар-педіатр",AB759*AG756,IF($B$756="Лікар-терапевт","х",IF($B$756="Лікар загальної практики - сімейний лікар",AB759*AG756,0)))</f>
        <v>0</v>
      </c>
      <c r="AC756" s="196">
        <f>IF($B$756="Лікар-педіатр",AC759*AG756,IF($B$756="Лікар-терапевт","х",IF($B$756="Лікар загальної практики - сімейний лікар",AC759*AG756,0)))</f>
        <v>0</v>
      </c>
      <c r="AD756" s="196">
        <f>IF($B$756="Лікар-педіатр","x",IF($B$756="Лікар-терапевт",AD759*AG756,IF($B$756="Лікар загальної практики - сімейний лікар",AD759*AG756,0)))</f>
        <v>0</v>
      </c>
      <c r="AE756" s="196">
        <f>IF($B$756="Лікар-педіатр","x",IF($B$756="Лікар-терапевт",AE759*AG756,IF($B$756="Лікар загальної практики - сімейний лікар",AE759*AG756,0)))</f>
        <v>0</v>
      </c>
      <c r="AF756" s="196">
        <f>IF($B$756="Лікар-педіатр","x",IF($B$756="Лікар-терапевт",AF759*AG756,IF($B$756="Лікар загальної практики - сімейний лікар",AF759*AG756,0)))</f>
        <v>0</v>
      </c>
      <c r="AG756" s="557"/>
      <c r="AH756" s="941"/>
      <c r="AI756" s="540">
        <f>A756</f>
        <v>56</v>
      </c>
      <c r="AJ756" s="944">
        <f>B756</f>
        <v>0</v>
      </c>
      <c r="AK756" s="959">
        <f>C756</f>
        <v>0</v>
      </c>
      <c r="AL756" s="959">
        <f>D756</f>
        <v>0</v>
      </c>
      <c r="AM756" s="929" t="s">
        <v>79</v>
      </c>
      <c r="AN756" s="947">
        <f>SUM(AN761:AN767)</f>
        <v>0</v>
      </c>
      <c r="AO756" s="947">
        <f>SUM(AO761:AO767)</f>
        <v>0</v>
      </c>
      <c r="AP756" s="947">
        <f>SUM(AP761:AP767)</f>
        <v>0</v>
      </c>
      <c r="AQ756" s="947">
        <f>SUM(AQ761:AQ767)</f>
        <v>0</v>
      </c>
      <c r="AR756" s="962">
        <f>SUM(AN756:AQ760)</f>
        <v>0</v>
      </c>
    </row>
    <row r="757" spans="1:44" s="50" customFormat="1" ht="28.15" hidden="1" customHeight="1">
      <c r="A757" s="197"/>
      <c r="B757" s="951"/>
      <c r="C757" s="954"/>
      <c r="D757" s="957"/>
      <c r="E757" s="939"/>
      <c r="F757" s="234" t="s">
        <v>660</v>
      </c>
      <c r="G757" s="196">
        <f>IF($B$756="Лікар-педіатр",G759*L757,IF($B$756="Лікар-терапевт","х",IF($B$756="Лікар загальної практики - сімейний лікар",G759*L757,0)))</f>
        <v>0</v>
      </c>
      <c r="H757" s="196">
        <f>IF($B$756="Лікар-педіатр",H759*L757,IF($B$756="Лікар-терапевт","х",IF($B$756="Лікар загальної практики - сімейний лікар",H759*L757,0)))</f>
        <v>0</v>
      </c>
      <c r="I757" s="196">
        <f>IF($B$756="Лікар-педіатр","x",IF($B$756="Лікар-терапевт",I759*L757,IF($B$756="Лікар загальної практики - сімейний лікар",I759*L757,0)))</f>
        <v>0</v>
      </c>
      <c r="J757" s="196">
        <f>IF($B$756="Лікар-педіатр","x",IF($B$756="Лікар-терапевт",J759*L757,IF($B$756="Лікар загальної практики - сімейний лікар",J759*L757,0)))</f>
        <v>0</v>
      </c>
      <c r="K757" s="196">
        <f>IF($B$756="Лікар-педіатр","x",IF($B$756="Лікар-терапевт",K759*L757,IF($B$756="Лікар загальної практики - сімейний лікар",K759*L757,0)))</f>
        <v>0</v>
      </c>
      <c r="L757" s="557"/>
      <c r="M757" s="942"/>
      <c r="N757" s="196">
        <f>IF($B$756="Лікар-педіатр",N759*S757,IF($B$756="Лікар-терапевт","х",IF($B$756="Лікар загальної практики - сімейний лікар",N759*S757,0)))</f>
        <v>0</v>
      </c>
      <c r="O757" s="196">
        <f>IF($B$756="Лікар-педіатр",O759*S757,IF($B$756="Лікар-терапевт","х",IF($B$756="Лікар загальної практики - сімейний лікар",O759*S757,0)))</f>
        <v>0</v>
      </c>
      <c r="P757" s="196">
        <f>IF($B$756="Лікар-педіатр","x",IF($B$756="Лікар-терапевт",P759*S757,IF($B$756="Лікар загальної практики - сімейний лікар",P759*S757,0)))</f>
        <v>0</v>
      </c>
      <c r="Q757" s="196">
        <f>IF($B$756="Лікар-педіатр","x",IF($B$756="Лікар-терапевт",Q759*S757,IF($B$756="Лікар загальної практики - сімейний лікар",Q759*S757,0)))</f>
        <v>0</v>
      </c>
      <c r="R757" s="196">
        <f>IF($B$756="Лікар-педіатр","x",IF($B$756="Лікар-терапевт",R759*S757,IF($B$756="Лікар загальної практики - сімейний лікар",R759*S757,0)))</f>
        <v>0</v>
      </c>
      <c r="S757" s="557"/>
      <c r="T757" s="942"/>
      <c r="U757" s="196">
        <f>IF($B$756="Лікар-педіатр",U759*Z757,IF($B$756="Лікар-терапевт","х",IF($B$756="Лікар загальної практики - сімейний лікар",U759*Z757,0)))</f>
        <v>0</v>
      </c>
      <c r="V757" s="196">
        <f>IF($B$756="Лікар-педіатр",V759*Z757,IF($B$756="Лікар-терапевт","х",IF($B$756="Лікар загальної практики - сімейний лікар",V759*Z757,0)))</f>
        <v>0</v>
      </c>
      <c r="W757" s="196">
        <f>IF($B$756="Лікар-педіатр","x",IF($B$756="Лікар-терапевт",W759*Z757,IF($B$756="Лікар загальної практики - сімейний лікар",W759*Z757,0)))</f>
        <v>0</v>
      </c>
      <c r="X757" s="196">
        <f>IF($B$756="Лікар-педіатр","x",IF($B$756="Лікар-терапевт",X759*Z757,IF($B$756="Лікар загальної практики - сімейний лікар",X759*Z757,0)))</f>
        <v>0</v>
      </c>
      <c r="Y757" s="196">
        <f>IF($B$756="Лікар-педіатр","x",IF($B$756="Лікар-терапевт",Y759*Z757,IF($B$756="Лікар загальної практики - сімейний лікар",Y759*Z757,0)))</f>
        <v>0</v>
      </c>
      <c r="Z757" s="557"/>
      <c r="AA757" s="942"/>
      <c r="AB757" s="196">
        <f>IF($B$756="Лікар-педіатр",AB759*AG757,IF($B$756="Лікар-терапевт","х",IF($B$756="Лікар загальної практики - сімейний лікар",AB759*AG757,0)))</f>
        <v>0</v>
      </c>
      <c r="AC757" s="196">
        <f>IF($B$756="Лікар-педіатр",AC759*AG757,IF($B$756="Лікар-терапевт","х",IF($B$756="Лікар загальної практики - сімейний лікар",AC759*AG757,0)))</f>
        <v>0</v>
      </c>
      <c r="AD757" s="196">
        <f>IF($B$756="Лікар-педіатр","x",IF($B$756="Лікар-терапевт",AD759*AG757,IF($B$756="Лікар загальної практики - сімейний лікар",AD759*AG757,0)))</f>
        <v>0</v>
      </c>
      <c r="AE757" s="196">
        <f>IF($B$756="Лікар-педіатр","x",IF($B$756="Лікар-терапевт",AE759*AG757,IF($B$756="Лікар загальної практики - сімейний лікар",AE759*AG757,0)))</f>
        <v>0</v>
      </c>
      <c r="AF757" s="196">
        <f>IF($B$756="Лікар-педіатр","x",IF($B$756="Лікар-терапевт",AF759*AG757,IF($B$756="Лікар загальної практики - сімейний лікар",AF759*AG757,0)))</f>
        <v>0</v>
      </c>
      <c r="AG757" s="557"/>
      <c r="AH757" s="942"/>
      <c r="AI757" s="198"/>
      <c r="AJ757" s="945"/>
      <c r="AK757" s="960"/>
      <c r="AL757" s="960"/>
      <c r="AM757" s="930"/>
      <c r="AN757" s="948"/>
      <c r="AO757" s="948"/>
      <c r="AP757" s="948"/>
      <c r="AQ757" s="948"/>
      <c r="AR757" s="963"/>
    </row>
    <row r="758" spans="1:44" s="90" customFormat="1" ht="31.15" hidden="1" customHeight="1">
      <c r="A758" s="240"/>
      <c r="B758" s="951"/>
      <c r="C758" s="954"/>
      <c r="D758" s="957"/>
      <c r="E758" s="939"/>
      <c r="F758" s="241" t="s">
        <v>661</v>
      </c>
      <c r="G758" s="199">
        <f>IF(B756="Лікар загальної практики - сімейний лікар"," ",IF(B756="Лікар-педіатр"," ",IF(B756="Лікар-терапевт","х",0)))</f>
        <v>0</v>
      </c>
      <c r="H758" s="199">
        <f>IF(B756="Лікар загальної практики - сімейний лікар"," ",IF(B756="Лікар-педіатр"," ",IF(B756="Лікар-терапевт","х",0)))</f>
        <v>0</v>
      </c>
      <c r="I758" s="199">
        <f>IF(B756="Лікар загальної практики - сімейний лікар"," ",IF(B756="Лікар-педіатр","х",IF(B756="Лікар-терапевт"," ",0)))</f>
        <v>0</v>
      </c>
      <c r="J758" s="199">
        <f>IF(B756="Лікар загальної практики - сімейний лікар"," ",IF(B756="Лікар-педіатр","х",IF(B756="Лікар-терапевт"," ",0)))</f>
        <v>0</v>
      </c>
      <c r="K758" s="199">
        <f>IF(B756="Лікар загальної практики - сімейний лікар"," ",IF(B756="Лікар-педіатр","х",IF(B756="Лікар-терапевт"," ",0)))</f>
        <v>0</v>
      </c>
      <c r="L758" s="200">
        <f>SUM(G758:K758)</f>
        <v>0</v>
      </c>
      <c r="M758" s="942"/>
      <c r="N758" s="199">
        <f>IF(B756="Лікар загальної практики - сімейний лікар"," ",IF(B756="Лікар-педіатр"," ",IF(B756="Лікар-терапевт","х",0)))</f>
        <v>0</v>
      </c>
      <c r="O758" s="199">
        <f>IF(B756="Лікар загальної практики - сімейний лікар"," ",IF(B756="Лікар-педіатр"," ",IF(B756="Лікар-терапевт","х",0)))</f>
        <v>0</v>
      </c>
      <c r="P758" s="199">
        <f>IF(B756="Лікар загальної практики - сімейний лікар"," ",IF(B756="Лікар-педіатр","х",IF(B756="Лікар-терапевт"," ",0)))</f>
        <v>0</v>
      </c>
      <c r="Q758" s="199">
        <f>IF(B756="Лікар загальної практики - сімейний лікар"," ",IF(B756="Лікар-педіатр","х",IF(B756="Лікар-терапевт"," ",0)))</f>
        <v>0</v>
      </c>
      <c r="R758" s="199">
        <f>IF(B756="Лікар загальної практики - сімейний лікар"," ",IF(B756="Лікар-педіатр","х",IF(B756="Лікар-терапевт"," ",0)))</f>
        <v>0</v>
      </c>
      <c r="S758" s="200">
        <f>SUM(N758:R758)</f>
        <v>0</v>
      </c>
      <c r="T758" s="942"/>
      <c r="U758" s="199">
        <f>IF(B756="Лікар загальної практики - сімейний лікар"," ",IF(B756="Лікар-педіатр"," ",IF(B756="Лікар-терапевт","х",0)))</f>
        <v>0</v>
      </c>
      <c r="V758" s="199">
        <f>IF(B756="Лікар загальної практики - сімейний лікар"," ",IF(B756="Лікар-педіатр"," ",IF(B756="Лікар-терапевт","х",0)))</f>
        <v>0</v>
      </c>
      <c r="W758" s="199">
        <f>IF(B756="Лікар загальної практики - сімейний лікар"," ",IF(B756="Лікар-педіатр","х",IF(B756="Лікар-терапевт"," ",0)))</f>
        <v>0</v>
      </c>
      <c r="X758" s="199">
        <f>IF(B756="Лікар загальної практики - сімейний лікар"," ",IF(B756="Лікар-педіатр","х",IF(B756="Лікар-терапевт"," ",0)))</f>
        <v>0</v>
      </c>
      <c r="Y758" s="199">
        <f>IF(B756="Лікар загальної практики - сімейний лікар"," ",IF(B756="Лікар-педіатр","х",IF(B756="Лікар-терапевт"," ",0)))</f>
        <v>0</v>
      </c>
      <c r="Z758" s="200">
        <f>SUM(U758:Y758)</f>
        <v>0</v>
      </c>
      <c r="AA758" s="942"/>
      <c r="AB758" s="199">
        <f>IF(B756="Лікар загальної практики - сімейний лікар"," ",IF(B756="Лікар-педіатр"," ",IF(B756="Лікар-терапевт","х",0)))</f>
        <v>0</v>
      </c>
      <c r="AC758" s="199">
        <f>IF(B756="Лікар загальної практики - сімейний лікар"," ",IF(B756="Лікар-педіатр"," ",IF(B756="Лікар-терапевт","х",0)))</f>
        <v>0</v>
      </c>
      <c r="AD758" s="199">
        <f>IF(B756="Лікар загальної практики - сімейний лікар"," ",IF(B756="Лікар-педіатр","х",IF(B756="Лікар-терапевт"," ",0)))</f>
        <v>0</v>
      </c>
      <c r="AE758" s="199">
        <f>IF(B756="Лікар загальної практики - сімейний лікар"," ",IF(B756="Лікар-педіатр","х",IF(B756="Лікар-терапевт"," ",0)))</f>
        <v>0</v>
      </c>
      <c r="AF758" s="199">
        <f>IF(B756="Лікар загальної практики - сімейний лікар"," ",IF(B756="Лікар-педіатр","х",IF(B756="Лікар-терапевт"," ",0)))</f>
        <v>0</v>
      </c>
      <c r="AG758" s="200">
        <f>SUM(AB758:AF758)</f>
        <v>0</v>
      </c>
      <c r="AH758" s="942"/>
      <c r="AI758" s="242"/>
      <c r="AJ758" s="945"/>
      <c r="AK758" s="960"/>
      <c r="AL758" s="960"/>
      <c r="AM758" s="930"/>
      <c r="AN758" s="948"/>
      <c r="AO758" s="948"/>
      <c r="AP758" s="948"/>
      <c r="AQ758" s="948"/>
      <c r="AR758" s="963"/>
    </row>
    <row r="759" spans="1:44" s="50" customFormat="1" ht="31.9" hidden="1" customHeight="1" thickBot="1">
      <c r="A759" s="197"/>
      <c r="B759" s="951"/>
      <c r="C759" s="954"/>
      <c r="D759" s="957"/>
      <c r="E759" s="939"/>
      <c r="F759" s="236" t="s">
        <v>426</v>
      </c>
      <c r="G759" s="203">
        <f>IF($B$756="Лікар-педіатр",G758/L758,IF($B$756="Лікар-терапевт","х",IF($B$756="Лікар загальної практики - сімейний лікар",G758/L758,0)))</f>
        <v>0</v>
      </c>
      <c r="H759" s="203">
        <f>IF($B$756="Лікар-педіатр",H758/L758,IF($B$756="Лікар-терапевт","х",IF($B$756="Лікар загальної практики - сімейний лікар",H758/L758,0)))</f>
        <v>0</v>
      </c>
      <c r="I759" s="203">
        <f>IF($B$756="Лікар-педіатр","x",IF($B$756="Лікар-терапевт",I758/L758,IF($B$756="Лікар загальної практики - сімейний лікар",I758/L758,0)))</f>
        <v>0</v>
      </c>
      <c r="J759" s="203">
        <f>IF($B$756="Лікар-педіатр","x",IF($B$756="Лікар-терапевт",J758/L758,IF($B$756="Лікар загальної практики - сімейний лікар",J758/L758,0)))</f>
        <v>0</v>
      </c>
      <c r="K759" s="203">
        <f>IF($B$756="Лікар-педіатр","x",IF($B$756="Лікар-терапевт",K758/L758,IF($B$756="Лікар загальної практики - сімейний лікар",K758/L758,0)))</f>
        <v>0</v>
      </c>
      <c r="L759" s="203">
        <f>SUM(G759:K759)</f>
        <v>0</v>
      </c>
      <c r="M759" s="942"/>
      <c r="N759" s="203">
        <f>IF($B$756="Лікар-педіатр",N758/S758,IF($B$756="Лікар-терапевт","х",IF($B$756="Лікар загальної практики - сімейний лікар",N758/S758,0)))</f>
        <v>0</v>
      </c>
      <c r="O759" s="203">
        <f>IF($B$756="Лікар-педіатр",O758/S758,IF($B$756="Лікар-терапевт","х",IF($B$756="Лікар загальної практики - сімейний лікар",O758/S758,0)))</f>
        <v>0</v>
      </c>
      <c r="P759" s="203">
        <f>IF($B$756="Лікар-педіатр","x",IF($B$756="Лікар-терапевт",P758/S758,IF($B$756="Лікар загальної практики - сімейний лікар",P758/S758,0)))</f>
        <v>0</v>
      </c>
      <c r="Q759" s="203">
        <f>IF($B$756="Лікар-педіатр","x",IF($B$756="Лікар-терапевт",Q758/S758,IF($B$756="Лікар загальної практики - сімейний лікар",Q758/S758,0)))</f>
        <v>0</v>
      </c>
      <c r="R759" s="203">
        <f>IF($B$756="Лікар-педіатр","x",IF($B$756="Лікар-терапевт",R758/S758,IF($B$756="Лікар загальної практики - сімейний лікар",R758/S758,0)))</f>
        <v>0</v>
      </c>
      <c r="S759" s="203">
        <f>SUM(N759:R759)</f>
        <v>0</v>
      </c>
      <c r="T759" s="942"/>
      <c r="U759" s="203">
        <f>IF($B$756="Лікар-педіатр",U758/Z758,IF($B$756="Лікар-терапевт","х",IF($B$756="Лікар загальної практики - сімейний лікар",U758/Z758,0)))</f>
        <v>0</v>
      </c>
      <c r="V759" s="203">
        <f>IF($B$756="Лікар-педіатр",V758/Z758,IF($B$756="Лікар-терапевт","х",IF($B$756="Лікар загальної практики - сімейний лікар",V758/Z758,0)))</f>
        <v>0</v>
      </c>
      <c r="W759" s="203">
        <f>IF($B$756="Лікар-педіатр","x",IF($B$756="Лікар-терапевт",W758/Z758,IF($B$756="Лікар загальної практики - сімейний лікар",W758/Z758,0)))</f>
        <v>0</v>
      </c>
      <c r="X759" s="203">
        <f>IF($B$756="Лікар-педіатр","x",IF($B$756="Лікар-терапевт",X758/Z758,IF($B$756="Лікар загальної практики - сімейний лікар",X758/Z758,0)))</f>
        <v>0</v>
      </c>
      <c r="Y759" s="203">
        <f>IF($B$756="Лікар-педіатр","x",IF($B$756="Лікар-терапевт",Y758/Z758,IF($B$756="Лікар загальної практики - сімейний лікар",Y758/Z758,0)))</f>
        <v>0</v>
      </c>
      <c r="Z759" s="203">
        <f>SUM(U759:Y759)</f>
        <v>0</v>
      </c>
      <c r="AA759" s="942"/>
      <c r="AB759" s="203">
        <f>IF($B$756="Лікар-педіатр",AB758/AG758,IF($B$756="Лікар-терапевт","х",IF($B$756="Лікар загальної практики - сімейний лікар",AB758/AG758,0)))</f>
        <v>0</v>
      </c>
      <c r="AC759" s="203">
        <f>IF($B$756="Лікар-педіатр",AC758/AG758,IF($B$756="Лікар-терапевт","х",IF($B$756="Лікар загальної практики - сімейний лікар",AC758/AG758,0)))</f>
        <v>0</v>
      </c>
      <c r="AD759" s="203">
        <f>IF($B$756="Лікар-педіатр","x",IF($B$756="Лікар-терапевт",AD758/AG758,IF($B$756="Лікар загальної практики - сімейний лікар",AD758/AG758,0)))</f>
        <v>0</v>
      </c>
      <c r="AE759" s="203">
        <f>IF($B$756="Лікар-педіатр","x",IF($B$756="Лікар-терапевт",AE758/AG758,IF($B$756="Лікар загальної практики - сімейний лікар",AE758/AG758,0)))</f>
        <v>0</v>
      </c>
      <c r="AF759" s="203">
        <f>IF($B$756="Лікар-педіатр","x",IF($B$756="Лікар-терапевт",AF758/AG758,IF($B$756="Лікар загальної практики - сімейний лікар",AF758/AG758,0)))</f>
        <v>0</v>
      </c>
      <c r="AG759" s="203">
        <f>SUM(AB759:AF759)</f>
        <v>0</v>
      </c>
      <c r="AH759" s="942"/>
      <c r="AI759" s="201"/>
      <c r="AJ759" s="945"/>
      <c r="AK759" s="960"/>
      <c r="AL759" s="960"/>
      <c r="AM759" s="930"/>
      <c r="AN759" s="948"/>
      <c r="AO759" s="948"/>
      <c r="AP759" s="948"/>
      <c r="AQ759" s="948"/>
      <c r="AR759" s="963"/>
    </row>
    <row r="760" spans="1:44" s="50" customFormat="1" ht="45" hidden="1" customHeight="1" thickBot="1">
      <c r="A760" s="197"/>
      <c r="B760" s="951"/>
      <c r="C760" s="954"/>
      <c r="D760" s="957"/>
      <c r="E760" s="939"/>
      <c r="F760" s="204" t="s">
        <v>662</v>
      </c>
      <c r="G760" s="205">
        <f>IF($B$756="Лікар загальної практики - сімейний лікар",AVERAGE(G756:G758),IF($B$756="Лікар-педіатр",AVERAGE(G756:G758),IF($B$756="Лікар-терапевт","х",0)))</f>
        <v>0</v>
      </c>
      <c r="H760" s="205">
        <f>IF($B$756="Лікар загальної практики - сімейний лікар",AVERAGE(H756:H758),IF($B$756="Лікар-педіатр",AVERAGE(H756:H758),IF($B$756="Лікар-терапевт","х",0)))</f>
        <v>0</v>
      </c>
      <c r="I760" s="205">
        <f>IF($B$756="Лікар загальної практики - сімейний лікар",AVERAGE(I756:I758),IF($B$756="Лікар-педіатр","x",IF($B$756="Лікар-терапевт",AVERAGE(I756:I758),0)))</f>
        <v>0</v>
      </c>
      <c r="J760" s="205">
        <f>IF($B$756="Лікар загальної практики - сімейний лікар",AVERAGE(J756:J758),IF($B$756="Лікар-педіатр","x",IF($B$756="Лікар-терапевт",AVERAGE(J756:J758),0)))</f>
        <v>0</v>
      </c>
      <c r="K760" s="205">
        <f>IF($B$756="Лікар загальної практики - сімейний лікар",AVERAGE(K756:K758),IF($B$756="Лікар-педіатр","x",IF($B$756="Лікар-терапевт",AVERAGE(K756:K758),0)))</f>
        <v>0</v>
      </c>
      <c r="L760" s="206">
        <f>SUM(G760:K760)</f>
        <v>0</v>
      </c>
      <c r="M760" s="942"/>
      <c r="N760" s="205">
        <f>IF($B$756="Лікар загальної практики - сімейний лікар",AVERAGE(N756:N758),IF($B$756="Лікар-педіатр",AVERAGE(N756:N758),IF($B$756="Лікар-терапевт","х",0)))</f>
        <v>0</v>
      </c>
      <c r="O760" s="205">
        <f>IF($B$756="Лікар загальної практики - сімейний лікар",AVERAGE(O756:O758),IF($B$756="Лікар-педіатр",AVERAGE(O756:O758),IF($B$756="Лікар-терапевт","х",0)))</f>
        <v>0</v>
      </c>
      <c r="P760" s="205">
        <f>IF($B$756="Лікар загальної практики - сімейний лікар",AVERAGE(P756:P758),IF($B$756="Лікар-педіатр","x",IF($B$756="Лікар-терапевт",AVERAGE(P756:P758),0)))</f>
        <v>0</v>
      </c>
      <c r="Q760" s="205">
        <f>IF($B$756="Лікар загальної практики - сімейний лікар",AVERAGE(Q756:Q758),IF($B$756="Лікар-педіатр","x",IF($B$756="Лікар-терапевт",AVERAGE(Q756:Q758),0)))</f>
        <v>0</v>
      </c>
      <c r="R760" s="205">
        <f>IF($B$756="Лікар загальної практики - сімейний лікар",AVERAGE(R756:R758),IF($B$756="Лікар-педіатр","x",IF($B$756="Лікар-терапевт",AVERAGE(R756:R758),0)))</f>
        <v>0</v>
      </c>
      <c r="S760" s="206">
        <f>SUM(N760:R760)</f>
        <v>0</v>
      </c>
      <c r="T760" s="942"/>
      <c r="U760" s="205">
        <f>IF($B$756="Лікар загальної практики - сімейний лікар",AVERAGE(U756:U758),IF($B$756="Лікар-педіатр",AVERAGE(U756:U758),IF($B$756="Лікар-терапевт","х",0)))</f>
        <v>0</v>
      </c>
      <c r="V760" s="205">
        <f>IF($B$756="Лікар загальної практики - сімейний лікар",AVERAGE(V756:V758),IF($B$756="Лікар-педіатр",AVERAGE(V756:V758),IF($B$756="Лікар-терапевт","х",0)))</f>
        <v>0</v>
      </c>
      <c r="W760" s="205">
        <f>IF($B$756="Лікар загальної практики - сімейний лікар",AVERAGE(W756:W758),IF($B$756="Лікар-педіатр","x",IF($B$756="Лікар-терапевт",AVERAGE(W756:W758),0)))</f>
        <v>0</v>
      </c>
      <c r="X760" s="205">
        <f>IF($B$756="Лікар загальної практики - сімейний лікар",AVERAGE(X756:X758),IF($B$756="Лікар-педіатр","x",IF($B$756="Лікар-терапевт",AVERAGE(X756:X758),0)))</f>
        <v>0</v>
      </c>
      <c r="Y760" s="205">
        <f>IF($B$756="Лікар загальної практики - сімейний лікар",AVERAGE(Y756:Y758),IF($B$756="Лікар-педіатр","x",IF($B$756="Лікар-терапевт",AVERAGE(Y756:Y758),0)))</f>
        <v>0</v>
      </c>
      <c r="Z760" s="206">
        <f>SUM(U760:Y760)</f>
        <v>0</v>
      </c>
      <c r="AA760" s="942"/>
      <c r="AB760" s="205">
        <f>IF($B$756="Лікар загальної практики - сімейний лікар",AVERAGE(AB756:AB758),IF($B$756="Лікар-педіатр",AVERAGE(AB756:AB758),IF($B$756="Лікар-терапевт","х",0)))</f>
        <v>0</v>
      </c>
      <c r="AC760" s="205">
        <f>IF($B$756="Лікар загальної практики - сімейний лікар",AVERAGE(AC756:AC758),IF($B$756="Лікар-педіатр",AVERAGE(AC756:AC758),IF($B$756="Лікар-терапевт","х",0)))</f>
        <v>0</v>
      </c>
      <c r="AD760" s="205">
        <f>IF($B$756="Лікар загальної практики - сімейний лікар",AVERAGE(AD756:AD758),IF($B$756="Лікар-педіатр","x",IF($B$756="Лікар-терапевт",AVERAGE(AD756:AD758),0)))</f>
        <v>0</v>
      </c>
      <c r="AE760" s="205">
        <f>IF($B$756="Лікар загальної практики - сімейний лікар",AVERAGE(AE756:AE758),IF($B$756="Лікар-педіатр","x",IF($B$756="Лікар-терапевт",AVERAGE(AE756:AE758),0)))</f>
        <v>0</v>
      </c>
      <c r="AF760" s="205">
        <f>IF($B$756="Лікар загальної практики - сімейний лікар",AVERAGE(AF756:AF758),IF($B$756="Лікар-педіатр","x",IF($B$756="Лікар-терапевт",AVERAGE(AF756:AF758),0)))</f>
        <v>0</v>
      </c>
      <c r="AG760" s="206">
        <f>SUM(AB760:AF760)</f>
        <v>0</v>
      </c>
      <c r="AH760" s="942"/>
      <c r="AI760" s="201"/>
      <c r="AJ760" s="945"/>
      <c r="AK760" s="960"/>
      <c r="AL760" s="960"/>
      <c r="AM760" s="931"/>
      <c r="AN760" s="949"/>
      <c r="AO760" s="949"/>
      <c r="AP760" s="949"/>
      <c r="AQ760" s="949"/>
      <c r="AR760" s="964"/>
    </row>
    <row r="761" spans="1:44" s="50" customFormat="1" ht="40.5" hidden="1">
      <c r="A761" s="197"/>
      <c r="B761" s="951"/>
      <c r="C761" s="954"/>
      <c r="D761" s="957"/>
      <c r="E761" s="939"/>
      <c r="F761" s="237" t="str">
        <f ca="1">IF(B756="Лікар-педіатр",Законод!$C$17,IF(B756="Лікар загальної практики - сімейний лікар",Законод!$C$21,IF(B756="Лікар-терапевт",Законод!$C$25,"х")))</f>
        <v>х</v>
      </c>
      <c r="G761" s="208">
        <f ca="1">IF($B$756="Лікар загальної практики - сімейний лікар",IF(L760&lt;=Законод!$C$22,G760,Законод!$C$22*'01_Доходи'!G759),IF($B$756="Лікар-педіатр",IF(L760&lt;=Законод!$C$18,G760,Законод!$C$18*'01_Доходи'!G759),IF($B$756="Лікар-терапевт","x",0)))</f>
        <v>0</v>
      </c>
      <c r="H761" s="208">
        <f ca="1">IF($B$756="Лікар загальної практики - сімейний лікар",IF(L760&lt;=Законод!$C$22,H760,Законод!$C$22*'01_Доходи'!H759),IF($B$756="Лікар-педіатр",IF(L760&lt;=Законод!$C$18,H760,Законод!$C$18*'01_Доходи'!H759),IF($B$756="Лікар-терапевт","x",0)))</f>
        <v>0</v>
      </c>
      <c r="I761" s="208">
        <f ca="1">IF($B$756="Лікар загальної практики - сімейний лікар",IF(L760&lt;=Законод!$C$22,I760,Законод!$C$22*'01_Доходи'!I759),IF($B$756="Лікар-педіатр","x",IF($B$756="Лікар-терапевт",IF(L760&lt;=Законод!$C$26,I760,Законод!$C$26*'01_Доходи'!I759),0)))</f>
        <v>0</v>
      </c>
      <c r="J761" s="208">
        <f ca="1">IF($B$756="Лікар загальної практики - сімейний лікар",IF(L760&lt;=Законод!$C$22,J760,Законод!$C$22*'01_Доходи'!J759),IF($B$756="Лікар-педіатр","x",IF($B$756="Лікар-терапевт",IF(L760&lt;=Законод!$C$26,J760,Законод!$C$26*'01_Доходи'!J759),0)))</f>
        <v>0</v>
      </c>
      <c r="K761" s="208">
        <f ca="1">IF($B$756="Лікар загальної практики - сімейний лікар",IF(L760&lt;=Законод!$C$22,K760,Законод!$C$22*'01_Доходи'!K759),IF($B$756="Лікар-педіатр","x",IF($B$756="Лікар-терапевт",IF(L760&lt;=Законод!$C$26,K760,Законод!$C$26*'01_Доходи'!K759),0)))</f>
        <v>0</v>
      </c>
      <c r="L761" s="209">
        <f ca="1">SUM(G761:K761)</f>
        <v>0</v>
      </c>
      <c r="M761" s="942"/>
      <c r="N761" s="208">
        <f ca="1">IF($B$756="Лікар загальної практики - сімейний лікар",IF(S760&lt;=Законод!$C$22,N760,Законод!$C$22*'01_Доходи'!N759),IF($B$756="Лікар-педіатр",IF(S760&lt;=Законод!$C$18,N760,Законод!$C$18*'01_Доходи'!N759),IF($B$756="Лікар-терапевт","x",0)))</f>
        <v>0</v>
      </c>
      <c r="O761" s="208">
        <f ca="1">IF($B$756="Лікар загальної практики - сімейний лікар",IF(S760&lt;=Законод!$C$22,O760,Законод!$C$22*'01_Доходи'!O759),IF($B$756="Лікар-педіатр",IF(S760&lt;=Законод!$C$18,O760,Законод!$C$18*'01_Доходи'!O759),IF($B$756="Лікар-терапевт","x",0)))</f>
        <v>0</v>
      </c>
      <c r="P761" s="208">
        <f ca="1">IF($B$756="Лікар загальної практики - сімейний лікар",IF(S760&lt;=Законод!$C$22,P760,Законод!$C$22*'01_Доходи'!P759),IF($B$756="Лікар-педіатр","x",IF($B$756="Лікар-терапевт",IF(S760&lt;=Законод!$C$26,P760,Законод!$C$26*'01_Доходи'!P759),0)))</f>
        <v>0</v>
      </c>
      <c r="Q761" s="208">
        <f ca="1">IF($B$756="Лікар загальної практики - сімейний лікар",IF(S760&lt;=Законод!$C$22,Q760,Законод!$C$22*'01_Доходи'!Q759),IF($B$756="Лікар-педіатр","x",IF($B$756="Лікар-терапевт",IF(S760&lt;=Законод!$C$26,Q760,Законод!$C$26*'01_Доходи'!Q759),0)))</f>
        <v>0</v>
      </c>
      <c r="R761" s="208">
        <f ca="1">IF($B$756="Лікар загальної практики - сімейний лікар",IF(S760&lt;=Законод!$C$22,R760,Законод!$C$22*'01_Доходи'!R759),IF($B$756="Лікар-педіатр","x",IF($B$756="Лікар-терапевт",IF(S760&lt;=Законод!$C$26,R760,Законод!$C$26*'01_Доходи'!R759),0)))</f>
        <v>0</v>
      </c>
      <c r="S761" s="209">
        <f ca="1">SUM(N761:R761)</f>
        <v>0</v>
      </c>
      <c r="T761" s="942"/>
      <c r="U761" s="208">
        <f ca="1">IF($B$756="Лікар загальної практики - сімейний лікар",IF(Z760&lt;=Законод!$C$22,U760,Законод!$C$22*'01_Доходи'!U759),IF($B$756="Лікар-педіатр",IF(Z760&lt;=Законод!$C$18,U760,Законод!$C$18*'01_Доходи'!U759),IF($B$756="Лікар-терапевт","x",0)))</f>
        <v>0</v>
      </c>
      <c r="V761" s="208">
        <f ca="1">IF($B$756="Лікар загальної практики - сімейний лікар",IF(Z760&lt;=Законод!$C$22,V760,Законод!$C$22*'01_Доходи'!V759),IF($B$756="Лікар-педіатр",IF(Z760&lt;=Законод!$C$18,V760,Законод!$C$18*'01_Доходи'!V759),IF($B$756="Лікар-терапевт","x",0)))</f>
        <v>0</v>
      </c>
      <c r="W761" s="208">
        <f ca="1">IF($B$756="Лікар загальної практики - сімейний лікар",IF(Z760&lt;=Законод!$C$22,W760,Законод!$C$22*'01_Доходи'!W759),IF($B$756="Лікар-педіатр","x",IF($B$756="Лікар-терапевт",IF(Z760&lt;=Законод!$C$26,W760,Законод!$C$26*'01_Доходи'!W759),0)))</f>
        <v>0</v>
      </c>
      <c r="X761" s="208">
        <f ca="1">IF($B$756="Лікар загальної практики - сімейний лікар",IF(Z760&lt;=Законод!$C$22,X760,Законод!$C$22*'01_Доходи'!X759),IF($B$756="Лікар-педіатр","x",IF($B$756="Лікар-терапевт",IF(Z760&lt;=Законод!$C$26,X760,Законод!$C$26*'01_Доходи'!X759),0)))</f>
        <v>0</v>
      </c>
      <c r="Y761" s="208">
        <f ca="1">IF($B$756="Лікар загальної практики - сімейний лікар",IF(Z760&lt;=Законод!$C$22,Y760,Законод!$C$22*'01_Доходи'!Y759),IF($B$756="Лікар-педіатр","x",IF($B$756="Лікар-терапевт",IF(Z760&lt;=Законод!$C$26,Y760,Законод!$C$26*'01_Доходи'!Y759),0)))</f>
        <v>0</v>
      </c>
      <c r="Z761" s="209">
        <f ca="1">SUM(U761:Y761)</f>
        <v>0</v>
      </c>
      <c r="AA761" s="942"/>
      <c r="AB761" s="208">
        <f ca="1">IF($B$756="Лікар загальної практики - сімейний лікар",IF(AG760&lt;=Законод!$C$22,AB760,Законод!$C$22*'01_Доходи'!AB759),IF($B$756="Лікар-педіатр",IF(AG760&lt;=Законод!$C$18,AB760,Законод!$C$18*'01_Доходи'!AB759),IF($B$756="Лікар-терапевт","x",0)))</f>
        <v>0</v>
      </c>
      <c r="AC761" s="208">
        <f ca="1">IF($B$756="Лікар загальної практики - сімейний лікар",IF(AG760&lt;=Законод!$C$22,AC760,Законод!$C$22*'01_Доходи'!AC759),IF($B$756="Лікар-педіатр",IF(AG760&lt;=Законод!$C$18,AC760,Законод!$C$18*'01_Доходи'!AC759),IF($B$756="Лікар-терапевт","x",0)))</f>
        <v>0</v>
      </c>
      <c r="AD761" s="208">
        <f ca="1">IF($B$756="Лікар загальної практики - сімейний лікар",IF(AG760&lt;=Законод!$C$22,AD760,Законод!$C$22*'01_Доходи'!AD759),IF($B$756="Лікар-педіатр","x",IF($B$756="Лікар-терапевт",IF(AG760&lt;=Законод!$C$26,AD760,Законод!$C$26*'01_Доходи'!AD759),0)))</f>
        <v>0</v>
      </c>
      <c r="AE761" s="208">
        <f ca="1">IF($B$756="Лікар загальної практики - сімейний лікар",IF(AG760&lt;=Законод!$C$22,AE760,Законод!$C$22*'01_Доходи'!AE759),IF($B$756="Лікар-педіатр","x",IF($B$756="Лікар-терапевт",IF(AG760&lt;=Законод!$C$26,AE760,Законод!$C$26*'01_Доходи'!AE759),0)))</f>
        <v>0</v>
      </c>
      <c r="AF761" s="208">
        <f ca="1">IF($B$756="Лікар загальної практики - сімейний лікар",IF(AG760&lt;=Законод!$C$22,AF760,Законод!$C$22*'01_Доходи'!AF759),IF($B$756="Лікар-педіатр","x",IF($B$756="Лікар-терапевт",IF(AG760&lt;=Законод!$C$26,AF760,Законод!$C$26*'01_Доходи'!AF759),0)))</f>
        <v>0</v>
      </c>
      <c r="AG761" s="209">
        <f ca="1">SUM(AB761:AF761)</f>
        <v>0</v>
      </c>
      <c r="AH761" s="942"/>
      <c r="AI761" s="201"/>
      <c r="AJ761" s="945"/>
      <c r="AK761" s="960"/>
      <c r="AL761" s="960"/>
      <c r="AM761" s="348" t="s">
        <v>451</v>
      </c>
      <c r="AN761" s="210">
        <f ca="1">IF(B756="Лікар загальної практики - сімейний лікар",G761*Законод!$C$11+'01_Доходи'!H761*Законод!$D$11+'01_Доходи'!I761*Законод!$E$11+'01_Доходи'!J761*Законод!$F$11+'01_Доходи'!K761*Законод!$G$11,IF(B756="Лікар-педіатр",G761*Законод!$C$11+'01_Доходи'!H761*Законод!$D$11,IF(B756="Лікар-терапевт",'01_Доходи'!I761*Законод!$E$11+'01_Доходи'!J761*Законод!$F$11+'01_Доходи'!K761*Законод!$G$11,0)))</f>
        <v>0</v>
      </c>
      <c r="AO761" s="210">
        <f ca="1">IF(B756="Лікар загальної практики - сімейний лікар",N761*Законод!$C$11+'01_Доходи'!O761*Законод!$D$11+'01_Доходи'!P761*Законод!$E$11+'01_Доходи'!Q761*Законод!$F$11+'01_Доходи'!R761*Законод!$G$11,IF(B756="Лікар-педіатр",N761*Законод!$C$11+'01_Доходи'!O761*Законод!$D$11,IF(B756="Лікар-терапевт",'01_Доходи'!P761*Законод!$E$11+'01_Доходи'!Q761*Законод!$F$11+'01_Доходи'!R761*Законод!$G$11,0)))</f>
        <v>0</v>
      </c>
      <c r="AP761" s="210">
        <f ca="1">IF(B756="Лікар загальної практики - сімейний лікар",U761*Законод!$C$11+'01_Доходи'!V761*Законод!$D$11+'01_Доходи'!W761*Законод!$E$11+'01_Доходи'!X761*Законод!$F$11+'01_Доходи'!Y761*Законод!$G$11,IF(B756="Лікар-педіатр",U761*Законод!$C$11+'01_Доходи'!V761*Законод!$D$11,IF(B756="Лікар-терапевт",'01_Доходи'!W761*Законод!$E$11+'01_Доходи'!X761*Законод!$F$11+'01_Доходи'!Y761*Законод!$G$11,0)))</f>
        <v>0</v>
      </c>
      <c r="AQ761" s="210">
        <f ca="1">IF(B756="Лікар загальної практики - сімейний лікар",AB761*Законод!$C$11+'01_Доходи'!AC761*Законод!$D$11+'01_Доходи'!AD761*Законод!$E$11+'01_Доходи'!AE761*Законод!$F$11+'01_Доходи'!AF761*Законод!$G$11,IF(B756="Лікар-педіатр",AB761*Законод!$C$11+'01_Доходи'!AC761*Законод!$D$11,IF(B756="Лікар-терапевт",'01_Доходи'!AD761*Законод!$E$11+'01_Доходи'!AE761*Законод!$F$11+'01_Доходи'!AF761*Законод!$G$11,0)))</f>
        <v>0</v>
      </c>
      <c r="AR761" s="211">
        <f t="shared" ref="AR761:AR767" si="98">SUM(AN761:AQ761)</f>
        <v>0</v>
      </c>
    </row>
    <row r="762" spans="1:44" s="50" customFormat="1" ht="31.9" hidden="1" customHeight="1">
      <c r="A762" s="197"/>
      <c r="B762" s="951"/>
      <c r="C762" s="954"/>
      <c r="D762" s="957"/>
      <c r="E762" s="939"/>
      <c r="F762" s="238" t="str">
        <f ca="1">IF(B756="Лікар-педіатр",Законод!$E$17,IF(B756="Лікар загальної практики - сімейний лікар",Законод!$E$21,IF(B756="Лікар-терапевт",Законод!$E$25,"х")))</f>
        <v>х</v>
      </c>
      <c r="G762" s="935" t="s">
        <v>423</v>
      </c>
      <c r="H762" s="936"/>
      <c r="I762" s="936"/>
      <c r="J762" s="936"/>
      <c r="K762" s="937"/>
      <c r="L762" s="196">
        <f ca="1">IF($B$756="Лікар загальної практики - сімейний лікар",IF(L760&lt;Законод!$C$22,0,(IF(AND(L760&gt;=Законод!$E$22,L760&lt;=Законод!$E$23),L760-Законод!$C$22,IF('01_Доходи'!L760&gt;=Законод!$F$22,Законод!$E$24,0)))),IF($B$756="Лікар-педіатр",IF(L760&lt;Законод!$C$18,0,(IF(AND(L760&gt;=Законод!$E$18,L760&lt;=Законод!$E$19),L760-Законод!$C$18,IF('01_Доходи'!L760&gt;=Законод!$F$18,Законод!$E$20,0)))),IF($B$756="Лікар-терапевт",IF(L760&lt;Законод!$C$26,0,(IF(AND(L760&gt;=Законод!$E$26,L760&lt;=Законод!$E$27),L760-Законод!$C$26,IF('01_Доходи'!L760&gt;=Законод!$F$26,Законод!$E$28,0)))),0)))</f>
        <v>0</v>
      </c>
      <c r="M762" s="942"/>
      <c r="N762" s="935" t="s">
        <v>423</v>
      </c>
      <c r="O762" s="936"/>
      <c r="P762" s="936"/>
      <c r="Q762" s="936"/>
      <c r="R762" s="937"/>
      <c r="S762" s="196">
        <f ca="1">IF($B$756="Лікар загальної практики - сімейний лікар",IF(S760&lt;Законод!$C$22,0,(IF(AND(S760&gt;=Законод!$E$22,S760&lt;=Законод!$E$23),S760-Законод!$C$22,IF('01_Доходи'!S760&gt;=Законод!$F$22,Законод!$E$24,0)))),IF($B$756="Лікар-педіатр",IF(S760&lt;Законод!$C$18,0,(IF(AND(S760&gt;=Законод!$E$18,S760&lt;=Законод!$E$19),S760-Законод!$C$18,IF('01_Доходи'!S760&gt;=Законод!$F$18,Законод!$E$20,0)))),IF($B$756="Лікар-терапевт",IF(S760&lt;Законод!$C$26,0,(IF(AND(S760&gt;=Законод!$E$26,S760&lt;=Законод!$E$27),S760-Законод!$C$26,IF('01_Доходи'!S760&gt;=Законод!$F$26,Законод!$E$28,0)))),0)))</f>
        <v>0</v>
      </c>
      <c r="T762" s="942"/>
      <c r="U762" s="935" t="s">
        <v>423</v>
      </c>
      <c r="V762" s="936"/>
      <c r="W762" s="936"/>
      <c r="X762" s="936"/>
      <c r="Y762" s="937"/>
      <c r="Z762" s="196">
        <f ca="1">IF($B$756="Лікар загальної практики - сімейний лікар",IF(Z760&lt;Законод!$C$22,0,(IF(AND(Z760&gt;=Законод!$E$22,Z760&lt;=Законод!$E$23),Z760-Законод!$C$22,IF('01_Доходи'!Z760&gt;=Законод!$F$22,Законод!$E$24,0)))),IF($B$756="Лікар-педіатр",IF(Z760&lt;Законод!$C$18,0,(IF(AND(Z760&gt;=Законод!$E$18,Z760&lt;=Законод!$E$19),Z760-Законод!$C$18,IF('01_Доходи'!Z760&gt;=Законод!$F$18,Законод!$E$20,0)))),IF($B$756="Лікар-терапевт",IF(Z760&lt;Законод!$C$26,0,(IF(AND(Z760&gt;=Законод!$E$26,Z760&lt;=Законод!$E$27),Z760-Законод!$C$26,IF('01_Доходи'!Z760&gt;=Законод!$F$26,Законод!$E$28,0)))),0)))</f>
        <v>0</v>
      </c>
      <c r="AA762" s="942"/>
      <c r="AB762" s="935" t="s">
        <v>423</v>
      </c>
      <c r="AC762" s="936"/>
      <c r="AD762" s="936"/>
      <c r="AE762" s="936"/>
      <c r="AF762" s="937"/>
      <c r="AG762" s="196">
        <f ca="1">IF($B$756="Лікар загальної практики - сімейний лікар",IF(AG760&lt;Законод!$C$22,0,(IF(AND(AG760&gt;=Законод!$E$22,AG760&lt;=Законод!$E$23),AG760-Законод!$C$22,IF('01_Доходи'!AG760&gt;=Законод!$F$22,Законод!$E$24,0)))),IF($B$756="Лікар-педіатр",IF(AG760&lt;Законод!$C$18,0,(IF(AND(AG760&gt;=Законод!$E$18,AG760&lt;=Законод!$E$19),AG760-Законод!$C$18,IF('01_Доходи'!AG760&gt;=Законод!$F$18,Законод!$E$20,0)))),IF($B$756="Лікар-терапевт",IF(AG760&lt;Законод!$C$26,0,(IF(AND(AG760&gt;=Законод!$E$26,AG760&lt;=Законод!$E$27),AG760-Законод!$C$26,IF('01_Доходи'!AG760&gt;=Законод!$F$26,Законод!$E$28,0)))),0)))</f>
        <v>0</v>
      </c>
      <c r="AH762" s="942"/>
      <c r="AI762" s="201"/>
      <c r="AJ762" s="945"/>
      <c r="AK762" s="960"/>
      <c r="AL762" s="960"/>
      <c r="AM762" s="926" t="s">
        <v>452</v>
      </c>
      <c r="AN762" s="210">
        <f ca="1">IF(B756="Лікар загальної практики - сімейний лікар",L762*Законод!$C$9/4*Законод!$E$16,IF(B756="Лікар-педіатр",L762*Законод!$C$9/4*Законод!$E$16,IF(B756="Лікар-терапевт",L762*Законод!$C$9/4*Законод!$E$16,0)))</f>
        <v>0</v>
      </c>
      <c r="AO762" s="210">
        <f ca="1">IF(B756="Лікар загальної практики - сімейний лікар",S762*Законод!$C$9/4*Законод!$E$16,IF(B756="Лікар-педіатр",S762*Законод!$C$9/4*Законод!$E$16,IF(B756="Лікар-терапевт",S762*Законод!$C$9/4*Законод!$E$16,0)))</f>
        <v>0</v>
      </c>
      <c r="AP762" s="210">
        <f ca="1">IF(B756="Лікар загальної практики - сімейний лікар",Z762*Законод!$C$9/4*Законод!$E$16,IF(B756="Лікар-педіатр",Z762*Законод!$C$9/4*Законод!$E$16,IF(B756="Лікар-терапевт",Z762*Законод!$C$9/4*Законод!$E$16,0)))</f>
        <v>0</v>
      </c>
      <c r="AQ762" s="210">
        <f ca="1">IF(B756="Лікар загальної практики - сімейний лікар",AG762*Законод!$C$9/4*Законод!$E$16,IF(B756="Лікар-педіатр",AG762*Законод!$C$9/4*Законод!$E$16,IF(B756="Лікар-терапевт",AG762*Законод!$C$9/4*Законод!$E$16,0)))</f>
        <v>0</v>
      </c>
      <c r="AR762" s="211">
        <f t="shared" si="98"/>
        <v>0</v>
      </c>
    </row>
    <row r="763" spans="1:44" s="50" customFormat="1" ht="31.9" hidden="1" customHeight="1">
      <c r="A763" s="197"/>
      <c r="B763" s="951"/>
      <c r="C763" s="954"/>
      <c r="D763" s="957"/>
      <c r="E763" s="939"/>
      <c r="F763" s="238" t="str">
        <f ca="1">IF(B756="Лікар-педіатр",Законод!$F$17,IF(B756="Лікар загальної практики - сімейний лікар",Законод!$F$21,IF(B756="Лікар-терапевт",Законод!$F$25,"х")))</f>
        <v>х</v>
      </c>
      <c r="G763" s="935" t="s">
        <v>423</v>
      </c>
      <c r="H763" s="936"/>
      <c r="I763" s="936"/>
      <c r="J763" s="936"/>
      <c r="K763" s="937"/>
      <c r="L763" s="196">
        <f ca="1">IF($B$756="Лікар загальної практики - сімейний лікар",IF(L760&lt;Законод!$C$22,0,(IF(AND(L760&gt;=Законод!$F$22,L760&lt;=Законод!$F$23),L760-Законод!$E$23,IF('01_Доходи'!L760&gt;=Законод!$G$22,Законод!$F$24,0)))),IF($B$756="Лікар-педіатр",IF(L760&lt;Законод!$C$18,0,(IF(AND(L760&gt;=Законод!$F$18,L760&lt;=Законод!$F$19),L760-Законод!$E$19,IF('01_Доходи'!L760&gt;=Законод!$G$18,Законод!$F$20,0)))),IF($B$756="Лікар-терапевт",IF(L760&lt;Законод!$C$26,0,(IF(AND(L760&gt;=Законод!$F$26,L760&lt;=Законод!$F$27),L760-Законод!$E$27,IF('01_Доходи'!L760&gt;=Законод!$G$26,Законод!$F$28,0)))),0)))</f>
        <v>0</v>
      </c>
      <c r="M763" s="942"/>
      <c r="N763" s="935" t="s">
        <v>423</v>
      </c>
      <c r="O763" s="936"/>
      <c r="P763" s="936"/>
      <c r="Q763" s="936"/>
      <c r="R763" s="937"/>
      <c r="S763" s="196">
        <f ca="1">IF($B$756="Лікар загальної практики - сімейний лікар",IF(S760&lt;Законод!$C$22,0,(IF(AND(S760&gt;=Законод!$F$22,S760&lt;=Законод!$F$23),S760-Законод!$E$23,IF('01_Доходи'!S760&gt;=Законод!$G$22,Законод!$F$24,0)))),IF($B$756="Лікар-педіатр",IF(S760&lt;Законод!$C$18,0,(IF(AND(S760&gt;=Законод!$F$18,S760&lt;=Законод!$F$19),S760-Законод!$E$19,IF('01_Доходи'!S760&gt;=Законод!$G$18,Законод!$F$20,0)))),IF($B$756="Лікар-терапевт",IF(S760&lt;Законод!$C$26,0,(IF(AND(S760&gt;=Законод!$F$26,S760&lt;=Законод!$F$27),S760-Законод!$E$27,IF('01_Доходи'!S760&gt;=Законод!$G$26,Законод!$F$28,0)))),0)))</f>
        <v>0</v>
      </c>
      <c r="T763" s="942"/>
      <c r="U763" s="935" t="s">
        <v>423</v>
      </c>
      <c r="V763" s="936"/>
      <c r="W763" s="936"/>
      <c r="X763" s="936"/>
      <c r="Y763" s="937"/>
      <c r="Z763" s="196">
        <f ca="1">IF($B$756="Лікар загальної практики - сімейний лікар",IF(Z760&lt;Законод!$C$22,0,(IF(AND(Z760&gt;=Законод!$F$22,Z760&lt;=Законод!$F$23),Z760-Законод!$E$23,IF('01_Доходи'!Z760&gt;=Законод!$G$22,Законод!$F$24,0)))),IF($B$756="Лікар-педіатр",IF(Z760&lt;Законод!$C$18,0,(IF(AND(Z760&gt;=Законод!$F$18,Z760&lt;=Законод!$F$19),Z760-Законод!$E$19,IF('01_Доходи'!Z760&gt;=Законод!$G$18,Законод!$F$20,0)))),IF($B$756="Лікар-терапевт",IF(Z760&lt;Законод!$C$26,0,(IF(AND(Z760&gt;=Законод!$F$26,Z760&lt;=Законод!$F$27),Z760-Законод!$E$27,IF('01_Доходи'!Z760&gt;=Законод!$G$26,Законод!$F$28,0)))),0)))</f>
        <v>0</v>
      </c>
      <c r="AA763" s="942"/>
      <c r="AB763" s="935" t="s">
        <v>423</v>
      </c>
      <c r="AC763" s="936"/>
      <c r="AD763" s="936"/>
      <c r="AE763" s="936"/>
      <c r="AF763" s="937"/>
      <c r="AG763" s="196">
        <f ca="1">IF($B$756="Лікар загальної практики - сімейний лікар",IF(AG760&lt;Законод!$C$22,0,(IF(AND(AG760&gt;=Законод!$F$22,AG760&lt;=Законод!$F$23),AG760-Законод!$E$23,IF('01_Доходи'!AG760&gt;=Законод!$G$22,Законод!$F$24,0)))),IF($B$756="Лікар-педіатр",IF(AG760&lt;Законод!$C$18,0,(IF(AND(AG760&gt;=Законод!$F$18,AG760&lt;=Законод!$F$19),AG760-Законод!$E$19,IF('01_Доходи'!AG760&gt;=Законод!$G$18,Законод!$F$20,0)))),IF($B$756="Лікар-терапевт",IF(AG760&lt;Законод!$C$26,0,(IF(AND(AG760&gt;=Законод!$F$26,AG760&lt;=Законод!$F$27),AG760-Законод!$E$27,IF('01_Доходи'!AG760&gt;=Законод!$G$26,Законод!$F$28,0)))),0)))</f>
        <v>0</v>
      </c>
      <c r="AH763" s="942"/>
      <c r="AI763" s="201"/>
      <c r="AJ763" s="945"/>
      <c r="AK763" s="960"/>
      <c r="AL763" s="960"/>
      <c r="AM763" s="927"/>
      <c r="AN763" s="210">
        <f ca="1">IF(B756="Лікар загальної практики - сімейний лікар",L763*Законод!$C$9/4*Законод!$F$16,IF(B756="Лікар-педіатр",L763*Законод!$C$9/4*Законод!$F$16,IF(B756="Лікар-терапевт",L763*Законод!$C$9/4*Законод!$F$16,0)))</f>
        <v>0</v>
      </c>
      <c r="AO763" s="210">
        <f ca="1">IF(B756="Лікар загальної практики - сімейний лікар",S763*Законод!$C$9/4*Законод!$F$16,IF(B756="Лікар-педіатр",S763*Законод!$C$9/4*Законод!$F$16,IF(B756="Лікар-терапевт",S763*Законод!$C$9/4*Законод!$F$16,0)))</f>
        <v>0</v>
      </c>
      <c r="AP763" s="210">
        <f ca="1">IF(B756="Лікар загальної практики - сімейний лікар",Z763*Законод!$C$9/4*Законод!$F$16,IF(B756="Лікар-педіатр",Z763*Законод!$C$9/4*Законод!$F$16,IF(B756="Лікар-терапевт",Z763*Законод!$C$9/4*Законод!$F$16,0)))</f>
        <v>0</v>
      </c>
      <c r="AQ763" s="210">
        <f ca="1">IF(B756="Лікар загальної практики - сімейний лікар",AG763*Законод!$C$9/4*Законод!$F$16,IF(B756="Лікар-педіатр",AG763*Законод!$C$9/4*Законод!$F$16,IF(B756="Лікар-терапевт",AG763*Законод!$C$9/4*Законод!$F$16,0)))</f>
        <v>0</v>
      </c>
      <c r="AR763" s="211">
        <f t="shared" si="98"/>
        <v>0</v>
      </c>
    </row>
    <row r="764" spans="1:44" s="50" customFormat="1" ht="31.9" hidden="1" customHeight="1">
      <c r="A764" s="197"/>
      <c r="B764" s="951"/>
      <c r="C764" s="954"/>
      <c r="D764" s="957"/>
      <c r="E764" s="939"/>
      <c r="F764" s="238" t="str">
        <f ca="1">IF(B756="Лікар-педіатр",Законод!$G$17,IF(B756="Лікар загальної практики - сімейний лікар",Законод!$G$21,IF(B756="Лікар-терапевт",Законод!$G$25,"х")))</f>
        <v>х</v>
      </c>
      <c r="G764" s="935" t="s">
        <v>423</v>
      </c>
      <c r="H764" s="936"/>
      <c r="I764" s="936"/>
      <c r="J764" s="936"/>
      <c r="K764" s="937"/>
      <c r="L764" s="196">
        <f ca="1">IF($B$756="Лікар загальної практики - сімейний лікар",IF(L760&lt;Законод!$C$22,0,(IF(AND(L760&gt;=Законод!$G$22,L760&lt;=Законод!$G$23),L760-Законод!$F$23,IF('01_Доходи'!L760&gt;=Законод!$H$22,Законод!$G$24,0)))),IF($B$756="Лікар-педіатр",IF(L760&lt;Законод!$C$18,0,(IF(AND(L760&gt;=Законод!$G$18,L760&lt;=Законод!$G$19),L760-Законод!$F$19,IF('01_Доходи'!L760&gt;=Законод!$H$18,Законод!$G$20,0)))),IF($B$756="Лікар-терапевт",IF(L760&lt;Законод!$C$26,0,(IF(AND(L760&gt;=Законод!$G$26,L760&lt;=Законод!$G$27),L760-Законод!$F$27,IF('01_Доходи'!L760&gt;=Законод!$H$26,Законод!$G$28,0)))),0)))</f>
        <v>0</v>
      </c>
      <c r="M764" s="942"/>
      <c r="N764" s="935" t="s">
        <v>423</v>
      </c>
      <c r="O764" s="936"/>
      <c r="P764" s="936"/>
      <c r="Q764" s="936"/>
      <c r="R764" s="937"/>
      <c r="S764" s="196">
        <f ca="1">IF($B$756="Лікар загальної практики - сімейний лікар",IF(S760&lt;Законод!$C$22,0,(IF(AND(S760&gt;=Законод!$G$22,S760&lt;=Законод!$G$23),S760-Законод!$F$23,IF('01_Доходи'!S760&gt;=Законод!$H$22,Законод!$G$24,0)))),IF($B$756="Лікар-педіатр",IF(S760&lt;Законод!$C$18,0,(IF(AND(S760&gt;=Законод!$G$18,S760&lt;=Законод!$G$19),S760-Законод!$F$19,IF('01_Доходи'!S760&gt;=Законод!$H$18,Законод!$G$20,0)))),IF($B$756="Лікар-терапевт",IF(S760&lt;Законод!$C$26,0,(IF(AND(S760&gt;=Законод!$G$26,S760&lt;=Законод!$G$27),S760-Законод!$F$27,IF('01_Доходи'!S760&gt;=Законод!$H$26,Законод!$G$28,0)))),0)))</f>
        <v>0</v>
      </c>
      <c r="T764" s="942"/>
      <c r="U764" s="935" t="s">
        <v>423</v>
      </c>
      <c r="V764" s="936"/>
      <c r="W764" s="936"/>
      <c r="X764" s="936"/>
      <c r="Y764" s="937"/>
      <c r="Z764" s="196">
        <f ca="1">IF($B$756="Лікар загальної практики - сімейний лікар",IF(Z760&lt;Законод!$C$22,0,(IF(AND(Z760&gt;=Законод!$G$22,Z760&lt;=Законод!$G$23),Z760-Законод!$F$23,IF('01_Доходи'!Z760&gt;=Законод!$H$22,Законод!$G$24,0)))),IF($B$756="Лікар-педіатр",IF(Z760&lt;Законод!$C$18,0,(IF(AND(Z760&gt;=Законод!$G$18,Z760&lt;=Законод!$G$19),Z760-Законод!$F$19,IF('01_Доходи'!Z760&gt;=Законод!$H$18,Законод!$G$20,0)))),IF($B$756="Лікар-терапевт",IF(Z760&lt;Законод!$C$26,0,(IF(AND(Z760&gt;=Законод!$G$26,Z760&lt;=Законод!$G$27),Z760-Законод!$F$27,IF('01_Доходи'!Z760&gt;=Законод!$H$26,Законод!$G$28,0)))),0)))</f>
        <v>0</v>
      </c>
      <c r="AA764" s="942"/>
      <c r="AB764" s="935" t="s">
        <v>423</v>
      </c>
      <c r="AC764" s="936"/>
      <c r="AD764" s="936"/>
      <c r="AE764" s="936"/>
      <c r="AF764" s="937"/>
      <c r="AG764" s="196">
        <f ca="1">IF($B$756="Лікар загальної практики - сімейний лікар",IF(AG760&lt;Законод!$C$22,0,(IF(AND(AG760&gt;=Законод!$G$22,AG760&lt;=Законод!$G$23),AG760-Законод!$F$23,IF('01_Доходи'!AG760&gt;=Законод!$H$22,Законод!$G$24,0)))),IF($B$756="Лікар-педіатр",IF(AG760&lt;Законод!$C$18,0,(IF(AND(AG760&gt;=Законод!$G$18,AG760&lt;=Законод!$G$19),AG760-Законод!$F$19,IF('01_Доходи'!AG760&gt;=Законод!$H$18,Законод!$G$20,0)))),IF($B$756="Лікар-терапевт",IF(AG760&lt;Законод!$C$26,0,(IF(AND(AG760&gt;=Законод!$G$26,AG760&lt;=Законод!$G$27),AG760-Законод!$F$27,IF('01_Доходи'!AG760&gt;=Законод!$H$26,Законод!$G$28,0)))),0)))</f>
        <v>0</v>
      </c>
      <c r="AH764" s="942"/>
      <c r="AI764" s="201"/>
      <c r="AJ764" s="945"/>
      <c r="AK764" s="960"/>
      <c r="AL764" s="960"/>
      <c r="AM764" s="927"/>
      <c r="AN764" s="210">
        <f ca="1">IF(B756="Лікар загальної практики - сімейний лікар",L764*Законод!$C$9/4*Законод!$G$16,IF(B756="Лікар-педіатр",L764*Законод!$C$9/4*Законод!$G$16,IF(B756="Лікар-терапевт",L764*Законод!$C$9/4*Законод!$G$16,0)))</f>
        <v>0</v>
      </c>
      <c r="AO764" s="210">
        <f ca="1">IF(B756="Лікар загальної практики - сімейний лікар",S764*Законод!$C$9/4*Законод!$G$16,IF(B756="Лікар-педіатр",S764*Законод!$C$9/4*Законод!$G$16,IF(B756="Лікар-терапевт",S764*Законод!$C$9/4*Законод!$G$16,0)))</f>
        <v>0</v>
      </c>
      <c r="AP764" s="210">
        <f ca="1">IF(B756="Лікар загальної практики - сімейний лікар",Z764*Законод!$C$9/4*Законод!$G$16,IF(B756="Лікар-педіатр",Z764*Законод!$C$9/4*Законод!$G$16,IF(B756="Лікар-терапевт",Z764*Законод!$C$9/4*Законод!$G$16,0)))</f>
        <v>0</v>
      </c>
      <c r="AQ764" s="210">
        <f ca="1">IF(B756="Лікар загальної практики - сімейний лікар",AG764*Законод!$C$9/4*Законод!$G$16,IF(B756="Лікар-педіатр",AG764*Законод!$C$9/4*Законод!$G$16,IF(B756="Лікар-терапевт",AG764*Законод!$C$9/4*Законод!$G$16,0)))</f>
        <v>0</v>
      </c>
      <c r="AR764" s="211">
        <f t="shared" si="98"/>
        <v>0</v>
      </c>
    </row>
    <row r="765" spans="1:44" s="50" customFormat="1" ht="31.9" hidden="1" customHeight="1">
      <c r="A765" s="197"/>
      <c r="B765" s="951"/>
      <c r="C765" s="954"/>
      <c r="D765" s="957"/>
      <c r="E765" s="939"/>
      <c r="F765" s="238" t="str">
        <f ca="1">IF(B756="Лікар-педіатр",Законод!$H$17,IF(B756="Лікар загальної практики - сімейний лікар",Законод!$H$21,IF(B756="Лікар-терапевт",Законод!$H$25,"х")))</f>
        <v>х</v>
      </c>
      <c r="G765" s="935" t="s">
        <v>423</v>
      </c>
      <c r="H765" s="936"/>
      <c r="I765" s="936"/>
      <c r="J765" s="936"/>
      <c r="K765" s="937"/>
      <c r="L765" s="196">
        <f ca="1">IF($B$756="Лікар загальної практики - сімейний лікар",IF(L760&lt;Законод!$C$22,0,(IF(AND(L760&gt;=Законод!$H$22,L760&lt;=Законод!$H$23),L760-Законод!$G$23,IF('01_Доходи'!L760&gt;=Законод!$I$22,Законод!$H$24,0)))),IF($B$756="Лікар-педіатр",IF(L760&lt;Законод!$C$18,0,(IF(AND(L760&gt;=Законод!$H$18,L760&lt;=Законод!$H$19),L760-Законод!$G$19,IF('01_Доходи'!L760&gt;=Законод!$I$18,Законод!$H$20,0)))),IF($B$756="Лікар-терапевт",IF(L760&lt;Законод!$C$26,0,(IF(AND(L760&gt;=Законод!$H$26,L760&lt;=Законод!$H$27),L760-Законод!$G$27,IF(L760&gt;=Законод!$I$26,Законод!$H$28,0)))),0)))</f>
        <v>0</v>
      </c>
      <c r="M765" s="942"/>
      <c r="N765" s="935" t="s">
        <v>423</v>
      </c>
      <c r="O765" s="936"/>
      <c r="P765" s="936"/>
      <c r="Q765" s="936"/>
      <c r="R765" s="937"/>
      <c r="S765" s="196">
        <f ca="1">IF($B$756="Лікар загальної практики - сімейний лікар",IF(S760&lt;Законод!$C$22,0,(IF(AND(S760&gt;=Законод!$H$22,S760&lt;=Законод!$H$23),S760-Законод!$G$23,IF('01_Доходи'!S760&gt;=Законод!$I$22,Законод!$H$24,0)))),IF($B$756="Лікар-педіатр",IF(S760&lt;Законод!$C$18,0,(IF(AND(S760&gt;=Законод!$H$18,S760&lt;=Законод!$H$19),S760-Законод!$G$19,IF('01_Доходи'!S760&gt;=Законод!$I$18,Законод!$H$20,0)))),IF($B$756="Лікар-терапевт",IF(S760&lt;Законод!$C$26,0,(IF(AND(S760&gt;=Законод!$H$26,S760&lt;=Законод!$H$27),S760-Законод!$G$27,IF(S760&gt;=Законод!$I$26,Законод!$H$28,0)))),0)))</f>
        <v>0</v>
      </c>
      <c r="T765" s="942"/>
      <c r="U765" s="935" t="s">
        <v>423</v>
      </c>
      <c r="V765" s="936"/>
      <c r="W765" s="936"/>
      <c r="X765" s="936"/>
      <c r="Y765" s="937"/>
      <c r="Z765" s="196">
        <f ca="1">IF($B$756="Лікар загальної практики - сімейний лікар",IF(Z760&lt;Законод!$C$22,0,(IF(AND(Z760&gt;=Законод!$H$22,Z760&lt;=Законод!$H$23),Z760-Законод!$G$23,IF('01_Доходи'!Z760&gt;=Законод!$I$22,Законод!$H$24,0)))),IF($B$756="Лікар-педіатр",IF(Z760&lt;Законод!$C$18,0,(IF(AND(Z760&gt;=Законод!$H$18,Z760&lt;=Законод!$H$19),Z760-Законод!$G$19,IF('01_Доходи'!Z760&gt;=Законод!$I$18,Законод!$H$20,0)))),IF($B$756="Лікар-терапевт",IF(Z760&lt;Законод!$C$26,0,(IF(AND(Z760&gt;=Законод!$H$26,Z760&lt;=Законод!$H$27),Z760-Законод!$G$27,IF(Z760&gt;=Законод!$I$26,Законод!$H$28,0)))),0)))</f>
        <v>0</v>
      </c>
      <c r="AA765" s="942"/>
      <c r="AB765" s="935" t="s">
        <v>423</v>
      </c>
      <c r="AC765" s="936"/>
      <c r="AD765" s="936"/>
      <c r="AE765" s="936"/>
      <c r="AF765" s="937"/>
      <c r="AG765" s="196">
        <f ca="1">IF($B$756="Лікар загальної практики - сімейний лікар",IF(AG760&lt;Законод!$C$22,0,(IF(AND(AG760&gt;=Законод!$H$22,AG760&lt;=Законод!$H$23),AG760-Законод!$G$23,IF('01_Доходи'!AG760&gt;=Законод!$I$22,Законод!$H$24,0)))),IF($B$756="Лікар-педіатр",IF(AG760&lt;Законод!$C$18,0,(IF(AND(AG760&gt;=Законод!$H$18,AG760&lt;=Законод!$H$19),AG760-Законод!$G$19,IF('01_Доходи'!AG760&gt;=Законод!$I$18,Законод!$H$20,0)))),IF($B$756="Лікар-терапевт",IF(AG760&lt;Законод!$C$26,0,(IF(AND(AG760&gt;=Законод!$H$26,AG760&lt;=Законод!$H$27),AG760-Законод!$G$27,IF(AG760&gt;=Законод!$I$26,Законод!$H$28,0)))),0)))</f>
        <v>0</v>
      </c>
      <c r="AH765" s="942"/>
      <c r="AI765" s="201"/>
      <c r="AJ765" s="945"/>
      <c r="AK765" s="960"/>
      <c r="AL765" s="960"/>
      <c r="AM765" s="927"/>
      <c r="AN765" s="210">
        <f ca="1">IF(B756="Лікар загальної практики - сімейний лікар",L765*Законод!$C$9/4*Законод!$H$16,IF(B756="Лікар-педіатр",L765*Законод!$C$9/4*Законод!$H$16,IF(B756="Лікар-терапевт",L765*Законод!$C$9/4*Законод!$H$16,0)))</f>
        <v>0</v>
      </c>
      <c r="AO765" s="210">
        <f ca="1">IF(B756="Лікар загальної практики - сімейний лікар",S765*Законод!$C$9/4*Законод!$H$16,IF(B756="Лікар-педіатр",S765*Законод!$C$9/4*Законод!$H$16,IF(B756="Лікар-терапевт",S765*Законод!$C$9/4*Законод!$H$16,0)))</f>
        <v>0</v>
      </c>
      <c r="AP765" s="210">
        <f ca="1">IF(B756="Лікар загальної практики - сімейний лікар",Z765*Законод!$C$9/4*Законод!$H$16,IF(B756="Лікар-педіатр",Z765*Законод!$C$9/4*Законод!$H$16,IF(B756="Лікар-терапевт",Z765*Законод!$C$9/4*Законод!$H$16,0)))</f>
        <v>0</v>
      </c>
      <c r="AQ765" s="210">
        <f ca="1">IF(B756="Лікар загальної практики - сімейний лікар",AG765*Законод!$C$9/4*Законод!$H$16,IF(B756="Лікар-педіатр",AG765*Законод!$C$9/4*Законод!$H$16,IF(B756="Лікар-терапевт",AG765*Законод!$C$9/4*Законод!$H$16,0)))</f>
        <v>0</v>
      </c>
      <c r="AR765" s="211">
        <f t="shared" si="98"/>
        <v>0</v>
      </c>
    </row>
    <row r="766" spans="1:44" s="50" customFormat="1" ht="31.9" hidden="1" customHeight="1">
      <c r="A766" s="197"/>
      <c r="B766" s="951"/>
      <c r="C766" s="954"/>
      <c r="D766" s="957"/>
      <c r="E766" s="939"/>
      <c r="F766" s="238" t="str">
        <f ca="1">IF(B756="Лікар-педіатр",Законод!$I$17,IF(B756="Лікар загальної практики - сімейний лікар",Законод!$I$21,IF(B756="Лікар-терапевт",Законод!$I$25,"х")))</f>
        <v>х</v>
      </c>
      <c r="G766" s="935" t="s">
        <v>423</v>
      </c>
      <c r="H766" s="936"/>
      <c r="I766" s="936"/>
      <c r="J766" s="936"/>
      <c r="K766" s="937"/>
      <c r="L766" s="196">
        <f ca="1">IF($B$756="Лікар загальної практики - сімейний лікар",IF(L760&lt;Законод!$C$22,0,(IF(AND(L760&gt;=Законод!$I$22,L760&lt;=Законод!$I$23),L760-Законод!$H$23,IF('01_Доходи'!L760&gt;=Законод!$I$22,Законод!$I$24,0)))),IF($B$756="Лікар-педіатр",IF(L760&lt;Законод!$C$18,0,(IF(AND(L760&gt;=Законод!$I$18,L760&lt;=Законод!$I$19),L760-Законод!$H$19,IF('01_Доходи'!L760&gt;=Законод!$I$18,Законод!$H$20,0)))),IF($B$756="Лікар-терапевт",IF(L760&lt;Законод!$C$26,0,(IF(AND(L760&gt;=Законод!$I$26,L760&lt;=Законод!$I$27),L760-Законод!$H$27,IF('01_Доходи'!L760&gt;=Законод!$I$26,Законод!$H$28,0)))),0)))</f>
        <v>0</v>
      </c>
      <c r="M766" s="942"/>
      <c r="N766" s="935" t="s">
        <v>423</v>
      </c>
      <c r="O766" s="936"/>
      <c r="P766" s="936"/>
      <c r="Q766" s="936"/>
      <c r="R766" s="937"/>
      <c r="S766" s="196">
        <f ca="1">IF($B$756="Лікар загальної практики - сімейний лікар",IF(S760&lt;Законод!$C$22,0,(IF(AND(S760&gt;=Законод!$I$22,S760&lt;=Законод!$I$23),S760-Законод!$H$23,IF('01_Доходи'!S760&gt;=Законод!$I$22,Законод!$I$24,0)))),IF($B$756="Лікар-педіатр",IF(S760&lt;Законод!$C$18,0,(IF(AND(S760&gt;=Законод!$I$18,S760&lt;=Законод!$I$19),S760-Законод!$H$19,IF('01_Доходи'!S760&gt;=Законод!$I$18,Законод!$H$20,0)))),IF($B$756="Лікар-терапевт",IF(S760&lt;Законод!$C$26,0,(IF(AND(S760&gt;=Законод!$I$26,S760&lt;=Законод!$I$27),S760-Законод!$H$27,IF('01_Доходи'!S760&gt;=Законод!$I$26,Законод!$H$28,0)))),0)))</f>
        <v>0</v>
      </c>
      <c r="T766" s="942"/>
      <c r="U766" s="935" t="s">
        <v>423</v>
      </c>
      <c r="V766" s="936"/>
      <c r="W766" s="936"/>
      <c r="X766" s="936"/>
      <c r="Y766" s="937"/>
      <c r="Z766" s="196">
        <f ca="1">IF($B$756="Лікар загальної практики - сімейний лікар",IF(Z760&lt;Законод!$C$22,0,(IF(AND(Z760&gt;=Законод!$I$22,Z760&lt;=Законод!$I$23),Z760-Законод!$H$23,IF('01_Доходи'!Z760&gt;=Законод!$I$22,Законод!$I$24,0)))),IF($B$756="Лікар-педіатр",IF(Z760&lt;Законод!$C$18,0,(IF(AND(Z760&gt;=Законод!$I$18,Z760&lt;=Законод!$I$19),Z760-Законод!$H$19,IF('01_Доходи'!Z760&gt;=Законод!$I$18,Законод!$H$20,0)))),IF($B$756="Лікар-терапевт",IF(Z760&lt;Законод!$C$26,0,(IF(AND(Z760&gt;=Законод!$I$26,Z760&lt;=Законод!$I$27),Z760-Законод!$H$27,IF('01_Доходи'!Z760&gt;=Законод!$I$26,Законод!$H$28,0)))),0)))</f>
        <v>0</v>
      </c>
      <c r="AA766" s="942"/>
      <c r="AB766" s="935" t="s">
        <v>423</v>
      </c>
      <c r="AC766" s="936"/>
      <c r="AD766" s="936"/>
      <c r="AE766" s="936"/>
      <c r="AF766" s="937"/>
      <c r="AG766" s="196">
        <f ca="1">IF($B$756="Лікар загальної практики - сімейний лікар",IF(AG760&lt;Законод!$C$22,0,(IF(AND(AG760&gt;=Законод!$I$22,AG760&lt;=Законод!$I$23),AG760-Законод!$H$23,IF('01_Доходи'!AG760&gt;=Законод!$I$22,Законод!$I$24,0)))),IF($B$756="Лікар-педіатр",IF(AG760&lt;Законод!$C$18,0,(IF(AND(AG760&gt;=Законод!$I$18,AG760&lt;=Законод!$I$19),AG760-Законод!$H$19,IF('01_Доходи'!AG760&gt;=Законод!$I$18,Законод!$H$20,0)))),IF($B$756="Лікар-терапевт",IF(AG760&lt;Законод!$C$26,0,(IF(AND(AG760&gt;=Законод!$I$26,AG760&lt;=Законод!$I$27),AG760-Законод!$H$27,IF('01_Доходи'!AG760&gt;=Законод!$I$26,Законод!$H$28,0)))),0)))</f>
        <v>0</v>
      </c>
      <c r="AH766" s="942"/>
      <c r="AI766" s="201"/>
      <c r="AJ766" s="945"/>
      <c r="AK766" s="960"/>
      <c r="AL766" s="960"/>
      <c r="AM766" s="927"/>
      <c r="AN766" s="210">
        <f ca="1">IF(B756="Лікар загальної практики - сімейний лікар",L766*Законод!$C$9/4*Законод!$I$16,IF(B756="Лікар-педіатр",L766*Законод!$C$9/4*Законод!$I$16,IF(B756="Лікар-терапевт",L766*Законод!$C$9/4*Законод!$I$16,0)))</f>
        <v>0</v>
      </c>
      <c r="AO766" s="210">
        <f ca="1">IF(B756="Лікар загальної практики - сімейний лікар",S766*Законод!$C$9/4*Законод!$I$16,IF(B756="Лікар-педіатр",S766*Законод!$C$9/4*Законод!$I$16,IF(B756="Лікар-терапевт",S766*Законод!$C$9/4*Законод!$I$16,0)))</f>
        <v>0</v>
      </c>
      <c r="AP766" s="210">
        <f ca="1">IF(B756="Лікар загальної практики - сімейний лікар",Z766*Законод!$C$9/4*Законод!$I$16,IF(B756="Лікар-педіатр",Z766*Законод!$C$9/4*Законод!$I$16,IF(B756="Лікар-терапевт",Z766*Законод!$C$9/4*Законод!$I$16,0)))</f>
        <v>0</v>
      </c>
      <c r="AQ766" s="210">
        <f ca="1">IF(B756="Лікар загальної практики - сімейний лікар",AG766*Законод!$C$9/4*Законод!$I$16,IF(B756="Лікар-педіатр",AG766*Законод!$C$9/4*Законод!$I$16,IF(B756="Лікар-терапевт",AG766*Законод!$C$9/4*Законод!$I$16,0)))</f>
        <v>0</v>
      </c>
      <c r="AR766" s="211">
        <f t="shared" si="98"/>
        <v>0</v>
      </c>
    </row>
    <row r="767" spans="1:44" s="218" customFormat="1" ht="31.9" hidden="1" customHeight="1" thickBot="1">
      <c r="A767" s="213"/>
      <c r="B767" s="952"/>
      <c r="C767" s="955"/>
      <c r="D767" s="958"/>
      <c r="E767" s="940"/>
      <c r="F767" s="239" t="str">
        <f ca="1">IF(B756="Лікар-педіатр",Законод!$J$17,IF(B756="Лікар загальної практики - сімейний лікар",Законод!$J$21,IF(B756="Лікар-терапевт",Законод!$J$25,"х")))</f>
        <v>х</v>
      </c>
      <c r="G767" s="932" t="s">
        <v>423</v>
      </c>
      <c r="H767" s="933"/>
      <c r="I767" s="933"/>
      <c r="J767" s="933"/>
      <c r="K767" s="934"/>
      <c r="L767" s="196">
        <f ca="1">IF($B$756="Лікар загальної практики - сімейний лікар",IF(L760&gt;=Законод!$J$22,'01_Доходи'!L760-('01_Доходи'!L761+'01_Доходи'!L762+'01_Доходи'!L763+'01_Доходи'!L764+'01_Доходи'!L765+'01_Доходи'!L766),0),IF($B$756="Лікар-педіатр",IF(L760&gt;=Законод!$J$18,'01_Доходи'!L760-('01_Доходи'!L761+'01_Доходи'!L762+'01_Доходи'!L763+'01_Доходи'!L764+'01_Доходи'!L765+'01_Доходи'!L766),0),IF($B$756="Лікар-терапевт",IF('01_Доходи'!L760&gt;=Законод!$J$26,L760-Законод!$I$27,0),0)))</f>
        <v>0</v>
      </c>
      <c r="M767" s="943"/>
      <c r="N767" s="932" t="s">
        <v>423</v>
      </c>
      <c r="O767" s="933"/>
      <c r="P767" s="933"/>
      <c r="Q767" s="933"/>
      <c r="R767" s="934"/>
      <c r="S767" s="196">
        <f ca="1">IF($B$756="Лікар загальної практики - сімейний лікар",IF(S760&gt;=Законод!$J$22,'01_Доходи'!S760-('01_Доходи'!S761+'01_Доходи'!S762+'01_Доходи'!S763+'01_Доходи'!S764+'01_Доходи'!S765+'01_Доходи'!S766),0),IF($B$756="Лікар-педіатр",IF(S760&gt;=Законод!$J$18,'01_Доходи'!S760-('01_Доходи'!S761+'01_Доходи'!S762+'01_Доходи'!S763+'01_Доходи'!S764+'01_Доходи'!S765+'01_Доходи'!S766),0),IF($B$756="Лікар-терапевт",IF('01_Доходи'!S760&gt;=Законод!$J$26,S760-Законод!$I$27,0),0)))</f>
        <v>0</v>
      </c>
      <c r="T767" s="943"/>
      <c r="U767" s="932" t="s">
        <v>423</v>
      </c>
      <c r="V767" s="933"/>
      <c r="W767" s="933"/>
      <c r="X767" s="933"/>
      <c r="Y767" s="934"/>
      <c r="Z767" s="196">
        <f ca="1">IF($B$756="Лікар загальної практики - сімейний лікар",IF(Z760&gt;=Законод!$J$22,'01_Доходи'!Z760-('01_Доходи'!Z761+'01_Доходи'!Z762+'01_Доходи'!Z763+'01_Доходи'!Z764+'01_Доходи'!Z765+'01_Доходи'!Z766),0),IF($B$756="Лікар-педіатр",IF(Z760&gt;=Законод!$J$18,'01_Доходи'!Z760-('01_Доходи'!Z761+'01_Доходи'!Z762+'01_Доходи'!Z763+'01_Доходи'!Z764+'01_Доходи'!Z765+'01_Доходи'!Z766),0),IF($B$756="Лікар-терапевт",IF('01_Доходи'!Z760&gt;=Законод!$J$26,Z760-Законод!$I$27,0),0)))</f>
        <v>0</v>
      </c>
      <c r="AA767" s="943"/>
      <c r="AB767" s="932" t="s">
        <v>423</v>
      </c>
      <c r="AC767" s="933"/>
      <c r="AD767" s="933"/>
      <c r="AE767" s="933"/>
      <c r="AF767" s="934"/>
      <c r="AG767" s="196">
        <f ca="1">IF($B$756="Лікар загальної практики - сімейний лікар",IF(AG760&gt;=Законод!$J$22,'01_Доходи'!AG760-('01_Доходи'!AG761+'01_Доходи'!AG762+'01_Доходи'!AG763+'01_Доходи'!AG764+'01_Доходи'!AG765+'01_Доходи'!AG766),0),IF($B$756="Лікар-педіатр",IF(AG760&gt;=Законод!$J$18,'01_Доходи'!AG760-('01_Доходи'!AG761+'01_Доходи'!AG762+'01_Доходи'!AG763+'01_Доходи'!AG764+'01_Доходи'!AG765+'01_Доходи'!AG766),0),IF($B$756="Лікар-терапевт",IF('01_Доходи'!AG760&gt;=Законод!$J$26,AG760-Законод!$I$27,0),0)))</f>
        <v>0</v>
      </c>
      <c r="AH767" s="943"/>
      <c r="AI767" s="215"/>
      <c r="AJ767" s="946"/>
      <c r="AK767" s="961"/>
      <c r="AL767" s="961"/>
      <c r="AM767" s="928"/>
      <c r="AN767" s="216">
        <f ca="1">IF(B756="Лікар загальної практики - сімейний лікар",L767*Законод!$C$9/4*Законод!$J$16,IF(B756="Лікар-педіатр",L767*Законод!$C$9/4*Законод!$J$16,IF(B756="Лікар-терапевт",L767*Законод!$C$9/4*Законод!$J$16,0)))</f>
        <v>0</v>
      </c>
      <c r="AO767" s="216">
        <f ca="1">IF(B756="Лікар загальної практики - сімейний лікар",S767*Законод!$C$9/4*Законод!$J$16,IF(B756="Лікар-педіатр",S767*Законод!$C$9/4*Законод!$J$16,IF(B756="Лікар-терапевт",S767*Законод!$C$9/4*Законод!$J$16,0)))</f>
        <v>0</v>
      </c>
      <c r="AP767" s="216">
        <f ca="1">IF(B756="Лікар загальної практики - сімейний лікар",S767*Законод!$C$9/4*Законод!$J$16,IF(B756="Лікар-педіатр",S767*Законод!$C$9/4*Законод!$J$16,IF(B756="Лікар-терапевт",S767*Законод!$C$9/4*Законод!$J$16,0)))</f>
        <v>0</v>
      </c>
      <c r="AQ767" s="216">
        <f ca="1">IF(B756="Лікар загальної практики - сімейний лікар",AG767*Законод!$C$9/4*Законод!$J$16,IF(B756="Лікар-педіатр",AG767*Законод!$C$9/4*Законод!$J$16,IF(B756="Лікар-терапевт",AG767*Законод!$C$9/4*Законод!$J$16,0)))</f>
        <v>0</v>
      </c>
      <c r="AR767" s="217">
        <f t="shared" si="98"/>
        <v>0</v>
      </c>
    </row>
    <row r="768" spans="1:44" s="247" customFormat="1" ht="23.45" hidden="1" customHeight="1" thickBot="1">
      <c r="A768" s="243"/>
      <c r="B768" s="244"/>
      <c r="C768" s="244"/>
      <c r="D768" s="244"/>
      <c r="E768" s="244"/>
      <c r="F768" s="245"/>
      <c r="G768" s="246"/>
      <c r="H768" s="246"/>
      <c r="L768" s="248"/>
      <c r="S768" s="248"/>
      <c r="Z768" s="248"/>
      <c r="AG768" s="248"/>
      <c r="AM768" s="249"/>
      <c r="AR768" s="250"/>
    </row>
    <row r="769" spans="1:44" s="191" customFormat="1" ht="24.6" hidden="1" customHeight="1">
      <c r="A769" s="194">
        <f>A756+1</f>
        <v>57</v>
      </c>
      <c r="B769" s="950"/>
      <c r="C769" s="953"/>
      <c r="D769" s="956"/>
      <c r="E769" s="938"/>
      <c r="F769" s="234" t="s">
        <v>659</v>
      </c>
      <c r="G769" s="196">
        <f>IF($B$769="Лікар-педіатр",G772*L769,IF($B$769="Лікар-терапевт","х",IF($B$769="Лікар загальної практики - сімейний лікар",G772*L769,0)))</f>
        <v>0</v>
      </c>
      <c r="H769" s="196">
        <f>IF($B$769="Лікар-педіатр",H772*L769,IF($B$769="Лікар-терапевт","х",IF($B$769="Лікар загальної практики - сімейний лікар",H772*L769,0)))</f>
        <v>0</v>
      </c>
      <c r="I769" s="196">
        <f>IF($B$769="Лікар-педіатр","x",IF($B$769="Лікар-терапевт",I772*L769,IF($B$769="Лікар загальної практики - сімейний лікар",I772*L769,0)))</f>
        <v>0</v>
      </c>
      <c r="J769" s="196">
        <f>IF($B$769="Лікар-педіатр","x",IF($B$769="Лікар-терапевт",J772*L769,IF($B$769="Лікар загальної практики - сімейний лікар",J772*L769,0)))</f>
        <v>0</v>
      </c>
      <c r="K769" s="196">
        <f>IF($B$769="Лікар-педіатр","x",IF($B$769="Лікар-терапевт",K772*L769,IF($B$769="Лікар загальної практики - сімейний лікар",K772*L769,0)))</f>
        <v>0</v>
      </c>
      <c r="L769" s="557"/>
      <c r="M769" s="941"/>
      <c r="N769" s="196">
        <f>IF($B$769="Лікар-педіатр",N772*S769,IF($B$769="Лікар-терапевт","х",IF($B$769="Лікар загальної практики - сімейний лікар",N772*S769,0)))</f>
        <v>0</v>
      </c>
      <c r="O769" s="196">
        <f>IF($B$769="Лікар-педіатр",O772*S769,IF($B$769="Лікар-терапевт","х",IF($B$769="Лікар загальної практики - сімейний лікар",O772*S769,0)))</f>
        <v>0</v>
      </c>
      <c r="P769" s="196">
        <f>IF($B$769="Лікар-педіатр","x",IF($B$769="Лікар-терапевт",P772*S769,IF($B$769="Лікар загальної практики - сімейний лікар",P772*S769,0)))</f>
        <v>0</v>
      </c>
      <c r="Q769" s="196">
        <f>IF($B$769="Лікар-педіатр","x",IF($B$769="Лікар-терапевт",Q772*S769,IF($B$769="Лікар загальної практики - сімейний лікар",Q772*S769,0)))</f>
        <v>0</v>
      </c>
      <c r="R769" s="196">
        <f>IF($B$769="Лікар-педіатр","x",IF($B$769="Лікар-терапевт",R772*S769,IF($B$769="Лікар загальної практики - сімейний лікар",R772*S769,0)))</f>
        <v>0</v>
      </c>
      <c r="S769" s="557"/>
      <c r="T769" s="941"/>
      <c r="U769" s="196">
        <f>IF($B$769="Лікар-педіатр",U772*Z769,IF($B$769="Лікар-терапевт","х",IF($B$769="Лікар загальної практики - сімейний лікар",U772*Z769,0)))</f>
        <v>0</v>
      </c>
      <c r="V769" s="196">
        <f>IF($B$769="Лікар-педіатр",V772*Z769,IF($B$769="Лікар-терапевт","х",IF($B$769="Лікар загальної практики - сімейний лікар",V772*Z769,0)))</f>
        <v>0</v>
      </c>
      <c r="W769" s="196">
        <f>IF($B$769="Лікар-педіатр","x",IF($B$769="Лікар-терапевт",W772*Z769,IF($B$769="Лікар загальної практики - сімейний лікар",W772*Z769,0)))</f>
        <v>0</v>
      </c>
      <c r="X769" s="196">
        <f>IF($B$769="Лікар-педіатр","x",IF($B$769="Лікар-терапевт",X772*Z769,IF($B$769="Лікар загальної практики - сімейний лікар",X772*Z769,0)))</f>
        <v>0</v>
      </c>
      <c r="Y769" s="196">
        <f>IF($B$769="Лікар-педіатр","x",IF($B$769="Лікар-терапевт",Y772*Z769,IF($B$769="Лікар загальної практики - сімейний лікар",Y772*Z769,0)))</f>
        <v>0</v>
      </c>
      <c r="Z769" s="557"/>
      <c r="AA769" s="941"/>
      <c r="AB769" s="196">
        <f>IF($B$769="Лікар-педіатр",AB772*AG769,IF($B$769="Лікар-терапевт","х",IF($B$769="Лікар загальної практики - сімейний лікар",AB772*AG769,0)))</f>
        <v>0</v>
      </c>
      <c r="AC769" s="196">
        <f>IF($B$769="Лікар-педіатр",AC772*AG769,IF($B$769="Лікар-терапевт","х",IF($B$769="Лікар загальної практики - сімейний лікар",AC772*AG769,0)))</f>
        <v>0</v>
      </c>
      <c r="AD769" s="196">
        <f>IF($B$769="Лікар-педіатр","x",IF($B$769="Лікар-терапевт",AD772*AG769,IF($B$769="Лікар загальної практики - сімейний лікар",AD772*AG769,0)))</f>
        <v>0</v>
      </c>
      <c r="AE769" s="196">
        <f>IF($B$769="Лікар-педіатр","x",IF($B$769="Лікар-терапевт",AE772*AG769,IF($B$769="Лікар загальної практики - сімейний лікар",AE772*AG769,0)))</f>
        <v>0</v>
      </c>
      <c r="AF769" s="196">
        <f>IF($B$769="Лікар-педіатр","x",IF($B$769="Лікар-терапевт",AF772*AG769,IF($B$769="Лікар загальної практики - сімейний лікар",AF772*AG769,0)))</f>
        <v>0</v>
      </c>
      <c r="AG769" s="557"/>
      <c r="AH769" s="941"/>
      <c r="AI769" s="540">
        <f>A769</f>
        <v>57</v>
      </c>
      <c r="AJ769" s="944">
        <f>B769</f>
        <v>0</v>
      </c>
      <c r="AK769" s="959">
        <f>C769</f>
        <v>0</v>
      </c>
      <c r="AL769" s="959">
        <f>D769</f>
        <v>0</v>
      </c>
      <c r="AM769" s="929" t="s">
        <v>79</v>
      </c>
      <c r="AN769" s="947">
        <f>SUM(AN774:AN780)</f>
        <v>0</v>
      </c>
      <c r="AO769" s="947">
        <f>SUM(AO774:AO780)</f>
        <v>0</v>
      </c>
      <c r="AP769" s="947">
        <f>SUM(AP774:AP780)</f>
        <v>0</v>
      </c>
      <c r="AQ769" s="947">
        <f>SUM(AQ774:AQ780)</f>
        <v>0</v>
      </c>
      <c r="AR769" s="962">
        <f>SUM(AN769:AQ773)</f>
        <v>0</v>
      </c>
    </row>
    <row r="770" spans="1:44" s="50" customFormat="1" ht="28.15" hidden="1" customHeight="1">
      <c r="A770" s="197"/>
      <c r="B770" s="951"/>
      <c r="C770" s="954"/>
      <c r="D770" s="957"/>
      <c r="E770" s="939"/>
      <c r="F770" s="234" t="s">
        <v>660</v>
      </c>
      <c r="G770" s="196">
        <f>IF($B$769="Лікар-педіатр",G772*L770,IF($B$769="Лікар-терапевт","х",IF($B$769="Лікар загальної практики - сімейний лікар",G772*L770,0)))</f>
        <v>0</v>
      </c>
      <c r="H770" s="196">
        <f>IF($B$769="Лікар-педіатр",H772*L770,IF($B$769="Лікар-терапевт","х",IF($B$769="Лікар загальної практики - сімейний лікар",H772*L770,0)))</f>
        <v>0</v>
      </c>
      <c r="I770" s="196">
        <f>IF($B$769="Лікар-педіатр","x",IF($B$769="Лікар-терапевт",I772*L770,IF($B$769="Лікар загальної практики - сімейний лікар",I772*L770,0)))</f>
        <v>0</v>
      </c>
      <c r="J770" s="196">
        <f>IF($B$769="Лікар-педіатр","x",IF($B$769="Лікар-терапевт",J772*L770,IF($B$769="Лікар загальної практики - сімейний лікар",J772*L770,0)))</f>
        <v>0</v>
      </c>
      <c r="K770" s="196">
        <f>IF($B$769="Лікар-педіатр","x",IF($B$769="Лікар-терапевт",K772*L770,IF($B$769="Лікар загальної практики - сімейний лікар",K772*L770,0)))</f>
        <v>0</v>
      </c>
      <c r="L770" s="557"/>
      <c r="M770" s="942"/>
      <c r="N770" s="196">
        <f>IF($B$769="Лікар-педіатр",N772*S770,IF($B$769="Лікар-терапевт","х",IF($B$769="Лікар загальної практики - сімейний лікар",N772*S770,0)))</f>
        <v>0</v>
      </c>
      <c r="O770" s="196">
        <f>IF($B$769="Лікар-педіатр",O772*S770,IF($B$769="Лікар-терапевт","х",IF($B$769="Лікар загальної практики - сімейний лікар",O772*S770,0)))</f>
        <v>0</v>
      </c>
      <c r="P770" s="196">
        <f>IF($B$769="Лікар-педіатр","x",IF($B$769="Лікар-терапевт",P772*S770,IF($B$769="Лікар загальної практики - сімейний лікар",P772*S770,0)))</f>
        <v>0</v>
      </c>
      <c r="Q770" s="196">
        <f>IF($B$769="Лікар-педіатр","x",IF($B$769="Лікар-терапевт",Q772*S770,IF($B$769="Лікар загальної практики - сімейний лікар",Q772*S770,0)))</f>
        <v>0</v>
      </c>
      <c r="R770" s="196">
        <f>IF($B$769="Лікар-педіатр","x",IF($B$769="Лікар-терапевт",R772*S770,IF($B$769="Лікар загальної практики - сімейний лікар",R772*S770,0)))</f>
        <v>0</v>
      </c>
      <c r="S770" s="557"/>
      <c r="T770" s="942"/>
      <c r="U770" s="196">
        <f>IF($B$769="Лікар-педіатр",U772*Z770,IF($B$769="Лікар-терапевт","х",IF($B$769="Лікар загальної практики - сімейний лікар",U772*Z770,0)))</f>
        <v>0</v>
      </c>
      <c r="V770" s="196">
        <f>IF($B$769="Лікар-педіатр",V772*Z770,IF($B$769="Лікар-терапевт","х",IF($B$769="Лікар загальної практики - сімейний лікар",V772*Z770,0)))</f>
        <v>0</v>
      </c>
      <c r="W770" s="196">
        <f>IF($B$769="Лікар-педіатр","x",IF($B$769="Лікар-терапевт",W772*Z770,IF($B$769="Лікар загальної практики - сімейний лікар",W772*Z770,0)))</f>
        <v>0</v>
      </c>
      <c r="X770" s="196">
        <f>IF($B$769="Лікар-педіатр","x",IF($B$769="Лікар-терапевт",X772*Z770,IF($B$769="Лікар загальної практики - сімейний лікар",X772*Z770,0)))</f>
        <v>0</v>
      </c>
      <c r="Y770" s="196">
        <f>IF($B$769="Лікар-педіатр","x",IF($B$769="Лікар-терапевт",Y772*Z770,IF($B$769="Лікар загальної практики - сімейний лікар",Y772*Z770,0)))</f>
        <v>0</v>
      </c>
      <c r="Z770" s="557"/>
      <c r="AA770" s="942"/>
      <c r="AB770" s="196">
        <f>IF($B$769="Лікар-педіатр",AB772*AG770,IF($B$769="Лікар-терапевт","х",IF($B$769="Лікар загальної практики - сімейний лікар",AB772*AG770,0)))</f>
        <v>0</v>
      </c>
      <c r="AC770" s="196">
        <f>IF($B$769="Лікар-педіатр",AC772*AG770,IF($B$769="Лікар-терапевт","х",IF($B$769="Лікар загальної практики - сімейний лікар",AC772*AG770,0)))</f>
        <v>0</v>
      </c>
      <c r="AD770" s="196">
        <f>IF($B$769="Лікар-педіатр","x",IF($B$769="Лікар-терапевт",AD772*AG770,IF($B$769="Лікар загальної практики - сімейний лікар",AD772*AG770,0)))</f>
        <v>0</v>
      </c>
      <c r="AE770" s="196">
        <f>IF($B$769="Лікар-педіатр","x",IF($B$769="Лікар-терапевт",AE772*AG770,IF($B$769="Лікар загальної практики - сімейний лікар",AE772*AG770,0)))</f>
        <v>0</v>
      </c>
      <c r="AF770" s="196">
        <f>IF($B$769="Лікар-педіатр","x",IF($B$769="Лікар-терапевт",AF772*AG770,IF($B$769="Лікар загальної практики - сімейний лікар",AF772*AG770,0)))</f>
        <v>0</v>
      </c>
      <c r="AG770" s="557"/>
      <c r="AH770" s="942"/>
      <c r="AI770" s="198"/>
      <c r="AJ770" s="945"/>
      <c r="AK770" s="960"/>
      <c r="AL770" s="960"/>
      <c r="AM770" s="930"/>
      <c r="AN770" s="948"/>
      <c r="AO770" s="948"/>
      <c r="AP770" s="948"/>
      <c r="AQ770" s="948"/>
      <c r="AR770" s="963"/>
    </row>
    <row r="771" spans="1:44" s="90" customFormat="1" ht="31.15" hidden="1" customHeight="1">
      <c r="A771" s="240"/>
      <c r="B771" s="951"/>
      <c r="C771" s="954"/>
      <c r="D771" s="957"/>
      <c r="E771" s="939"/>
      <c r="F771" s="241" t="s">
        <v>661</v>
      </c>
      <c r="G771" s="199">
        <f>IF(B769="Лікар загальної практики - сімейний лікар"," ",IF(B769="Лікар-педіатр"," ",IF(B769="Лікар-терапевт","х",0)))</f>
        <v>0</v>
      </c>
      <c r="H771" s="199">
        <f>IF(B769="Лікар загальної практики - сімейний лікар"," ",IF(B769="Лікар-педіатр"," ",IF(B769="Лікар-терапевт","х",0)))</f>
        <v>0</v>
      </c>
      <c r="I771" s="199">
        <f>IF(B769="Лікар загальної практики - сімейний лікар"," ",IF(B769="Лікар-педіатр","х",IF(B769="Лікар-терапевт"," ",0)))</f>
        <v>0</v>
      </c>
      <c r="J771" s="199">
        <f>IF(B769="Лікар загальної практики - сімейний лікар"," ",IF(B769="Лікар-педіатр","х",IF(B769="Лікар-терапевт"," ",0)))</f>
        <v>0</v>
      </c>
      <c r="K771" s="199">
        <f>IF(B769="Лікар загальної практики - сімейний лікар"," ",IF(B769="Лікар-педіатр","х",IF(B769="Лікар-терапевт"," ",0)))</f>
        <v>0</v>
      </c>
      <c r="L771" s="200">
        <f>SUM(G771:K771)</f>
        <v>0</v>
      </c>
      <c r="M771" s="942"/>
      <c r="N771" s="199">
        <f>IF(B769="Лікар загальної практики - сімейний лікар"," ",IF(B769="Лікар-педіатр"," ",IF(B769="Лікар-терапевт","х",0)))</f>
        <v>0</v>
      </c>
      <c r="O771" s="199">
        <f>IF(B769="Лікар загальної практики - сімейний лікар"," ",IF(B769="Лікар-педіатр"," ",IF(B769="Лікар-терапевт","х",0)))</f>
        <v>0</v>
      </c>
      <c r="P771" s="199">
        <f>IF(B769="Лікар загальної практики - сімейний лікар"," ",IF(B769="Лікар-педіатр","х",IF(B769="Лікар-терапевт"," ",0)))</f>
        <v>0</v>
      </c>
      <c r="Q771" s="199">
        <f>IF(B769="Лікар загальної практики - сімейний лікар"," ",IF(B769="Лікар-педіатр","х",IF(B769="Лікар-терапевт"," ",0)))</f>
        <v>0</v>
      </c>
      <c r="R771" s="199">
        <f>IF(B769="Лікар загальної практики - сімейний лікар"," ",IF(B769="Лікар-педіатр","х",IF(B769="Лікар-терапевт"," ",0)))</f>
        <v>0</v>
      </c>
      <c r="S771" s="200">
        <f>SUM(N771:R771)</f>
        <v>0</v>
      </c>
      <c r="T771" s="942"/>
      <c r="U771" s="199">
        <f>IF(B769="Лікар загальної практики - сімейний лікар"," ",IF(B769="Лікар-педіатр"," ",IF(B769="Лікар-терапевт","х",0)))</f>
        <v>0</v>
      </c>
      <c r="V771" s="199">
        <f>IF(B769="Лікар загальної практики - сімейний лікар"," ",IF(B769="Лікар-педіатр"," ",IF(B769="Лікар-терапевт","х",0)))</f>
        <v>0</v>
      </c>
      <c r="W771" s="199">
        <f>IF(B769="Лікар загальної практики - сімейний лікар"," ",IF(B769="Лікар-педіатр","х",IF(B769="Лікар-терапевт"," ",0)))</f>
        <v>0</v>
      </c>
      <c r="X771" s="199">
        <f>IF(B769="Лікар загальної практики - сімейний лікар"," ",IF(B769="Лікар-педіатр","х",IF(B769="Лікар-терапевт"," ",0)))</f>
        <v>0</v>
      </c>
      <c r="Y771" s="199">
        <f>IF(B769="Лікар загальної практики - сімейний лікар"," ",IF(B769="Лікар-педіатр","х",IF(B769="Лікар-терапевт"," ",0)))</f>
        <v>0</v>
      </c>
      <c r="Z771" s="200">
        <f>SUM(U771:Y771)</f>
        <v>0</v>
      </c>
      <c r="AA771" s="942"/>
      <c r="AB771" s="199">
        <f>IF(B769="Лікар загальної практики - сімейний лікар"," ",IF(B769="Лікар-педіатр"," ",IF(B769="Лікар-терапевт","х",0)))</f>
        <v>0</v>
      </c>
      <c r="AC771" s="199">
        <f>IF(B769="Лікар загальної практики - сімейний лікар"," ",IF(B769="Лікар-педіатр"," ",IF(B769="Лікар-терапевт","х",0)))</f>
        <v>0</v>
      </c>
      <c r="AD771" s="199">
        <f>IF(B769="Лікар загальної практики - сімейний лікар"," ",IF(B769="Лікар-педіатр","х",IF(B769="Лікар-терапевт"," ",0)))</f>
        <v>0</v>
      </c>
      <c r="AE771" s="199">
        <f>IF(B769="Лікар загальної практики - сімейний лікар"," ",IF(B769="Лікар-педіатр","х",IF(B769="Лікар-терапевт"," ",0)))</f>
        <v>0</v>
      </c>
      <c r="AF771" s="199">
        <f>IF(B769="Лікар загальної практики - сімейний лікар"," ",IF(B769="Лікар-педіатр","х",IF(B769="Лікар-терапевт"," ",0)))</f>
        <v>0</v>
      </c>
      <c r="AG771" s="200">
        <f>SUM(AB771:AF771)</f>
        <v>0</v>
      </c>
      <c r="AH771" s="942"/>
      <c r="AI771" s="242"/>
      <c r="AJ771" s="945"/>
      <c r="AK771" s="960"/>
      <c r="AL771" s="960"/>
      <c r="AM771" s="930"/>
      <c r="AN771" s="948"/>
      <c r="AO771" s="948"/>
      <c r="AP771" s="948"/>
      <c r="AQ771" s="948"/>
      <c r="AR771" s="963"/>
    </row>
    <row r="772" spans="1:44" s="50" customFormat="1" ht="31.9" hidden="1" customHeight="1" thickBot="1">
      <c r="A772" s="197"/>
      <c r="B772" s="951"/>
      <c r="C772" s="954"/>
      <c r="D772" s="957"/>
      <c r="E772" s="939"/>
      <c r="F772" s="236" t="s">
        <v>426</v>
      </c>
      <c r="G772" s="203">
        <f>IF($B$769="Лікар-педіатр",G771/L771,IF($B$769="Лікар-терапевт","х",IF($B$769="Лікар загальної практики - сімейний лікар",G771/L771,0)))</f>
        <v>0</v>
      </c>
      <c r="H772" s="203">
        <f>IF($B$769="Лікар-педіатр",H771/L771,IF($B$769="Лікар-терапевт","х",IF($B$769="Лікар загальної практики - сімейний лікар",H771/L771,0)))</f>
        <v>0</v>
      </c>
      <c r="I772" s="203">
        <f>IF($B$769="Лікар-педіатр","x",IF($B$769="Лікар-терапевт",I771/L771,IF($B$769="Лікар загальної практики - сімейний лікар",I771/L771,0)))</f>
        <v>0</v>
      </c>
      <c r="J772" s="203">
        <f>IF($B$769="Лікар-педіатр","x",IF($B$769="Лікар-терапевт",J771/L771,IF($B$769="Лікар загальної практики - сімейний лікар",J771/L771,0)))</f>
        <v>0</v>
      </c>
      <c r="K772" s="203">
        <f>IF($B$769="Лікар-педіатр","x",IF($B$769="Лікар-терапевт",K771/L771,IF($B$769="Лікар загальної практики - сімейний лікар",K771/L771,0)))</f>
        <v>0</v>
      </c>
      <c r="L772" s="203">
        <f>SUM(G772:K772)</f>
        <v>0</v>
      </c>
      <c r="M772" s="942"/>
      <c r="N772" s="203">
        <f>IF($B$769="Лікар-педіатр",N771/S771,IF($B$769="Лікар-терапевт","х",IF($B$769="Лікар загальної практики - сімейний лікар",N771/S771,0)))</f>
        <v>0</v>
      </c>
      <c r="O772" s="203">
        <f>IF($B$769="Лікар-педіатр",O771/S771,IF($B$769="Лікар-терапевт","х",IF($B$769="Лікар загальної практики - сімейний лікар",O771/S771,0)))</f>
        <v>0</v>
      </c>
      <c r="P772" s="203">
        <f>IF($B$769="Лікар-педіатр","x",IF($B$769="Лікар-терапевт",P771/S771,IF($B$769="Лікар загальної практики - сімейний лікар",P771/S771,0)))</f>
        <v>0</v>
      </c>
      <c r="Q772" s="203">
        <f>IF($B$769="Лікар-педіатр","x",IF($B$769="Лікар-терапевт",Q771/S771,IF($B$769="Лікар загальної практики - сімейний лікар",Q771/S771,0)))</f>
        <v>0</v>
      </c>
      <c r="R772" s="203">
        <f>IF($B$769="Лікар-педіатр","x",IF($B$769="Лікар-терапевт",R771/S771,IF($B$769="Лікар загальної практики - сімейний лікар",R771/S771,0)))</f>
        <v>0</v>
      </c>
      <c r="S772" s="203">
        <f>SUM(N772:R772)</f>
        <v>0</v>
      </c>
      <c r="T772" s="942"/>
      <c r="U772" s="203">
        <f>IF($B$769="Лікар-педіатр",U771/Z771,IF($B$769="Лікар-терапевт","х",IF($B$769="Лікар загальної практики - сімейний лікар",U771/Z771,0)))</f>
        <v>0</v>
      </c>
      <c r="V772" s="203">
        <f>IF($B$769="Лікар-педіатр",V771/Z771,IF($B$769="Лікар-терапевт","х",IF($B$769="Лікар загальної практики - сімейний лікар",V771/Z771,0)))</f>
        <v>0</v>
      </c>
      <c r="W772" s="203">
        <f>IF($B$769="Лікар-педіатр","x",IF($B$769="Лікар-терапевт",W771/Z771,IF($B$769="Лікар загальної практики - сімейний лікар",W771/Z771,0)))</f>
        <v>0</v>
      </c>
      <c r="X772" s="203">
        <f>IF($B$769="Лікар-педіатр","x",IF($B$769="Лікар-терапевт",X771/Z771,IF($B$769="Лікар загальної практики - сімейний лікар",X771/Z771,0)))</f>
        <v>0</v>
      </c>
      <c r="Y772" s="203">
        <f>IF($B$769="Лікар-педіатр","x",IF($B$769="Лікар-терапевт",Y771/Z771,IF($B$769="Лікар загальної практики - сімейний лікар",Y771/Z771,0)))</f>
        <v>0</v>
      </c>
      <c r="Z772" s="203">
        <f>SUM(U772:Y772)</f>
        <v>0</v>
      </c>
      <c r="AA772" s="942"/>
      <c r="AB772" s="203">
        <f>IF($B$769="Лікар-педіатр",AB771/AG771,IF($B$769="Лікар-терапевт","х",IF($B$769="Лікар загальної практики - сімейний лікар",AB771/AG771,0)))</f>
        <v>0</v>
      </c>
      <c r="AC772" s="203">
        <f>IF($B$769="Лікар-педіатр",AC771/AG771,IF($B$769="Лікар-терапевт","х",IF($B$769="Лікар загальної практики - сімейний лікар",AC771/AG771,0)))</f>
        <v>0</v>
      </c>
      <c r="AD772" s="203">
        <f>IF($B$769="Лікар-педіатр","x",IF($B$769="Лікар-терапевт",AD771/AG771,IF($B$769="Лікар загальної практики - сімейний лікар",AD771/AG771,0)))</f>
        <v>0</v>
      </c>
      <c r="AE772" s="203">
        <f>IF($B$769="Лікар-педіатр","x",IF($B$769="Лікар-терапевт",AE771/AG771,IF($B$769="Лікар загальної практики - сімейний лікар",AE771/AG771,0)))</f>
        <v>0</v>
      </c>
      <c r="AF772" s="203">
        <f>IF($B$769="Лікар-педіатр","x",IF($B$769="Лікар-терапевт",AF771/AG771,IF($B$769="Лікар загальної практики - сімейний лікар",AF771/AG771,0)))</f>
        <v>0</v>
      </c>
      <c r="AG772" s="203">
        <f>SUM(AB772:AF772)</f>
        <v>0</v>
      </c>
      <c r="AH772" s="942"/>
      <c r="AI772" s="201"/>
      <c r="AJ772" s="945"/>
      <c r="AK772" s="960"/>
      <c r="AL772" s="960"/>
      <c r="AM772" s="930"/>
      <c r="AN772" s="948"/>
      <c r="AO772" s="948"/>
      <c r="AP772" s="948"/>
      <c r="AQ772" s="948"/>
      <c r="AR772" s="963"/>
    </row>
    <row r="773" spans="1:44" s="50" customFormat="1" ht="45" hidden="1" customHeight="1" thickBot="1">
      <c r="A773" s="197"/>
      <c r="B773" s="951"/>
      <c r="C773" s="954"/>
      <c r="D773" s="957"/>
      <c r="E773" s="939"/>
      <c r="F773" s="204" t="s">
        <v>662</v>
      </c>
      <c r="G773" s="205">
        <f>IF($B$769="Лікар загальної практики - сімейний лікар",AVERAGE(G769:G771),IF($B$769="Лікар-педіатр",AVERAGE(G769:G771),IF($B$769="Лікар-терапевт","х",0)))</f>
        <v>0</v>
      </c>
      <c r="H773" s="205">
        <f>IF($B$769="Лікар загальної практики - сімейний лікар",AVERAGE(H769:H771),IF($B$769="Лікар-педіатр",AVERAGE(H769:H771),IF($B$769="Лікар-терапевт","х",0)))</f>
        <v>0</v>
      </c>
      <c r="I773" s="205">
        <f>IF($B$769="Лікар загальної практики - сімейний лікар",AVERAGE(I769:I771),IF($B$769="Лікар-педіатр","x",IF($B$769="Лікар-терапевт",AVERAGE(I769:I771),0)))</f>
        <v>0</v>
      </c>
      <c r="J773" s="205">
        <f>IF($B$769="Лікар загальної практики - сімейний лікар",AVERAGE(J769:J771),IF($B$769="Лікар-педіатр","x",IF($B$769="Лікар-терапевт",AVERAGE(J769:J771),0)))</f>
        <v>0</v>
      </c>
      <c r="K773" s="205">
        <f>IF($B$769="Лікар загальної практики - сімейний лікар",AVERAGE(K769:K771),IF($B$769="Лікар-педіатр","x",IF($B$769="Лікар-терапевт",AVERAGE(K769:K771),0)))</f>
        <v>0</v>
      </c>
      <c r="L773" s="206">
        <f>SUM(G773:K773)</f>
        <v>0</v>
      </c>
      <c r="M773" s="942"/>
      <c r="N773" s="205">
        <f>IF($B$769="Лікар загальної практики - сімейний лікар",AVERAGE(N769:N771),IF($B$769="Лікар-педіатр",AVERAGE(N769:N771),IF($B$769="Лікар-терапевт","х",0)))</f>
        <v>0</v>
      </c>
      <c r="O773" s="205">
        <f>IF($B$769="Лікар загальної практики - сімейний лікар",AVERAGE(O769:O771),IF($B$769="Лікар-педіатр",AVERAGE(O769:O771),IF($B$769="Лікар-терапевт","х",0)))</f>
        <v>0</v>
      </c>
      <c r="P773" s="205">
        <f>IF($B$769="Лікар загальної практики - сімейний лікар",AVERAGE(P769:P771),IF($B$769="Лікар-педіатр","x",IF($B$769="Лікар-терапевт",AVERAGE(P769:P771),0)))</f>
        <v>0</v>
      </c>
      <c r="Q773" s="205">
        <f>IF($B$769="Лікар загальної практики - сімейний лікар",AVERAGE(Q769:Q771),IF($B$769="Лікар-педіатр","x",IF($B$769="Лікар-терапевт",AVERAGE(Q769:Q771),0)))</f>
        <v>0</v>
      </c>
      <c r="R773" s="205">
        <f>IF($B$769="Лікар загальної практики - сімейний лікар",AVERAGE(R769:R771),IF($B$769="Лікар-педіатр","x",IF($B$769="Лікар-терапевт",AVERAGE(R769:R771),0)))</f>
        <v>0</v>
      </c>
      <c r="S773" s="206">
        <f>SUM(N773:R773)</f>
        <v>0</v>
      </c>
      <c r="T773" s="942"/>
      <c r="U773" s="205">
        <f>IF($B$769="Лікар загальної практики - сімейний лікар",AVERAGE(U769:U771),IF($B$769="Лікар-педіатр",AVERAGE(U769:U771),IF($B$769="Лікар-терапевт","х",0)))</f>
        <v>0</v>
      </c>
      <c r="V773" s="205">
        <f>IF($B$769="Лікар загальної практики - сімейний лікар",AVERAGE(V769:V771),IF($B$769="Лікар-педіатр",AVERAGE(V769:V771),IF($B$769="Лікар-терапевт","х",0)))</f>
        <v>0</v>
      </c>
      <c r="W773" s="205">
        <f>IF($B$769="Лікар загальної практики - сімейний лікар",AVERAGE(W769:W771),IF($B$769="Лікар-педіатр","x",IF($B$769="Лікар-терапевт",AVERAGE(W769:W771),0)))</f>
        <v>0</v>
      </c>
      <c r="X773" s="205">
        <f>IF($B$769="Лікар загальної практики - сімейний лікар",AVERAGE(X769:X771),IF($B$769="Лікар-педіатр","x",IF($B$769="Лікар-терапевт",AVERAGE(X769:X771),0)))</f>
        <v>0</v>
      </c>
      <c r="Y773" s="205">
        <f>IF($B$769="Лікар загальної практики - сімейний лікар",AVERAGE(Y769:Y771),IF($B$769="Лікар-педіатр","x",IF($B$769="Лікар-терапевт",AVERAGE(Y769:Y771),0)))</f>
        <v>0</v>
      </c>
      <c r="Z773" s="206">
        <f>SUM(U773:Y773)</f>
        <v>0</v>
      </c>
      <c r="AA773" s="942"/>
      <c r="AB773" s="205">
        <f>IF($B$769="Лікар загальної практики - сімейний лікар",AVERAGE(AB769:AB771),IF($B$769="Лікар-педіатр",AVERAGE(AB769:AB771),IF($B$769="Лікар-терапевт","х",0)))</f>
        <v>0</v>
      </c>
      <c r="AC773" s="205">
        <f>IF($B$769="Лікар загальної практики - сімейний лікар",AVERAGE(AC769:AC771),IF($B$769="Лікар-педіатр",AVERAGE(AC769:AC771),IF($B$769="Лікар-терапевт","х",0)))</f>
        <v>0</v>
      </c>
      <c r="AD773" s="205">
        <f>IF($B$769="Лікар загальної практики - сімейний лікар",AVERAGE(AD769:AD771),IF($B$769="Лікар-педіатр","x",IF($B$769="Лікар-терапевт",AVERAGE(AD769:AD771),0)))</f>
        <v>0</v>
      </c>
      <c r="AE773" s="205">
        <f>IF($B$769="Лікар загальної практики - сімейний лікар",AVERAGE(AE769:AE771),IF($B$769="Лікар-педіатр","x",IF($B$769="Лікар-терапевт",AVERAGE(AE769:AE771),0)))</f>
        <v>0</v>
      </c>
      <c r="AF773" s="205">
        <f>IF($B$769="Лікар загальної практики - сімейний лікар",AVERAGE(AF769:AF771),IF($B$769="Лікар-педіатр","x",IF($B$769="Лікар-терапевт",AVERAGE(AF769:AF771),0)))</f>
        <v>0</v>
      </c>
      <c r="AG773" s="206">
        <f>SUM(AB773:AF773)</f>
        <v>0</v>
      </c>
      <c r="AH773" s="942"/>
      <c r="AI773" s="201"/>
      <c r="AJ773" s="945"/>
      <c r="AK773" s="960"/>
      <c r="AL773" s="960"/>
      <c r="AM773" s="931"/>
      <c r="AN773" s="949"/>
      <c r="AO773" s="949"/>
      <c r="AP773" s="949"/>
      <c r="AQ773" s="949"/>
      <c r="AR773" s="964"/>
    </row>
    <row r="774" spans="1:44" s="50" customFormat="1" ht="40.5" hidden="1">
      <c r="A774" s="197"/>
      <c r="B774" s="951"/>
      <c r="C774" s="954"/>
      <c r="D774" s="957"/>
      <c r="E774" s="939"/>
      <c r="F774" s="237" t="str">
        <f ca="1">IF(B769="Лікар-педіатр",Законод!$C$17,IF(B769="Лікар загальної практики - сімейний лікар",Законод!$C$21,IF(B769="Лікар-терапевт",Законод!$C$25,"х")))</f>
        <v>х</v>
      </c>
      <c r="G774" s="208">
        <f ca="1">IF($B$769="Лікар загальної практики - сімейний лікар",IF(L773&lt;=Законод!$C$22,G773,Законод!$C$22*'01_Доходи'!G772),IF($B$769="Лікар-педіатр",IF(L773&lt;=Законод!$C$18,G773,Законод!$C$18*'01_Доходи'!G772),IF($B$769="Лікар-терапевт","x",0)))</f>
        <v>0</v>
      </c>
      <c r="H774" s="208">
        <f ca="1">IF($B$769="Лікар загальної практики - сімейний лікар",IF(L773&lt;=Законод!$C$22,H773,Законод!$C$22*'01_Доходи'!H772),IF($B$769="Лікар-педіатр",IF(L773&lt;=Законод!$C$18,H773,Законод!$C$18*'01_Доходи'!H772),IF($B$769="Лікар-терапевт","x",0)))</f>
        <v>0</v>
      </c>
      <c r="I774" s="208">
        <f ca="1">IF($B$769="Лікар загальної практики - сімейний лікар",IF(L773&lt;=Законод!$C$22,I773,Законод!$C$22*'01_Доходи'!I772),IF($B$769="Лікар-педіатр","x",IF($B$769="Лікар-терапевт",IF(L773&lt;=Законод!$C$26,I773,Законод!$C$26*'01_Доходи'!I772),0)))</f>
        <v>0</v>
      </c>
      <c r="J774" s="208">
        <f ca="1">IF($B$769="Лікар загальної практики - сімейний лікар",IF(L773&lt;=Законод!$C$22,J773,Законод!$C$22*'01_Доходи'!J772),IF($B$769="Лікар-педіатр","x",IF($B$769="Лікар-терапевт",IF(L773&lt;=Законод!$C$26,J773,Законод!$C$26*'01_Доходи'!J772),0)))</f>
        <v>0</v>
      </c>
      <c r="K774" s="208">
        <f ca="1">IF($B$769="Лікар загальної практики - сімейний лікар",IF(L773&lt;=Законод!$C$22,K773,Законод!$C$22*'01_Доходи'!K772),IF($B$769="Лікар-педіатр","x",IF($B$769="Лікар-терапевт",IF(L773&lt;=Законод!$C$26,K773,Законод!$C$26*'01_Доходи'!K772),0)))</f>
        <v>0</v>
      </c>
      <c r="L774" s="209">
        <f ca="1">SUM(G774:K774)</f>
        <v>0</v>
      </c>
      <c r="M774" s="942"/>
      <c r="N774" s="208">
        <f ca="1">IF($B$769="Лікар загальної практики - сімейний лікар",IF(S773&lt;=Законод!$C$22,N773,Законод!$C$22*'01_Доходи'!N772),IF($B$769="Лікар-педіатр",IF(S773&lt;=Законод!$C$18,N773,Законод!$C$18*'01_Доходи'!N772),IF($B$769="Лікар-терапевт","x",0)))</f>
        <v>0</v>
      </c>
      <c r="O774" s="208">
        <f ca="1">IF($B$769="Лікар загальної практики - сімейний лікар",IF(S773&lt;=Законод!$C$22,O773,Законод!$C$22*'01_Доходи'!O772),IF($B$769="Лікар-педіатр",IF(S773&lt;=Законод!$C$18,O773,Законод!$C$18*'01_Доходи'!O772),IF($B$769="Лікар-терапевт","x",0)))</f>
        <v>0</v>
      </c>
      <c r="P774" s="208">
        <f ca="1">IF($B$769="Лікар загальної практики - сімейний лікар",IF(S773&lt;=Законод!$C$22,P773,Законод!$C$22*'01_Доходи'!P772),IF($B$769="Лікар-педіатр","x",IF($B$769="Лікар-терапевт",IF(S773&lt;=Законод!$C$26,P773,Законод!$C$26*'01_Доходи'!P772),0)))</f>
        <v>0</v>
      </c>
      <c r="Q774" s="208">
        <f ca="1">IF($B$769="Лікар загальної практики - сімейний лікар",IF(S773&lt;=Законод!$C$22,Q773,Законод!$C$22*'01_Доходи'!Q772),IF($B$769="Лікар-педіатр","x",IF($B$769="Лікар-терапевт",IF(S773&lt;=Законод!$C$26,Q773,Законод!$C$26*'01_Доходи'!Q772),0)))</f>
        <v>0</v>
      </c>
      <c r="R774" s="208">
        <f ca="1">IF($B$769="Лікар загальної практики - сімейний лікар",IF(S773&lt;=Законод!$C$22,R773,Законод!$C$22*'01_Доходи'!R772),IF($B$769="Лікар-педіатр","x",IF($B$769="Лікар-терапевт",IF(S773&lt;=Законод!$C$26,R773,Законод!$C$26*'01_Доходи'!R772),0)))</f>
        <v>0</v>
      </c>
      <c r="S774" s="209">
        <f ca="1">SUM(N774:R774)</f>
        <v>0</v>
      </c>
      <c r="T774" s="942"/>
      <c r="U774" s="208">
        <f ca="1">IF($B$769="Лікар загальної практики - сімейний лікар",IF(Z773&lt;=Законод!$C$22,U773,Законод!$C$22*'01_Доходи'!U772),IF($B$769="Лікар-педіатр",IF(Z773&lt;=Законод!$C$18,U773,Законод!$C$18*'01_Доходи'!U772),IF($B$769="Лікар-терапевт","x",0)))</f>
        <v>0</v>
      </c>
      <c r="V774" s="208">
        <f ca="1">IF($B$769="Лікар загальної практики - сімейний лікар",IF(Z773&lt;=Законод!$C$22,V773,Законод!$C$22*'01_Доходи'!V772),IF($B$769="Лікар-педіатр",IF(Z773&lt;=Законод!$C$18,V773,Законод!$C$18*'01_Доходи'!V772),IF($B$769="Лікар-терапевт","x",0)))</f>
        <v>0</v>
      </c>
      <c r="W774" s="208">
        <f ca="1">IF($B$769="Лікар загальної практики - сімейний лікар",IF(Z773&lt;=Законод!$C$22,W773,Законод!$C$22*'01_Доходи'!W772),IF($B$769="Лікар-педіатр","x",IF($B$769="Лікар-терапевт",IF(Z773&lt;=Законод!$C$26,W773,Законод!$C$26*'01_Доходи'!W772),0)))</f>
        <v>0</v>
      </c>
      <c r="X774" s="208">
        <f ca="1">IF($B$769="Лікар загальної практики - сімейний лікар",IF(Z773&lt;=Законод!$C$22,X773,Законод!$C$22*'01_Доходи'!X772),IF($B$769="Лікар-педіатр","x",IF($B$769="Лікар-терапевт",IF(Z773&lt;=Законод!$C$26,X773,Законод!$C$26*'01_Доходи'!X772),0)))</f>
        <v>0</v>
      </c>
      <c r="Y774" s="208">
        <f ca="1">IF($B$769="Лікар загальної практики - сімейний лікар",IF(Z773&lt;=Законод!$C$22,Y773,Законод!$C$22*'01_Доходи'!Y772),IF($B$769="Лікар-педіатр","x",IF($B$769="Лікар-терапевт",IF(Z773&lt;=Законод!$C$26,Y773,Законод!$C$26*'01_Доходи'!Y772),0)))</f>
        <v>0</v>
      </c>
      <c r="Z774" s="209">
        <f ca="1">SUM(U774:Y774)</f>
        <v>0</v>
      </c>
      <c r="AA774" s="942"/>
      <c r="AB774" s="208">
        <f ca="1">IF($B$769="Лікар загальної практики - сімейний лікар",IF(AG773&lt;=Законод!$C$22,AB773,Законод!$C$22*'01_Доходи'!AB772),IF($B$769="Лікар-педіатр",IF(AG773&lt;=Законод!$C$18,AB773,Законод!$C$18*'01_Доходи'!AB772),IF($B$769="Лікар-терапевт","x",0)))</f>
        <v>0</v>
      </c>
      <c r="AC774" s="208">
        <f ca="1">IF($B$769="Лікар загальної практики - сімейний лікар",IF(AG773&lt;=Законод!$C$22,AC773,Законод!$C$22*'01_Доходи'!AC772),IF($B$769="Лікар-педіатр",IF(AG773&lt;=Законод!$C$18,AC773,Законод!$C$18*'01_Доходи'!AC772),IF($B$769="Лікар-терапевт","x",0)))</f>
        <v>0</v>
      </c>
      <c r="AD774" s="208">
        <f ca="1">IF($B$769="Лікар загальної практики - сімейний лікар",IF(AG773&lt;=Законод!$C$22,AD773,Законод!$C$22*'01_Доходи'!AD772),IF($B$769="Лікар-педіатр","x",IF($B$769="Лікар-терапевт",IF(AG773&lt;=Законод!$C$26,AD773,Законод!$C$26*'01_Доходи'!AD772),0)))</f>
        <v>0</v>
      </c>
      <c r="AE774" s="208">
        <f ca="1">IF($B$769="Лікар загальної практики - сімейний лікар",IF(AG773&lt;=Законод!$C$22,AE773,Законод!$C$22*'01_Доходи'!AE772),IF($B$769="Лікар-педіатр","x",IF($B$769="Лікар-терапевт",IF(AG773&lt;=Законод!$C$26,AE773,Законод!$C$26*'01_Доходи'!AE772),0)))</f>
        <v>0</v>
      </c>
      <c r="AF774" s="208">
        <f ca="1">IF($B$769="Лікар загальної практики - сімейний лікар",IF(AG773&lt;=Законод!$C$22,AF773,Законод!$C$22*'01_Доходи'!AF772),IF($B$769="Лікар-педіатр","x",IF($B$769="Лікар-терапевт",IF(AG773&lt;=Законод!$C$26,AF773,Законод!$C$26*'01_Доходи'!AF772),0)))</f>
        <v>0</v>
      </c>
      <c r="AG774" s="209">
        <f ca="1">SUM(AB774:AF774)</f>
        <v>0</v>
      </c>
      <c r="AH774" s="942"/>
      <c r="AI774" s="201"/>
      <c r="AJ774" s="945"/>
      <c r="AK774" s="960"/>
      <c r="AL774" s="960"/>
      <c r="AM774" s="348" t="s">
        <v>451</v>
      </c>
      <c r="AN774" s="210">
        <f ca="1">IF(B769="Лікар загальної практики - сімейний лікар",G774*Законод!$C$11+'01_Доходи'!H774*Законод!$D$11+'01_Доходи'!I774*Законод!$E$11+'01_Доходи'!J774*Законод!$F$11+'01_Доходи'!K774*Законод!$G$11,IF(B769="Лікар-педіатр",G774*Законод!$C$11+'01_Доходи'!H774*Законод!$D$11,IF(B769="Лікар-терапевт",'01_Доходи'!I774*Законод!$E$11+'01_Доходи'!J774*Законод!$F$11+'01_Доходи'!K774*Законод!$G$11,0)))</f>
        <v>0</v>
      </c>
      <c r="AO774" s="210">
        <f ca="1">IF(B769="Лікар загальної практики - сімейний лікар",N774*Законод!$C$11+'01_Доходи'!O774*Законод!$D$11+'01_Доходи'!P774*Законод!$E$11+'01_Доходи'!Q774*Законод!$F$11+'01_Доходи'!R774*Законод!$G$11,IF(B769="Лікар-педіатр",N774*Законод!$C$11+'01_Доходи'!O774*Законод!$D$11,IF(B769="Лікар-терапевт",'01_Доходи'!P774*Законод!$E$11+'01_Доходи'!Q774*Законод!$F$11+'01_Доходи'!R774*Законод!$G$11,0)))</f>
        <v>0</v>
      </c>
      <c r="AP774" s="210">
        <f ca="1">IF(B769="Лікар загальної практики - сімейний лікар",U774*Законод!$C$11+'01_Доходи'!V774*Законод!$D$11+'01_Доходи'!W774*Законод!$E$11+'01_Доходи'!X774*Законод!$F$11+'01_Доходи'!Y774*Законод!$G$11,IF(B769="Лікар-педіатр",U774*Законод!$C$11+'01_Доходи'!V774*Законод!$D$11,IF(B769="Лікар-терапевт",'01_Доходи'!W774*Законод!$E$11+'01_Доходи'!X774*Законод!$F$11+'01_Доходи'!Y774*Законод!$G$11,0)))</f>
        <v>0</v>
      </c>
      <c r="AQ774" s="210">
        <f ca="1">IF(B769="Лікар загальної практики - сімейний лікар",AB774*Законод!$C$11+'01_Доходи'!AC774*Законод!$D$11+'01_Доходи'!AD774*Законод!$E$11+'01_Доходи'!AE774*Законод!$F$11+'01_Доходи'!AF774*Законод!$G$11,IF(B769="Лікар-педіатр",AB774*Законод!$C$11+'01_Доходи'!AC774*Законод!$D$11,IF(B769="Лікар-терапевт",'01_Доходи'!AD774*Законод!$E$11+'01_Доходи'!AE774*Законод!$F$11+'01_Доходи'!AF774*Законод!$G$11,0)))</f>
        <v>0</v>
      </c>
      <c r="AR774" s="211">
        <f t="shared" ref="AR774:AR780" si="99">SUM(AN774:AQ774)</f>
        <v>0</v>
      </c>
    </row>
    <row r="775" spans="1:44" s="50" customFormat="1" ht="31.9" hidden="1" customHeight="1">
      <c r="A775" s="197"/>
      <c r="B775" s="951"/>
      <c r="C775" s="954"/>
      <c r="D775" s="957"/>
      <c r="E775" s="939"/>
      <c r="F775" s="238" t="str">
        <f ca="1">IF(B769="Лікар-педіатр",Законод!$E$17,IF(B769="Лікар загальної практики - сімейний лікар",Законод!$E$21,IF(B769="Лікар-терапевт",Законод!$E$25,"х")))</f>
        <v>х</v>
      </c>
      <c r="G775" s="935" t="s">
        <v>423</v>
      </c>
      <c r="H775" s="936"/>
      <c r="I775" s="936"/>
      <c r="J775" s="936"/>
      <c r="K775" s="937"/>
      <c r="L775" s="196">
        <f ca="1">IF($B$769="Лікар загальної практики - сімейний лікар",IF(L773&lt;Законод!$C$22,0,(IF(AND(L773&gt;=Законод!$E$22,L773&lt;=Законод!$E$23),L773-Законод!$C$22,IF('01_Доходи'!L773&gt;=Законод!$F$22,Законод!$E$24,0)))),IF($B$769="Лікар-педіатр",IF(L773&lt;Законод!$C$18,0,(IF(AND(L773&gt;=Законод!$E$18,L773&lt;=Законод!$E$19),L773-Законод!$C$18,IF('01_Доходи'!L773&gt;=Законод!$F$18,Законод!$E$20,0)))),IF($B$769="Лікар-терапевт",IF(L773&lt;Законод!$C$26,0,(IF(AND(L773&gt;=Законод!$E$26,L773&lt;=Законод!$E$27),L773-Законод!$C$26,IF('01_Доходи'!L773&gt;=Законод!$F$26,Законод!$E$28,0)))),0)))</f>
        <v>0</v>
      </c>
      <c r="M775" s="942"/>
      <c r="N775" s="935" t="s">
        <v>423</v>
      </c>
      <c r="O775" s="936"/>
      <c r="P775" s="936"/>
      <c r="Q775" s="936"/>
      <c r="R775" s="937"/>
      <c r="S775" s="196">
        <f ca="1">IF($B$769="Лікар загальної практики - сімейний лікар",IF(S773&lt;Законод!$C$22,0,(IF(AND(S773&gt;=Законод!$E$22,S773&lt;=Законод!$E$23),S773-Законод!$C$22,IF('01_Доходи'!S773&gt;=Законод!$F$22,Законод!$E$24,0)))),IF($B$769="Лікар-педіатр",IF(S773&lt;Законод!$C$18,0,(IF(AND(S773&gt;=Законод!$E$18,S773&lt;=Законод!$E$19),S773-Законод!$C$18,IF('01_Доходи'!S773&gt;=Законод!$F$18,Законод!$E$20,0)))),IF($B$769="Лікар-терапевт",IF(S773&lt;Законод!$C$26,0,(IF(AND(S773&gt;=Законод!$E$26,S773&lt;=Законод!$E$27),S773-Законод!$C$26,IF('01_Доходи'!S773&gt;=Законод!$F$26,Законод!$E$28,0)))),0)))</f>
        <v>0</v>
      </c>
      <c r="T775" s="942"/>
      <c r="U775" s="935" t="s">
        <v>423</v>
      </c>
      <c r="V775" s="936"/>
      <c r="W775" s="936"/>
      <c r="X775" s="936"/>
      <c r="Y775" s="937"/>
      <c r="Z775" s="196">
        <f ca="1">IF($B$769="Лікар загальної практики - сімейний лікар",IF(Z773&lt;Законод!$C$22,0,(IF(AND(Z773&gt;=Законод!$E$22,Z773&lt;=Законод!$E$23),Z773-Законод!$C$22,IF('01_Доходи'!Z773&gt;=Законод!$F$22,Законод!$E$24,0)))),IF($B$769="Лікар-педіатр",IF(Z773&lt;Законод!$C$18,0,(IF(AND(Z773&gt;=Законод!$E$18,Z773&lt;=Законод!$E$19),Z773-Законод!$C$18,IF('01_Доходи'!Z773&gt;=Законод!$F$18,Законод!$E$20,0)))),IF($B$769="Лікар-терапевт",IF(Z773&lt;Законод!$C$26,0,(IF(AND(Z773&gt;=Законод!$E$26,Z773&lt;=Законод!$E$27),Z773-Законод!$C$26,IF('01_Доходи'!Z773&gt;=Законод!$F$26,Законод!$E$28,0)))),0)))</f>
        <v>0</v>
      </c>
      <c r="AA775" s="942"/>
      <c r="AB775" s="935" t="s">
        <v>423</v>
      </c>
      <c r="AC775" s="936"/>
      <c r="AD775" s="936"/>
      <c r="AE775" s="936"/>
      <c r="AF775" s="937"/>
      <c r="AG775" s="196">
        <f ca="1">IF($B$769="Лікар загальної практики - сімейний лікар",IF(AG773&lt;Законод!$C$22,0,(IF(AND(AG773&gt;=Законод!$E$22,AG773&lt;=Законод!$E$23),AG773-Законод!$C$22,IF('01_Доходи'!AG773&gt;=Законод!$F$22,Законод!$E$24,0)))),IF($B$769="Лікар-педіатр",IF(AG773&lt;Законод!$C$18,0,(IF(AND(AG773&gt;=Законод!$E$18,AG773&lt;=Законод!$E$19),AG773-Законод!$C$18,IF('01_Доходи'!AG773&gt;=Законод!$F$18,Законод!$E$20,0)))),IF($B$769="Лікар-терапевт",IF(AG773&lt;Законод!$C$26,0,(IF(AND(AG773&gt;=Законод!$E$26,AG773&lt;=Законод!$E$27),AG773-Законод!$C$26,IF('01_Доходи'!AG773&gt;=Законод!$F$26,Законод!$E$28,0)))),0)))</f>
        <v>0</v>
      </c>
      <c r="AH775" s="942"/>
      <c r="AI775" s="201"/>
      <c r="AJ775" s="945"/>
      <c r="AK775" s="960"/>
      <c r="AL775" s="960"/>
      <c r="AM775" s="926" t="s">
        <v>452</v>
      </c>
      <c r="AN775" s="210">
        <f ca="1">IF(B769="Лікар загальної практики - сімейний лікар",L775*Законод!$C$9/4*Законод!$E$16,IF(B769="Лікар-педіатр",L775*Законод!$C$9/4*Законод!$E$16,IF(B769="Лікар-терапевт",L775*Законод!$C$9/4*Законод!$E$16,0)))</f>
        <v>0</v>
      </c>
      <c r="AO775" s="210">
        <f ca="1">IF(B769="Лікар загальної практики - сімейний лікар",S775*Законод!$C$9/4*Законод!$E$16,IF(B769="Лікар-педіатр",S775*Законод!$C$9/4*Законод!$E$16,IF(B769="Лікар-терапевт",S775*Законод!$C$9/4*Законод!$E$16,0)))</f>
        <v>0</v>
      </c>
      <c r="AP775" s="210">
        <f ca="1">IF(B769="Лікар загальної практики - сімейний лікар",Z775*Законод!$C$9/4*Законод!$E$16,IF(B769="Лікар-педіатр",Z775*Законод!$C$9/4*Законод!$E$16,IF(B769="Лікар-терапевт",Z775*Законод!$C$9/4*Законод!$E$16,0)))</f>
        <v>0</v>
      </c>
      <c r="AQ775" s="210">
        <f ca="1">IF(B769="Лікар загальної практики - сімейний лікар",AG775*Законод!$C$9/4*Законод!$E$16,IF(B769="Лікар-педіатр",AG775*Законод!$C$9/4*Законод!$E$16,IF(B769="Лікар-терапевт",AG775*Законод!$C$9/4*Законод!$E$16,0)))</f>
        <v>0</v>
      </c>
      <c r="AR775" s="211">
        <f t="shared" si="99"/>
        <v>0</v>
      </c>
    </row>
    <row r="776" spans="1:44" s="50" customFormat="1" ht="31.9" hidden="1" customHeight="1">
      <c r="A776" s="197"/>
      <c r="B776" s="951"/>
      <c r="C776" s="954"/>
      <c r="D776" s="957"/>
      <c r="E776" s="939"/>
      <c r="F776" s="238" t="str">
        <f ca="1">IF(B769="Лікар-педіатр",Законод!$F$17,IF(B769="Лікар загальної практики - сімейний лікар",Законод!$F$21,IF(B769="Лікар-терапевт",Законод!$F$25,"х")))</f>
        <v>х</v>
      </c>
      <c r="G776" s="935" t="s">
        <v>423</v>
      </c>
      <c r="H776" s="936"/>
      <c r="I776" s="936"/>
      <c r="J776" s="936"/>
      <c r="K776" s="937"/>
      <c r="L776" s="196">
        <f ca="1">IF($B$769="Лікар загальної практики - сімейний лікар",IF(L773&lt;Законод!$C$22,0,(IF(AND(L773&gt;=Законод!$F$22,L773&lt;=Законод!$F$23),L773-Законод!$E$23,IF('01_Доходи'!L773&gt;=Законод!$G$22,Законод!$F$24,0)))),IF($B$769="Лікар-педіатр",IF(L773&lt;Законод!$C$18,0,(IF(AND(L773&gt;=Законод!$F$18,L773&lt;=Законод!$F$19),L773-Законод!$E$19,IF('01_Доходи'!L773&gt;=Законод!$G$18,Законод!$F$20,0)))),IF($B$769="Лікар-терапевт",IF(L773&lt;Законод!$C$26,0,(IF(AND(L773&gt;=Законод!$F$26,L773&lt;=Законод!$F$27),L773-Законод!$E$27,IF('01_Доходи'!L773&gt;=Законод!$G$26,Законод!$F$28,0)))),0)))</f>
        <v>0</v>
      </c>
      <c r="M776" s="942"/>
      <c r="N776" s="935" t="s">
        <v>423</v>
      </c>
      <c r="O776" s="936"/>
      <c r="P776" s="936"/>
      <c r="Q776" s="936"/>
      <c r="R776" s="937"/>
      <c r="S776" s="196">
        <f ca="1">IF($B$769="Лікар загальної практики - сімейний лікар",IF(S773&lt;Законод!$C$22,0,(IF(AND(S773&gt;=Законод!$F$22,S773&lt;=Законод!$F$23),S773-Законод!$E$23,IF('01_Доходи'!S773&gt;=Законод!$G$22,Законод!$F$24,0)))),IF($B$769="Лікар-педіатр",IF(S773&lt;Законод!$C$18,0,(IF(AND(S773&gt;=Законод!$F$18,S773&lt;=Законод!$F$19),S773-Законод!$E$19,IF('01_Доходи'!S773&gt;=Законод!$G$18,Законод!$F$20,0)))),IF($B$769="Лікар-терапевт",IF(S773&lt;Законод!$C$26,0,(IF(AND(S773&gt;=Законод!$F$26,S773&lt;=Законод!$F$27),S773-Законод!$E$27,IF('01_Доходи'!S773&gt;=Законод!$G$26,Законод!$F$28,0)))),0)))</f>
        <v>0</v>
      </c>
      <c r="T776" s="942"/>
      <c r="U776" s="935" t="s">
        <v>423</v>
      </c>
      <c r="V776" s="936"/>
      <c r="W776" s="936"/>
      <c r="X776" s="936"/>
      <c r="Y776" s="937"/>
      <c r="Z776" s="196">
        <f ca="1">IF($B$769="Лікар загальної практики - сімейний лікар",IF(Z773&lt;Законод!$C$22,0,(IF(AND(Z773&gt;=Законод!$F$22,Z773&lt;=Законод!$F$23),Z773-Законод!$E$23,IF('01_Доходи'!Z773&gt;=Законод!$G$22,Законод!$F$24,0)))),IF($B$769="Лікар-педіатр",IF(Z773&lt;Законод!$C$18,0,(IF(AND(Z773&gt;=Законод!$F$18,Z773&lt;=Законод!$F$19),Z773-Законод!$E$19,IF('01_Доходи'!Z773&gt;=Законод!$G$18,Законод!$F$20,0)))),IF($B$769="Лікар-терапевт",IF(Z773&lt;Законод!$C$26,0,(IF(AND(Z773&gt;=Законод!$F$26,Z773&lt;=Законод!$F$27),Z773-Законод!$E$27,IF('01_Доходи'!Z773&gt;=Законод!$G$26,Законод!$F$28,0)))),0)))</f>
        <v>0</v>
      </c>
      <c r="AA776" s="942"/>
      <c r="AB776" s="935" t="s">
        <v>423</v>
      </c>
      <c r="AC776" s="936"/>
      <c r="AD776" s="936"/>
      <c r="AE776" s="936"/>
      <c r="AF776" s="937"/>
      <c r="AG776" s="196">
        <f ca="1">IF($B$769="Лікар загальної практики - сімейний лікар",IF(AG773&lt;Законод!$C$22,0,(IF(AND(AG773&gt;=Законод!$F$22,AG773&lt;=Законод!$F$23),AG773-Законод!$E$23,IF('01_Доходи'!AG773&gt;=Законод!$G$22,Законод!$F$24,0)))),IF($B$769="Лікар-педіатр",IF(AG773&lt;Законод!$C$18,0,(IF(AND(AG773&gt;=Законод!$F$18,AG773&lt;=Законод!$F$19),AG773-Законод!$E$19,IF('01_Доходи'!AG773&gt;=Законод!$G$18,Законод!$F$20,0)))),IF($B$769="Лікар-терапевт",IF(AG773&lt;Законод!$C$26,0,(IF(AND(AG773&gt;=Законод!$F$26,AG773&lt;=Законод!$F$27),AG773-Законод!$E$27,IF('01_Доходи'!AG773&gt;=Законод!$G$26,Законод!$F$28,0)))),0)))</f>
        <v>0</v>
      </c>
      <c r="AH776" s="942"/>
      <c r="AI776" s="201"/>
      <c r="AJ776" s="945"/>
      <c r="AK776" s="960"/>
      <c r="AL776" s="960"/>
      <c r="AM776" s="927"/>
      <c r="AN776" s="210">
        <f ca="1">IF(B769="Лікар загальної практики - сімейний лікар",L776*Законод!$C$9/4*Законод!$F$16,IF(B769="Лікар-педіатр",L776*Законод!$C$9/4*Законод!$F$16,IF(B769="Лікар-терапевт",L776*Законод!$C$9/4*Законод!$F$16,0)))</f>
        <v>0</v>
      </c>
      <c r="AO776" s="210">
        <f ca="1">IF(B769="Лікар загальної практики - сімейний лікар",S776*Законод!$C$9/4*Законод!$F$16,IF(B769="Лікар-педіатр",S776*Законод!$C$9/4*Законод!$F$16,IF(B769="Лікар-терапевт",S776*Законод!$C$9/4*Законод!$F$16,0)))</f>
        <v>0</v>
      </c>
      <c r="AP776" s="210">
        <f ca="1">IF(B769="Лікар загальної практики - сімейний лікар",Z776*Законод!$C$9/4*Законод!$F$16,IF(B769="Лікар-педіатр",Z776*Законод!$C$9/4*Законод!$F$16,IF(B769="Лікар-терапевт",Z776*Законод!$C$9/4*Законод!$F$16,0)))</f>
        <v>0</v>
      </c>
      <c r="AQ776" s="210">
        <f ca="1">IF(B769="Лікар загальної практики - сімейний лікар",AG776*Законод!$C$9/4*Законод!$F$16,IF(B769="Лікар-педіатр",AG776*Законод!$C$9/4*Законод!$F$16,IF(B769="Лікар-терапевт",AG776*Законод!$C$9/4*Законод!$F$16,0)))</f>
        <v>0</v>
      </c>
      <c r="AR776" s="211">
        <f t="shared" si="99"/>
        <v>0</v>
      </c>
    </row>
    <row r="777" spans="1:44" s="50" customFormat="1" ht="31.9" hidden="1" customHeight="1">
      <c r="A777" s="197"/>
      <c r="B777" s="951"/>
      <c r="C777" s="954"/>
      <c r="D777" s="957"/>
      <c r="E777" s="939"/>
      <c r="F777" s="238" t="str">
        <f ca="1">IF(B769="Лікар-педіатр",Законод!$G$17,IF(B769="Лікар загальної практики - сімейний лікар",Законод!$G$21,IF(B769="Лікар-терапевт",Законод!$G$25,"х")))</f>
        <v>х</v>
      </c>
      <c r="G777" s="935" t="s">
        <v>423</v>
      </c>
      <c r="H777" s="936"/>
      <c r="I777" s="936"/>
      <c r="J777" s="936"/>
      <c r="K777" s="937"/>
      <c r="L777" s="196">
        <f ca="1">IF($B$769="Лікар загальної практики - сімейний лікар",IF(L773&lt;Законод!$C$22,0,(IF(AND(L773&gt;=Законод!$G$22,L773&lt;=Законод!$G$23),L773-Законод!$F$23,IF('01_Доходи'!L773&gt;=Законод!$H$22,Законод!$G$24,0)))),IF($B$769="Лікар-педіатр",IF(L773&lt;Законод!$C$18,0,(IF(AND(L773&gt;=Законод!$G$18,L773&lt;=Законод!$G$19),L773-Законод!$F$19,IF('01_Доходи'!L773&gt;=Законод!$H$18,Законод!$G$20,0)))),IF($B$769="Лікар-терапевт",IF(L773&lt;Законод!$C$26,0,(IF(AND(L773&gt;=Законод!$G$26,L773&lt;=Законод!$G$27),L773-Законод!$F$27,IF('01_Доходи'!L773&gt;=Законод!$H$26,Законод!$G$28,0)))),0)))</f>
        <v>0</v>
      </c>
      <c r="M777" s="942"/>
      <c r="N777" s="935" t="s">
        <v>423</v>
      </c>
      <c r="O777" s="936"/>
      <c r="P777" s="936"/>
      <c r="Q777" s="936"/>
      <c r="R777" s="937"/>
      <c r="S777" s="196">
        <f ca="1">IF($B$769="Лікар загальної практики - сімейний лікар",IF(S773&lt;Законод!$C$22,0,(IF(AND(S773&gt;=Законод!$G$22,S773&lt;=Законод!$G$23),S773-Законод!$F$23,IF('01_Доходи'!S773&gt;=Законод!$H$22,Законод!$G$24,0)))),IF($B$769="Лікар-педіатр",IF(S773&lt;Законод!$C$18,0,(IF(AND(S773&gt;=Законод!$G$18,S773&lt;=Законод!$G$19),S773-Законод!$F$19,IF('01_Доходи'!S773&gt;=Законод!$H$18,Законод!$G$20,0)))),IF($B$769="Лікар-терапевт",IF(S773&lt;Законод!$C$26,0,(IF(AND(S773&gt;=Законод!$G$26,S773&lt;=Законод!$G$27),S773-Законод!$F$27,IF('01_Доходи'!S773&gt;=Законод!$H$26,Законод!$G$28,0)))),0)))</f>
        <v>0</v>
      </c>
      <c r="T777" s="942"/>
      <c r="U777" s="935" t="s">
        <v>423</v>
      </c>
      <c r="V777" s="936"/>
      <c r="W777" s="936"/>
      <c r="X777" s="936"/>
      <c r="Y777" s="937"/>
      <c r="Z777" s="196">
        <f ca="1">IF($B$769="Лікар загальної практики - сімейний лікар",IF(Z773&lt;Законод!$C$22,0,(IF(AND(Z773&gt;=Законод!$G$22,Z773&lt;=Законод!$G$23),Z773-Законод!$F$23,IF('01_Доходи'!Z773&gt;=Законод!$H$22,Законод!$G$24,0)))),IF($B$769="Лікар-педіатр",IF(Z773&lt;Законод!$C$18,0,(IF(AND(Z773&gt;=Законод!$G$18,Z773&lt;=Законод!$G$19),Z773-Законод!$F$19,IF('01_Доходи'!Z773&gt;=Законод!$H$18,Законод!$G$20,0)))),IF($B$769="Лікар-терапевт",IF(Z773&lt;Законод!$C$26,0,(IF(AND(Z773&gt;=Законод!$G$26,Z773&lt;=Законод!$G$27),Z773-Законод!$F$27,IF('01_Доходи'!Z773&gt;=Законод!$H$26,Законод!$G$28,0)))),0)))</f>
        <v>0</v>
      </c>
      <c r="AA777" s="942"/>
      <c r="AB777" s="935" t="s">
        <v>423</v>
      </c>
      <c r="AC777" s="936"/>
      <c r="AD777" s="936"/>
      <c r="AE777" s="936"/>
      <c r="AF777" s="937"/>
      <c r="AG777" s="196">
        <f ca="1">IF($B$769="Лікар загальної практики - сімейний лікар",IF(AG773&lt;Законод!$C$22,0,(IF(AND(AG773&gt;=Законод!$G$22,AG773&lt;=Законод!$G$23),AG773-Законод!$F$23,IF('01_Доходи'!AG773&gt;=Законод!$H$22,Законод!$G$24,0)))),IF($B$769="Лікар-педіатр",IF(AG773&lt;Законод!$C$18,0,(IF(AND(AG773&gt;=Законод!$G$18,AG773&lt;=Законод!$G$19),AG773-Законод!$F$19,IF('01_Доходи'!AG773&gt;=Законод!$H$18,Законод!$G$20,0)))),IF($B$769="Лікар-терапевт",IF(AG773&lt;Законод!$C$26,0,(IF(AND(AG773&gt;=Законод!$G$26,AG773&lt;=Законод!$G$27),AG773-Законод!$F$27,IF('01_Доходи'!AG773&gt;=Законод!$H$26,Законод!$G$28,0)))),0)))</f>
        <v>0</v>
      </c>
      <c r="AH777" s="942"/>
      <c r="AI777" s="201"/>
      <c r="AJ777" s="945"/>
      <c r="AK777" s="960"/>
      <c r="AL777" s="960"/>
      <c r="AM777" s="927"/>
      <c r="AN777" s="210">
        <f ca="1">IF(B769="Лікар загальної практики - сімейний лікар",L777*Законод!$C$9/4*Законод!$G$16,IF(B769="Лікар-педіатр",L777*Законод!$C$9/4*Законод!$G$16,IF(B769="Лікар-терапевт",L777*Законод!$C$9/4*Законод!$G$16,0)))</f>
        <v>0</v>
      </c>
      <c r="AO777" s="210">
        <f ca="1">IF(B769="Лікар загальної практики - сімейний лікар",S777*Законод!$C$9/4*Законод!$G$16,IF(B769="Лікар-педіатр",S777*Законод!$C$9/4*Законод!$G$16,IF(B769="Лікар-терапевт",S777*Законод!$C$9/4*Законод!$G$16,0)))</f>
        <v>0</v>
      </c>
      <c r="AP777" s="210">
        <f ca="1">IF(B769="Лікар загальної практики - сімейний лікар",Z777*Законод!$C$9/4*Законод!$G$16,IF(B769="Лікар-педіатр",Z777*Законод!$C$9/4*Законод!$G$16,IF(B769="Лікар-терапевт",Z777*Законод!$C$9/4*Законод!$G$16,0)))</f>
        <v>0</v>
      </c>
      <c r="AQ777" s="210">
        <f ca="1">IF(B769="Лікар загальної практики - сімейний лікар",AG777*Законод!$C$9/4*Законод!$G$16,IF(B769="Лікар-педіатр",AG777*Законод!$C$9/4*Законод!$G$16,IF(B769="Лікар-терапевт",AG777*Законод!$C$9/4*Законод!$G$16,0)))</f>
        <v>0</v>
      </c>
      <c r="AR777" s="211">
        <f t="shared" si="99"/>
        <v>0</v>
      </c>
    </row>
    <row r="778" spans="1:44" s="50" customFormat="1" ht="31.9" hidden="1" customHeight="1">
      <c r="A778" s="197"/>
      <c r="B778" s="951"/>
      <c r="C778" s="954"/>
      <c r="D778" s="957"/>
      <c r="E778" s="939"/>
      <c r="F778" s="238" t="str">
        <f ca="1">IF(B769="Лікар-педіатр",Законод!$H$17,IF(B769="Лікар загальної практики - сімейний лікар",Законод!$H$21,IF(B769="Лікар-терапевт",Законод!$H$25,"х")))</f>
        <v>х</v>
      </c>
      <c r="G778" s="935" t="s">
        <v>423</v>
      </c>
      <c r="H778" s="936"/>
      <c r="I778" s="936"/>
      <c r="J778" s="936"/>
      <c r="K778" s="937"/>
      <c r="L778" s="196">
        <f ca="1">IF($B$769="Лікар загальної практики - сімейний лікар",IF(L773&lt;Законод!$C$22,0,(IF(AND(L773&gt;=Законод!$H$22,L773&lt;=Законод!$H$23),L773-Законод!$G$23,IF('01_Доходи'!L773&gt;=Законод!$I$22,Законод!$H$24,0)))),IF($B$769="Лікар-педіатр",IF(L773&lt;Законод!$C$18,0,(IF(AND(L773&gt;=Законод!$H$18,L773&lt;=Законод!$H$19),L773-Законод!$G$19,IF('01_Доходи'!L773&gt;=Законод!$I$18,Законод!$H$20,0)))),IF($B$769="Лікар-терапевт",IF(L773&lt;Законод!$C$26,0,(IF(AND(L773&gt;=Законод!$H$26,L773&lt;=Законод!$H$27),L773-Законод!$G$27,IF(L773&gt;=Законод!$I$26,Законод!$H$28,0)))),0)))</f>
        <v>0</v>
      </c>
      <c r="M778" s="942"/>
      <c r="N778" s="935" t="s">
        <v>423</v>
      </c>
      <c r="O778" s="936"/>
      <c r="P778" s="936"/>
      <c r="Q778" s="936"/>
      <c r="R778" s="937"/>
      <c r="S778" s="196">
        <f ca="1">IF($B$769="Лікар загальної практики - сімейний лікар",IF(S773&lt;Законод!$C$22,0,(IF(AND(S773&gt;=Законод!$H$22,S773&lt;=Законод!$H$23),S773-Законод!$G$23,IF('01_Доходи'!S773&gt;=Законод!$I$22,Законод!$H$24,0)))),IF($B$769="Лікар-педіатр",IF(S773&lt;Законод!$C$18,0,(IF(AND(S773&gt;=Законод!$H$18,S773&lt;=Законод!$H$19),S773-Законод!$G$19,IF('01_Доходи'!S773&gt;=Законод!$I$18,Законод!$H$20,0)))),IF($B$769="Лікар-терапевт",IF(S773&lt;Законод!$C$26,0,(IF(AND(S773&gt;=Законод!$H$26,S773&lt;=Законод!$H$27),S773-Законод!$G$27,IF(S773&gt;=Законод!$I$26,Законод!$H$28,0)))),0)))</f>
        <v>0</v>
      </c>
      <c r="T778" s="942"/>
      <c r="U778" s="935" t="s">
        <v>423</v>
      </c>
      <c r="V778" s="936"/>
      <c r="W778" s="936"/>
      <c r="X778" s="936"/>
      <c r="Y778" s="937"/>
      <c r="Z778" s="196">
        <f ca="1">IF($B$769="Лікар загальної практики - сімейний лікар",IF(Z773&lt;Законод!$C$22,0,(IF(AND(Z773&gt;=Законод!$H$22,Z773&lt;=Законод!$H$23),Z773-Законод!$G$23,IF('01_Доходи'!Z773&gt;=Законод!$I$22,Законод!$H$24,0)))),IF($B$769="Лікар-педіатр",IF(Z773&lt;Законод!$C$18,0,(IF(AND(Z773&gt;=Законод!$H$18,Z773&lt;=Законод!$H$19),Z773-Законод!$G$19,IF('01_Доходи'!Z773&gt;=Законод!$I$18,Законод!$H$20,0)))),IF($B$769="Лікар-терапевт",IF(Z773&lt;Законод!$C$26,0,(IF(AND(Z773&gt;=Законод!$H$26,Z773&lt;=Законод!$H$27),Z773-Законод!$G$27,IF(Z773&gt;=Законод!$I$26,Законод!$H$28,0)))),0)))</f>
        <v>0</v>
      </c>
      <c r="AA778" s="942"/>
      <c r="AB778" s="935" t="s">
        <v>423</v>
      </c>
      <c r="AC778" s="936"/>
      <c r="AD778" s="936"/>
      <c r="AE778" s="936"/>
      <c r="AF778" s="937"/>
      <c r="AG778" s="196">
        <f ca="1">IF($B$769="Лікар загальної практики - сімейний лікар",IF(AG773&lt;Законод!$C$22,0,(IF(AND(AG773&gt;=Законод!$H$22,AG773&lt;=Законод!$H$23),AG773-Законод!$G$23,IF('01_Доходи'!AG773&gt;=Законод!$I$22,Законод!$H$24,0)))),IF($B$769="Лікар-педіатр",IF(AG773&lt;Законод!$C$18,0,(IF(AND(AG773&gt;=Законод!$H$18,AG773&lt;=Законод!$H$19),AG773-Законод!$G$19,IF('01_Доходи'!AG773&gt;=Законод!$I$18,Законод!$H$20,0)))),IF($B$769="Лікар-терапевт",IF(AG773&lt;Законод!$C$26,0,(IF(AND(AG773&gt;=Законод!$H$26,AG773&lt;=Законод!$H$27),AG773-Законод!$G$27,IF(AG773&gt;=Законод!$I$26,Законод!$H$28,0)))),0)))</f>
        <v>0</v>
      </c>
      <c r="AH778" s="942"/>
      <c r="AI778" s="201"/>
      <c r="AJ778" s="945"/>
      <c r="AK778" s="960"/>
      <c r="AL778" s="960"/>
      <c r="AM778" s="927"/>
      <c r="AN778" s="210">
        <f ca="1">IF(B769="Лікар загальної практики - сімейний лікар",L778*Законод!$C$9/4*Законод!$H$16,IF(B769="Лікар-педіатр",L778*Законод!$C$9/4*Законод!$H$16,IF(B769="Лікар-терапевт",L778*Законод!$C$9/4*Законод!$H$16,0)))</f>
        <v>0</v>
      </c>
      <c r="AO778" s="210">
        <f ca="1">IF(B769="Лікар загальної практики - сімейний лікар",S778*Законод!$C$9/4*Законод!$H$16,IF(B769="Лікар-педіатр",S778*Законод!$C$9/4*Законод!$H$16,IF(B769="Лікар-терапевт",S778*Законод!$C$9/4*Законод!$H$16,0)))</f>
        <v>0</v>
      </c>
      <c r="AP778" s="210">
        <f ca="1">IF(B769="Лікар загальної практики - сімейний лікар",Z778*Законод!$C$9/4*Законод!$H$16,IF(B769="Лікар-педіатр",Z778*Законод!$C$9/4*Законод!$H$16,IF(B769="Лікар-терапевт",Z778*Законод!$C$9/4*Законод!$H$16,0)))</f>
        <v>0</v>
      </c>
      <c r="AQ778" s="210">
        <f ca="1">IF(B769="Лікар загальної практики - сімейний лікар",AG778*Законод!$C$9/4*Законод!$H$16,IF(B769="Лікар-педіатр",AG778*Законод!$C$9/4*Законод!$H$16,IF(B769="Лікар-терапевт",AG778*Законод!$C$9/4*Законод!$H$16,0)))</f>
        <v>0</v>
      </c>
      <c r="AR778" s="211">
        <f t="shared" si="99"/>
        <v>0</v>
      </c>
    </row>
    <row r="779" spans="1:44" s="50" customFormat="1" ht="31.9" hidden="1" customHeight="1">
      <c r="A779" s="197"/>
      <c r="B779" s="951"/>
      <c r="C779" s="954"/>
      <c r="D779" s="957"/>
      <c r="E779" s="939"/>
      <c r="F779" s="238" t="str">
        <f ca="1">IF(B769="Лікар-педіатр",Законод!$I$17,IF(B769="Лікар загальної практики - сімейний лікар",Законод!$I$21,IF(B769="Лікар-терапевт",Законод!$I$25,"х")))</f>
        <v>х</v>
      </c>
      <c r="G779" s="935" t="s">
        <v>423</v>
      </c>
      <c r="H779" s="936"/>
      <c r="I779" s="936"/>
      <c r="J779" s="936"/>
      <c r="K779" s="937"/>
      <c r="L779" s="196">
        <f ca="1">IF($B$769="Лікар загальної практики - сімейний лікар",IF(L773&lt;Законод!$C$22,0,(IF(AND(L773&gt;=Законод!$I$22,L773&lt;=Законод!$I$23),L773-Законод!$H$23,IF('01_Доходи'!L773&gt;=Законод!$I$22,Законод!$I$24,0)))),IF($B$769="Лікар-педіатр",IF(L773&lt;Законод!$C$18,0,(IF(AND(L773&gt;=Законод!$I$18,L773&lt;=Законод!$I$19),L773-Законод!$H$19,IF('01_Доходи'!L773&gt;=Законод!$I$18,Законод!$H$20,0)))),IF($B$769="Лікар-терапевт",IF(L773&lt;Законод!$C$26,0,(IF(AND(L773&gt;=Законод!$I$26,L773&lt;=Законод!$I$27),L773-Законод!$H$27,IF('01_Доходи'!L773&gt;=Законод!$I$26,Законод!$H$28,0)))),0)))</f>
        <v>0</v>
      </c>
      <c r="M779" s="942"/>
      <c r="N779" s="935" t="s">
        <v>423</v>
      </c>
      <c r="O779" s="936"/>
      <c r="P779" s="936"/>
      <c r="Q779" s="936"/>
      <c r="R779" s="937"/>
      <c r="S779" s="196">
        <f ca="1">IF($B$769="Лікар загальної практики - сімейний лікар",IF(S773&lt;Законод!$C$22,0,(IF(AND(S773&gt;=Законод!$I$22,S773&lt;=Законод!$I$23),S773-Законод!$H$23,IF('01_Доходи'!S773&gt;=Законод!$I$22,Законод!$I$24,0)))),IF($B$769="Лікар-педіатр",IF(S773&lt;Законод!$C$18,0,(IF(AND(S773&gt;=Законод!$I$18,S773&lt;=Законод!$I$19),S773-Законод!$H$19,IF('01_Доходи'!S773&gt;=Законод!$I$18,Законод!$H$20,0)))),IF($B$769="Лікар-терапевт",IF(S773&lt;Законод!$C$26,0,(IF(AND(S773&gt;=Законод!$I$26,S773&lt;=Законод!$I$27),S773-Законод!$H$27,IF('01_Доходи'!S773&gt;=Законод!$I$26,Законод!$H$28,0)))),0)))</f>
        <v>0</v>
      </c>
      <c r="T779" s="942"/>
      <c r="U779" s="935" t="s">
        <v>423</v>
      </c>
      <c r="V779" s="936"/>
      <c r="W779" s="936"/>
      <c r="X779" s="936"/>
      <c r="Y779" s="937"/>
      <c r="Z779" s="196">
        <f ca="1">IF($B$769="Лікар загальної практики - сімейний лікар",IF(Z773&lt;Законод!$C$22,0,(IF(AND(Z773&gt;=Законод!$I$22,Z773&lt;=Законод!$I$23),Z773-Законод!$H$23,IF('01_Доходи'!Z773&gt;=Законод!$I$22,Законод!$I$24,0)))),IF($B$769="Лікар-педіатр",IF(Z773&lt;Законод!$C$18,0,(IF(AND(Z773&gt;=Законод!$I$18,Z773&lt;=Законод!$I$19),Z773-Законод!$H$19,IF('01_Доходи'!Z773&gt;=Законод!$I$18,Законод!$H$20,0)))),IF($B$769="Лікар-терапевт",IF(Z773&lt;Законод!$C$26,0,(IF(AND(Z773&gt;=Законод!$I$26,Z773&lt;=Законод!$I$27),Z773-Законод!$H$27,IF('01_Доходи'!Z773&gt;=Законод!$I$26,Законод!$H$28,0)))),0)))</f>
        <v>0</v>
      </c>
      <c r="AA779" s="942"/>
      <c r="AB779" s="935" t="s">
        <v>423</v>
      </c>
      <c r="AC779" s="936"/>
      <c r="AD779" s="936"/>
      <c r="AE779" s="936"/>
      <c r="AF779" s="937"/>
      <c r="AG779" s="196">
        <f ca="1">IF($B$769="Лікар загальної практики - сімейний лікар",IF(AG773&lt;Законод!$C$22,0,(IF(AND(AG773&gt;=Законод!$I$22,AG773&lt;=Законод!$I$23),AG773-Законод!$H$23,IF('01_Доходи'!AG773&gt;=Законод!$I$22,Законод!$I$24,0)))),IF($B$769="Лікар-педіатр",IF(AG773&lt;Законод!$C$18,0,(IF(AND(AG773&gt;=Законод!$I$18,AG773&lt;=Законод!$I$19),AG773-Законод!$H$19,IF('01_Доходи'!AG773&gt;=Законод!$I$18,Законод!$H$20,0)))),IF($B$769="Лікар-терапевт",IF(AG773&lt;Законод!$C$26,0,(IF(AND(AG773&gt;=Законод!$I$26,AG773&lt;=Законод!$I$27),AG773-Законод!$H$27,IF('01_Доходи'!AG773&gt;=Законод!$I$26,Законод!$H$28,0)))),0)))</f>
        <v>0</v>
      </c>
      <c r="AH779" s="942"/>
      <c r="AI779" s="201"/>
      <c r="AJ779" s="945"/>
      <c r="AK779" s="960"/>
      <c r="AL779" s="960"/>
      <c r="AM779" s="927"/>
      <c r="AN779" s="210">
        <f ca="1">IF(B769="Лікар загальної практики - сімейний лікар",L779*Законод!$C$9/4*Законод!$I$16,IF(B769="Лікар-педіатр",L779*Законод!$C$9/4*Законод!$I$16,IF(B769="Лікар-терапевт",L779*Законод!$C$9/4*Законод!$I$16,0)))</f>
        <v>0</v>
      </c>
      <c r="AO779" s="210">
        <f ca="1">IF(B769="Лікар загальної практики - сімейний лікар",S779*Законод!$C$9/4*Законод!$I$16,IF(B769="Лікар-педіатр",S779*Законод!$C$9/4*Законод!$I$16,IF(B769="Лікар-терапевт",S779*Законод!$C$9/4*Законод!$I$16,0)))</f>
        <v>0</v>
      </c>
      <c r="AP779" s="210">
        <f ca="1">IF(B769="Лікар загальної практики - сімейний лікар",Z779*Законод!$C$9/4*Законод!$I$16,IF(B769="Лікар-педіатр",Z779*Законод!$C$9/4*Законод!$I$16,IF(B769="Лікар-терапевт",Z779*Законод!$C$9/4*Законод!$I$16,0)))</f>
        <v>0</v>
      </c>
      <c r="AQ779" s="210">
        <f ca="1">IF(B769="Лікар загальної практики - сімейний лікар",AG779*Законод!$C$9/4*Законод!$I$16,IF(B769="Лікар-педіатр",AG779*Законод!$C$9/4*Законод!$I$16,IF(B769="Лікар-терапевт",AG779*Законод!$C$9/4*Законод!$I$16,0)))</f>
        <v>0</v>
      </c>
      <c r="AR779" s="211">
        <f t="shared" si="99"/>
        <v>0</v>
      </c>
    </row>
    <row r="780" spans="1:44" s="218" customFormat="1" ht="31.9" hidden="1" customHeight="1" thickBot="1">
      <c r="A780" s="213"/>
      <c r="B780" s="952"/>
      <c r="C780" s="955"/>
      <c r="D780" s="958"/>
      <c r="E780" s="940"/>
      <c r="F780" s="239" t="str">
        <f ca="1">IF(B769="Лікар-педіатр",Законод!$J$17,IF(B769="Лікар загальної практики - сімейний лікар",Законод!$J$21,IF(B769="Лікар-терапевт",Законод!$J$25,"х")))</f>
        <v>х</v>
      </c>
      <c r="G780" s="932" t="s">
        <v>423</v>
      </c>
      <c r="H780" s="933"/>
      <c r="I780" s="933"/>
      <c r="J780" s="933"/>
      <c r="K780" s="934"/>
      <c r="L780" s="196">
        <f ca="1">IF($B$769="Лікар загальної практики - сімейний лікар",IF(L773&gt;=Законод!$J$22,'01_Доходи'!L773-('01_Доходи'!L774+'01_Доходи'!L775+'01_Доходи'!L776+'01_Доходи'!L777+'01_Доходи'!L778+'01_Доходи'!L779),0),IF($B$769="Лікар-педіатр",IF(L773&gt;=Законод!$J$18,'01_Доходи'!L773-('01_Доходи'!L774+'01_Доходи'!L775+'01_Доходи'!L776+'01_Доходи'!L777+'01_Доходи'!L778+'01_Доходи'!L779),0),IF($B$769="Лікар-терапевт",IF('01_Доходи'!L773&gt;=Законод!$J$26,L773-Законод!$I$27,0),0)))</f>
        <v>0</v>
      </c>
      <c r="M780" s="943"/>
      <c r="N780" s="932" t="s">
        <v>423</v>
      </c>
      <c r="O780" s="933"/>
      <c r="P780" s="933"/>
      <c r="Q780" s="933"/>
      <c r="R780" s="934"/>
      <c r="S780" s="196">
        <f ca="1">IF($B$769="Лікар загальної практики - сімейний лікар",IF(S773&gt;=Законод!$J$22,'01_Доходи'!S773-('01_Доходи'!S774+'01_Доходи'!S775+'01_Доходи'!S776+'01_Доходи'!S777+'01_Доходи'!S778+'01_Доходи'!S779),0),IF($B$769="Лікар-педіатр",IF(S773&gt;=Законод!$J$18,'01_Доходи'!S773-('01_Доходи'!S774+'01_Доходи'!S775+'01_Доходи'!S776+'01_Доходи'!S777+'01_Доходи'!S778+'01_Доходи'!S779),0),IF($B$769="Лікар-терапевт",IF('01_Доходи'!S773&gt;=Законод!$J$26,S773-Законод!$I$27,0),0)))</f>
        <v>0</v>
      </c>
      <c r="T780" s="943"/>
      <c r="U780" s="932" t="s">
        <v>423</v>
      </c>
      <c r="V780" s="933"/>
      <c r="W780" s="933"/>
      <c r="X780" s="933"/>
      <c r="Y780" s="934"/>
      <c r="Z780" s="196">
        <f ca="1">IF($B$769="Лікар загальної практики - сімейний лікар",IF(Z773&gt;=Законод!$J$22,'01_Доходи'!Z773-('01_Доходи'!Z774+'01_Доходи'!Z775+'01_Доходи'!Z776+'01_Доходи'!Z777+'01_Доходи'!Z778+'01_Доходи'!Z779),0),IF($B$769="Лікар-педіатр",IF(Z773&gt;=Законод!$J$18,'01_Доходи'!Z773-('01_Доходи'!Z774+'01_Доходи'!Z775+'01_Доходи'!Z776+'01_Доходи'!Z777+'01_Доходи'!Z778+'01_Доходи'!Z779),0),IF($B$769="Лікар-терапевт",IF('01_Доходи'!Z773&gt;=Законод!$J$26,Z773-Законод!$I$27,0),0)))</f>
        <v>0</v>
      </c>
      <c r="AA780" s="943"/>
      <c r="AB780" s="932" t="s">
        <v>423</v>
      </c>
      <c r="AC780" s="933"/>
      <c r="AD780" s="933"/>
      <c r="AE780" s="933"/>
      <c r="AF780" s="934"/>
      <c r="AG780" s="196">
        <f ca="1">IF($B$769="Лікар загальної практики - сімейний лікар",IF(AG773&gt;=Законод!$J$22,'01_Доходи'!AG773-('01_Доходи'!AG774+'01_Доходи'!AG775+'01_Доходи'!AG776+'01_Доходи'!AG777+'01_Доходи'!AG778+'01_Доходи'!AG779),0),IF($B$769="Лікар-педіатр",IF(AG773&gt;=Законод!$J$18,'01_Доходи'!AG773-('01_Доходи'!AG774+'01_Доходи'!AG775+'01_Доходи'!AG776+'01_Доходи'!AG777+'01_Доходи'!AG778+'01_Доходи'!AG779),0),IF($B$769="Лікар-терапевт",IF('01_Доходи'!AG773&gt;=Законод!$J$26,AG773-Законод!$I$27,0),0)))</f>
        <v>0</v>
      </c>
      <c r="AH780" s="943"/>
      <c r="AI780" s="215"/>
      <c r="AJ780" s="946"/>
      <c r="AK780" s="961"/>
      <c r="AL780" s="961"/>
      <c r="AM780" s="928"/>
      <c r="AN780" s="216">
        <f ca="1">IF(B769="Лікар загальної практики - сімейний лікар",L780*Законод!$C$9/4*Законод!$J$16,IF(B769="Лікар-педіатр",L780*Законод!$C$9/4*Законод!$J$16,IF(B769="Лікар-терапевт",L780*Законод!$C$9/4*Законод!$J$16,0)))</f>
        <v>0</v>
      </c>
      <c r="AO780" s="216">
        <f ca="1">IF(B769="Лікар загальної практики - сімейний лікар",S780*Законод!$C$9/4*Законод!$J$16,IF(B769="Лікар-педіатр",S780*Законод!$C$9/4*Законод!$J$16,IF(B769="Лікар-терапевт",S780*Законод!$C$9/4*Законод!$J$16,0)))</f>
        <v>0</v>
      </c>
      <c r="AP780" s="216">
        <f ca="1">IF(B769="Лікар загальної практики - сімейний лікар",S780*Законод!$C$9/4*Законод!$J$16,IF(B769="Лікар-педіатр",S780*Законод!$C$9/4*Законод!$J$16,IF(B769="Лікар-терапевт",S780*Законод!$C$9/4*Законод!$J$16,0)))</f>
        <v>0</v>
      </c>
      <c r="AQ780" s="216">
        <f ca="1">IF(B769="Лікар загальної практики - сімейний лікар",AG780*Законод!$C$9/4*Законод!$J$16,IF(B769="Лікар-педіатр",AG780*Законод!$C$9/4*Законод!$J$16,IF(B769="Лікар-терапевт",AG780*Законод!$C$9/4*Законод!$J$16,0)))</f>
        <v>0</v>
      </c>
      <c r="AR780" s="217">
        <f t="shared" si="99"/>
        <v>0</v>
      </c>
    </row>
    <row r="781" spans="1:44" s="247" customFormat="1" ht="23.45" hidden="1" customHeight="1" thickBot="1">
      <c r="A781" s="243"/>
      <c r="B781" s="244"/>
      <c r="C781" s="244"/>
      <c r="D781" s="244"/>
      <c r="E781" s="244"/>
      <c r="F781" s="245"/>
      <c r="G781" s="246"/>
      <c r="H781" s="246"/>
      <c r="L781" s="248"/>
      <c r="S781" s="248"/>
      <c r="Z781" s="248"/>
      <c r="AG781" s="248"/>
      <c r="AM781" s="249"/>
      <c r="AR781" s="250"/>
    </row>
    <row r="782" spans="1:44" s="191" customFormat="1" ht="24.6" hidden="1" customHeight="1">
      <c r="A782" s="194">
        <f>A769+1</f>
        <v>58</v>
      </c>
      <c r="B782" s="950"/>
      <c r="C782" s="953"/>
      <c r="D782" s="956"/>
      <c r="E782" s="938"/>
      <c r="F782" s="234" t="s">
        <v>659</v>
      </c>
      <c r="G782" s="196">
        <f>IF($B$782="Лікар-педіатр",G785*L782,IF($B$782="Лікар-терапевт","х",IF($B$782="Лікар загальної практики - сімейний лікар",G785*L782,0)))</f>
        <v>0</v>
      </c>
      <c r="H782" s="196">
        <f>IF($B$782="Лікар-педіатр",H785*L782,IF($B$782="Лікар-терапевт","х",IF($B$782="Лікар загальної практики - сімейний лікар",H785*L782,0)))</f>
        <v>0</v>
      </c>
      <c r="I782" s="196">
        <f>IF($B$782="Лікар-педіатр","x",IF($B$782="Лікар-терапевт",I785*L782,IF($B$782="Лікар загальної практики - сімейний лікар",I785*L782,0)))</f>
        <v>0</v>
      </c>
      <c r="J782" s="196">
        <f>IF($B$782="Лікар-педіатр","x",IF($B$782="Лікар-терапевт",J785*L782,IF($B$782="Лікар загальної практики - сімейний лікар",J785*L782,0)))</f>
        <v>0</v>
      </c>
      <c r="K782" s="196">
        <f>IF($B$782="Лікар-педіатр","x",IF($B$782="Лікар-терапевт",K785*L782,IF($B$782="Лікар загальної практики - сімейний лікар",K785*L782,0)))</f>
        <v>0</v>
      </c>
      <c r="L782" s="557"/>
      <c r="M782" s="941"/>
      <c r="N782" s="196">
        <f>IF($B$782="Лікар-педіатр",N785*S782,IF($B$782="Лікар-терапевт","х",IF($B$782="Лікар загальної практики - сімейний лікар",N785*S782,0)))</f>
        <v>0</v>
      </c>
      <c r="O782" s="196">
        <f>IF($B$782="Лікар-педіатр",O785*S782,IF($B$782="Лікар-терапевт","х",IF($B$782="Лікар загальної практики - сімейний лікар",O785*S782,0)))</f>
        <v>0</v>
      </c>
      <c r="P782" s="196">
        <f>IF($B$782="Лікар-педіатр","x",IF($B$782="Лікар-терапевт",P785*S782,IF($B$782="Лікар загальної практики - сімейний лікар",P785*S782,0)))</f>
        <v>0</v>
      </c>
      <c r="Q782" s="196">
        <f>IF($B$782="Лікар-педіатр","x",IF($B$782="Лікар-терапевт",Q785*S782,IF($B$782="Лікар загальної практики - сімейний лікар",Q785*S782,0)))</f>
        <v>0</v>
      </c>
      <c r="R782" s="196">
        <f>IF($B$782="Лікар-педіатр","x",IF($B$782="Лікар-терапевт",R785*S782,IF($B$782="Лікар загальної практики - сімейний лікар",R785*S782,0)))</f>
        <v>0</v>
      </c>
      <c r="S782" s="557"/>
      <c r="T782" s="941"/>
      <c r="U782" s="196">
        <f>IF($B$782="Лікар-педіатр",U785*Z782,IF($B$782="Лікар-терапевт","х",IF($B$782="Лікар загальної практики - сімейний лікар",U785*Z782,0)))</f>
        <v>0</v>
      </c>
      <c r="V782" s="196">
        <f>IF($B$782="Лікар-педіатр",V785*Z782,IF($B$782="Лікар-терапевт","х",IF($B$782="Лікар загальної практики - сімейний лікар",V785*Z782,0)))</f>
        <v>0</v>
      </c>
      <c r="W782" s="196">
        <f>IF($B$782="Лікар-педіатр","x",IF($B$782="Лікар-терапевт",W785*Z782,IF($B$782="Лікар загальної практики - сімейний лікар",W785*Z782,0)))</f>
        <v>0</v>
      </c>
      <c r="X782" s="196">
        <f>IF($B$782="Лікар-педіатр","x",IF($B$782="Лікар-терапевт",X785*Z782,IF($B$782="Лікар загальної практики - сімейний лікар",X785*Z782,0)))</f>
        <v>0</v>
      </c>
      <c r="Y782" s="196">
        <f>IF($B$782="Лікар-педіатр","x",IF($B$782="Лікар-терапевт",Y785*Z782,IF($B$782="Лікар загальної практики - сімейний лікар",Y785*Z782,0)))</f>
        <v>0</v>
      </c>
      <c r="Z782" s="557"/>
      <c r="AA782" s="941"/>
      <c r="AB782" s="196">
        <f>IF($B$782="Лікар-педіатр",AB785*AG782,IF($B$782="Лікар-терапевт","х",IF($B$782="Лікар загальної практики - сімейний лікар",AB785*AG782,0)))</f>
        <v>0</v>
      </c>
      <c r="AC782" s="196">
        <f>IF($B$782="Лікар-педіатр",AC785*AG782,IF($B$782="Лікар-терапевт","х",IF($B$782="Лікар загальної практики - сімейний лікар",AC785*AG782,0)))</f>
        <v>0</v>
      </c>
      <c r="AD782" s="196">
        <f>IF($B$782="Лікар-педіатр","x",IF($B$782="Лікар-терапевт",AD785*AG782,IF($B$782="Лікар загальної практики - сімейний лікар",AD785*AG782,0)))</f>
        <v>0</v>
      </c>
      <c r="AE782" s="196">
        <f>IF($B$782="Лікар-педіатр","x",IF($B$782="Лікар-терапевт",AE785*AG782,IF($B$782="Лікар загальної практики - сімейний лікар",AE785*AG782,0)))</f>
        <v>0</v>
      </c>
      <c r="AF782" s="196">
        <f>IF($B$782="Лікар-педіатр","x",IF($B$782="Лікар-терапевт",AF785*AG782,IF($B$782="Лікар загальної практики - сімейний лікар",AF785*AG782,0)))</f>
        <v>0</v>
      </c>
      <c r="AG782" s="235"/>
      <c r="AH782" s="941"/>
      <c r="AI782" s="540">
        <f>A782</f>
        <v>58</v>
      </c>
      <c r="AJ782" s="944">
        <f>B782</f>
        <v>0</v>
      </c>
      <c r="AK782" s="959">
        <f>C782</f>
        <v>0</v>
      </c>
      <c r="AL782" s="959">
        <f>D782</f>
        <v>0</v>
      </c>
      <c r="AM782" s="929" t="s">
        <v>79</v>
      </c>
      <c r="AN782" s="947">
        <f>SUM(AN787:AN793)</f>
        <v>0</v>
      </c>
      <c r="AO782" s="947">
        <f>SUM(AO787:AO793)</f>
        <v>0</v>
      </c>
      <c r="AP782" s="947">
        <f>SUM(AP787:AP793)</f>
        <v>0</v>
      </c>
      <c r="AQ782" s="947">
        <f>SUM(AQ787:AQ793)</f>
        <v>0</v>
      </c>
      <c r="AR782" s="962">
        <f>SUM(AN782:AQ786)</f>
        <v>0</v>
      </c>
    </row>
    <row r="783" spans="1:44" s="50" customFormat="1" ht="28.15" hidden="1" customHeight="1">
      <c r="A783" s="197"/>
      <c r="B783" s="951"/>
      <c r="C783" s="954"/>
      <c r="D783" s="957"/>
      <c r="E783" s="939"/>
      <c r="F783" s="234" t="s">
        <v>660</v>
      </c>
      <c r="G783" s="196">
        <f>IF($B$782="Лікар-педіатр",G785*L783,IF($B$782="Лікар-терапевт","х",IF($B$782="Лікар загальної практики - сімейний лікар",G785*L783,0)))</f>
        <v>0</v>
      </c>
      <c r="H783" s="196">
        <f>IF($B$782="Лікар-педіатр",H785*L783,IF($B$782="Лікар-терапевт","х",IF($B$782="Лікар загальної практики - сімейний лікар",H785*L783,0)))</f>
        <v>0</v>
      </c>
      <c r="I783" s="196">
        <f>IF($B$782="Лікар-педіатр","x",IF($B$782="Лікар-терапевт",I785*L783,IF($B$782="Лікар загальної практики - сімейний лікар",I785*L783,0)))</f>
        <v>0</v>
      </c>
      <c r="J783" s="196">
        <f>IF($B$782="Лікар-педіатр","x",IF($B$782="Лікар-терапевт",J785*L783,IF($B$782="Лікар загальної практики - сімейний лікар",J785*L783,0)))</f>
        <v>0</v>
      </c>
      <c r="K783" s="196">
        <f>IF($B$782="Лікар-педіатр","x",IF($B$782="Лікар-терапевт",K785*L783,IF($B$782="Лікар загальної практики - сімейний лікар",K785*L783,0)))</f>
        <v>0</v>
      </c>
      <c r="L783" s="557"/>
      <c r="M783" s="942"/>
      <c r="N783" s="196">
        <f>IF($B$782="Лікар-педіатр",N785*S783,IF($B$782="Лікар-терапевт","х",IF($B$782="Лікар загальної практики - сімейний лікар",N785*S783,0)))</f>
        <v>0</v>
      </c>
      <c r="O783" s="196">
        <f>IF($B$782="Лікар-педіатр",O785*S783,IF($B$782="Лікар-терапевт","х",IF($B$782="Лікар загальної практики - сімейний лікар",O785*S783,0)))</f>
        <v>0</v>
      </c>
      <c r="P783" s="196">
        <f>IF($B$782="Лікар-педіатр","x",IF($B$782="Лікар-терапевт",P785*S783,IF($B$782="Лікар загальної практики - сімейний лікар",P785*S783,0)))</f>
        <v>0</v>
      </c>
      <c r="Q783" s="196">
        <f>IF($B$782="Лікар-педіатр","x",IF($B$782="Лікар-терапевт",Q785*S783,IF($B$782="Лікар загальної практики - сімейний лікар",Q785*S783,0)))</f>
        <v>0</v>
      </c>
      <c r="R783" s="196">
        <f>IF($B$782="Лікар-педіатр","x",IF($B$782="Лікар-терапевт",R785*S783,IF($B$782="Лікар загальної практики - сімейний лікар",R785*S783,0)))</f>
        <v>0</v>
      </c>
      <c r="S783" s="557"/>
      <c r="T783" s="942"/>
      <c r="U783" s="196">
        <f>IF($B$782="Лікар-педіатр",U785*Z783,IF($B$782="Лікар-терапевт","х",IF($B$782="Лікар загальної практики - сімейний лікар",U785*Z783,0)))</f>
        <v>0</v>
      </c>
      <c r="V783" s="196">
        <f>IF($B$782="Лікар-педіатр",V785*Z783,IF($B$782="Лікар-терапевт","х",IF($B$782="Лікар загальної практики - сімейний лікар",V785*Z783,0)))</f>
        <v>0</v>
      </c>
      <c r="W783" s="196">
        <f>IF($B$782="Лікар-педіатр","x",IF($B$782="Лікар-терапевт",W785*Z783,IF($B$782="Лікар загальної практики - сімейний лікар",W785*Z783,0)))</f>
        <v>0</v>
      </c>
      <c r="X783" s="196">
        <f>IF($B$782="Лікар-педіатр","x",IF($B$782="Лікар-терапевт",X785*Z783,IF($B$782="Лікар загальної практики - сімейний лікар",X785*Z783,0)))</f>
        <v>0</v>
      </c>
      <c r="Y783" s="196">
        <f>IF($B$782="Лікар-педіатр","x",IF($B$782="Лікар-терапевт",Y785*Z783,IF($B$782="Лікар загальної практики - сімейний лікар",Y785*Z783,0)))</f>
        <v>0</v>
      </c>
      <c r="Z783" s="557"/>
      <c r="AA783" s="942"/>
      <c r="AB783" s="196">
        <f>IF($B$782="Лікар-педіатр",AB785*AG783,IF($B$782="Лікар-терапевт","х",IF($B$782="Лікар загальної практики - сімейний лікар",AB785*AG783,0)))</f>
        <v>0</v>
      </c>
      <c r="AC783" s="196">
        <f>IF($B$782="Лікар-педіатр",AC785*AG783,IF($B$782="Лікар-терапевт","х",IF($B$782="Лікар загальної практики - сімейний лікар",AC785*AG783,0)))</f>
        <v>0</v>
      </c>
      <c r="AD783" s="196">
        <f>IF($B$782="Лікар-педіатр","x",IF($B$782="Лікар-терапевт",AD785*AG783,IF($B$782="Лікар загальної практики - сімейний лікар",AD785*AG783,0)))</f>
        <v>0</v>
      </c>
      <c r="AE783" s="196">
        <f>IF($B$782="Лікар-педіатр","x",IF($B$782="Лікар-терапевт",AE785*AG783,IF($B$782="Лікар загальної практики - сімейний лікар",AE785*AG783,0)))</f>
        <v>0</v>
      </c>
      <c r="AF783" s="196">
        <f>IF($B$782="Лікар-педіатр","x",IF($B$782="Лікар-терапевт",AF785*AG783,IF($B$782="Лікар загальної практики - сімейний лікар",AF785*AG783,0)))</f>
        <v>0</v>
      </c>
      <c r="AG783" s="235"/>
      <c r="AH783" s="942"/>
      <c r="AI783" s="198"/>
      <c r="AJ783" s="945"/>
      <c r="AK783" s="960"/>
      <c r="AL783" s="960"/>
      <c r="AM783" s="930"/>
      <c r="AN783" s="948"/>
      <c r="AO783" s="948"/>
      <c r="AP783" s="948"/>
      <c r="AQ783" s="948"/>
      <c r="AR783" s="963"/>
    </row>
    <row r="784" spans="1:44" s="90" customFormat="1" ht="31.15" hidden="1" customHeight="1">
      <c r="A784" s="240"/>
      <c r="B784" s="951"/>
      <c r="C784" s="954"/>
      <c r="D784" s="957"/>
      <c r="E784" s="939"/>
      <c r="F784" s="241" t="s">
        <v>661</v>
      </c>
      <c r="G784" s="199">
        <f>IF(B782="Лікар загальної практики - сімейний лікар"," ",IF(B782="Лікар-педіатр"," ",IF(B782="Лікар-терапевт","х",0)))</f>
        <v>0</v>
      </c>
      <c r="H784" s="199">
        <f>IF(B782="Лікар загальної практики - сімейний лікар"," ",IF(B782="Лікар-педіатр"," ",IF(B782="Лікар-терапевт","х",0)))</f>
        <v>0</v>
      </c>
      <c r="I784" s="199">
        <f>IF(B782="Лікар загальної практики - сімейний лікар"," ",IF(B782="Лікар-педіатр","х",IF(B782="Лікар-терапевт"," ",0)))</f>
        <v>0</v>
      </c>
      <c r="J784" s="199">
        <f>IF(B782="Лікар загальної практики - сімейний лікар"," ",IF(B782="Лікар-педіатр","х",IF(B782="Лікар-терапевт"," ",0)))</f>
        <v>0</v>
      </c>
      <c r="K784" s="199">
        <f>IF(B782="Лікар загальної практики - сімейний лікар"," ",IF(B782="Лікар-педіатр","х",IF(B782="Лікар-терапевт"," ",0)))</f>
        <v>0</v>
      </c>
      <c r="L784" s="200">
        <f>SUM(G784:K784)</f>
        <v>0</v>
      </c>
      <c r="M784" s="942"/>
      <c r="N784" s="199">
        <f>IF(B782="Лікар загальної практики - сімейний лікар"," ",IF(B782="Лікар-педіатр"," ",IF(B782="Лікар-терапевт","х",0)))</f>
        <v>0</v>
      </c>
      <c r="O784" s="199">
        <f>IF(B782="Лікар загальної практики - сімейний лікар"," ",IF(B782="Лікар-педіатр"," ",IF(B782="Лікар-терапевт","х",0)))</f>
        <v>0</v>
      </c>
      <c r="P784" s="199">
        <f>IF(B782="Лікар загальної практики - сімейний лікар"," ",IF(B782="Лікар-педіатр","х",IF(B782="Лікар-терапевт"," ",0)))</f>
        <v>0</v>
      </c>
      <c r="Q784" s="199">
        <f>IF(B782="Лікар загальної практики - сімейний лікар"," ",IF(B782="Лікар-педіатр","х",IF(B782="Лікар-терапевт"," ",0)))</f>
        <v>0</v>
      </c>
      <c r="R784" s="199">
        <f>IF(B782="Лікар загальної практики - сімейний лікар"," ",IF(B782="Лікар-педіатр","х",IF(B782="Лікар-терапевт"," ",0)))</f>
        <v>0</v>
      </c>
      <c r="S784" s="200">
        <f>SUM(N784:R784)</f>
        <v>0</v>
      </c>
      <c r="T784" s="942"/>
      <c r="U784" s="199">
        <f>IF(B782="Лікар загальної практики - сімейний лікар"," ",IF(B782="Лікар-педіатр"," ",IF(B782="Лікар-терапевт","х",0)))</f>
        <v>0</v>
      </c>
      <c r="V784" s="199">
        <f>IF(B782="Лікар загальної практики - сімейний лікар"," ",IF(B782="Лікар-педіатр"," ",IF(B782="Лікар-терапевт","х",0)))</f>
        <v>0</v>
      </c>
      <c r="W784" s="199">
        <f>IF(B782="Лікар загальної практики - сімейний лікар"," ",IF(B782="Лікар-педіатр","х",IF(B782="Лікар-терапевт"," ",0)))</f>
        <v>0</v>
      </c>
      <c r="X784" s="199">
        <f>IF(B782="Лікар загальної практики - сімейний лікар"," ",IF(B782="Лікар-педіатр","х",IF(B782="Лікар-терапевт"," ",0)))</f>
        <v>0</v>
      </c>
      <c r="Y784" s="199">
        <f>IF(B782="Лікар загальної практики - сімейний лікар"," ",IF(B782="Лікар-педіатр","х",IF(B782="Лікар-терапевт"," ",0)))</f>
        <v>0</v>
      </c>
      <c r="Z784" s="200">
        <f>SUM(U784:Y784)</f>
        <v>0</v>
      </c>
      <c r="AA784" s="942"/>
      <c r="AB784" s="199">
        <f>IF(B782="Лікар загальної практики - сімейний лікар"," ",IF(B782="Лікар-педіатр"," ",IF(B782="Лікар-терапевт","х",0)))</f>
        <v>0</v>
      </c>
      <c r="AC784" s="199">
        <f>IF(B782="Лікар загальної практики - сімейний лікар"," ",IF(B782="Лікар-педіатр"," ",IF(B782="Лікар-терапевт","х",0)))</f>
        <v>0</v>
      </c>
      <c r="AD784" s="199">
        <f>IF(B782="Лікар загальної практики - сімейний лікар"," ",IF(B782="Лікар-педіатр","х",IF(B782="Лікар-терапевт"," ",0)))</f>
        <v>0</v>
      </c>
      <c r="AE784" s="199">
        <f>IF(B782="Лікар загальної практики - сімейний лікар"," ",IF(B782="Лікар-педіатр","х",IF(B782="Лікар-терапевт"," ",0)))</f>
        <v>0</v>
      </c>
      <c r="AF784" s="199">
        <f>IF(B782="Лікар загальної практики - сімейний лікар"," ",IF(B782="Лікар-педіатр","х",IF(B782="Лікар-терапевт"," ",0)))</f>
        <v>0</v>
      </c>
      <c r="AG784" s="200">
        <f>SUM(AB784:AF784)</f>
        <v>0</v>
      </c>
      <c r="AH784" s="942"/>
      <c r="AI784" s="242"/>
      <c r="AJ784" s="945"/>
      <c r="AK784" s="960"/>
      <c r="AL784" s="960"/>
      <c r="AM784" s="930"/>
      <c r="AN784" s="948"/>
      <c r="AO784" s="948"/>
      <c r="AP784" s="948"/>
      <c r="AQ784" s="948"/>
      <c r="AR784" s="963"/>
    </row>
    <row r="785" spans="1:44" s="50" customFormat="1" ht="31.9" hidden="1" customHeight="1" thickBot="1">
      <c r="A785" s="197"/>
      <c r="B785" s="951"/>
      <c r="C785" s="954"/>
      <c r="D785" s="957"/>
      <c r="E785" s="939"/>
      <c r="F785" s="236" t="s">
        <v>426</v>
      </c>
      <c r="G785" s="203">
        <f>IF($B$782="Лікар-педіатр",G784/L784,IF($B$782="Лікар-терапевт","х",IF($B$782="Лікар загальної практики - сімейний лікар",G784/L784,0)))</f>
        <v>0</v>
      </c>
      <c r="H785" s="203">
        <f>IF($B$782="Лікар-педіатр",H784/L784,IF($B$782="Лікар-терапевт","х",IF($B$782="Лікар загальної практики - сімейний лікар",H784/L784,0)))</f>
        <v>0</v>
      </c>
      <c r="I785" s="203">
        <f>IF($B$782="Лікар-педіатр","x",IF($B$782="Лікар-терапевт",I784/L784,IF($B$782="Лікар загальної практики - сімейний лікар",I784/L784,0)))</f>
        <v>0</v>
      </c>
      <c r="J785" s="203">
        <f>IF($B$782="Лікар-педіатр","x",IF($B$782="Лікар-терапевт",J784/L784,IF($B$782="Лікар загальної практики - сімейний лікар",J784/L784,0)))</f>
        <v>0</v>
      </c>
      <c r="K785" s="203">
        <f>IF($B$782="Лікар-педіатр","x",IF($B$782="Лікар-терапевт",K784/L784,IF($B$782="Лікар загальної практики - сімейний лікар",K784/L784,0)))</f>
        <v>0</v>
      </c>
      <c r="L785" s="203">
        <f>SUM(G785:K785)</f>
        <v>0</v>
      </c>
      <c r="M785" s="942"/>
      <c r="N785" s="203">
        <f>IF($B$782="Лікар-педіатр",N784/S784,IF($B$782="Лікар-терапевт","х",IF($B$782="Лікар загальної практики - сімейний лікар",N784/S784,0)))</f>
        <v>0</v>
      </c>
      <c r="O785" s="203">
        <f>IF($B$782="Лікар-педіатр",O784/S784,IF($B$782="Лікар-терапевт","х",IF($B$782="Лікар загальної практики - сімейний лікар",O784/S784,0)))</f>
        <v>0</v>
      </c>
      <c r="P785" s="203">
        <f>IF($B$782="Лікар-педіатр","x",IF($B$782="Лікар-терапевт",P784/S784,IF($B$782="Лікар загальної практики - сімейний лікар",P784/S784,0)))</f>
        <v>0</v>
      </c>
      <c r="Q785" s="203">
        <f>IF($B$782="Лікар-педіатр","x",IF($B$782="Лікар-терапевт",Q784/S784,IF($B$782="Лікар загальної практики - сімейний лікар",Q784/S784,0)))</f>
        <v>0</v>
      </c>
      <c r="R785" s="203">
        <f>IF($B$782="Лікар-педіатр","x",IF($B$782="Лікар-терапевт",R784/S784,IF($B$782="Лікар загальної практики - сімейний лікар",R784/S784,0)))</f>
        <v>0</v>
      </c>
      <c r="S785" s="203">
        <f>SUM(N785:R785)</f>
        <v>0</v>
      </c>
      <c r="T785" s="942"/>
      <c r="U785" s="203">
        <f>IF($B$782="Лікар-педіатр",U784/Z784,IF($B$782="Лікар-терапевт","х",IF($B$782="Лікар загальної практики - сімейний лікар",U784/Z784,0)))</f>
        <v>0</v>
      </c>
      <c r="V785" s="203">
        <f>IF($B$782="Лікар-педіатр",V784/Z784,IF($B$782="Лікар-терапевт","х",IF($B$782="Лікар загальної практики - сімейний лікар",V784/Z784,0)))</f>
        <v>0</v>
      </c>
      <c r="W785" s="203">
        <f>IF($B$782="Лікар-педіатр","x",IF($B$782="Лікар-терапевт",W784/Z784,IF($B$782="Лікар загальної практики - сімейний лікар",W784/Z784,0)))</f>
        <v>0</v>
      </c>
      <c r="X785" s="203">
        <f>IF($B$782="Лікар-педіатр","x",IF($B$782="Лікар-терапевт",X784/Z784,IF($B$782="Лікар загальної практики - сімейний лікар",X784/Z784,0)))</f>
        <v>0</v>
      </c>
      <c r="Y785" s="203">
        <f>IF($B$782="Лікар-педіатр","x",IF($B$782="Лікар-терапевт",Y784/Z784,IF($B$782="Лікар загальної практики - сімейний лікар",Y784/Z784,0)))</f>
        <v>0</v>
      </c>
      <c r="Z785" s="203">
        <f>SUM(U785:Y785)</f>
        <v>0</v>
      </c>
      <c r="AA785" s="942"/>
      <c r="AB785" s="203">
        <f>IF($B$782="Лікар-педіатр",AB784/AG784,IF($B$782="Лікар-терапевт","х",IF($B$782="Лікар загальної практики - сімейний лікар",AB784/AG784,0)))</f>
        <v>0</v>
      </c>
      <c r="AC785" s="203">
        <f>IF($B$782="Лікар-педіатр",AC784/AG784,IF($B$782="Лікар-терапевт","х",IF($B$782="Лікар загальної практики - сімейний лікар",AC784/AG784,0)))</f>
        <v>0</v>
      </c>
      <c r="AD785" s="203">
        <f>IF($B$782="Лікар-педіатр","x",IF($B$782="Лікар-терапевт",AD784/AG784,IF($B$782="Лікар загальної практики - сімейний лікар",AD784/AG784,0)))</f>
        <v>0</v>
      </c>
      <c r="AE785" s="203">
        <f>IF($B$782="Лікар-педіатр","x",IF($B$782="Лікар-терапевт",AE784/AG784,IF($B$782="Лікар загальної практики - сімейний лікар",AE784/AG784,0)))</f>
        <v>0</v>
      </c>
      <c r="AF785" s="203">
        <f>IF($B$782="Лікар-педіатр","x",IF($B$782="Лікар-терапевт",AF784/AG784,IF($B$782="Лікар загальної практики - сімейний лікар",AF784/AG784,0)))</f>
        <v>0</v>
      </c>
      <c r="AG785" s="203">
        <f>SUM(AB785:AF785)</f>
        <v>0</v>
      </c>
      <c r="AH785" s="942"/>
      <c r="AI785" s="201"/>
      <c r="AJ785" s="945"/>
      <c r="AK785" s="960"/>
      <c r="AL785" s="960"/>
      <c r="AM785" s="930"/>
      <c r="AN785" s="948"/>
      <c r="AO785" s="948"/>
      <c r="AP785" s="948"/>
      <c r="AQ785" s="948"/>
      <c r="AR785" s="963"/>
    </row>
    <row r="786" spans="1:44" s="50" customFormat="1" ht="45" hidden="1" customHeight="1" thickBot="1">
      <c r="A786" s="197"/>
      <c r="B786" s="951"/>
      <c r="C786" s="954"/>
      <c r="D786" s="957"/>
      <c r="E786" s="939"/>
      <c r="F786" s="204" t="s">
        <v>662</v>
      </c>
      <c r="G786" s="205">
        <f>IF($B$782="Лікар загальної практики - сімейний лікар",AVERAGE(G782:G784),IF($B$782="Лікар-педіатр",AVERAGE(G782:G784),IF($B$782="Лікар-терапевт","х",0)))</f>
        <v>0</v>
      </c>
      <c r="H786" s="205">
        <f>IF($B$782="Лікар загальної практики - сімейний лікар",AVERAGE(H782:H784),IF($B$782="Лікар-педіатр",AVERAGE(H782:H784),IF($B$782="Лікар-терапевт","х",0)))</f>
        <v>0</v>
      </c>
      <c r="I786" s="205">
        <f>IF($B$782="Лікар загальної практики - сімейний лікар",AVERAGE(I782:I784),IF($B$782="Лікар-педіатр","x",IF($B$782="Лікар-терапевт",AVERAGE(I782:I784),0)))</f>
        <v>0</v>
      </c>
      <c r="J786" s="205">
        <f>IF($B$782="Лікар загальної практики - сімейний лікар",AVERAGE(J782:J784),IF($B$782="Лікар-педіатр","x",IF($B$782="Лікар-терапевт",AVERAGE(J782:J784),0)))</f>
        <v>0</v>
      </c>
      <c r="K786" s="205">
        <f>IF($B$782="Лікар загальної практики - сімейний лікар",AVERAGE(K782:K784),IF($B$782="Лікар-педіатр","x",IF($B$782="Лікар-терапевт",AVERAGE(K782:K784),0)))</f>
        <v>0</v>
      </c>
      <c r="L786" s="206">
        <f>SUM(G786:K786)</f>
        <v>0</v>
      </c>
      <c r="M786" s="942"/>
      <c r="N786" s="205">
        <f>IF($B$782="Лікар загальної практики - сімейний лікар",AVERAGE(N782:N784),IF($B$782="Лікар-педіатр",AVERAGE(N782:N784),IF($B$782="Лікар-терапевт","х",0)))</f>
        <v>0</v>
      </c>
      <c r="O786" s="205">
        <f>IF($B$782="Лікар загальної практики - сімейний лікар",AVERAGE(O782:O784),IF($B$782="Лікар-педіатр",AVERAGE(O782:O784),IF($B$782="Лікар-терапевт","х",0)))</f>
        <v>0</v>
      </c>
      <c r="P786" s="205">
        <f>IF($B$782="Лікар загальної практики - сімейний лікар",AVERAGE(P782:P784),IF($B$782="Лікар-педіатр","x",IF($B$782="Лікар-терапевт",AVERAGE(P782:P784),0)))</f>
        <v>0</v>
      </c>
      <c r="Q786" s="205">
        <f>IF($B$782="Лікар загальної практики - сімейний лікар",AVERAGE(Q782:Q784),IF($B$782="Лікар-педіатр","x",IF($B$782="Лікар-терапевт",AVERAGE(Q782:Q784),0)))</f>
        <v>0</v>
      </c>
      <c r="R786" s="205">
        <f>IF($B$782="Лікар загальної практики - сімейний лікар",AVERAGE(R782:R784),IF($B$782="Лікар-педіатр","x",IF($B$782="Лікар-терапевт",AVERAGE(R782:R784),0)))</f>
        <v>0</v>
      </c>
      <c r="S786" s="206">
        <f>SUM(N786:R786)</f>
        <v>0</v>
      </c>
      <c r="T786" s="942"/>
      <c r="U786" s="205">
        <f>IF($B$782="Лікар загальної практики - сімейний лікар",AVERAGE(U782:U784),IF($B$782="Лікар-педіатр",AVERAGE(U782:U784),IF($B$782="Лікар-терапевт","х",0)))</f>
        <v>0</v>
      </c>
      <c r="V786" s="205">
        <f>IF($B$782="Лікар загальної практики - сімейний лікар",AVERAGE(V782:V784),IF($B$782="Лікар-педіатр",AVERAGE(V782:V784),IF($B$782="Лікар-терапевт","х",0)))</f>
        <v>0</v>
      </c>
      <c r="W786" s="205">
        <f>IF($B$782="Лікар загальної практики - сімейний лікар",AVERAGE(W782:W784),IF($B$782="Лікар-педіатр","x",IF($B$782="Лікар-терапевт",AVERAGE(W782:W784),0)))</f>
        <v>0</v>
      </c>
      <c r="X786" s="205">
        <f>IF($B$782="Лікар загальної практики - сімейний лікар",AVERAGE(X782:X784),IF($B$782="Лікар-педіатр","x",IF($B$782="Лікар-терапевт",AVERAGE(X782:X784),0)))</f>
        <v>0</v>
      </c>
      <c r="Y786" s="205">
        <f>IF($B$782="Лікар загальної практики - сімейний лікар",AVERAGE(Y782:Y784),IF($B$782="Лікар-педіатр","x",IF($B$782="Лікар-терапевт",AVERAGE(Y782:Y784),0)))</f>
        <v>0</v>
      </c>
      <c r="Z786" s="206">
        <f>SUM(U786:Y786)</f>
        <v>0</v>
      </c>
      <c r="AA786" s="942"/>
      <c r="AB786" s="205">
        <f>IF($B$782="Лікар загальної практики - сімейний лікар",AVERAGE(AB782:AB784),IF($B$782="Лікар-педіатр",AVERAGE(AB782:AB784),IF($B$782="Лікар-терапевт","х",0)))</f>
        <v>0</v>
      </c>
      <c r="AC786" s="205">
        <f>IF($B$782="Лікар загальної практики - сімейний лікар",AVERAGE(AC782:AC784),IF($B$782="Лікар-педіатр",AVERAGE(AC782:AC784),IF($B$782="Лікар-терапевт","х",0)))</f>
        <v>0</v>
      </c>
      <c r="AD786" s="205">
        <f>IF($B$782="Лікар загальної практики - сімейний лікар",AVERAGE(AD782:AD784),IF($B$782="Лікар-педіатр","x",IF($B$782="Лікар-терапевт",AVERAGE(AD782:AD784),0)))</f>
        <v>0</v>
      </c>
      <c r="AE786" s="205">
        <f>IF($B$782="Лікар загальної практики - сімейний лікар",AVERAGE(AE782:AE784),IF($B$782="Лікар-педіатр","x",IF($B$782="Лікар-терапевт",AVERAGE(AE782:AE784),0)))</f>
        <v>0</v>
      </c>
      <c r="AF786" s="205">
        <f>IF($B$782="Лікар загальної практики - сімейний лікар",AVERAGE(AF782:AF784),IF($B$782="Лікар-педіатр","x",IF($B$782="Лікар-терапевт",AVERAGE(AF782:AF784),0)))</f>
        <v>0</v>
      </c>
      <c r="AG786" s="206">
        <f>SUM(AB786:AF786)</f>
        <v>0</v>
      </c>
      <c r="AH786" s="942"/>
      <c r="AI786" s="201"/>
      <c r="AJ786" s="945"/>
      <c r="AK786" s="960"/>
      <c r="AL786" s="960"/>
      <c r="AM786" s="931"/>
      <c r="AN786" s="949"/>
      <c r="AO786" s="949"/>
      <c r="AP786" s="949"/>
      <c r="AQ786" s="949"/>
      <c r="AR786" s="964"/>
    </row>
    <row r="787" spans="1:44" s="50" customFormat="1" ht="40.5" hidden="1">
      <c r="A787" s="197"/>
      <c r="B787" s="951"/>
      <c r="C787" s="954"/>
      <c r="D787" s="957"/>
      <c r="E787" s="939"/>
      <c r="F787" s="237" t="str">
        <f ca="1">IF(B782="Лікар-педіатр",Законод!$C$17,IF(B782="Лікар загальної практики - сімейний лікар",Законод!$C$21,IF(B782="Лікар-терапевт",Законод!$C$25,"х")))</f>
        <v>х</v>
      </c>
      <c r="G787" s="208">
        <f ca="1">IF($B$782="Лікар загальної практики - сімейний лікар",IF(L786&lt;=Законод!$C$22,G786,Законод!$C$22*'01_Доходи'!G785),IF($B$782="Лікар-педіатр",IF(L786&lt;=Законод!$C$18,G786,Законод!$C$18*'01_Доходи'!G785),IF($B$782="Лікар-терапевт","x",0)))</f>
        <v>0</v>
      </c>
      <c r="H787" s="208">
        <f ca="1">IF($B$782="Лікар загальної практики - сімейний лікар",IF(L786&lt;=Законод!$C$22,H786,Законод!$C$22*'01_Доходи'!H785),IF($B$782="Лікар-педіатр",IF(L786&lt;=Законод!$C$18,H786,Законод!$C$18*'01_Доходи'!H785),IF($B$782="Лікар-терапевт","x",0)))</f>
        <v>0</v>
      </c>
      <c r="I787" s="208">
        <f ca="1">IF($B$782="Лікар загальної практики - сімейний лікар",IF(L786&lt;=Законод!$C$22,I786,Законод!$C$22*'01_Доходи'!I785),IF($B$782="Лікар-педіатр","x",IF($B$782="Лікар-терапевт",IF(L786&lt;=Законод!$C$26,I786,Законод!$C$26*'01_Доходи'!I785),0)))</f>
        <v>0</v>
      </c>
      <c r="J787" s="208">
        <f ca="1">IF($B$782="Лікар загальної практики - сімейний лікар",IF(L786&lt;=Законод!$C$22,J786,Законод!$C$22*'01_Доходи'!J785),IF($B$782="Лікар-педіатр","x",IF($B$782="Лікар-терапевт",IF(L786&lt;=Законод!$C$26,J786,Законод!$C$26*'01_Доходи'!J785),0)))</f>
        <v>0</v>
      </c>
      <c r="K787" s="208">
        <f ca="1">IF($B$782="Лікар загальної практики - сімейний лікар",IF(L786&lt;=Законод!$C$22,K786,Законод!$C$22*'01_Доходи'!K785),IF($B$782="Лікар-педіатр","x",IF($B$782="Лікар-терапевт",IF(L786&lt;=Законод!$C$26,K786,Законод!$C$26*'01_Доходи'!K785),0)))</f>
        <v>0</v>
      </c>
      <c r="L787" s="209">
        <f ca="1">SUM(G787:K787)</f>
        <v>0</v>
      </c>
      <c r="M787" s="942"/>
      <c r="N787" s="208">
        <f ca="1">IF($B$782="Лікар загальної практики - сімейний лікар",IF(S786&lt;=Законод!$C$22,N786,Законод!$C$22*'01_Доходи'!N785),IF($B$782="Лікар-педіатр",IF(S786&lt;=Законод!$C$18,N786,Законод!$C$18*'01_Доходи'!N785),IF($B$782="Лікар-терапевт","x",0)))</f>
        <v>0</v>
      </c>
      <c r="O787" s="208">
        <f ca="1">IF($B$782="Лікар загальної практики - сімейний лікар",IF(S786&lt;=Законод!$C$22,O786,Законод!$C$22*'01_Доходи'!O785),IF($B$782="Лікар-педіатр",IF(S786&lt;=Законод!$C$18,O786,Законод!$C$18*'01_Доходи'!O785),IF($B$782="Лікар-терапевт","x",0)))</f>
        <v>0</v>
      </c>
      <c r="P787" s="208">
        <f ca="1">IF($B$782="Лікар загальної практики - сімейний лікар",IF(S786&lt;=Законод!$C$22,P786,Законод!$C$22*'01_Доходи'!P785),IF($B$782="Лікар-педіатр","x",IF($B$782="Лікар-терапевт",IF(S786&lt;=Законод!$C$26,P786,Законод!$C$26*'01_Доходи'!P785),0)))</f>
        <v>0</v>
      </c>
      <c r="Q787" s="208">
        <f ca="1">IF($B$782="Лікар загальної практики - сімейний лікар",IF(S786&lt;=Законод!$C$22,Q786,Законод!$C$22*'01_Доходи'!Q785),IF($B$782="Лікар-педіатр","x",IF($B$782="Лікар-терапевт",IF(S786&lt;=Законод!$C$26,Q786,Законод!$C$26*'01_Доходи'!Q785),0)))</f>
        <v>0</v>
      </c>
      <c r="R787" s="208">
        <f ca="1">IF($B$782="Лікар загальної практики - сімейний лікар",IF(S786&lt;=Законод!$C$22,R786,Законод!$C$22*'01_Доходи'!R785),IF($B$782="Лікар-педіатр","x",IF($B$782="Лікар-терапевт",IF(S786&lt;=Законод!$C$26,R786,Законод!$C$26*'01_Доходи'!R785),0)))</f>
        <v>0</v>
      </c>
      <c r="S787" s="209">
        <f ca="1">SUM(N787:R787)</f>
        <v>0</v>
      </c>
      <c r="T787" s="942"/>
      <c r="U787" s="208">
        <f ca="1">IF($B$782="Лікар загальної практики - сімейний лікар",IF(Z786&lt;=Законод!$C$22,U786,Законод!$C$22*'01_Доходи'!U785),IF($B$782="Лікар-педіатр",IF(Z786&lt;=Законод!$C$18,U786,Законод!$C$18*'01_Доходи'!U785),IF($B$782="Лікар-терапевт","x",0)))</f>
        <v>0</v>
      </c>
      <c r="V787" s="208">
        <f ca="1">IF($B$782="Лікар загальної практики - сімейний лікар",IF(Z786&lt;=Законод!$C$22,V786,Законод!$C$22*'01_Доходи'!V785),IF($B$782="Лікар-педіатр",IF(Z786&lt;=Законод!$C$18,V786,Законод!$C$18*'01_Доходи'!V785),IF($B$782="Лікар-терапевт","x",0)))</f>
        <v>0</v>
      </c>
      <c r="W787" s="208">
        <f ca="1">IF($B$782="Лікар загальної практики - сімейний лікар",IF(Z786&lt;=Законод!$C$22,W786,Законод!$C$22*'01_Доходи'!W785),IF($B$782="Лікар-педіатр","x",IF($B$782="Лікар-терапевт",IF(Z786&lt;=Законод!$C$26,W786,Законод!$C$26*'01_Доходи'!W785),0)))</f>
        <v>0</v>
      </c>
      <c r="X787" s="208">
        <f ca="1">IF($B$782="Лікар загальної практики - сімейний лікар",IF(Z786&lt;=Законод!$C$22,X786,Законод!$C$22*'01_Доходи'!X785),IF($B$782="Лікар-педіатр","x",IF($B$782="Лікар-терапевт",IF(Z786&lt;=Законод!$C$26,X786,Законод!$C$26*'01_Доходи'!X785),0)))</f>
        <v>0</v>
      </c>
      <c r="Y787" s="208">
        <f ca="1">IF($B$782="Лікар загальної практики - сімейний лікар",IF(Z786&lt;=Законод!$C$22,Y786,Законод!$C$22*'01_Доходи'!Y785),IF($B$782="Лікар-педіатр","x",IF($B$782="Лікар-терапевт",IF(Z786&lt;=Законод!$C$26,Y786,Законод!$C$26*'01_Доходи'!Y785),0)))</f>
        <v>0</v>
      </c>
      <c r="Z787" s="209">
        <f ca="1">SUM(U787:Y787)</f>
        <v>0</v>
      </c>
      <c r="AA787" s="942"/>
      <c r="AB787" s="208">
        <f ca="1">IF($B$782="Лікар загальної практики - сімейний лікар",IF(AG786&lt;=Законод!$C$22,AB786,Законод!$C$22*'01_Доходи'!AB785),IF($B$782="Лікар-педіатр",IF(AG786&lt;=Законод!$C$18,AB786,Законод!$C$18*'01_Доходи'!AB785),IF($B$782="Лікар-терапевт","x",0)))</f>
        <v>0</v>
      </c>
      <c r="AC787" s="208">
        <f ca="1">IF($B$782="Лікар загальної практики - сімейний лікар",IF(AG786&lt;=Законод!$C$22,AC786,Законод!$C$22*'01_Доходи'!AC785),IF($B$782="Лікар-педіатр",IF(AG786&lt;=Законод!$C$18,AC786,Законод!$C$18*'01_Доходи'!AC785),IF($B$782="Лікар-терапевт","x",0)))</f>
        <v>0</v>
      </c>
      <c r="AD787" s="208">
        <f ca="1">IF($B$782="Лікар загальної практики - сімейний лікар",IF(AG786&lt;=Законод!$C$22,AD786,Законод!$C$22*'01_Доходи'!AD785),IF($B$782="Лікар-педіатр","x",IF($B$782="Лікар-терапевт",IF(AG786&lt;=Законод!$C$26,AD786,Законод!$C$26*'01_Доходи'!AD785),0)))</f>
        <v>0</v>
      </c>
      <c r="AE787" s="208">
        <f ca="1">IF($B$782="Лікар загальної практики - сімейний лікар",IF(AG786&lt;=Законод!$C$22,AE786,Законод!$C$22*'01_Доходи'!AE785),IF($B$782="Лікар-педіатр","x",IF($B$782="Лікар-терапевт",IF(AG786&lt;=Законод!$C$26,AE786,Законод!$C$26*'01_Доходи'!AE785),0)))</f>
        <v>0</v>
      </c>
      <c r="AF787" s="208">
        <f ca="1">IF($B$782="Лікар загальної практики - сімейний лікар",IF(AG786&lt;=Законод!$C$22,AF786,Законод!$C$22*'01_Доходи'!AF785),IF($B$782="Лікар-педіатр","x",IF($B$782="Лікар-терапевт",IF(AG786&lt;=Законод!$C$26,AF786,Законод!$C$26*'01_Доходи'!AF785),0)))</f>
        <v>0</v>
      </c>
      <c r="AG787" s="209">
        <f ca="1">SUM(AB787:AF787)</f>
        <v>0</v>
      </c>
      <c r="AH787" s="942"/>
      <c r="AI787" s="201"/>
      <c r="AJ787" s="945"/>
      <c r="AK787" s="960"/>
      <c r="AL787" s="960"/>
      <c r="AM787" s="348" t="s">
        <v>451</v>
      </c>
      <c r="AN787" s="210">
        <f ca="1">IF(B782="Лікар загальної практики - сімейний лікар",G787*Законод!$C$11+'01_Доходи'!H787*Законод!$D$11+'01_Доходи'!I787*Законод!$E$11+'01_Доходи'!J787*Законод!$F$11+'01_Доходи'!K787*Законод!$G$11,IF(B782="Лікар-педіатр",G787*Законод!$C$11+'01_Доходи'!H787*Законод!$D$11,IF(B782="Лікар-терапевт",'01_Доходи'!I787*Законод!$E$11+'01_Доходи'!J787*Законод!$F$11+'01_Доходи'!K787*Законод!$G$11,0)))</f>
        <v>0</v>
      </c>
      <c r="AO787" s="210">
        <f ca="1">IF(B782="Лікар загальної практики - сімейний лікар",N787*Законод!$C$11+'01_Доходи'!O787*Законод!$D$11+'01_Доходи'!P787*Законод!$E$11+'01_Доходи'!Q787*Законод!$F$11+'01_Доходи'!R787*Законод!$G$11,IF(B782="Лікар-педіатр",N787*Законод!$C$11+'01_Доходи'!O787*Законод!$D$11,IF(B782="Лікар-терапевт",'01_Доходи'!P787*Законод!$E$11+'01_Доходи'!Q787*Законод!$F$11+'01_Доходи'!R787*Законод!$G$11,0)))</f>
        <v>0</v>
      </c>
      <c r="AP787" s="210">
        <f ca="1">IF(B782="Лікар загальної практики - сімейний лікар",U787*Законод!$C$11+'01_Доходи'!V787*Законод!$D$11+'01_Доходи'!W787*Законод!$E$11+'01_Доходи'!X787*Законод!$F$11+'01_Доходи'!Y787*Законод!$G$11,IF(B782="Лікар-педіатр",U787*Законод!$C$11+'01_Доходи'!V787*Законод!$D$11,IF(B782="Лікар-терапевт",'01_Доходи'!W787*Законод!$E$11+'01_Доходи'!X787*Законод!$F$11+'01_Доходи'!Y787*Законод!$G$11,0)))</f>
        <v>0</v>
      </c>
      <c r="AQ787" s="210">
        <f ca="1">IF(B782="Лікар загальної практики - сімейний лікар",AB787*Законод!$C$11+'01_Доходи'!AC787*Законод!$D$11+'01_Доходи'!AD787*Законод!$E$11+'01_Доходи'!AE787*Законод!$F$11+'01_Доходи'!AF787*Законод!$G$11,IF(B782="Лікар-педіатр",AB787*Законод!$C$11+'01_Доходи'!AC787*Законод!$D$11,IF(B782="Лікар-терапевт",'01_Доходи'!AD787*Законод!$E$11+'01_Доходи'!AE787*Законод!$F$11+'01_Доходи'!AF787*Законод!$G$11,0)))</f>
        <v>0</v>
      </c>
      <c r="AR787" s="211">
        <f t="shared" ref="AR787:AR793" si="100">SUM(AN787:AQ787)</f>
        <v>0</v>
      </c>
    </row>
    <row r="788" spans="1:44" s="50" customFormat="1" ht="31.9" hidden="1" customHeight="1">
      <c r="A788" s="197"/>
      <c r="B788" s="951"/>
      <c r="C788" s="954"/>
      <c r="D788" s="957"/>
      <c r="E788" s="939"/>
      <c r="F788" s="238" t="str">
        <f ca="1">IF(B782="Лікар-педіатр",Законод!$E$17,IF(B782="Лікар загальної практики - сімейний лікар",Законод!$E$21,IF(B782="Лікар-терапевт",Законод!$E$25,"х")))</f>
        <v>х</v>
      </c>
      <c r="G788" s="935" t="s">
        <v>423</v>
      </c>
      <c r="H788" s="936"/>
      <c r="I788" s="936"/>
      <c r="J788" s="936"/>
      <c r="K788" s="937"/>
      <c r="L788" s="196">
        <f ca="1">IF($B$782="Лікар загальної практики - сімейний лікар",IF(L786&lt;Законод!$C$22,0,(IF(AND(L786&gt;=Законод!$E$22,L786&lt;=Законод!$E$23),L786-Законод!$C$22,IF('01_Доходи'!L786&gt;=Законод!$F$22,Законод!$E$24,0)))),IF($B$782="Лікар-педіатр",IF(L786&lt;Законод!$C$18,0,(IF(AND(L786&gt;=Законод!$E$18,L786&lt;=Законод!$E$19),L786-Законод!$C$18,IF('01_Доходи'!L786&gt;=Законод!$F$18,Законод!$E$20,0)))),IF($B$782="Лікар-терапевт",IF(L786&lt;Законод!$C$26,0,(IF(AND(L786&gt;=Законод!$E$26,L786&lt;=Законод!$E$27),L786-Законод!$C$26,IF('01_Доходи'!L786&gt;=Законод!$F$26,Законод!$E$28,0)))),0)))</f>
        <v>0</v>
      </c>
      <c r="M788" s="942"/>
      <c r="N788" s="935" t="s">
        <v>423</v>
      </c>
      <c r="O788" s="936"/>
      <c r="P788" s="936"/>
      <c r="Q788" s="936"/>
      <c r="R788" s="937"/>
      <c r="S788" s="196">
        <f ca="1">IF($B$782="Лікар загальної практики - сімейний лікар",IF(S786&lt;Законод!$C$22,0,(IF(AND(S786&gt;=Законод!$E$22,S786&lt;=Законод!$E$23),S786-Законод!$C$22,IF('01_Доходи'!S786&gt;=Законод!$F$22,Законод!$E$24,0)))),IF($B$782="Лікар-педіатр",IF(S786&lt;Законод!$C$18,0,(IF(AND(S786&gt;=Законод!$E$18,S786&lt;=Законод!$E$19),S786-Законод!$C$18,IF('01_Доходи'!S786&gt;=Законод!$F$18,Законод!$E$20,0)))),IF($B$782="Лікар-терапевт",IF(S786&lt;Законод!$C$26,0,(IF(AND(S786&gt;=Законод!$E$26,S786&lt;=Законод!$E$27),S786-Законод!$C$26,IF('01_Доходи'!S786&gt;=Законод!$F$26,Законод!$E$28,0)))),0)))</f>
        <v>0</v>
      </c>
      <c r="T788" s="942"/>
      <c r="U788" s="935" t="s">
        <v>423</v>
      </c>
      <c r="V788" s="936"/>
      <c r="W788" s="936"/>
      <c r="X788" s="936"/>
      <c r="Y788" s="937"/>
      <c r="Z788" s="196">
        <f ca="1">IF($B$782="Лікар загальної практики - сімейний лікар",IF(Z786&lt;Законод!$C$22,0,(IF(AND(Z786&gt;=Законод!$E$22,Z786&lt;=Законод!$E$23),Z786-Законод!$C$22,IF('01_Доходи'!Z786&gt;=Законод!$F$22,Законод!$E$24,0)))),IF($B$782="Лікар-педіатр",IF(Z786&lt;Законод!$C$18,0,(IF(AND(Z786&gt;=Законод!$E$18,Z786&lt;=Законод!$E$19),Z786-Законод!$C$18,IF('01_Доходи'!Z786&gt;=Законод!$F$18,Законод!$E$20,0)))),IF($B$782="Лікар-терапевт",IF(Z786&lt;Законод!$C$26,0,(IF(AND(Z786&gt;=Законод!$E$26,Z786&lt;=Законод!$E$27),Z786-Законод!$C$26,IF('01_Доходи'!Z786&gt;=Законод!$F$26,Законод!$E$28,0)))),0)))</f>
        <v>0</v>
      </c>
      <c r="AA788" s="942"/>
      <c r="AB788" s="935" t="s">
        <v>423</v>
      </c>
      <c r="AC788" s="936"/>
      <c r="AD788" s="936"/>
      <c r="AE788" s="936"/>
      <c r="AF788" s="937"/>
      <c r="AG788" s="196">
        <f ca="1">IF($B$782="Лікар загальної практики - сімейний лікар",IF(AG786&lt;Законод!$C$22,0,(IF(AND(AG786&gt;=Законод!$E$22,AG786&lt;=Законод!$E$23),AG786-Законод!$C$22,IF('01_Доходи'!AG786&gt;=Законод!$F$22,Законод!$E$24,0)))),IF($B$782="Лікар-педіатр",IF(AG786&lt;Законод!$C$18,0,(IF(AND(AG786&gt;=Законод!$E$18,AG786&lt;=Законод!$E$19),AG786-Законод!$C$18,IF('01_Доходи'!AG786&gt;=Законод!$F$18,Законод!$E$20,0)))),IF($B$782="Лікар-терапевт",IF(AG786&lt;Законод!$C$26,0,(IF(AND(AG786&gt;=Законод!$E$26,AG786&lt;=Законод!$E$27),AG786-Законод!$C$26,IF('01_Доходи'!AG786&gt;=Законод!$F$26,Законод!$E$28,0)))),0)))</f>
        <v>0</v>
      </c>
      <c r="AH788" s="942"/>
      <c r="AI788" s="201"/>
      <c r="AJ788" s="945"/>
      <c r="AK788" s="960"/>
      <c r="AL788" s="960"/>
      <c r="AM788" s="926" t="s">
        <v>452</v>
      </c>
      <c r="AN788" s="210">
        <f ca="1">IF(B782="Лікар загальної практики - сімейний лікар",L788*Законод!$C$9/4*Законод!$E$16,IF(B782="Лікар-педіатр",L788*Законод!$C$9/4*Законод!$E$16,IF(B782="Лікар-терапевт",L788*Законод!$C$9/4*Законод!$E$16,0)))</f>
        <v>0</v>
      </c>
      <c r="AO788" s="210">
        <f ca="1">IF(B782="Лікар загальної практики - сімейний лікар",S788*Законод!$C$9/4*Законод!$E$16,IF(B782="Лікар-педіатр",S788*Законод!$C$9/4*Законод!$E$16,IF(B782="Лікар-терапевт",S788*Законод!$C$9/4*Законод!$E$16,0)))</f>
        <v>0</v>
      </c>
      <c r="AP788" s="210">
        <f ca="1">IF(B782="Лікар загальної практики - сімейний лікар",Z788*Законод!$C$9/4*Законод!$E$16,IF(B782="Лікар-педіатр",Z788*Законод!$C$9/4*Законод!$E$16,IF(B782="Лікар-терапевт",Z788*Законод!$C$9/4*Законод!$E$16,0)))</f>
        <v>0</v>
      </c>
      <c r="AQ788" s="210">
        <f ca="1">IF(B782="Лікар загальної практики - сімейний лікар",AG788*Законод!$C$9/4*Законод!$E$16,IF(B782="Лікар-педіатр",AG788*Законод!$C$9/4*Законод!$E$16,IF(B782="Лікар-терапевт",AG788*Законод!$C$9/4*Законод!$E$16,0)))</f>
        <v>0</v>
      </c>
      <c r="AR788" s="211">
        <f t="shared" si="100"/>
        <v>0</v>
      </c>
    </row>
    <row r="789" spans="1:44" s="50" customFormat="1" ht="31.9" hidden="1" customHeight="1">
      <c r="A789" s="197"/>
      <c r="B789" s="951"/>
      <c r="C789" s="954"/>
      <c r="D789" s="957"/>
      <c r="E789" s="939"/>
      <c r="F789" s="238" t="str">
        <f ca="1">IF(B782="Лікар-педіатр",Законод!$F$17,IF(B782="Лікар загальної практики - сімейний лікар",Законод!$F$21,IF(B782="Лікар-терапевт",Законод!$F$25,"х")))</f>
        <v>х</v>
      </c>
      <c r="G789" s="935" t="s">
        <v>423</v>
      </c>
      <c r="H789" s="936"/>
      <c r="I789" s="936"/>
      <c r="J789" s="936"/>
      <c r="K789" s="937"/>
      <c r="L789" s="196">
        <f ca="1">IF($B$782="Лікар загальної практики - сімейний лікар",IF(L786&lt;Законод!$C$22,0,(IF(AND(L786&gt;=Законод!$F$22,L786&lt;=Законод!$F$23),L786-Законод!$E$23,IF('01_Доходи'!L786&gt;=Законод!$G$22,Законод!$F$24,0)))),IF($B$782="Лікар-педіатр",IF(L786&lt;Законод!$C$18,0,(IF(AND(L786&gt;=Законод!$F$18,L786&lt;=Законод!$F$19),L786-Законод!$E$19,IF('01_Доходи'!L786&gt;=Законод!$G$18,Законод!$F$20,0)))),IF($B$782="Лікар-терапевт",IF(L786&lt;Законод!$C$26,0,(IF(AND(L786&gt;=Законод!$F$26,L786&lt;=Законод!$F$27),L786-Законод!$E$27,IF('01_Доходи'!L786&gt;=Законод!$G$26,Законод!$F$28,0)))),0)))</f>
        <v>0</v>
      </c>
      <c r="M789" s="942"/>
      <c r="N789" s="935" t="s">
        <v>423</v>
      </c>
      <c r="O789" s="936"/>
      <c r="P789" s="936"/>
      <c r="Q789" s="936"/>
      <c r="R789" s="937"/>
      <c r="S789" s="196">
        <f ca="1">IF($B$782="Лікар загальної практики - сімейний лікар",IF(S786&lt;Законод!$C$22,0,(IF(AND(S786&gt;=Законод!$F$22,S786&lt;=Законод!$F$23),S786-Законод!$E$23,IF('01_Доходи'!S786&gt;=Законод!$G$22,Законод!$F$24,0)))),IF($B$782="Лікар-педіатр",IF(S786&lt;Законод!$C$18,0,(IF(AND(S786&gt;=Законод!$F$18,S786&lt;=Законод!$F$19),S786-Законод!$E$19,IF('01_Доходи'!S786&gt;=Законод!$G$18,Законод!$F$20,0)))),IF($B$782="Лікар-терапевт",IF(S786&lt;Законод!$C$26,0,(IF(AND(S786&gt;=Законод!$F$26,S786&lt;=Законод!$F$27),S786-Законод!$E$27,IF('01_Доходи'!S786&gt;=Законод!$G$26,Законод!$F$28,0)))),0)))</f>
        <v>0</v>
      </c>
      <c r="T789" s="942"/>
      <c r="U789" s="935" t="s">
        <v>423</v>
      </c>
      <c r="V789" s="936"/>
      <c r="W789" s="936"/>
      <c r="X789" s="936"/>
      <c r="Y789" s="937"/>
      <c r="Z789" s="196">
        <f ca="1">IF($B$782="Лікар загальної практики - сімейний лікар",IF(Z786&lt;Законод!$C$22,0,(IF(AND(Z786&gt;=Законод!$F$22,Z786&lt;=Законод!$F$23),Z786-Законод!$E$23,IF('01_Доходи'!Z786&gt;=Законод!$G$22,Законод!$F$24,0)))),IF($B$782="Лікар-педіатр",IF(Z786&lt;Законод!$C$18,0,(IF(AND(Z786&gt;=Законод!$F$18,Z786&lt;=Законод!$F$19),Z786-Законод!$E$19,IF('01_Доходи'!Z786&gt;=Законод!$G$18,Законод!$F$20,0)))),IF($B$782="Лікар-терапевт",IF(Z786&lt;Законод!$C$26,0,(IF(AND(Z786&gt;=Законод!$F$26,Z786&lt;=Законод!$F$27),Z786-Законод!$E$27,IF('01_Доходи'!Z786&gt;=Законод!$G$26,Законод!$F$28,0)))),0)))</f>
        <v>0</v>
      </c>
      <c r="AA789" s="942"/>
      <c r="AB789" s="935" t="s">
        <v>423</v>
      </c>
      <c r="AC789" s="936"/>
      <c r="AD789" s="936"/>
      <c r="AE789" s="936"/>
      <c r="AF789" s="937"/>
      <c r="AG789" s="196">
        <f ca="1">IF($B$782="Лікар загальної практики - сімейний лікар",IF(AG786&lt;Законод!$C$22,0,(IF(AND(AG786&gt;=Законод!$F$22,AG786&lt;=Законод!$F$23),AG786-Законод!$E$23,IF('01_Доходи'!AG786&gt;=Законод!$G$22,Законод!$F$24,0)))),IF($B$782="Лікар-педіатр",IF(AG786&lt;Законод!$C$18,0,(IF(AND(AG786&gt;=Законод!$F$18,AG786&lt;=Законод!$F$19),AG786-Законод!$E$19,IF('01_Доходи'!AG786&gt;=Законод!$G$18,Законод!$F$20,0)))),IF($B$782="Лікар-терапевт",IF(AG786&lt;Законод!$C$26,0,(IF(AND(AG786&gt;=Законод!$F$26,AG786&lt;=Законод!$F$27),AG786-Законод!$E$27,IF('01_Доходи'!AG786&gt;=Законод!$G$26,Законод!$F$28,0)))),0)))</f>
        <v>0</v>
      </c>
      <c r="AH789" s="942"/>
      <c r="AI789" s="201"/>
      <c r="AJ789" s="945"/>
      <c r="AK789" s="960"/>
      <c r="AL789" s="960"/>
      <c r="AM789" s="927"/>
      <c r="AN789" s="210">
        <f ca="1">IF(B782="Лікар загальної практики - сімейний лікар",L789*Законод!$C$9/4*Законод!$F$16,IF(B782="Лікар-педіатр",L789*Законод!$C$9/4*Законод!$F$16,IF(B782="Лікар-терапевт",L789*Законод!$C$9/4*Законод!$F$16,0)))</f>
        <v>0</v>
      </c>
      <c r="AO789" s="210">
        <f ca="1">IF(B782="Лікар загальної практики - сімейний лікар",S789*Законод!$C$9/4*Законод!$F$16,IF(B782="Лікар-педіатр",S789*Законод!$C$9/4*Законод!$F$16,IF(B782="Лікар-терапевт",S789*Законод!$C$9/4*Законод!$F$16,0)))</f>
        <v>0</v>
      </c>
      <c r="AP789" s="210">
        <f ca="1">IF(B782="Лікар загальної практики - сімейний лікар",Z789*Законод!$C$9/4*Законод!$F$16,IF(B782="Лікар-педіатр",Z789*Законод!$C$9/4*Законод!$F$16,IF(B782="Лікар-терапевт",Z789*Законод!$C$9/4*Законод!$F$16,0)))</f>
        <v>0</v>
      </c>
      <c r="AQ789" s="210">
        <f ca="1">IF(B782="Лікар загальної практики - сімейний лікар",AG789*Законод!$C$9/4*Законод!$F$16,IF(B782="Лікар-педіатр",AG789*Законод!$C$9/4*Законод!$F$16,IF(B782="Лікар-терапевт",AG789*Законод!$C$9/4*Законод!$F$16,0)))</f>
        <v>0</v>
      </c>
      <c r="AR789" s="211">
        <f t="shared" si="100"/>
        <v>0</v>
      </c>
    </row>
    <row r="790" spans="1:44" s="50" customFormat="1" ht="31.9" hidden="1" customHeight="1">
      <c r="A790" s="197"/>
      <c r="B790" s="951"/>
      <c r="C790" s="954"/>
      <c r="D790" s="957"/>
      <c r="E790" s="939"/>
      <c r="F790" s="238" t="str">
        <f ca="1">IF(B782="Лікар-педіатр",Законод!$G$17,IF(B782="Лікар загальної практики - сімейний лікар",Законод!$G$21,IF(B782="Лікар-терапевт",Законод!$G$25,"х")))</f>
        <v>х</v>
      </c>
      <c r="G790" s="935" t="s">
        <v>423</v>
      </c>
      <c r="H790" s="936"/>
      <c r="I790" s="936"/>
      <c r="J790" s="936"/>
      <c r="K790" s="937"/>
      <c r="L790" s="196">
        <f ca="1">IF($B$782="Лікар загальної практики - сімейний лікар",IF(L786&lt;Законод!$C$22,0,(IF(AND(L786&gt;=Законод!$G$22,L786&lt;=Законод!$G$23),L786-Законод!$F$23,IF('01_Доходи'!L786&gt;=Законод!$H$22,Законод!$G$24,0)))),IF($B$782="Лікар-педіатр",IF(L786&lt;Законод!$C$18,0,(IF(AND(L786&gt;=Законод!$G$18,L786&lt;=Законод!$G$19),L786-Законод!$F$19,IF('01_Доходи'!L786&gt;=Законод!$H$18,Законод!$G$20,0)))),IF($B$782="Лікар-терапевт",IF(L786&lt;Законод!$C$26,0,(IF(AND(L786&gt;=Законод!$G$26,L786&lt;=Законод!$G$27),L786-Законод!$F$27,IF('01_Доходи'!L786&gt;=Законод!$H$26,Законод!$G$28,0)))),0)))</f>
        <v>0</v>
      </c>
      <c r="M790" s="942"/>
      <c r="N790" s="935" t="s">
        <v>423</v>
      </c>
      <c r="O790" s="936"/>
      <c r="P790" s="936"/>
      <c r="Q790" s="936"/>
      <c r="R790" s="937"/>
      <c r="S790" s="196">
        <f ca="1">IF($B$782="Лікар загальної практики - сімейний лікар",IF(S786&lt;Законод!$C$22,0,(IF(AND(S786&gt;=Законод!$G$22,S786&lt;=Законод!$G$23),S786-Законод!$F$23,IF('01_Доходи'!S786&gt;=Законод!$H$22,Законод!$G$24,0)))),IF($B$782="Лікар-педіатр",IF(S786&lt;Законод!$C$18,0,(IF(AND(S786&gt;=Законод!$G$18,S786&lt;=Законод!$G$19),S786-Законод!$F$19,IF('01_Доходи'!S786&gt;=Законод!$H$18,Законод!$G$20,0)))),IF($B$782="Лікар-терапевт",IF(S786&lt;Законод!$C$26,0,(IF(AND(S786&gt;=Законод!$G$26,S786&lt;=Законод!$G$27),S786-Законод!$F$27,IF('01_Доходи'!S786&gt;=Законод!$H$26,Законод!$G$28,0)))),0)))</f>
        <v>0</v>
      </c>
      <c r="T790" s="942"/>
      <c r="U790" s="935" t="s">
        <v>423</v>
      </c>
      <c r="V790" s="936"/>
      <c r="W790" s="936"/>
      <c r="X790" s="936"/>
      <c r="Y790" s="937"/>
      <c r="Z790" s="196">
        <f ca="1">IF($B$782="Лікар загальної практики - сімейний лікар",IF(Z786&lt;Законод!$C$22,0,(IF(AND(Z786&gt;=Законод!$G$22,Z786&lt;=Законод!$G$23),Z786-Законод!$F$23,IF('01_Доходи'!Z786&gt;=Законод!$H$22,Законод!$G$24,0)))),IF($B$782="Лікар-педіатр",IF(Z786&lt;Законод!$C$18,0,(IF(AND(Z786&gt;=Законод!$G$18,Z786&lt;=Законод!$G$19),Z786-Законод!$F$19,IF('01_Доходи'!Z786&gt;=Законод!$H$18,Законод!$G$20,0)))),IF($B$782="Лікар-терапевт",IF(Z786&lt;Законод!$C$26,0,(IF(AND(Z786&gt;=Законод!$G$26,Z786&lt;=Законод!$G$27),Z786-Законод!$F$27,IF('01_Доходи'!Z786&gt;=Законод!$H$26,Законод!$G$28,0)))),0)))</f>
        <v>0</v>
      </c>
      <c r="AA790" s="942"/>
      <c r="AB790" s="935" t="s">
        <v>423</v>
      </c>
      <c r="AC790" s="936"/>
      <c r="AD790" s="936"/>
      <c r="AE790" s="936"/>
      <c r="AF790" s="937"/>
      <c r="AG790" s="196">
        <f ca="1">IF($B$782="Лікар загальної практики - сімейний лікар",IF(AG786&lt;Законод!$C$22,0,(IF(AND(AG786&gt;=Законод!$G$22,AG786&lt;=Законод!$G$23),AG786-Законод!$F$23,IF('01_Доходи'!AG786&gt;=Законод!$H$22,Законод!$G$24,0)))),IF($B$782="Лікар-педіатр",IF(AG786&lt;Законод!$C$18,0,(IF(AND(AG786&gt;=Законод!$G$18,AG786&lt;=Законод!$G$19),AG786-Законод!$F$19,IF('01_Доходи'!AG786&gt;=Законод!$H$18,Законод!$G$20,0)))),IF($B$782="Лікар-терапевт",IF(AG786&lt;Законод!$C$26,0,(IF(AND(AG786&gt;=Законод!$G$26,AG786&lt;=Законод!$G$27),AG786-Законод!$F$27,IF('01_Доходи'!AG786&gt;=Законод!$H$26,Законод!$G$28,0)))),0)))</f>
        <v>0</v>
      </c>
      <c r="AH790" s="942"/>
      <c r="AI790" s="201"/>
      <c r="AJ790" s="945"/>
      <c r="AK790" s="960"/>
      <c r="AL790" s="960"/>
      <c r="AM790" s="927"/>
      <c r="AN790" s="210">
        <f ca="1">IF(B782="Лікар загальної практики - сімейний лікар",L790*Законод!$C$9/4*Законод!$G$16,IF(B782="Лікар-педіатр",L790*Законод!$C$9/4*Законод!$G$16,IF(B782="Лікар-терапевт",L790*Законод!$C$9/4*Законод!$G$16,0)))</f>
        <v>0</v>
      </c>
      <c r="AO790" s="210">
        <f ca="1">IF(B782="Лікар загальної практики - сімейний лікар",S790*Законод!$C$9/4*Законод!$G$16,IF(B782="Лікар-педіатр",S790*Законод!$C$9/4*Законод!$G$16,IF(B782="Лікар-терапевт",S790*Законод!$C$9/4*Законод!$G$16,0)))</f>
        <v>0</v>
      </c>
      <c r="AP790" s="210">
        <f ca="1">IF(B782="Лікар загальної практики - сімейний лікар",Z790*Законод!$C$9/4*Законод!$G$16,IF(B782="Лікар-педіатр",Z790*Законод!$C$9/4*Законод!$G$16,IF(B782="Лікар-терапевт",Z790*Законод!$C$9/4*Законод!$G$16,0)))</f>
        <v>0</v>
      </c>
      <c r="AQ790" s="210">
        <f ca="1">IF(B782="Лікар загальної практики - сімейний лікар",AG790*Законод!$C$9/4*Законод!$G$16,IF(B782="Лікар-педіатр",AG790*Законод!$C$9/4*Законод!$G$16,IF(B782="Лікар-терапевт",AG790*Законод!$C$9/4*Законод!$G$16,0)))</f>
        <v>0</v>
      </c>
      <c r="AR790" s="211">
        <f t="shared" si="100"/>
        <v>0</v>
      </c>
    </row>
    <row r="791" spans="1:44" s="50" customFormat="1" ht="31.9" hidden="1" customHeight="1">
      <c r="A791" s="197"/>
      <c r="B791" s="951"/>
      <c r="C791" s="954"/>
      <c r="D791" s="957"/>
      <c r="E791" s="939"/>
      <c r="F791" s="238" t="str">
        <f ca="1">IF(B782="Лікар-педіатр",Законод!$H$17,IF(B782="Лікар загальної практики - сімейний лікар",Законод!$H$21,IF(B782="Лікар-терапевт",Законод!$H$25,"х")))</f>
        <v>х</v>
      </c>
      <c r="G791" s="935" t="s">
        <v>423</v>
      </c>
      <c r="H791" s="936"/>
      <c r="I791" s="936"/>
      <c r="J791" s="936"/>
      <c r="K791" s="937"/>
      <c r="L791" s="196">
        <f ca="1">IF($B$782="Лікар загальної практики - сімейний лікар",IF(L786&lt;Законод!$C$22,0,(IF(AND(L786&gt;=Законод!$H$22,L786&lt;=Законод!$H$23),L786-Законод!$G$23,IF('01_Доходи'!L786&gt;=Законод!$I$22,Законод!$H$24,0)))),IF($B$782="Лікар-педіатр",IF(L786&lt;Законод!$C$18,0,(IF(AND(L786&gt;=Законод!$H$18,L786&lt;=Законод!$H$19),L786-Законод!$G$19,IF('01_Доходи'!L786&gt;=Законод!$I$18,Законод!$H$20,0)))),IF($B$782="Лікар-терапевт",IF(L786&lt;Законод!$C$26,0,(IF(AND(L786&gt;=Законод!$H$26,L786&lt;=Законод!$H$27),L786-Законод!$G$27,IF(L786&gt;=Законод!$I$26,Законод!$H$28,0)))),0)))</f>
        <v>0</v>
      </c>
      <c r="M791" s="942"/>
      <c r="N791" s="935" t="s">
        <v>423</v>
      </c>
      <c r="O791" s="936"/>
      <c r="P791" s="936"/>
      <c r="Q791" s="936"/>
      <c r="R791" s="937"/>
      <c r="S791" s="196">
        <f ca="1">IF($B$782="Лікар загальної практики - сімейний лікар",IF(S786&lt;Законод!$C$22,0,(IF(AND(S786&gt;=Законод!$H$22,S786&lt;=Законод!$H$23),S786-Законод!$G$23,IF('01_Доходи'!S786&gt;=Законод!$I$22,Законод!$H$24,0)))),IF($B$782="Лікар-педіатр",IF(S786&lt;Законод!$C$18,0,(IF(AND(S786&gt;=Законод!$H$18,S786&lt;=Законод!$H$19),S786-Законод!$G$19,IF('01_Доходи'!S786&gt;=Законод!$I$18,Законод!$H$20,0)))),IF($B$782="Лікар-терапевт",IF(S786&lt;Законод!$C$26,0,(IF(AND(S786&gt;=Законод!$H$26,S786&lt;=Законод!$H$27),S786-Законод!$G$27,IF(S786&gt;=Законод!$I$26,Законод!$H$28,0)))),0)))</f>
        <v>0</v>
      </c>
      <c r="T791" s="942"/>
      <c r="U791" s="935" t="s">
        <v>423</v>
      </c>
      <c r="V791" s="936"/>
      <c r="W791" s="936"/>
      <c r="X791" s="936"/>
      <c r="Y791" s="937"/>
      <c r="Z791" s="196">
        <f ca="1">IF($B$782="Лікар загальної практики - сімейний лікар",IF(Z786&lt;Законод!$C$22,0,(IF(AND(Z786&gt;=Законод!$H$22,Z786&lt;=Законод!$H$23),Z786-Законод!$G$23,IF('01_Доходи'!Z786&gt;=Законод!$I$22,Законод!$H$24,0)))),IF($B$782="Лікар-педіатр",IF(Z786&lt;Законод!$C$18,0,(IF(AND(Z786&gt;=Законод!$H$18,Z786&lt;=Законод!$H$19),Z786-Законод!$G$19,IF('01_Доходи'!Z786&gt;=Законод!$I$18,Законод!$H$20,0)))),IF($B$782="Лікар-терапевт",IF(Z786&lt;Законод!$C$26,0,(IF(AND(Z786&gt;=Законод!$H$26,Z786&lt;=Законод!$H$27),Z786-Законод!$G$27,IF(Z786&gt;=Законод!$I$26,Законод!$H$28,0)))),0)))</f>
        <v>0</v>
      </c>
      <c r="AA791" s="942"/>
      <c r="AB791" s="935" t="s">
        <v>423</v>
      </c>
      <c r="AC791" s="936"/>
      <c r="AD791" s="936"/>
      <c r="AE791" s="936"/>
      <c r="AF791" s="937"/>
      <c r="AG791" s="196">
        <f ca="1">IF($B$782="Лікар загальної практики - сімейний лікар",IF(AG786&lt;Законод!$C$22,0,(IF(AND(AG786&gt;=Законод!$H$22,AG786&lt;=Законод!$H$23),AG786-Законод!$G$23,IF('01_Доходи'!AG786&gt;=Законод!$I$22,Законод!$H$24,0)))),IF($B$782="Лікар-педіатр",IF(AG786&lt;Законод!$C$18,0,(IF(AND(AG786&gt;=Законод!$H$18,AG786&lt;=Законод!$H$19),AG786-Законод!$G$19,IF('01_Доходи'!AG786&gt;=Законод!$I$18,Законод!$H$20,0)))),IF($B$782="Лікар-терапевт",IF(AG786&lt;Законод!$C$26,0,(IF(AND(AG786&gt;=Законод!$H$26,AG786&lt;=Законод!$H$27),AG786-Законод!$G$27,IF(AG786&gt;=Законод!$I$26,Законод!$H$28,0)))),0)))</f>
        <v>0</v>
      </c>
      <c r="AH791" s="942"/>
      <c r="AI791" s="201"/>
      <c r="AJ791" s="945"/>
      <c r="AK791" s="960"/>
      <c r="AL791" s="960"/>
      <c r="AM791" s="927"/>
      <c r="AN791" s="210">
        <f ca="1">IF(B782="Лікар загальної практики - сімейний лікар",L791*Законод!$C$9/4*Законод!$H$16,IF(B782="Лікар-педіатр",L791*Законод!$C$9/4*Законод!$H$16,IF(B782="Лікар-терапевт",L791*Законод!$C$9/4*Законод!$H$16,0)))</f>
        <v>0</v>
      </c>
      <c r="AO791" s="210">
        <f ca="1">IF(B782="Лікар загальної практики - сімейний лікар",S791*Законод!$C$9/4*Законод!$H$16,IF(B782="Лікар-педіатр",S791*Законод!$C$9/4*Законод!$H$16,IF(B782="Лікар-терапевт",S791*Законод!$C$9/4*Законод!$H$16,0)))</f>
        <v>0</v>
      </c>
      <c r="AP791" s="210">
        <f ca="1">IF(B782="Лікар загальної практики - сімейний лікар",Z791*Законод!$C$9/4*Законод!$H$16,IF(B782="Лікар-педіатр",Z791*Законод!$C$9/4*Законод!$H$16,IF(B782="Лікар-терапевт",Z791*Законод!$C$9/4*Законод!$H$16,0)))</f>
        <v>0</v>
      </c>
      <c r="AQ791" s="210">
        <f ca="1">IF(B782="Лікар загальної практики - сімейний лікар",AG791*Законод!$C$9/4*Законод!$H$16,IF(B782="Лікар-педіатр",AG791*Законод!$C$9/4*Законод!$H$16,IF(B782="Лікар-терапевт",AG791*Законод!$C$9/4*Законод!$H$16,0)))</f>
        <v>0</v>
      </c>
      <c r="AR791" s="211">
        <f t="shared" si="100"/>
        <v>0</v>
      </c>
    </row>
    <row r="792" spans="1:44" s="50" customFormat="1" ht="31.9" hidden="1" customHeight="1">
      <c r="A792" s="197"/>
      <c r="B792" s="951"/>
      <c r="C792" s="954"/>
      <c r="D792" s="957"/>
      <c r="E792" s="939"/>
      <c r="F792" s="238" t="str">
        <f ca="1">IF(B782="Лікар-педіатр",Законод!$I$17,IF(B782="Лікар загальної практики - сімейний лікар",Законод!$I$21,IF(B782="Лікар-терапевт",Законод!$I$25,"х")))</f>
        <v>х</v>
      </c>
      <c r="G792" s="935" t="s">
        <v>423</v>
      </c>
      <c r="H792" s="936"/>
      <c r="I792" s="936"/>
      <c r="J792" s="936"/>
      <c r="K792" s="937"/>
      <c r="L792" s="196">
        <f ca="1">IF($B$782="Лікар загальної практики - сімейний лікар",IF(L786&lt;Законод!$C$22,0,(IF(AND(L786&gt;=Законод!$I$22,L786&lt;=Законод!$I$23),L786-Законод!$H$23,IF('01_Доходи'!L786&gt;=Законод!$I$22,Законод!$I$24,0)))),IF($B$782="Лікар-педіатр",IF(L786&lt;Законод!$C$18,0,(IF(AND(L786&gt;=Законод!$I$18,L786&lt;=Законод!$I$19),L786-Законод!$H$19,IF('01_Доходи'!L786&gt;=Законод!$I$18,Законод!$H$20,0)))),IF($B$782="Лікар-терапевт",IF(L786&lt;Законод!$C$26,0,(IF(AND(L786&gt;=Законод!$I$26,L786&lt;=Законод!$I$27),L786-Законод!$H$27,IF('01_Доходи'!L786&gt;=Законод!$I$26,Законод!$H$28,0)))),0)))</f>
        <v>0</v>
      </c>
      <c r="M792" s="942"/>
      <c r="N792" s="935" t="s">
        <v>423</v>
      </c>
      <c r="O792" s="936"/>
      <c r="P792" s="936"/>
      <c r="Q792" s="936"/>
      <c r="R792" s="937"/>
      <c r="S792" s="196">
        <f ca="1">IF($B$782="Лікар загальної практики - сімейний лікар",IF(S786&lt;Законод!$C$22,0,(IF(AND(S786&gt;=Законод!$I$22,S786&lt;=Законод!$I$23),S786-Законод!$H$23,IF('01_Доходи'!S786&gt;=Законод!$I$22,Законод!$I$24,0)))),IF($B$782="Лікар-педіатр",IF(S786&lt;Законод!$C$18,0,(IF(AND(S786&gt;=Законод!$I$18,S786&lt;=Законод!$I$19),S786-Законод!$H$19,IF('01_Доходи'!S786&gt;=Законод!$I$18,Законод!$H$20,0)))),IF($B$782="Лікар-терапевт",IF(S786&lt;Законод!$C$26,0,(IF(AND(S786&gt;=Законод!$I$26,S786&lt;=Законод!$I$27),S786-Законод!$H$27,IF('01_Доходи'!S786&gt;=Законод!$I$26,Законод!$H$28,0)))),0)))</f>
        <v>0</v>
      </c>
      <c r="T792" s="942"/>
      <c r="U792" s="935" t="s">
        <v>423</v>
      </c>
      <c r="V792" s="936"/>
      <c r="W792" s="936"/>
      <c r="X792" s="936"/>
      <c r="Y792" s="937"/>
      <c r="Z792" s="196">
        <f ca="1">IF($B$782="Лікар загальної практики - сімейний лікар",IF(Z786&lt;Законод!$C$22,0,(IF(AND(Z786&gt;=Законод!$I$22,Z786&lt;=Законод!$I$23),Z786-Законод!$H$23,IF('01_Доходи'!Z786&gt;=Законод!$I$22,Законод!$I$24,0)))),IF($B$782="Лікар-педіатр",IF(Z786&lt;Законод!$C$18,0,(IF(AND(Z786&gt;=Законод!$I$18,Z786&lt;=Законод!$I$19),Z786-Законод!$H$19,IF('01_Доходи'!Z786&gt;=Законод!$I$18,Законод!$H$20,0)))),IF($B$782="Лікар-терапевт",IF(Z786&lt;Законод!$C$26,0,(IF(AND(Z786&gt;=Законод!$I$26,Z786&lt;=Законод!$I$27),Z786-Законод!$H$27,IF('01_Доходи'!Z786&gt;=Законод!$I$26,Законод!$H$28,0)))),0)))</f>
        <v>0</v>
      </c>
      <c r="AA792" s="942"/>
      <c r="AB792" s="935" t="s">
        <v>423</v>
      </c>
      <c r="AC792" s="936"/>
      <c r="AD792" s="936"/>
      <c r="AE792" s="936"/>
      <c r="AF792" s="937"/>
      <c r="AG792" s="196">
        <f ca="1">IF($B$782="Лікар загальної практики - сімейний лікар",IF(AG786&lt;Законод!$C$22,0,(IF(AND(AG786&gt;=Законод!$I$22,AG786&lt;=Законод!$I$23),AG786-Законод!$H$23,IF('01_Доходи'!AG786&gt;=Законод!$I$22,Законод!$I$24,0)))),IF($B$782="Лікар-педіатр",IF(AG786&lt;Законод!$C$18,0,(IF(AND(AG786&gt;=Законод!$I$18,AG786&lt;=Законод!$I$19),AG786-Законод!$H$19,IF('01_Доходи'!AG786&gt;=Законод!$I$18,Законод!$H$20,0)))),IF($B$782="Лікар-терапевт",IF(AG786&lt;Законод!$C$26,0,(IF(AND(AG786&gt;=Законод!$I$26,AG786&lt;=Законод!$I$27),AG786-Законод!$H$27,IF('01_Доходи'!AG786&gt;=Законод!$I$26,Законод!$H$28,0)))),0)))</f>
        <v>0</v>
      </c>
      <c r="AH792" s="942"/>
      <c r="AI792" s="201"/>
      <c r="AJ792" s="945"/>
      <c r="AK792" s="960"/>
      <c r="AL792" s="960"/>
      <c r="AM792" s="927"/>
      <c r="AN792" s="210">
        <f ca="1">IF(B782="Лікар загальної практики - сімейний лікар",L792*Законод!$C$9/4*Законод!$I$16,IF(B782="Лікар-педіатр",L792*Законод!$C$9/4*Законод!$I$16,IF(B782="Лікар-терапевт",L792*Законод!$C$9/4*Законод!$I$16,0)))</f>
        <v>0</v>
      </c>
      <c r="AO792" s="210">
        <f ca="1">IF(B782="Лікар загальної практики - сімейний лікар",S792*Законод!$C$9/4*Законод!$I$16,IF(B782="Лікар-педіатр",S792*Законод!$C$9/4*Законод!$I$16,IF(B782="Лікар-терапевт",S792*Законод!$C$9/4*Законод!$I$16,0)))</f>
        <v>0</v>
      </c>
      <c r="AP792" s="210">
        <f ca="1">IF(B782="Лікар загальної практики - сімейний лікар",Z792*Законод!$C$9/4*Законод!$I$16,IF(B782="Лікар-педіатр",Z792*Законод!$C$9/4*Законод!$I$16,IF(B782="Лікар-терапевт",Z792*Законод!$C$9/4*Законод!$I$16,0)))</f>
        <v>0</v>
      </c>
      <c r="AQ792" s="210">
        <f ca="1">IF(B782="Лікар загальної практики - сімейний лікар",AG792*Законод!$C$9/4*Законод!$I$16,IF(B782="Лікар-педіатр",AG792*Законод!$C$9/4*Законод!$I$16,IF(B782="Лікар-терапевт",AG792*Законод!$C$9/4*Законод!$I$16,0)))</f>
        <v>0</v>
      </c>
      <c r="AR792" s="211">
        <f t="shared" si="100"/>
        <v>0</v>
      </c>
    </row>
    <row r="793" spans="1:44" s="218" customFormat="1" ht="31.9" hidden="1" customHeight="1" thickBot="1">
      <c r="A793" s="213"/>
      <c r="B793" s="952"/>
      <c r="C793" s="955"/>
      <c r="D793" s="958"/>
      <c r="E793" s="940"/>
      <c r="F793" s="239" t="str">
        <f ca="1">IF(B782="Лікар-педіатр",Законод!$J$17,IF(B782="Лікар загальної практики - сімейний лікар",Законод!$J$21,IF(B782="Лікар-терапевт",Законод!$J$25,"х")))</f>
        <v>х</v>
      </c>
      <c r="G793" s="932" t="s">
        <v>423</v>
      </c>
      <c r="H793" s="933"/>
      <c r="I793" s="933"/>
      <c r="J793" s="933"/>
      <c r="K793" s="934"/>
      <c r="L793" s="196">
        <f ca="1">IF($B$782="Лікар загальної практики - сімейний лікар",IF(L786&gt;=Законод!$J$22,'01_Доходи'!L786-('01_Доходи'!L787+'01_Доходи'!L788+'01_Доходи'!L789+'01_Доходи'!L790+'01_Доходи'!L791+'01_Доходи'!L792),0),IF($B$782="Лікар-педіатр",IF(L786&gt;=Законод!$J$18,'01_Доходи'!L786-('01_Доходи'!L787+'01_Доходи'!L788+'01_Доходи'!L789+'01_Доходи'!L790+'01_Доходи'!L791+'01_Доходи'!L792),0),IF($B$782="Лікар-терапевт",IF('01_Доходи'!L786&gt;=Законод!$J$26,L786-Законод!$I$27,0),0)))</f>
        <v>0</v>
      </c>
      <c r="M793" s="943"/>
      <c r="N793" s="932" t="s">
        <v>423</v>
      </c>
      <c r="O793" s="933"/>
      <c r="P793" s="933"/>
      <c r="Q793" s="933"/>
      <c r="R793" s="934"/>
      <c r="S793" s="196">
        <f ca="1">IF($B$782="Лікар загальної практики - сімейний лікар",IF(S786&gt;=Законод!$J$22,'01_Доходи'!S786-('01_Доходи'!S787+'01_Доходи'!S788+'01_Доходи'!S789+'01_Доходи'!S790+'01_Доходи'!S791+'01_Доходи'!S792),0),IF($B$782="Лікар-педіатр",IF(S786&gt;=Законод!$J$18,'01_Доходи'!S786-('01_Доходи'!S787+'01_Доходи'!S788+'01_Доходи'!S789+'01_Доходи'!S790+'01_Доходи'!S791+'01_Доходи'!S792),0),IF($B$782="Лікар-терапевт",IF('01_Доходи'!S786&gt;=Законод!$J$26,S786-Законод!$I$27,0),0)))</f>
        <v>0</v>
      </c>
      <c r="T793" s="943"/>
      <c r="U793" s="932" t="s">
        <v>423</v>
      </c>
      <c r="V793" s="933"/>
      <c r="W793" s="933"/>
      <c r="X793" s="933"/>
      <c r="Y793" s="934"/>
      <c r="Z793" s="196">
        <f ca="1">IF($B$782="Лікар загальної практики - сімейний лікар",IF(Z786&gt;=Законод!$J$22,'01_Доходи'!Z786-('01_Доходи'!Z787+'01_Доходи'!Z788+'01_Доходи'!Z789+'01_Доходи'!Z790+'01_Доходи'!Z791+'01_Доходи'!Z792),0),IF($B$782="Лікар-педіатр",IF(Z786&gt;=Законод!$J$18,'01_Доходи'!Z786-('01_Доходи'!Z787+'01_Доходи'!Z788+'01_Доходи'!Z789+'01_Доходи'!Z790+'01_Доходи'!Z791+'01_Доходи'!Z792),0),IF($B$782="Лікар-терапевт",IF('01_Доходи'!Z786&gt;=Законод!$J$26,Z786-Законод!$I$27,0),0)))</f>
        <v>0</v>
      </c>
      <c r="AA793" s="943"/>
      <c r="AB793" s="932" t="s">
        <v>423</v>
      </c>
      <c r="AC793" s="933"/>
      <c r="AD793" s="933"/>
      <c r="AE793" s="933"/>
      <c r="AF793" s="934"/>
      <c r="AG793" s="196">
        <f ca="1">IF($B$782="Лікар загальної практики - сімейний лікар",IF(AG786&gt;=Законод!$J$22,'01_Доходи'!AG786-('01_Доходи'!AG787+'01_Доходи'!AG788+'01_Доходи'!AG789+'01_Доходи'!AG790+'01_Доходи'!AG791+'01_Доходи'!AG792),0),IF($B$782="Лікар-педіатр",IF(AG786&gt;=Законод!$J$18,'01_Доходи'!AG786-('01_Доходи'!AG787+'01_Доходи'!AG788+'01_Доходи'!AG789+'01_Доходи'!AG790+'01_Доходи'!AG791+'01_Доходи'!AG792),0),IF($B$782="Лікар-терапевт",IF('01_Доходи'!AG786&gt;=Законод!$J$26,AG786-Законод!$I$27,0),0)))</f>
        <v>0</v>
      </c>
      <c r="AH793" s="943"/>
      <c r="AI793" s="215"/>
      <c r="AJ793" s="946"/>
      <c r="AK793" s="961"/>
      <c r="AL793" s="961"/>
      <c r="AM793" s="928"/>
      <c r="AN793" s="216">
        <f ca="1">IF(B782="Лікар загальної практики - сімейний лікар",L793*Законод!$C$9/4*Законод!$J$16,IF(B782="Лікар-педіатр",L793*Законод!$C$9/4*Законод!$J$16,IF(B782="Лікар-терапевт",L793*Законод!$C$9/4*Законод!$J$16,0)))</f>
        <v>0</v>
      </c>
      <c r="AO793" s="216">
        <f ca="1">IF(B782="Лікар загальної практики - сімейний лікар",S793*Законод!$C$9/4*Законод!$J$16,IF(B782="Лікар-педіатр",S793*Законод!$C$9/4*Законод!$J$16,IF(B782="Лікар-терапевт",S793*Законод!$C$9/4*Законод!$J$16,0)))</f>
        <v>0</v>
      </c>
      <c r="AP793" s="216">
        <f ca="1">IF(B782="Лікар загальної практики - сімейний лікар",S793*Законод!$C$9/4*Законод!$J$16,IF(B782="Лікар-педіатр",S793*Законод!$C$9/4*Законод!$J$16,IF(B782="Лікар-терапевт",S793*Законод!$C$9/4*Законод!$J$16,0)))</f>
        <v>0</v>
      </c>
      <c r="AQ793" s="216">
        <f ca="1">IF(B782="Лікар загальної практики - сімейний лікар",AG793*Законод!$C$9/4*Законод!$J$16,IF(B782="Лікар-педіатр",AG793*Законод!$C$9/4*Законод!$J$16,IF(B782="Лікар-терапевт",AG793*Законод!$C$9/4*Законод!$J$16,0)))</f>
        <v>0</v>
      </c>
      <c r="AR793" s="217">
        <f t="shared" si="100"/>
        <v>0</v>
      </c>
    </row>
    <row r="794" spans="1:44" s="247" customFormat="1" ht="23.45" hidden="1" customHeight="1" thickBot="1">
      <c r="A794" s="243"/>
      <c r="B794" s="244"/>
      <c r="C794" s="244"/>
      <c r="D794" s="244"/>
      <c r="E794" s="244"/>
      <c r="F794" s="245"/>
      <c r="G794" s="246"/>
      <c r="H794" s="246"/>
      <c r="L794" s="248"/>
      <c r="S794" s="248"/>
      <c r="Z794" s="248"/>
      <c r="AG794" s="248"/>
      <c r="AM794" s="249"/>
      <c r="AR794" s="250"/>
    </row>
    <row r="795" spans="1:44" s="191" customFormat="1" ht="24.6" hidden="1" customHeight="1">
      <c r="A795" s="194">
        <f>A782+1</f>
        <v>59</v>
      </c>
      <c r="B795" s="950"/>
      <c r="C795" s="953"/>
      <c r="D795" s="956"/>
      <c r="E795" s="938"/>
      <c r="F795" s="234" t="s">
        <v>659</v>
      </c>
      <c r="G795" s="196">
        <f>IF($B$795="Лікар-педіатр",G798*L795,IF($B$795="Лікар-терапевт","х",IF($B$795="Лікар загальної практики - сімейний лікар",G798*L795,0)))</f>
        <v>0</v>
      </c>
      <c r="H795" s="196">
        <f>IF($B$795="Лікар-педіатр",H798*L795,IF($B$795="Лікар-терапевт","х",IF($B$795="Лікар загальної практики - сімейний лікар",H798*L795,0)))</f>
        <v>0</v>
      </c>
      <c r="I795" s="196">
        <f>IF($B$795="Лікар-педіатр","x",IF($B$795="Лікар-терапевт",I798*L795,IF($B$795="Лікар загальної практики - сімейний лікар",I798*L795,0)))</f>
        <v>0</v>
      </c>
      <c r="J795" s="196">
        <f>IF($B$795="Лікар-педіатр","x",IF($B$795="Лікар-терапевт",J798*L795,IF($B$795="Лікар загальної практики - сімейний лікар",J798*L795,0)))</f>
        <v>0</v>
      </c>
      <c r="K795" s="196">
        <f>IF($B$795="Лікар-педіатр","x",IF($B$795="Лікар-терапевт",K798*L795,IF($B$795="Лікар загальної практики - сімейний лікар",K798*L795,0)))</f>
        <v>0</v>
      </c>
      <c r="L795" s="557"/>
      <c r="M795" s="941"/>
      <c r="N795" s="196">
        <f>IF($B$795="Лікар-педіатр",N798*S795,IF($B$795="Лікар-терапевт","х",IF($B$795="Лікар загальної практики - сімейний лікар",N798*S795,0)))</f>
        <v>0</v>
      </c>
      <c r="O795" s="196">
        <f>IF($B$795="Лікар-педіатр",O798*S795,IF($B$795="Лікар-терапевт","х",IF($B$795="Лікар загальної практики - сімейний лікар",O798*S795,0)))</f>
        <v>0</v>
      </c>
      <c r="P795" s="196">
        <f>IF($B$795="Лікар-педіатр","x",IF($B$795="Лікар-терапевт",P798*S795,IF($B$795="Лікар загальної практики - сімейний лікар",P798*S795,0)))</f>
        <v>0</v>
      </c>
      <c r="Q795" s="196">
        <f>IF($B$795="Лікар-педіатр","x",IF($B$795="Лікар-терапевт",Q798*S795,IF($B$795="Лікар загальної практики - сімейний лікар",Q798*S795,0)))</f>
        <v>0</v>
      </c>
      <c r="R795" s="196">
        <f>IF($B$795="Лікар-педіатр","x",IF($B$795="Лікар-терапевт",R798*S795,IF($B$795="Лікар загальної практики - сімейний лікар",R798*S795,0)))</f>
        <v>0</v>
      </c>
      <c r="S795" s="557"/>
      <c r="T795" s="941"/>
      <c r="U795" s="196">
        <f>IF($B$795="Лікар-педіатр",U798*Z795,IF($B$795="Лікар-терапевт","х",IF($B$795="Лікар загальної практики - сімейний лікар",U798*Z795,0)))</f>
        <v>0</v>
      </c>
      <c r="V795" s="196">
        <f>IF($B$795="Лікар-педіатр",V798*Z795,IF($B$795="Лікар-терапевт","х",IF($B$795="Лікар загальної практики - сімейний лікар",V798*Z795,0)))</f>
        <v>0</v>
      </c>
      <c r="W795" s="196">
        <f>IF($B$795="Лікар-педіатр","x",IF($B$795="Лікар-терапевт",W798*Z795,IF($B$795="Лікар загальної практики - сімейний лікар",W798*Z795,0)))</f>
        <v>0</v>
      </c>
      <c r="X795" s="196">
        <f>IF($B$795="Лікар-педіатр","x",IF($B$795="Лікар-терапевт",X798*Z795,IF($B$795="Лікар загальної практики - сімейний лікар",X798*Z795,0)))</f>
        <v>0</v>
      </c>
      <c r="Y795" s="196">
        <f>IF($B$795="Лікар-педіатр","x",IF($B$795="Лікар-терапевт",Y798*Z795,IF($B$795="Лікар загальної практики - сімейний лікар",Y798*Z795,0)))</f>
        <v>0</v>
      </c>
      <c r="Z795" s="557"/>
      <c r="AA795" s="941"/>
      <c r="AB795" s="196">
        <f>IF($B$795="Лікар-педіатр",AB798*AG795,IF($B$795="Лікар-терапевт","х",IF($B$795="Лікар загальної практики - сімейний лікар",AB798*AG795,0)))</f>
        <v>0</v>
      </c>
      <c r="AC795" s="196">
        <f>IF($B$795="Лікар-педіатр",AC798*AG795,IF($B$795="Лікар-терапевт","х",IF($B$795="Лікар загальної практики - сімейний лікар",AC798*AG795,0)))</f>
        <v>0</v>
      </c>
      <c r="AD795" s="196">
        <f>IF($B$795="Лікар-педіатр","x",IF($B$795="Лікар-терапевт",AD798*AG795,IF($B$795="Лікар загальної практики - сімейний лікар",AD798*AG795,0)))</f>
        <v>0</v>
      </c>
      <c r="AE795" s="196">
        <f>IF($B$795="Лікар-педіатр","x",IF($B$795="Лікар-терапевт",AE798*AG795,IF($B$795="Лікар загальної практики - сімейний лікар",AE798*AG795,0)))</f>
        <v>0</v>
      </c>
      <c r="AF795" s="196">
        <f>IF($B$795="Лікар-педіатр","x",IF($B$795="Лікар-терапевт",AF798*AG795,IF($B$795="Лікар загальної практики - сімейний лікар",AF798*AG795,0)))</f>
        <v>0</v>
      </c>
      <c r="AG795" s="557"/>
      <c r="AH795" s="941"/>
      <c r="AI795" s="540">
        <f>A795</f>
        <v>59</v>
      </c>
      <c r="AJ795" s="944">
        <f>B795</f>
        <v>0</v>
      </c>
      <c r="AK795" s="959">
        <f>C795</f>
        <v>0</v>
      </c>
      <c r="AL795" s="959">
        <f>D795</f>
        <v>0</v>
      </c>
      <c r="AM795" s="929" t="s">
        <v>79</v>
      </c>
      <c r="AN795" s="947">
        <f>SUM(AN800:AN806)</f>
        <v>0</v>
      </c>
      <c r="AO795" s="947">
        <f>SUM(AO800:AO806)</f>
        <v>0</v>
      </c>
      <c r="AP795" s="947">
        <f>SUM(AP800:AP806)</f>
        <v>0</v>
      </c>
      <c r="AQ795" s="947">
        <f>SUM(AQ800:AQ806)</f>
        <v>0</v>
      </c>
      <c r="AR795" s="962">
        <f>SUM(AN795:AQ799)</f>
        <v>0</v>
      </c>
    </row>
    <row r="796" spans="1:44" s="50" customFormat="1" ht="28.15" hidden="1" customHeight="1">
      <c r="A796" s="197"/>
      <c r="B796" s="951"/>
      <c r="C796" s="954"/>
      <c r="D796" s="957"/>
      <c r="E796" s="939"/>
      <c r="F796" s="234" t="s">
        <v>660</v>
      </c>
      <c r="G796" s="196">
        <f>IF($B$795="Лікар-педіатр",G798*L796,IF($B$795="Лікар-терапевт","х",IF($B$795="Лікар загальної практики - сімейний лікар",G798*L796,0)))</f>
        <v>0</v>
      </c>
      <c r="H796" s="196">
        <f>IF($B$795="Лікар-педіатр",H798*L796,IF($B$795="Лікар-терапевт","х",IF($B$795="Лікар загальної практики - сімейний лікар",H798*L796,0)))</f>
        <v>0</v>
      </c>
      <c r="I796" s="196">
        <f>IF($B$795="Лікар-педіатр","x",IF($B$795="Лікар-терапевт",I798*L796,IF($B$795="Лікар загальної практики - сімейний лікар",I798*L796,0)))</f>
        <v>0</v>
      </c>
      <c r="J796" s="196">
        <f>IF($B$795="Лікар-педіатр","x",IF($B$795="Лікар-терапевт",J798*L796,IF($B$795="Лікар загальної практики - сімейний лікар",J798*L796,0)))</f>
        <v>0</v>
      </c>
      <c r="K796" s="196">
        <f>IF($B$795="Лікар-педіатр","x",IF($B$795="Лікар-терапевт",K798*L796,IF($B$795="Лікар загальної практики - сімейний лікар",K798*L796,0)))</f>
        <v>0</v>
      </c>
      <c r="L796" s="557"/>
      <c r="M796" s="942"/>
      <c r="N796" s="196">
        <f>IF($B$795="Лікар-педіатр",N798*S796,IF($B$795="Лікар-терапевт","х",IF($B$795="Лікар загальної практики - сімейний лікар",N798*S796,0)))</f>
        <v>0</v>
      </c>
      <c r="O796" s="196">
        <f>IF($B$795="Лікар-педіатр",O798*S796,IF($B$795="Лікар-терапевт","х",IF($B$795="Лікар загальної практики - сімейний лікар",O798*S796,0)))</f>
        <v>0</v>
      </c>
      <c r="P796" s="196">
        <f>IF($B$795="Лікар-педіатр","x",IF($B$795="Лікар-терапевт",P798*S796,IF($B$795="Лікар загальної практики - сімейний лікар",P798*S796,0)))</f>
        <v>0</v>
      </c>
      <c r="Q796" s="196">
        <f>IF($B$795="Лікар-педіатр","x",IF($B$795="Лікар-терапевт",Q798*S796,IF($B$795="Лікар загальної практики - сімейний лікар",Q798*S796,0)))</f>
        <v>0</v>
      </c>
      <c r="R796" s="196">
        <f>IF($B$795="Лікар-педіатр","x",IF($B$795="Лікар-терапевт",R798*S796,IF($B$795="Лікар загальної практики - сімейний лікар",R798*S796,0)))</f>
        <v>0</v>
      </c>
      <c r="S796" s="557"/>
      <c r="T796" s="942"/>
      <c r="U796" s="196">
        <f>IF($B$795="Лікар-педіатр",U798*Z796,IF($B$795="Лікар-терапевт","х",IF($B$795="Лікар загальної практики - сімейний лікар",U798*Z796,0)))</f>
        <v>0</v>
      </c>
      <c r="V796" s="196">
        <f>IF($B$795="Лікар-педіатр",V798*Z796,IF($B$795="Лікар-терапевт","х",IF($B$795="Лікар загальної практики - сімейний лікар",V798*Z796,0)))</f>
        <v>0</v>
      </c>
      <c r="W796" s="196">
        <f>IF($B$795="Лікар-педіатр","x",IF($B$795="Лікар-терапевт",W798*Z796,IF($B$795="Лікар загальної практики - сімейний лікар",W798*Z796,0)))</f>
        <v>0</v>
      </c>
      <c r="X796" s="196">
        <f>IF($B$795="Лікар-педіатр","x",IF($B$795="Лікар-терапевт",X798*Z796,IF($B$795="Лікар загальної практики - сімейний лікар",X798*Z796,0)))</f>
        <v>0</v>
      </c>
      <c r="Y796" s="196">
        <f>IF($B$795="Лікар-педіатр","x",IF($B$795="Лікар-терапевт",Y798*Z796,IF($B$795="Лікар загальної практики - сімейний лікар",Y798*Z796,0)))</f>
        <v>0</v>
      </c>
      <c r="Z796" s="557"/>
      <c r="AA796" s="942"/>
      <c r="AB796" s="196">
        <f>IF($B$795="Лікар-педіатр",AB798*AG796,IF($B$795="Лікар-терапевт","х",IF($B$795="Лікар загальної практики - сімейний лікар",AB798*AG796,0)))</f>
        <v>0</v>
      </c>
      <c r="AC796" s="196">
        <f>IF($B$795="Лікар-педіатр",AC798*AG796,IF($B$795="Лікар-терапевт","х",IF($B$795="Лікар загальної практики - сімейний лікар",AC798*AG796,0)))</f>
        <v>0</v>
      </c>
      <c r="AD796" s="196">
        <f>IF($B$795="Лікар-педіатр","x",IF($B$795="Лікар-терапевт",AD798*AG796,IF($B$795="Лікар загальної практики - сімейний лікар",AD798*AG796,0)))</f>
        <v>0</v>
      </c>
      <c r="AE796" s="196">
        <f>IF($B$795="Лікар-педіатр","x",IF($B$795="Лікар-терапевт",AE798*AG796,IF($B$795="Лікар загальної практики - сімейний лікар",AE798*AG796,0)))</f>
        <v>0</v>
      </c>
      <c r="AF796" s="196">
        <f>IF($B$795="Лікар-педіатр","x",IF($B$795="Лікар-терапевт",AF798*AG796,IF($B$795="Лікар загальної практики - сімейний лікар",AF798*AG796,0)))</f>
        <v>0</v>
      </c>
      <c r="AG796" s="557"/>
      <c r="AH796" s="942"/>
      <c r="AI796" s="198"/>
      <c r="AJ796" s="945"/>
      <c r="AK796" s="960"/>
      <c r="AL796" s="960"/>
      <c r="AM796" s="930"/>
      <c r="AN796" s="948"/>
      <c r="AO796" s="948"/>
      <c r="AP796" s="948"/>
      <c r="AQ796" s="948"/>
      <c r="AR796" s="963"/>
    </row>
    <row r="797" spans="1:44" s="90" customFormat="1" ht="31.15" hidden="1" customHeight="1">
      <c r="A797" s="240"/>
      <c r="B797" s="951"/>
      <c r="C797" s="954"/>
      <c r="D797" s="957"/>
      <c r="E797" s="939"/>
      <c r="F797" s="241" t="s">
        <v>661</v>
      </c>
      <c r="G797" s="199">
        <f>IF(B795="Лікар загальної практики - сімейний лікар"," ",IF(B795="Лікар-педіатр"," ",IF(B795="Лікар-терапевт","х",0)))</f>
        <v>0</v>
      </c>
      <c r="H797" s="199">
        <f>IF(B795="Лікар загальної практики - сімейний лікар"," ",IF(B795="Лікар-педіатр"," ",IF(B795="Лікар-терапевт","х",0)))</f>
        <v>0</v>
      </c>
      <c r="I797" s="199">
        <f>IF(B795="Лікар загальної практики - сімейний лікар"," ",IF(B795="Лікар-педіатр","х",IF(B795="Лікар-терапевт"," ",0)))</f>
        <v>0</v>
      </c>
      <c r="J797" s="199">
        <f>IF(B795="Лікар загальної практики - сімейний лікар"," ",IF(B795="Лікар-педіатр","х",IF(B795="Лікар-терапевт"," ",0)))</f>
        <v>0</v>
      </c>
      <c r="K797" s="199">
        <f>IF(B795="Лікар загальної практики - сімейний лікар"," ",IF(B795="Лікар-педіатр","х",IF(B795="Лікар-терапевт"," ",0)))</f>
        <v>0</v>
      </c>
      <c r="L797" s="200">
        <f>SUM(G797:K797)</f>
        <v>0</v>
      </c>
      <c r="M797" s="942"/>
      <c r="N797" s="199">
        <f>IF(B795="Лікар загальної практики - сімейний лікар"," ",IF(B795="Лікар-педіатр"," ",IF(B795="Лікар-терапевт","х",0)))</f>
        <v>0</v>
      </c>
      <c r="O797" s="199">
        <f>IF(B795="Лікар загальної практики - сімейний лікар"," ",IF(B795="Лікар-педіатр"," ",IF(B795="Лікар-терапевт","х",0)))</f>
        <v>0</v>
      </c>
      <c r="P797" s="199">
        <f>IF(B795="Лікар загальної практики - сімейний лікар"," ",IF(B795="Лікар-педіатр","х",IF(B795="Лікар-терапевт"," ",0)))</f>
        <v>0</v>
      </c>
      <c r="Q797" s="199">
        <f>IF(B795="Лікар загальної практики - сімейний лікар"," ",IF(B795="Лікар-педіатр","х",IF(B795="Лікар-терапевт"," ",0)))</f>
        <v>0</v>
      </c>
      <c r="R797" s="199">
        <f>IF(B795="Лікар загальної практики - сімейний лікар"," ",IF(B795="Лікар-педіатр","х",IF(B795="Лікар-терапевт"," ",0)))</f>
        <v>0</v>
      </c>
      <c r="S797" s="200">
        <f>SUM(N797:R797)</f>
        <v>0</v>
      </c>
      <c r="T797" s="942"/>
      <c r="U797" s="199">
        <f>IF(B795="Лікар загальної практики - сімейний лікар"," ",IF(B795="Лікар-педіатр"," ",IF(B795="Лікар-терапевт","х",0)))</f>
        <v>0</v>
      </c>
      <c r="V797" s="199">
        <f>IF(B795="Лікар загальної практики - сімейний лікар"," ",IF(B795="Лікар-педіатр"," ",IF(B795="Лікар-терапевт","х",0)))</f>
        <v>0</v>
      </c>
      <c r="W797" s="199">
        <f>IF(B795="Лікар загальної практики - сімейний лікар"," ",IF(B795="Лікар-педіатр","х",IF(B795="Лікар-терапевт"," ",0)))</f>
        <v>0</v>
      </c>
      <c r="X797" s="199">
        <f>IF(B795="Лікар загальної практики - сімейний лікар"," ",IF(B795="Лікар-педіатр","х",IF(B795="Лікар-терапевт"," ",0)))</f>
        <v>0</v>
      </c>
      <c r="Y797" s="199">
        <f>IF(B795="Лікар загальної практики - сімейний лікар"," ",IF(B795="Лікар-педіатр","х",IF(B795="Лікар-терапевт"," ",0)))</f>
        <v>0</v>
      </c>
      <c r="Z797" s="200">
        <f>SUM(U797:Y797)</f>
        <v>0</v>
      </c>
      <c r="AA797" s="942"/>
      <c r="AB797" s="199">
        <f>IF(B795="Лікар загальної практики - сімейний лікар"," ",IF(B795="Лікар-педіатр"," ",IF(B795="Лікар-терапевт","х",0)))</f>
        <v>0</v>
      </c>
      <c r="AC797" s="199">
        <f>IF(B795="Лікар загальної практики - сімейний лікар"," ",IF(B795="Лікар-педіатр"," ",IF(B795="Лікар-терапевт","х",0)))</f>
        <v>0</v>
      </c>
      <c r="AD797" s="199">
        <f>IF(B795="Лікар загальної практики - сімейний лікар"," ",IF(B795="Лікар-педіатр","х",IF(B795="Лікар-терапевт"," ",0)))</f>
        <v>0</v>
      </c>
      <c r="AE797" s="199">
        <f>IF(B795="Лікар загальної практики - сімейний лікар"," ",IF(B795="Лікар-педіатр","х",IF(B795="Лікар-терапевт"," ",0)))</f>
        <v>0</v>
      </c>
      <c r="AF797" s="199">
        <f>IF(B795="Лікар загальної практики - сімейний лікар"," ",IF(B795="Лікар-педіатр","х",IF(B795="Лікар-терапевт"," ",0)))</f>
        <v>0</v>
      </c>
      <c r="AG797" s="200">
        <f>SUM(AB797:AF797)</f>
        <v>0</v>
      </c>
      <c r="AH797" s="942"/>
      <c r="AI797" s="242"/>
      <c r="AJ797" s="945"/>
      <c r="AK797" s="960"/>
      <c r="AL797" s="960"/>
      <c r="AM797" s="930"/>
      <c r="AN797" s="948"/>
      <c r="AO797" s="948"/>
      <c r="AP797" s="948"/>
      <c r="AQ797" s="948"/>
      <c r="AR797" s="963"/>
    </row>
    <row r="798" spans="1:44" s="50" customFormat="1" ht="31.9" hidden="1" customHeight="1" thickBot="1">
      <c r="A798" s="197"/>
      <c r="B798" s="951"/>
      <c r="C798" s="954"/>
      <c r="D798" s="957"/>
      <c r="E798" s="939"/>
      <c r="F798" s="236" t="s">
        <v>426</v>
      </c>
      <c r="G798" s="203">
        <f>IF($B$795="Лікар-педіатр",G797/L797,IF($B$795="Лікар-терапевт","х",IF($B$795="Лікар загальної практики - сімейний лікар",G797/L797,0)))</f>
        <v>0</v>
      </c>
      <c r="H798" s="203">
        <f>IF($B$795="Лікар-педіатр",H797/L797,IF($B$795="Лікар-терапевт","х",IF($B$795="Лікар загальної практики - сімейний лікар",H797/L797,0)))</f>
        <v>0</v>
      </c>
      <c r="I798" s="203">
        <f>IF($B$795="Лікар-педіатр","x",IF($B$795="Лікар-терапевт",I797/L797,IF($B$795="Лікар загальної практики - сімейний лікар",I797/L797,0)))</f>
        <v>0</v>
      </c>
      <c r="J798" s="203">
        <f>IF($B$795="Лікар-педіатр","x",IF($B$795="Лікар-терапевт",J797/L797,IF($B$795="Лікар загальної практики - сімейний лікар",J797/L797,0)))</f>
        <v>0</v>
      </c>
      <c r="K798" s="203">
        <f>IF($B$795="Лікар-педіатр","x",IF($B$795="Лікар-терапевт",K797/L797,IF($B$795="Лікар загальної практики - сімейний лікар",K797/L797,0)))</f>
        <v>0</v>
      </c>
      <c r="L798" s="203">
        <f>SUM(G798:K798)</f>
        <v>0</v>
      </c>
      <c r="M798" s="942"/>
      <c r="N798" s="203">
        <f>IF($B$795="Лікар-педіатр",N797/S797,IF($B$795="Лікар-терапевт","х",IF($B$795="Лікар загальної практики - сімейний лікар",N797/S797,0)))</f>
        <v>0</v>
      </c>
      <c r="O798" s="203">
        <f>IF($B$795="Лікар-педіатр",O797/S797,IF($B$795="Лікар-терапевт","х",IF($B$795="Лікар загальної практики - сімейний лікар",O797/S797,0)))</f>
        <v>0</v>
      </c>
      <c r="P798" s="203">
        <f>IF($B$795="Лікар-педіатр","x",IF($B$795="Лікар-терапевт",P797/S797,IF($B$795="Лікар загальної практики - сімейний лікар",P797/S797,0)))</f>
        <v>0</v>
      </c>
      <c r="Q798" s="203">
        <f>IF($B$795="Лікар-педіатр","x",IF($B$795="Лікар-терапевт",Q797/S797,IF($B$795="Лікар загальної практики - сімейний лікар",Q797/S797,0)))</f>
        <v>0</v>
      </c>
      <c r="R798" s="203">
        <f>IF($B$795="Лікар-педіатр","x",IF($B$795="Лікар-терапевт",R797/S797,IF($B$795="Лікар загальної практики - сімейний лікар",R797/S797,0)))</f>
        <v>0</v>
      </c>
      <c r="S798" s="203">
        <f>SUM(N798:R798)</f>
        <v>0</v>
      </c>
      <c r="T798" s="942"/>
      <c r="U798" s="203">
        <f>IF($B$795="Лікар-педіатр",U797/Z797,IF($B$795="Лікар-терапевт","х",IF($B$795="Лікар загальної практики - сімейний лікар",U797/Z797,0)))</f>
        <v>0</v>
      </c>
      <c r="V798" s="203">
        <f>IF($B$795="Лікар-педіатр",V797/Z797,IF($B$795="Лікар-терапевт","х",IF($B$795="Лікар загальної практики - сімейний лікар",V797/Z797,0)))</f>
        <v>0</v>
      </c>
      <c r="W798" s="203">
        <f>IF($B$795="Лікар-педіатр","x",IF($B$795="Лікар-терапевт",W797/Z797,IF($B$795="Лікар загальної практики - сімейний лікар",W797/Z797,0)))</f>
        <v>0</v>
      </c>
      <c r="X798" s="203">
        <f>IF($B$795="Лікар-педіатр","x",IF($B$795="Лікар-терапевт",X797/Z797,IF($B$795="Лікар загальної практики - сімейний лікар",X797/Z797,0)))</f>
        <v>0</v>
      </c>
      <c r="Y798" s="203">
        <f>IF($B$795="Лікар-педіатр","x",IF($B$795="Лікар-терапевт",Y797/Z797,IF($B$795="Лікар загальної практики - сімейний лікар",Y797/Z797,0)))</f>
        <v>0</v>
      </c>
      <c r="Z798" s="203">
        <f>SUM(U798:Y798)</f>
        <v>0</v>
      </c>
      <c r="AA798" s="942"/>
      <c r="AB798" s="203">
        <f>IF($B$795="Лікар-педіатр",AB797/AG797,IF($B$795="Лікар-терапевт","х",IF($B$795="Лікар загальної практики - сімейний лікар",AB797/AG797,0)))</f>
        <v>0</v>
      </c>
      <c r="AC798" s="203">
        <f>IF($B$795="Лікар-педіатр",AC797/AG797,IF($B$795="Лікар-терапевт","х",IF($B$795="Лікар загальної практики - сімейний лікар",AC797/AG797,0)))</f>
        <v>0</v>
      </c>
      <c r="AD798" s="203">
        <f>IF($B$795="Лікар-педіатр","x",IF($B$795="Лікар-терапевт",AD797/AG797,IF($B$795="Лікар загальної практики - сімейний лікар",AD797/AG797,0)))</f>
        <v>0</v>
      </c>
      <c r="AE798" s="203">
        <f>IF($B$795="Лікар-педіатр","x",IF($B$795="Лікар-терапевт",AE797/AG797,IF($B$795="Лікар загальної практики - сімейний лікар",AE797/AG797,0)))</f>
        <v>0</v>
      </c>
      <c r="AF798" s="203">
        <f>IF($B$795="Лікар-педіатр","x",IF($B$795="Лікар-терапевт",AF797/AG797,IF($B$795="Лікар загальної практики - сімейний лікар",AF797/AG797,0)))</f>
        <v>0</v>
      </c>
      <c r="AG798" s="203">
        <f>SUM(AB798:AF798)</f>
        <v>0</v>
      </c>
      <c r="AH798" s="942"/>
      <c r="AI798" s="201"/>
      <c r="AJ798" s="945"/>
      <c r="AK798" s="960"/>
      <c r="AL798" s="960"/>
      <c r="AM798" s="930"/>
      <c r="AN798" s="948"/>
      <c r="AO798" s="948"/>
      <c r="AP798" s="948"/>
      <c r="AQ798" s="948"/>
      <c r="AR798" s="963"/>
    </row>
    <row r="799" spans="1:44" s="50" customFormat="1" ht="45" hidden="1" customHeight="1" thickBot="1">
      <c r="A799" s="197"/>
      <c r="B799" s="951"/>
      <c r="C799" s="954"/>
      <c r="D799" s="957"/>
      <c r="E799" s="939"/>
      <c r="F799" s="204" t="s">
        <v>662</v>
      </c>
      <c r="G799" s="205">
        <f>IF($B$795="Лікар загальної практики - сімейний лікар",AVERAGE(G795:G797),IF($B$795="Лікар-педіатр",AVERAGE(G795:G797),IF($B$795="Лікар-терапевт","х",0)))</f>
        <v>0</v>
      </c>
      <c r="H799" s="205">
        <f>IF($B$795="Лікар загальної практики - сімейний лікар",AVERAGE(H795:H797),IF($B$795="Лікар-педіатр",AVERAGE(H795:H797),IF($B$795="Лікар-терапевт","х",0)))</f>
        <v>0</v>
      </c>
      <c r="I799" s="205">
        <f>IF($B$795="Лікар загальної практики - сімейний лікар",AVERAGE(I795:I797),IF($B$795="Лікар-педіатр","x",IF($B$795="Лікар-терапевт",AVERAGE(I795:I797),0)))</f>
        <v>0</v>
      </c>
      <c r="J799" s="205">
        <f>IF($B$795="Лікар загальної практики - сімейний лікар",AVERAGE(J795:J797),IF($B$795="Лікар-педіатр","x",IF($B$795="Лікар-терапевт",AVERAGE(J795:J797),0)))</f>
        <v>0</v>
      </c>
      <c r="K799" s="205">
        <f>IF($B$795="Лікар загальної практики - сімейний лікар",AVERAGE(K795:K797),IF($B$795="Лікар-педіатр","x",IF($B$795="Лікар-терапевт",AVERAGE(K795:K797),0)))</f>
        <v>0</v>
      </c>
      <c r="L799" s="206">
        <f>SUM(G799:K799)</f>
        <v>0</v>
      </c>
      <c r="M799" s="942"/>
      <c r="N799" s="205">
        <f>IF($B$795="Лікар загальної практики - сімейний лікар",AVERAGE(N795:N797),IF($B$795="Лікар-педіатр",AVERAGE(N795:N797),IF($B$795="Лікар-терапевт","х",0)))</f>
        <v>0</v>
      </c>
      <c r="O799" s="205">
        <f>IF($B$795="Лікар загальної практики - сімейний лікар",AVERAGE(O795:O797),IF($B$795="Лікар-педіатр",AVERAGE(O795:O797),IF($B$795="Лікар-терапевт","х",0)))</f>
        <v>0</v>
      </c>
      <c r="P799" s="205">
        <f>IF($B$795="Лікар загальної практики - сімейний лікар",AVERAGE(P795:P797),IF($B$795="Лікар-педіатр","x",IF($B$795="Лікар-терапевт",AVERAGE(P795:P797),0)))</f>
        <v>0</v>
      </c>
      <c r="Q799" s="205">
        <f>IF($B$795="Лікар загальної практики - сімейний лікар",AVERAGE(Q795:Q797),IF($B$795="Лікар-педіатр","x",IF($B$795="Лікар-терапевт",AVERAGE(Q795:Q797),0)))</f>
        <v>0</v>
      </c>
      <c r="R799" s="205">
        <f>IF($B$795="Лікар загальної практики - сімейний лікар",AVERAGE(R795:R797),IF($B$795="Лікар-педіатр","x",IF($B$795="Лікар-терапевт",AVERAGE(R795:R797),0)))</f>
        <v>0</v>
      </c>
      <c r="S799" s="206">
        <f>SUM(N799:R799)</f>
        <v>0</v>
      </c>
      <c r="T799" s="942"/>
      <c r="U799" s="205">
        <f>IF($B$795="Лікар загальної практики - сімейний лікар",AVERAGE(U795:U797),IF($B$795="Лікар-педіатр",AVERAGE(U795:U797),IF($B$795="Лікар-терапевт","х",0)))</f>
        <v>0</v>
      </c>
      <c r="V799" s="205">
        <f>IF($B$795="Лікар загальної практики - сімейний лікар",AVERAGE(V795:V797),IF($B$795="Лікар-педіатр",AVERAGE(V795:V797),IF($B$795="Лікар-терапевт","х",0)))</f>
        <v>0</v>
      </c>
      <c r="W799" s="205">
        <f>IF($B$795="Лікар загальної практики - сімейний лікар",AVERAGE(W795:W797),IF($B$795="Лікар-педіатр","x",IF($B$795="Лікар-терапевт",AVERAGE(W795:W797),0)))</f>
        <v>0</v>
      </c>
      <c r="X799" s="205">
        <f>IF($B$795="Лікар загальної практики - сімейний лікар",AVERAGE(X795:X797),IF($B$795="Лікар-педіатр","x",IF($B$795="Лікар-терапевт",AVERAGE(X795:X797),0)))</f>
        <v>0</v>
      </c>
      <c r="Y799" s="205">
        <f>IF($B$795="Лікар загальної практики - сімейний лікар",AVERAGE(Y795:Y797),IF($B$795="Лікар-педіатр","x",IF($B$795="Лікар-терапевт",AVERAGE(Y795:Y797),0)))</f>
        <v>0</v>
      </c>
      <c r="Z799" s="206">
        <f>SUM(U799:Y799)</f>
        <v>0</v>
      </c>
      <c r="AA799" s="942"/>
      <c r="AB799" s="205">
        <f>IF($B$795="Лікар загальної практики - сімейний лікар",AVERAGE(AB795:AB797),IF($B$795="Лікар-педіатр",AVERAGE(AB795:AB797),IF($B$795="Лікар-терапевт","х",0)))</f>
        <v>0</v>
      </c>
      <c r="AC799" s="205">
        <f>IF($B$795="Лікар загальної практики - сімейний лікар",AVERAGE(AC795:AC797),IF($B$795="Лікар-педіатр",AVERAGE(AC795:AC797),IF($B$795="Лікар-терапевт","х",0)))</f>
        <v>0</v>
      </c>
      <c r="AD799" s="205">
        <f>IF($B$795="Лікар загальної практики - сімейний лікар",AVERAGE(AD795:AD797),IF($B$795="Лікар-педіатр","x",IF($B$795="Лікар-терапевт",AVERAGE(AD795:AD797),0)))</f>
        <v>0</v>
      </c>
      <c r="AE799" s="205">
        <f>IF($B$795="Лікар загальної практики - сімейний лікар",AVERAGE(AE795:AE797),IF($B$795="Лікар-педіатр","x",IF($B$795="Лікар-терапевт",AVERAGE(AE795:AE797),0)))</f>
        <v>0</v>
      </c>
      <c r="AF799" s="205">
        <f>IF($B$795="Лікар загальної практики - сімейний лікар",AVERAGE(AF795:AF797),IF($B$795="Лікар-педіатр","x",IF($B$795="Лікар-терапевт",AVERAGE(AF795:AF797),0)))</f>
        <v>0</v>
      </c>
      <c r="AG799" s="206">
        <f>SUM(AB799:AF799)</f>
        <v>0</v>
      </c>
      <c r="AH799" s="942"/>
      <c r="AI799" s="201"/>
      <c r="AJ799" s="945"/>
      <c r="AK799" s="960"/>
      <c r="AL799" s="960"/>
      <c r="AM799" s="931"/>
      <c r="AN799" s="949"/>
      <c r="AO799" s="949"/>
      <c r="AP799" s="949"/>
      <c r="AQ799" s="949"/>
      <c r="AR799" s="964"/>
    </row>
    <row r="800" spans="1:44" s="50" customFormat="1" ht="40.5" hidden="1">
      <c r="A800" s="197"/>
      <c r="B800" s="951"/>
      <c r="C800" s="954"/>
      <c r="D800" s="957"/>
      <c r="E800" s="939"/>
      <c r="F800" s="237" t="str">
        <f ca="1">IF(B795="Лікар-педіатр",Законод!$C$17,IF(B795="Лікар загальної практики - сімейний лікар",Законод!$C$21,IF(B795="Лікар-терапевт",Законод!$C$25,"х")))</f>
        <v>х</v>
      </c>
      <c r="G800" s="208">
        <f ca="1">IF($B$795="Лікар загальної практики - сімейний лікар",IF(L799&lt;=Законод!$C$22,G799,Законод!$C$22*'01_Доходи'!G798),IF($B$795="Лікар-педіатр",IF(L799&lt;=Законод!$C$18,G799,Законод!$C$18*'01_Доходи'!G798),IF($B$795="Лікар-терапевт","x",0)))</f>
        <v>0</v>
      </c>
      <c r="H800" s="208">
        <f ca="1">IF($B$795="Лікар загальної практики - сімейний лікар",IF(L799&lt;=Законод!$C$22,H799,Законод!$C$22*'01_Доходи'!H798),IF($B$795="Лікар-педіатр",IF(L799&lt;=Законод!$C$18,H799,Законод!$C$18*'01_Доходи'!H798),IF($B$795="Лікар-терапевт","x",0)))</f>
        <v>0</v>
      </c>
      <c r="I800" s="208">
        <f ca="1">IF($B$795="Лікар загальної практики - сімейний лікар",IF(L799&lt;=Законод!$C$22,I799,Законод!$C$22*'01_Доходи'!I798),IF($B$795="Лікар-педіатр","x",IF($B$795="Лікар-терапевт",IF(L799&lt;=Законод!$C$26,I799,Законод!$C$26*'01_Доходи'!I798),0)))</f>
        <v>0</v>
      </c>
      <c r="J800" s="208">
        <f ca="1">IF($B$795="Лікар загальної практики - сімейний лікар",IF(L799&lt;=Законод!$C$22,J799,Законод!$C$22*'01_Доходи'!J798),IF($B$795="Лікар-педіатр","x",IF($B$795="Лікар-терапевт",IF(L799&lt;=Законод!$C$26,J799,Законод!$C$26*'01_Доходи'!J798),0)))</f>
        <v>0</v>
      </c>
      <c r="K800" s="208">
        <f ca="1">IF($B$795="Лікар загальної практики - сімейний лікар",IF(L799&lt;=Законод!$C$22,K799,Законод!$C$22*'01_Доходи'!K798),IF($B$795="Лікар-педіатр","x",IF($B$795="Лікар-терапевт",IF(L799&lt;=Законод!$C$26,K799,Законод!$C$26*'01_Доходи'!K798),0)))</f>
        <v>0</v>
      </c>
      <c r="L800" s="209">
        <f ca="1">SUM(G800:K800)</f>
        <v>0</v>
      </c>
      <c r="M800" s="942"/>
      <c r="N800" s="208">
        <f ca="1">IF($B$795="Лікар загальної практики - сімейний лікар",IF(S799&lt;=Законод!$C$22,N799,Законод!$C$22*'01_Доходи'!N798),IF($B$795="Лікар-педіатр",IF(S799&lt;=Законод!$C$18,N799,Законод!$C$18*'01_Доходи'!N798),IF($B$795="Лікар-терапевт","x",0)))</f>
        <v>0</v>
      </c>
      <c r="O800" s="208">
        <f ca="1">IF($B$795="Лікар загальної практики - сімейний лікар",IF(S799&lt;=Законод!$C$22,O799,Законод!$C$22*'01_Доходи'!O798),IF($B$795="Лікар-педіатр",IF(S799&lt;=Законод!$C$18,O799,Законод!$C$18*'01_Доходи'!O798),IF($B$795="Лікар-терапевт","x",0)))</f>
        <v>0</v>
      </c>
      <c r="P800" s="208">
        <f ca="1">IF($B$795="Лікар загальної практики - сімейний лікар",IF(S799&lt;=Законод!$C$22,P799,Законод!$C$22*'01_Доходи'!P798),IF($B$795="Лікар-педіатр","x",IF($B$795="Лікар-терапевт",IF(S799&lt;=Законод!$C$26,P799,Законод!$C$26*'01_Доходи'!P798),0)))</f>
        <v>0</v>
      </c>
      <c r="Q800" s="208">
        <f ca="1">IF($B$795="Лікар загальної практики - сімейний лікар",IF(S799&lt;=Законод!$C$22,Q799,Законод!$C$22*'01_Доходи'!Q798),IF($B$795="Лікар-педіатр","x",IF($B$795="Лікар-терапевт",IF(S799&lt;=Законод!$C$26,Q799,Законод!$C$26*'01_Доходи'!Q798),0)))</f>
        <v>0</v>
      </c>
      <c r="R800" s="208">
        <f ca="1">IF($B$795="Лікар загальної практики - сімейний лікар",IF(S799&lt;=Законод!$C$22,R799,Законод!$C$22*'01_Доходи'!R798),IF($B$795="Лікар-педіатр","x",IF($B$795="Лікар-терапевт",IF(S799&lt;=Законод!$C$26,R799,Законод!$C$26*'01_Доходи'!R798),0)))</f>
        <v>0</v>
      </c>
      <c r="S800" s="209">
        <f ca="1">SUM(N800:R800)</f>
        <v>0</v>
      </c>
      <c r="T800" s="942"/>
      <c r="U800" s="208">
        <f ca="1">IF($B$795="Лікар загальної практики - сімейний лікар",IF(Z799&lt;=Законод!$C$22,U799,Законод!$C$22*'01_Доходи'!U798),IF($B$795="Лікар-педіатр",IF(Z799&lt;=Законод!$C$18,U799,Законод!$C$18*'01_Доходи'!U798),IF($B$795="Лікар-терапевт","x",0)))</f>
        <v>0</v>
      </c>
      <c r="V800" s="208">
        <f ca="1">IF($B$795="Лікар загальної практики - сімейний лікар",IF(Z799&lt;=Законод!$C$22,V799,Законод!$C$22*'01_Доходи'!V798),IF($B$795="Лікар-педіатр",IF(Z799&lt;=Законод!$C$18,V799,Законод!$C$18*'01_Доходи'!V798),IF($B$795="Лікар-терапевт","x",0)))</f>
        <v>0</v>
      </c>
      <c r="W800" s="208">
        <f ca="1">IF($B$795="Лікар загальної практики - сімейний лікар",IF(Z799&lt;=Законод!$C$22,W799,Законод!$C$22*'01_Доходи'!W798),IF($B$795="Лікар-педіатр","x",IF($B$795="Лікар-терапевт",IF(Z799&lt;=Законод!$C$26,W799,Законод!$C$26*'01_Доходи'!W798),0)))</f>
        <v>0</v>
      </c>
      <c r="X800" s="208">
        <f ca="1">IF($B$795="Лікар загальної практики - сімейний лікар",IF(Z799&lt;=Законод!$C$22,X799,Законод!$C$22*'01_Доходи'!X798),IF($B$795="Лікар-педіатр","x",IF($B$795="Лікар-терапевт",IF(Z799&lt;=Законод!$C$26,X799,Законод!$C$26*'01_Доходи'!X798),0)))</f>
        <v>0</v>
      </c>
      <c r="Y800" s="208">
        <f ca="1">IF($B$795="Лікар загальної практики - сімейний лікар",IF(Z799&lt;=Законод!$C$22,Y799,Законод!$C$22*'01_Доходи'!Y798),IF($B$795="Лікар-педіатр","x",IF($B$795="Лікар-терапевт",IF(Z799&lt;=Законод!$C$26,Y799,Законод!$C$26*'01_Доходи'!Y798),0)))</f>
        <v>0</v>
      </c>
      <c r="Z800" s="209">
        <f ca="1">SUM(U800:Y800)</f>
        <v>0</v>
      </c>
      <c r="AA800" s="942"/>
      <c r="AB800" s="208">
        <f ca="1">IF($B$795="Лікар загальної практики - сімейний лікар",IF(AG799&lt;=Законод!$C$22,AB799,Законод!$C$22*'01_Доходи'!AB798),IF($B$795="Лікар-педіатр",IF(AG799&lt;=Законод!$C$18,AB799,Законод!$C$18*'01_Доходи'!AB798),IF($B$795="Лікар-терапевт","x",0)))</f>
        <v>0</v>
      </c>
      <c r="AC800" s="208">
        <f ca="1">IF($B$795="Лікар загальної практики - сімейний лікар",IF(AG799&lt;=Законод!$C$22,AC799,Законод!$C$22*'01_Доходи'!AC798),IF($B$795="Лікар-педіатр",IF(AG799&lt;=Законод!$C$18,AC799,Законод!$C$18*'01_Доходи'!AC798),IF($B$795="Лікар-терапевт","x",0)))</f>
        <v>0</v>
      </c>
      <c r="AD800" s="208">
        <f ca="1">IF($B$795="Лікар загальної практики - сімейний лікар",IF(AG799&lt;=Законод!$C$22,AD799,Законод!$C$22*'01_Доходи'!AD798),IF($B$795="Лікар-педіатр","x",IF($B$795="Лікар-терапевт",IF(AG799&lt;=Законод!$C$26,AD799,Законод!$C$26*'01_Доходи'!AD798),0)))</f>
        <v>0</v>
      </c>
      <c r="AE800" s="208">
        <f ca="1">IF($B$795="Лікар загальної практики - сімейний лікар",IF(AG799&lt;=Законод!$C$22,AE799,Законод!$C$22*'01_Доходи'!AE798),IF($B$795="Лікар-педіатр","x",IF($B$795="Лікар-терапевт",IF(AG799&lt;=Законод!$C$26,AE799,Законод!$C$26*'01_Доходи'!AE798),0)))</f>
        <v>0</v>
      </c>
      <c r="AF800" s="208">
        <f ca="1">IF($B$795="Лікар загальної практики - сімейний лікар",IF(AG799&lt;=Законод!$C$22,AF799,Законод!$C$22*'01_Доходи'!AF798),IF($B$795="Лікар-педіатр","x",IF($B$795="Лікар-терапевт",IF(AG799&lt;=Законод!$C$26,AF799,Законод!$C$26*'01_Доходи'!AF798),0)))</f>
        <v>0</v>
      </c>
      <c r="AG800" s="209">
        <f ca="1">SUM(AB800:AF800)</f>
        <v>0</v>
      </c>
      <c r="AH800" s="942"/>
      <c r="AI800" s="201"/>
      <c r="AJ800" s="945"/>
      <c r="AK800" s="960"/>
      <c r="AL800" s="960"/>
      <c r="AM800" s="348" t="s">
        <v>451</v>
      </c>
      <c r="AN800" s="210">
        <f ca="1">IF(B795="Лікар загальної практики - сімейний лікар",G800*Законод!$C$11+'01_Доходи'!H800*Законод!$D$11+'01_Доходи'!I800*Законод!$E$11+'01_Доходи'!J800*Законод!$F$11+'01_Доходи'!K800*Законод!$G$11,IF(B795="Лікар-педіатр",G800*Законод!$C$11+'01_Доходи'!H800*Законод!$D$11,IF(B795="Лікар-терапевт",'01_Доходи'!I800*Законод!$E$11+'01_Доходи'!J800*Законод!$F$11+'01_Доходи'!K800*Законод!$G$11,0)))</f>
        <v>0</v>
      </c>
      <c r="AO800" s="210">
        <f ca="1">IF(B795="Лікар загальної практики - сімейний лікар",N800*Законод!$C$11+'01_Доходи'!O800*Законод!$D$11+'01_Доходи'!P800*Законод!$E$11+'01_Доходи'!Q800*Законод!$F$11+'01_Доходи'!R800*Законод!$G$11,IF(B795="Лікар-педіатр",N800*Законод!$C$11+'01_Доходи'!O800*Законод!$D$11,IF(B795="Лікар-терапевт",'01_Доходи'!P800*Законод!$E$11+'01_Доходи'!Q800*Законод!$F$11+'01_Доходи'!R800*Законод!$G$11,0)))</f>
        <v>0</v>
      </c>
      <c r="AP800" s="210">
        <f ca="1">IF(B795="Лікар загальної практики - сімейний лікар",U800*Законод!$C$11+'01_Доходи'!V800*Законод!$D$11+'01_Доходи'!W800*Законод!$E$11+'01_Доходи'!X800*Законод!$F$11+'01_Доходи'!Y800*Законод!$G$11,IF(B795="Лікар-педіатр",U800*Законод!$C$11+'01_Доходи'!V800*Законод!$D$11,IF(B795="Лікар-терапевт",'01_Доходи'!W800*Законод!$E$11+'01_Доходи'!X800*Законод!$F$11+'01_Доходи'!Y800*Законод!$G$11,0)))</f>
        <v>0</v>
      </c>
      <c r="AQ800" s="210">
        <f ca="1">IF(B795="Лікар загальної практики - сімейний лікар",AB800*Законод!$C$11+'01_Доходи'!AC800*Законод!$D$11+'01_Доходи'!AD800*Законод!$E$11+'01_Доходи'!AE800*Законод!$F$11+'01_Доходи'!AF800*Законод!$G$11,IF(B795="Лікар-педіатр",AB800*Законод!$C$11+'01_Доходи'!AC800*Законод!$D$11,IF(B795="Лікар-терапевт",'01_Доходи'!AD800*Законод!$E$11+'01_Доходи'!AE800*Законод!$F$11+'01_Доходи'!AF800*Законод!$G$11,0)))</f>
        <v>0</v>
      </c>
      <c r="AR800" s="211">
        <f t="shared" ref="AR800:AR806" si="101">SUM(AN800:AQ800)</f>
        <v>0</v>
      </c>
    </row>
    <row r="801" spans="1:44" s="50" customFormat="1" ht="31.9" hidden="1" customHeight="1">
      <c r="A801" s="197"/>
      <c r="B801" s="951"/>
      <c r="C801" s="954"/>
      <c r="D801" s="957"/>
      <c r="E801" s="939"/>
      <c r="F801" s="238" t="str">
        <f ca="1">IF(B795="Лікар-педіатр",Законод!$E$17,IF(B795="Лікар загальної практики - сімейний лікар",Законод!$E$21,IF(B795="Лікар-терапевт",Законод!$E$25,"х")))</f>
        <v>х</v>
      </c>
      <c r="G801" s="935" t="s">
        <v>423</v>
      </c>
      <c r="H801" s="936"/>
      <c r="I801" s="936"/>
      <c r="J801" s="936"/>
      <c r="K801" s="937"/>
      <c r="L801" s="196">
        <f ca="1">IF($B$795="Лікар загальної практики - сімейний лікар",IF(L799&lt;Законод!$C$22,0,(IF(AND(L799&gt;=Законод!$E$22,L799&lt;=Законод!$E$23),L799-Законод!$C$22,IF('01_Доходи'!L799&gt;=Законод!$F$22,Законод!$E$24,0)))),IF($B$795="Лікар-педіатр",IF(L799&lt;Законод!$C$18,0,(IF(AND(L799&gt;=Законод!$E$18,L799&lt;=Законод!$E$19),L799-Законод!$C$18,IF('01_Доходи'!L799&gt;=Законод!$F$18,Законод!$E$20,0)))),IF($B$795="Лікар-терапевт",IF(L799&lt;Законод!$C$26,0,(IF(AND(L799&gt;=Законод!$E$26,L799&lt;=Законод!$E$27),L799-Законод!$C$26,IF('01_Доходи'!L799&gt;=Законод!$F$26,Законод!$E$28,0)))),0)))</f>
        <v>0</v>
      </c>
      <c r="M801" s="942"/>
      <c r="N801" s="935" t="s">
        <v>423</v>
      </c>
      <c r="O801" s="936"/>
      <c r="P801" s="936"/>
      <c r="Q801" s="936"/>
      <c r="R801" s="937"/>
      <c r="S801" s="196">
        <f ca="1">IF($B$795="Лікар загальної практики - сімейний лікар",IF(S799&lt;Законод!$C$22,0,(IF(AND(S799&gt;=Законод!$E$22,S799&lt;=Законод!$E$23),S799-Законод!$C$22,IF('01_Доходи'!S799&gt;=Законод!$F$22,Законод!$E$24,0)))),IF($B$795="Лікар-педіатр",IF(S799&lt;Законод!$C$18,0,(IF(AND(S799&gt;=Законод!$E$18,S799&lt;=Законод!$E$19),S799-Законод!$C$18,IF('01_Доходи'!S799&gt;=Законод!$F$18,Законод!$E$20,0)))),IF($B$795="Лікар-терапевт",IF(S799&lt;Законод!$C$26,0,(IF(AND(S799&gt;=Законод!$E$26,S799&lt;=Законод!$E$27),S799-Законод!$C$26,IF('01_Доходи'!S799&gt;=Законод!$F$26,Законод!$E$28,0)))),0)))</f>
        <v>0</v>
      </c>
      <c r="T801" s="942"/>
      <c r="U801" s="935" t="s">
        <v>423</v>
      </c>
      <c r="V801" s="936"/>
      <c r="W801" s="936"/>
      <c r="X801" s="936"/>
      <c r="Y801" s="937"/>
      <c r="Z801" s="196">
        <f ca="1">IF($B$795="Лікар загальної практики - сімейний лікар",IF(Z799&lt;Законод!$C$22,0,(IF(AND(Z799&gt;=Законод!$E$22,Z799&lt;=Законод!$E$23),Z799-Законод!$C$22,IF('01_Доходи'!Z799&gt;=Законод!$F$22,Законод!$E$24,0)))),IF($B$795="Лікар-педіатр",IF(Z799&lt;Законод!$C$18,0,(IF(AND(Z799&gt;=Законод!$E$18,Z799&lt;=Законод!$E$19),Z799-Законод!$C$18,IF('01_Доходи'!Z799&gt;=Законод!$F$18,Законод!$E$20,0)))),IF($B$795="Лікар-терапевт",IF(Z799&lt;Законод!$C$26,0,(IF(AND(Z799&gt;=Законод!$E$26,Z799&lt;=Законод!$E$27),Z799-Законод!$C$26,IF('01_Доходи'!Z799&gt;=Законод!$F$26,Законод!$E$28,0)))),0)))</f>
        <v>0</v>
      </c>
      <c r="AA801" s="942"/>
      <c r="AB801" s="935" t="s">
        <v>423</v>
      </c>
      <c r="AC801" s="936"/>
      <c r="AD801" s="936"/>
      <c r="AE801" s="936"/>
      <c r="AF801" s="937"/>
      <c r="AG801" s="196">
        <f ca="1">IF($B$795="Лікар загальної практики - сімейний лікар",IF(AG799&lt;Законод!$C$22,0,(IF(AND(AG799&gt;=Законод!$E$22,AG799&lt;=Законод!$E$23),AG799-Законод!$C$22,IF('01_Доходи'!AG799&gt;=Законод!$F$22,Законод!$E$24,0)))),IF($B$795="Лікар-педіатр",IF(AG799&lt;Законод!$C$18,0,(IF(AND(AG799&gt;=Законод!$E$18,AG799&lt;=Законод!$E$19),AG799-Законод!$C$18,IF('01_Доходи'!AG799&gt;=Законод!$F$18,Законод!$E$20,0)))),IF($B$795="Лікар-терапевт",IF(AG799&lt;Законод!$C$26,0,(IF(AND(AG799&gt;=Законод!$E$26,AG799&lt;=Законод!$E$27),AG799-Законод!$C$26,IF('01_Доходи'!AG799&gt;=Законод!$F$26,Законод!$E$28,0)))),0)))</f>
        <v>0</v>
      </c>
      <c r="AH801" s="942"/>
      <c r="AI801" s="201"/>
      <c r="AJ801" s="945"/>
      <c r="AK801" s="960"/>
      <c r="AL801" s="960"/>
      <c r="AM801" s="926" t="s">
        <v>452</v>
      </c>
      <c r="AN801" s="210">
        <f ca="1">IF(B795="Лікар загальної практики - сімейний лікар",L801*Законод!$C$9/4*Законод!$E$16,IF(B795="Лікар-педіатр",L801*Законод!$C$9/4*Законод!$E$16,IF(B795="Лікар-терапевт",L801*Законод!$C$9/4*Законод!$E$16,0)))</f>
        <v>0</v>
      </c>
      <c r="AO801" s="210">
        <f ca="1">IF(B795="Лікар загальної практики - сімейний лікар",S801*Законод!$C$9/4*Законод!$E$16,IF(B795="Лікар-педіатр",S801*Законод!$C$9/4*Законод!$E$16,IF(B795="Лікар-терапевт",S801*Законод!$C$9/4*Законод!$E$16,0)))</f>
        <v>0</v>
      </c>
      <c r="AP801" s="210">
        <f ca="1">IF(B795="Лікар загальної практики - сімейний лікар",Z801*Законод!$C$9/4*Законод!$E$16,IF(B795="Лікар-педіатр",Z801*Законод!$C$9/4*Законод!$E$16,IF(B795="Лікар-терапевт",Z801*Законод!$C$9/4*Законод!$E$16,0)))</f>
        <v>0</v>
      </c>
      <c r="AQ801" s="210">
        <f ca="1">IF(B795="Лікар загальної практики - сімейний лікар",AG801*Законод!$C$9/4*Законод!$E$16,IF(B795="Лікар-педіатр",AG801*Законод!$C$9/4*Законод!$E$16,IF(B795="Лікар-терапевт",AG801*Законод!$C$9/4*Законод!$E$16,0)))</f>
        <v>0</v>
      </c>
      <c r="AR801" s="211">
        <f t="shared" si="101"/>
        <v>0</v>
      </c>
    </row>
    <row r="802" spans="1:44" s="50" customFormat="1" ht="31.9" hidden="1" customHeight="1">
      <c r="A802" s="197"/>
      <c r="B802" s="951"/>
      <c r="C802" s="954"/>
      <c r="D802" s="957"/>
      <c r="E802" s="939"/>
      <c r="F802" s="238" t="str">
        <f ca="1">IF(B795="Лікар-педіатр",Законод!$F$17,IF(B795="Лікар загальної практики - сімейний лікар",Законод!$F$21,IF(B795="Лікар-терапевт",Законод!$F$25,"х")))</f>
        <v>х</v>
      </c>
      <c r="G802" s="935" t="s">
        <v>423</v>
      </c>
      <c r="H802" s="936"/>
      <c r="I802" s="936"/>
      <c r="J802" s="936"/>
      <c r="K802" s="937"/>
      <c r="L802" s="196">
        <f ca="1">IF($B$795="Лікар загальної практики - сімейний лікар",IF(L799&lt;Законод!$C$22,0,(IF(AND(L799&gt;=Законод!$F$22,L799&lt;=Законод!$F$23),L799-Законод!$E$23,IF('01_Доходи'!L799&gt;=Законод!$G$22,Законод!$F$24,0)))),IF($B$795="Лікар-педіатр",IF(L799&lt;Законод!$C$18,0,(IF(AND(L799&gt;=Законод!$F$18,L799&lt;=Законод!$F$19),L799-Законод!$E$19,IF('01_Доходи'!L799&gt;=Законод!$G$18,Законод!$F$20,0)))),IF($B$795="Лікар-терапевт",IF(L799&lt;Законод!$C$26,0,(IF(AND(L799&gt;=Законод!$F$26,L799&lt;=Законод!$F$27),L799-Законод!$E$27,IF('01_Доходи'!L799&gt;=Законод!$G$26,Законод!$F$28,0)))),0)))</f>
        <v>0</v>
      </c>
      <c r="M802" s="942"/>
      <c r="N802" s="935" t="s">
        <v>423</v>
      </c>
      <c r="O802" s="936"/>
      <c r="P802" s="936"/>
      <c r="Q802" s="936"/>
      <c r="R802" s="937"/>
      <c r="S802" s="196">
        <f ca="1">IF($B$795="Лікар загальної практики - сімейний лікар",IF(S799&lt;Законод!$C$22,0,(IF(AND(S799&gt;=Законод!$F$22,S799&lt;=Законод!$F$23),S799-Законод!$E$23,IF('01_Доходи'!S799&gt;=Законод!$G$22,Законод!$F$24,0)))),IF($B$795="Лікар-педіатр",IF(S799&lt;Законод!$C$18,0,(IF(AND(S799&gt;=Законод!$F$18,S799&lt;=Законод!$F$19),S799-Законод!$E$19,IF('01_Доходи'!S799&gt;=Законод!$G$18,Законод!$F$20,0)))),IF($B$795="Лікар-терапевт",IF(S799&lt;Законод!$C$26,0,(IF(AND(S799&gt;=Законод!$F$26,S799&lt;=Законод!$F$27),S799-Законод!$E$27,IF('01_Доходи'!S799&gt;=Законод!$G$26,Законод!$F$28,0)))),0)))</f>
        <v>0</v>
      </c>
      <c r="T802" s="942"/>
      <c r="U802" s="935" t="s">
        <v>423</v>
      </c>
      <c r="V802" s="936"/>
      <c r="W802" s="936"/>
      <c r="X802" s="936"/>
      <c r="Y802" s="937"/>
      <c r="Z802" s="196">
        <f ca="1">IF($B$795="Лікар загальної практики - сімейний лікар",IF(Z799&lt;Законод!$C$22,0,(IF(AND(Z799&gt;=Законод!$F$22,Z799&lt;=Законод!$F$23),Z799-Законод!$E$23,IF('01_Доходи'!Z799&gt;=Законод!$G$22,Законод!$F$24,0)))),IF($B$795="Лікар-педіатр",IF(Z799&lt;Законод!$C$18,0,(IF(AND(Z799&gt;=Законод!$F$18,Z799&lt;=Законод!$F$19),Z799-Законод!$E$19,IF('01_Доходи'!Z799&gt;=Законод!$G$18,Законод!$F$20,0)))),IF($B$795="Лікар-терапевт",IF(Z799&lt;Законод!$C$26,0,(IF(AND(Z799&gt;=Законод!$F$26,Z799&lt;=Законод!$F$27),Z799-Законод!$E$27,IF('01_Доходи'!Z799&gt;=Законод!$G$26,Законод!$F$28,0)))),0)))</f>
        <v>0</v>
      </c>
      <c r="AA802" s="942"/>
      <c r="AB802" s="935" t="s">
        <v>423</v>
      </c>
      <c r="AC802" s="936"/>
      <c r="AD802" s="936"/>
      <c r="AE802" s="936"/>
      <c r="AF802" s="937"/>
      <c r="AG802" s="196">
        <f ca="1">IF($B$795="Лікар загальної практики - сімейний лікар",IF(AG799&lt;Законод!$C$22,0,(IF(AND(AG799&gt;=Законод!$F$22,AG799&lt;=Законод!$F$23),AG799-Законод!$E$23,IF('01_Доходи'!AG799&gt;=Законод!$G$22,Законод!$F$24,0)))),IF($B$795="Лікар-педіатр",IF(AG799&lt;Законод!$C$18,0,(IF(AND(AG799&gt;=Законод!$F$18,AG799&lt;=Законод!$F$19),AG799-Законод!$E$19,IF('01_Доходи'!AG799&gt;=Законод!$G$18,Законод!$F$20,0)))),IF($B$795="Лікар-терапевт",IF(AG799&lt;Законод!$C$26,0,(IF(AND(AG799&gt;=Законод!$F$26,AG799&lt;=Законод!$F$27),AG799-Законод!$E$27,IF('01_Доходи'!AG799&gt;=Законод!$G$26,Законод!$F$28,0)))),0)))</f>
        <v>0</v>
      </c>
      <c r="AH802" s="942"/>
      <c r="AI802" s="201"/>
      <c r="AJ802" s="945"/>
      <c r="AK802" s="960"/>
      <c r="AL802" s="960"/>
      <c r="AM802" s="927"/>
      <c r="AN802" s="210">
        <f ca="1">IF(B795="Лікар загальної практики - сімейний лікар",L802*Законод!$C$9/4*Законод!$F$16,IF(B795="Лікар-педіатр",L802*Законод!$C$9/4*Законод!$F$16,IF(B795="Лікар-терапевт",L802*Законод!$C$9/4*Законод!$F$16,0)))</f>
        <v>0</v>
      </c>
      <c r="AO802" s="210">
        <f ca="1">IF(B795="Лікар загальної практики - сімейний лікар",S802*Законод!$C$9/4*Законод!$F$16,IF(B795="Лікар-педіатр",S802*Законод!$C$9/4*Законод!$F$16,IF(B795="Лікар-терапевт",S802*Законод!$C$9/4*Законод!$F$16,0)))</f>
        <v>0</v>
      </c>
      <c r="AP802" s="210">
        <f ca="1">IF(B795="Лікар загальної практики - сімейний лікар",Z802*Законод!$C$9/4*Законод!$F$16,IF(B795="Лікар-педіатр",Z802*Законод!$C$9/4*Законод!$F$16,IF(B795="Лікар-терапевт",Z802*Законод!$C$9/4*Законод!$F$16,0)))</f>
        <v>0</v>
      </c>
      <c r="AQ802" s="210">
        <f ca="1">IF(B795="Лікар загальної практики - сімейний лікар",AG802*Законод!$C$9/4*Законод!$F$16,IF(B795="Лікар-педіатр",AG802*Законод!$C$9/4*Законод!$F$16,IF(B795="Лікар-терапевт",AG802*Законод!$C$9/4*Законод!$F$16,0)))</f>
        <v>0</v>
      </c>
      <c r="AR802" s="211">
        <f t="shared" si="101"/>
        <v>0</v>
      </c>
    </row>
    <row r="803" spans="1:44" s="50" customFormat="1" ht="31.9" hidden="1" customHeight="1">
      <c r="A803" s="197"/>
      <c r="B803" s="951"/>
      <c r="C803" s="954"/>
      <c r="D803" s="957"/>
      <c r="E803" s="939"/>
      <c r="F803" s="238" t="str">
        <f ca="1">IF(B795="Лікар-педіатр",Законод!$G$17,IF(B795="Лікар загальної практики - сімейний лікар",Законод!$G$21,IF(B795="Лікар-терапевт",Законод!$G$25,"х")))</f>
        <v>х</v>
      </c>
      <c r="G803" s="935" t="s">
        <v>423</v>
      </c>
      <c r="H803" s="936"/>
      <c r="I803" s="936"/>
      <c r="J803" s="936"/>
      <c r="K803" s="937"/>
      <c r="L803" s="196">
        <f ca="1">IF($B$795="Лікар загальної практики - сімейний лікар",IF(L799&lt;Законод!$C$22,0,(IF(AND(L799&gt;=Законод!$G$22,L799&lt;=Законод!$G$23),L799-Законод!$F$23,IF('01_Доходи'!L799&gt;=Законод!$H$22,Законод!$G$24,0)))),IF($B$795="Лікар-педіатр",IF(L799&lt;Законод!$C$18,0,(IF(AND(L799&gt;=Законод!$G$18,L799&lt;=Законод!$G$19),L799-Законод!$F$19,IF('01_Доходи'!L799&gt;=Законод!$H$18,Законод!$G$20,0)))),IF($B$795="Лікар-терапевт",IF(L799&lt;Законод!$C$26,0,(IF(AND(L799&gt;=Законод!$G$26,L799&lt;=Законод!$G$27),L799-Законод!$F$27,IF('01_Доходи'!L799&gt;=Законод!$H$26,Законод!$G$28,0)))),0)))</f>
        <v>0</v>
      </c>
      <c r="M803" s="942"/>
      <c r="N803" s="935" t="s">
        <v>423</v>
      </c>
      <c r="O803" s="936"/>
      <c r="P803" s="936"/>
      <c r="Q803" s="936"/>
      <c r="R803" s="937"/>
      <c r="S803" s="196">
        <f ca="1">IF($B$795="Лікар загальної практики - сімейний лікар",IF(S799&lt;Законод!$C$22,0,(IF(AND(S799&gt;=Законод!$G$22,S799&lt;=Законод!$G$23),S799-Законод!$F$23,IF('01_Доходи'!S799&gt;=Законод!$H$22,Законод!$G$24,0)))),IF($B$795="Лікар-педіатр",IF(S799&lt;Законод!$C$18,0,(IF(AND(S799&gt;=Законод!$G$18,S799&lt;=Законод!$G$19),S799-Законод!$F$19,IF('01_Доходи'!S799&gt;=Законод!$H$18,Законод!$G$20,0)))),IF($B$795="Лікар-терапевт",IF(S799&lt;Законод!$C$26,0,(IF(AND(S799&gt;=Законод!$G$26,S799&lt;=Законод!$G$27),S799-Законод!$F$27,IF('01_Доходи'!S799&gt;=Законод!$H$26,Законод!$G$28,0)))),0)))</f>
        <v>0</v>
      </c>
      <c r="T803" s="942"/>
      <c r="U803" s="935" t="s">
        <v>423</v>
      </c>
      <c r="V803" s="936"/>
      <c r="W803" s="936"/>
      <c r="X803" s="936"/>
      <c r="Y803" s="937"/>
      <c r="Z803" s="196">
        <f ca="1">IF($B$795="Лікар загальної практики - сімейний лікар",IF(Z799&lt;Законод!$C$22,0,(IF(AND(Z799&gt;=Законод!$G$22,Z799&lt;=Законод!$G$23),Z799-Законод!$F$23,IF('01_Доходи'!Z799&gt;=Законод!$H$22,Законод!$G$24,0)))),IF($B$795="Лікар-педіатр",IF(Z799&lt;Законод!$C$18,0,(IF(AND(Z799&gt;=Законод!$G$18,Z799&lt;=Законод!$G$19),Z799-Законод!$F$19,IF('01_Доходи'!Z799&gt;=Законод!$H$18,Законод!$G$20,0)))),IF($B$795="Лікар-терапевт",IF(Z799&lt;Законод!$C$26,0,(IF(AND(Z799&gt;=Законод!$G$26,Z799&lt;=Законод!$G$27),Z799-Законод!$F$27,IF('01_Доходи'!Z799&gt;=Законод!$H$26,Законод!$G$28,0)))),0)))</f>
        <v>0</v>
      </c>
      <c r="AA803" s="942"/>
      <c r="AB803" s="935" t="s">
        <v>423</v>
      </c>
      <c r="AC803" s="936"/>
      <c r="AD803" s="936"/>
      <c r="AE803" s="936"/>
      <c r="AF803" s="937"/>
      <c r="AG803" s="196">
        <f ca="1">IF($B$795="Лікар загальної практики - сімейний лікар",IF(AG799&lt;Законод!$C$22,0,(IF(AND(AG799&gt;=Законод!$G$22,AG799&lt;=Законод!$G$23),AG799-Законод!$F$23,IF('01_Доходи'!AG799&gt;=Законод!$H$22,Законод!$G$24,0)))),IF($B$795="Лікар-педіатр",IF(AG799&lt;Законод!$C$18,0,(IF(AND(AG799&gt;=Законод!$G$18,AG799&lt;=Законод!$G$19),AG799-Законод!$F$19,IF('01_Доходи'!AG799&gt;=Законод!$H$18,Законод!$G$20,0)))),IF($B$795="Лікар-терапевт",IF(AG799&lt;Законод!$C$26,0,(IF(AND(AG799&gt;=Законод!$G$26,AG799&lt;=Законод!$G$27),AG799-Законод!$F$27,IF('01_Доходи'!AG799&gt;=Законод!$H$26,Законод!$G$28,0)))),0)))</f>
        <v>0</v>
      </c>
      <c r="AH803" s="942"/>
      <c r="AI803" s="201"/>
      <c r="AJ803" s="945"/>
      <c r="AK803" s="960"/>
      <c r="AL803" s="960"/>
      <c r="AM803" s="927"/>
      <c r="AN803" s="210">
        <f ca="1">IF(B795="Лікар загальної практики - сімейний лікар",L803*Законод!$C$9/4*Законод!$G$16,IF(B795="Лікар-педіатр",L803*Законод!$C$9/4*Законод!$G$16,IF(B795="Лікар-терапевт",L803*Законод!$C$9/4*Законод!$G$16,0)))</f>
        <v>0</v>
      </c>
      <c r="AO803" s="210">
        <f ca="1">IF(B795="Лікар загальної практики - сімейний лікар",S803*Законод!$C$9/4*Законод!$G$16,IF(B795="Лікар-педіатр",S803*Законод!$C$9/4*Законод!$G$16,IF(B795="Лікар-терапевт",S803*Законод!$C$9/4*Законод!$G$16,0)))</f>
        <v>0</v>
      </c>
      <c r="AP803" s="210">
        <f ca="1">IF(B795="Лікар загальної практики - сімейний лікар",Z803*Законод!$C$9/4*Законод!$G$16,IF(B795="Лікар-педіатр",Z803*Законод!$C$9/4*Законод!$G$16,IF(B795="Лікар-терапевт",Z803*Законод!$C$9/4*Законод!$G$16,0)))</f>
        <v>0</v>
      </c>
      <c r="AQ803" s="210">
        <f ca="1">IF(B795="Лікар загальної практики - сімейний лікар",AG803*Законод!$C$9/4*Законод!$G$16,IF(B795="Лікар-педіатр",AG803*Законод!$C$9/4*Законод!$G$16,IF(B795="Лікар-терапевт",AG803*Законод!$C$9/4*Законод!$G$16,0)))</f>
        <v>0</v>
      </c>
      <c r="AR803" s="211">
        <f t="shared" si="101"/>
        <v>0</v>
      </c>
    </row>
    <row r="804" spans="1:44" s="50" customFormat="1" ht="31.9" hidden="1" customHeight="1">
      <c r="A804" s="197"/>
      <c r="B804" s="951"/>
      <c r="C804" s="954"/>
      <c r="D804" s="957"/>
      <c r="E804" s="939"/>
      <c r="F804" s="238" t="str">
        <f ca="1">IF(B795="Лікар-педіатр",Законод!$H$17,IF(B795="Лікар загальної практики - сімейний лікар",Законод!$H$21,IF(B795="Лікар-терапевт",Законод!$H$25,"х")))</f>
        <v>х</v>
      </c>
      <c r="G804" s="935" t="s">
        <v>423</v>
      </c>
      <c r="H804" s="936"/>
      <c r="I804" s="936"/>
      <c r="J804" s="936"/>
      <c r="K804" s="937"/>
      <c r="L804" s="196">
        <f ca="1">IF($B$795="Лікар загальної практики - сімейний лікар",IF(L799&lt;Законод!$C$22,0,(IF(AND(L799&gt;=Законод!$H$22,L799&lt;=Законод!$H$23),L799-Законод!$G$23,IF('01_Доходи'!L799&gt;=Законод!$I$22,Законод!$H$24,0)))),IF($B$795="Лікар-педіатр",IF(L799&lt;Законод!$C$18,0,(IF(AND(L799&gt;=Законод!$H$18,L799&lt;=Законод!$H$19),L799-Законод!$G$19,IF('01_Доходи'!L799&gt;=Законод!$I$18,Законод!$H$20,0)))),IF($B$795="Лікар-терапевт",IF(L799&lt;Законод!$C$26,0,(IF(AND(L799&gt;=Законод!$H$26,L799&lt;=Законод!$H$27),L799-Законод!$G$27,IF(L799&gt;=Законод!$I$26,Законод!$H$28,0)))),0)))</f>
        <v>0</v>
      </c>
      <c r="M804" s="942"/>
      <c r="N804" s="935" t="s">
        <v>423</v>
      </c>
      <c r="O804" s="936"/>
      <c r="P804" s="936"/>
      <c r="Q804" s="936"/>
      <c r="R804" s="937"/>
      <c r="S804" s="196">
        <f ca="1">IF($B$795="Лікар загальної практики - сімейний лікар",IF(S799&lt;Законод!$C$22,0,(IF(AND(S799&gt;=Законод!$H$22,S799&lt;=Законод!$H$23),S799-Законод!$G$23,IF('01_Доходи'!S799&gt;=Законод!$I$22,Законод!$H$24,0)))),IF($B$795="Лікар-педіатр",IF(S799&lt;Законод!$C$18,0,(IF(AND(S799&gt;=Законод!$H$18,S799&lt;=Законод!$H$19),S799-Законод!$G$19,IF('01_Доходи'!S799&gt;=Законод!$I$18,Законод!$H$20,0)))),IF($B$795="Лікар-терапевт",IF(S799&lt;Законод!$C$26,0,(IF(AND(S799&gt;=Законод!$H$26,S799&lt;=Законод!$H$27),S799-Законод!$G$27,IF(S799&gt;=Законод!$I$26,Законод!$H$28,0)))),0)))</f>
        <v>0</v>
      </c>
      <c r="T804" s="942"/>
      <c r="U804" s="935" t="s">
        <v>423</v>
      </c>
      <c r="V804" s="936"/>
      <c r="W804" s="936"/>
      <c r="X804" s="936"/>
      <c r="Y804" s="937"/>
      <c r="Z804" s="196">
        <f ca="1">IF($B$795="Лікар загальної практики - сімейний лікар",IF(Z799&lt;Законод!$C$22,0,(IF(AND(Z799&gt;=Законод!$H$22,Z799&lt;=Законод!$H$23),Z799-Законод!$G$23,IF('01_Доходи'!Z799&gt;=Законод!$I$22,Законод!$H$24,0)))),IF($B$795="Лікар-педіатр",IF(Z799&lt;Законод!$C$18,0,(IF(AND(Z799&gt;=Законод!$H$18,Z799&lt;=Законод!$H$19),Z799-Законод!$G$19,IF('01_Доходи'!Z799&gt;=Законод!$I$18,Законод!$H$20,0)))),IF($B$795="Лікар-терапевт",IF(Z799&lt;Законод!$C$26,0,(IF(AND(Z799&gt;=Законод!$H$26,Z799&lt;=Законод!$H$27),Z799-Законод!$G$27,IF(Z799&gt;=Законод!$I$26,Законод!$H$28,0)))),0)))</f>
        <v>0</v>
      </c>
      <c r="AA804" s="942"/>
      <c r="AB804" s="935" t="s">
        <v>423</v>
      </c>
      <c r="AC804" s="936"/>
      <c r="AD804" s="936"/>
      <c r="AE804" s="936"/>
      <c r="AF804" s="937"/>
      <c r="AG804" s="196">
        <f ca="1">IF($B$795="Лікар загальної практики - сімейний лікар",IF(AG799&lt;Законод!$C$22,0,(IF(AND(AG799&gt;=Законод!$H$22,AG799&lt;=Законод!$H$23),AG799-Законод!$G$23,IF('01_Доходи'!AG799&gt;=Законод!$I$22,Законод!$H$24,0)))),IF($B$795="Лікар-педіатр",IF(AG799&lt;Законод!$C$18,0,(IF(AND(AG799&gt;=Законод!$H$18,AG799&lt;=Законод!$H$19),AG799-Законод!$G$19,IF('01_Доходи'!AG799&gt;=Законод!$I$18,Законод!$H$20,0)))),IF($B$795="Лікар-терапевт",IF(AG799&lt;Законод!$C$26,0,(IF(AND(AG799&gt;=Законод!$H$26,AG799&lt;=Законод!$H$27),AG799-Законод!$G$27,IF(AG799&gt;=Законод!$I$26,Законод!$H$28,0)))),0)))</f>
        <v>0</v>
      </c>
      <c r="AH804" s="942"/>
      <c r="AI804" s="201"/>
      <c r="AJ804" s="945"/>
      <c r="AK804" s="960"/>
      <c r="AL804" s="960"/>
      <c r="AM804" s="927"/>
      <c r="AN804" s="210">
        <f ca="1">IF(B795="Лікар загальної практики - сімейний лікар",L804*Законод!$C$9/4*Законод!$H$16,IF(B795="Лікар-педіатр",L804*Законод!$C$9/4*Законод!$H$16,IF(B795="Лікар-терапевт",L804*Законод!$C$9/4*Законод!$H$16,0)))</f>
        <v>0</v>
      </c>
      <c r="AO804" s="210">
        <f ca="1">IF(B795="Лікар загальної практики - сімейний лікар",S804*Законод!$C$9/4*Законод!$H$16,IF(B795="Лікар-педіатр",S804*Законод!$C$9/4*Законод!$H$16,IF(B795="Лікар-терапевт",S804*Законод!$C$9/4*Законод!$H$16,0)))</f>
        <v>0</v>
      </c>
      <c r="AP804" s="210">
        <f ca="1">IF(B795="Лікар загальної практики - сімейний лікар",Z804*Законод!$C$9/4*Законод!$H$16,IF(B795="Лікар-педіатр",Z804*Законод!$C$9/4*Законод!$H$16,IF(B795="Лікар-терапевт",Z804*Законод!$C$9/4*Законод!$H$16,0)))</f>
        <v>0</v>
      </c>
      <c r="AQ804" s="210">
        <f ca="1">IF(B795="Лікар загальної практики - сімейний лікар",AG804*Законод!$C$9/4*Законод!$H$16,IF(B795="Лікар-педіатр",AG804*Законод!$C$9/4*Законод!$H$16,IF(B795="Лікар-терапевт",AG804*Законод!$C$9/4*Законод!$H$16,0)))</f>
        <v>0</v>
      </c>
      <c r="AR804" s="211">
        <f t="shared" si="101"/>
        <v>0</v>
      </c>
    </row>
    <row r="805" spans="1:44" s="50" customFormat="1" ht="31.9" hidden="1" customHeight="1">
      <c r="A805" s="197"/>
      <c r="B805" s="951"/>
      <c r="C805" s="954"/>
      <c r="D805" s="957"/>
      <c r="E805" s="939"/>
      <c r="F805" s="238" t="str">
        <f ca="1">IF(B795="Лікар-педіатр",Законод!$I$17,IF(B795="Лікар загальної практики - сімейний лікар",Законод!$I$21,IF(B795="Лікар-терапевт",Законод!$I$25,"х")))</f>
        <v>х</v>
      </c>
      <c r="G805" s="935" t="s">
        <v>423</v>
      </c>
      <c r="H805" s="936"/>
      <c r="I805" s="936"/>
      <c r="J805" s="936"/>
      <c r="K805" s="937"/>
      <c r="L805" s="196">
        <f ca="1">IF($B$795="Лікар загальної практики - сімейний лікар",IF(L799&lt;Законод!$C$22,0,(IF(AND(L799&gt;=Законод!$I$22,L799&lt;=Законод!$I$23),L799-Законод!$H$23,IF('01_Доходи'!L799&gt;=Законод!$I$22,Законод!$I$24,0)))),IF($B$795="Лікар-педіатр",IF(L799&lt;Законод!$C$18,0,(IF(AND(L799&gt;=Законод!$I$18,L799&lt;=Законод!$I$19),L799-Законод!$H$19,IF('01_Доходи'!L799&gt;=Законод!$I$18,Законод!$H$20,0)))),IF($B$795="Лікар-терапевт",IF(L799&lt;Законод!$C$26,0,(IF(AND(L799&gt;=Законод!$I$26,L799&lt;=Законод!$I$27),L799-Законод!$H$27,IF('01_Доходи'!L799&gt;=Законод!$I$26,Законод!$H$28,0)))),0)))</f>
        <v>0</v>
      </c>
      <c r="M805" s="942"/>
      <c r="N805" s="935" t="s">
        <v>423</v>
      </c>
      <c r="O805" s="936"/>
      <c r="P805" s="936"/>
      <c r="Q805" s="936"/>
      <c r="R805" s="937"/>
      <c r="S805" s="196">
        <f ca="1">IF($B$795="Лікар загальної практики - сімейний лікар",IF(S799&lt;Законод!$C$22,0,(IF(AND(S799&gt;=Законод!$I$22,S799&lt;=Законод!$I$23),S799-Законод!$H$23,IF('01_Доходи'!S799&gt;=Законод!$I$22,Законод!$I$24,0)))),IF($B$795="Лікар-педіатр",IF(S799&lt;Законод!$C$18,0,(IF(AND(S799&gt;=Законод!$I$18,S799&lt;=Законод!$I$19),S799-Законод!$H$19,IF('01_Доходи'!S799&gt;=Законод!$I$18,Законод!$H$20,0)))),IF($B$795="Лікар-терапевт",IF(S799&lt;Законод!$C$26,0,(IF(AND(S799&gt;=Законод!$I$26,S799&lt;=Законод!$I$27),S799-Законод!$H$27,IF('01_Доходи'!S799&gt;=Законод!$I$26,Законод!$H$28,0)))),0)))</f>
        <v>0</v>
      </c>
      <c r="T805" s="942"/>
      <c r="U805" s="935" t="s">
        <v>423</v>
      </c>
      <c r="V805" s="936"/>
      <c r="W805" s="936"/>
      <c r="X805" s="936"/>
      <c r="Y805" s="937"/>
      <c r="Z805" s="196">
        <f ca="1">IF($B$795="Лікар загальної практики - сімейний лікар",IF(Z799&lt;Законод!$C$22,0,(IF(AND(Z799&gt;=Законод!$I$22,Z799&lt;=Законод!$I$23),Z799-Законод!$H$23,IF('01_Доходи'!Z799&gt;=Законод!$I$22,Законод!$I$24,0)))),IF($B$795="Лікар-педіатр",IF(Z799&lt;Законод!$C$18,0,(IF(AND(Z799&gt;=Законод!$I$18,Z799&lt;=Законод!$I$19),Z799-Законод!$H$19,IF('01_Доходи'!Z799&gt;=Законод!$I$18,Законод!$H$20,0)))),IF($B$795="Лікар-терапевт",IF(Z799&lt;Законод!$C$26,0,(IF(AND(Z799&gt;=Законод!$I$26,Z799&lt;=Законод!$I$27),Z799-Законод!$H$27,IF('01_Доходи'!Z799&gt;=Законод!$I$26,Законод!$H$28,0)))),0)))</f>
        <v>0</v>
      </c>
      <c r="AA805" s="942"/>
      <c r="AB805" s="935" t="s">
        <v>423</v>
      </c>
      <c r="AC805" s="936"/>
      <c r="AD805" s="936"/>
      <c r="AE805" s="936"/>
      <c r="AF805" s="937"/>
      <c r="AG805" s="196">
        <f ca="1">IF($B$795="Лікар загальної практики - сімейний лікар",IF(AG799&lt;Законод!$C$22,0,(IF(AND(AG799&gt;=Законод!$I$22,AG799&lt;=Законод!$I$23),AG799-Законод!$H$23,IF('01_Доходи'!AG799&gt;=Законод!$I$22,Законод!$I$24,0)))),IF($B$795="Лікар-педіатр",IF(AG799&lt;Законод!$C$18,0,(IF(AND(AG799&gt;=Законод!$I$18,AG799&lt;=Законод!$I$19),AG799-Законод!$H$19,IF('01_Доходи'!AG799&gt;=Законод!$I$18,Законод!$H$20,0)))),IF($B$795="Лікар-терапевт",IF(AG799&lt;Законод!$C$26,0,(IF(AND(AG799&gt;=Законод!$I$26,AG799&lt;=Законод!$I$27),AG799-Законод!$H$27,IF('01_Доходи'!AG799&gt;=Законод!$I$26,Законод!$H$28,0)))),0)))</f>
        <v>0</v>
      </c>
      <c r="AH805" s="942"/>
      <c r="AI805" s="201"/>
      <c r="AJ805" s="945"/>
      <c r="AK805" s="960"/>
      <c r="AL805" s="960"/>
      <c r="AM805" s="927"/>
      <c r="AN805" s="210">
        <f ca="1">IF(B795="Лікар загальної практики - сімейний лікар",L805*Законод!$C$9/4*Законод!$I$16,IF(B795="Лікар-педіатр",L805*Законод!$C$9/4*Законод!$I$16,IF(B795="Лікар-терапевт",L805*Законод!$C$9/4*Законод!$I$16,0)))</f>
        <v>0</v>
      </c>
      <c r="AO805" s="210">
        <f ca="1">IF(B795="Лікар загальної практики - сімейний лікар",S805*Законод!$C$9/4*Законод!$I$16,IF(B795="Лікар-педіатр",S805*Законод!$C$9/4*Законод!$I$16,IF(B795="Лікар-терапевт",S805*Законод!$C$9/4*Законод!$I$16,0)))</f>
        <v>0</v>
      </c>
      <c r="AP805" s="210">
        <f ca="1">IF(B795="Лікар загальної практики - сімейний лікар",Z805*Законод!$C$9/4*Законод!$I$16,IF(B795="Лікар-педіатр",Z805*Законод!$C$9/4*Законод!$I$16,IF(B795="Лікар-терапевт",Z805*Законод!$C$9/4*Законод!$I$16,0)))</f>
        <v>0</v>
      </c>
      <c r="AQ805" s="210">
        <f ca="1">IF(B795="Лікар загальної практики - сімейний лікар",AG805*Законод!$C$9/4*Законод!$I$16,IF(B795="Лікар-педіатр",AG805*Законод!$C$9/4*Законод!$I$16,IF(B795="Лікар-терапевт",AG805*Законод!$C$9/4*Законод!$I$16,0)))</f>
        <v>0</v>
      </c>
      <c r="AR805" s="211">
        <f t="shared" si="101"/>
        <v>0</v>
      </c>
    </row>
    <row r="806" spans="1:44" s="218" customFormat="1" ht="31.9" hidden="1" customHeight="1" thickBot="1">
      <c r="A806" s="213"/>
      <c r="B806" s="952"/>
      <c r="C806" s="955"/>
      <c r="D806" s="958"/>
      <c r="E806" s="940"/>
      <c r="F806" s="239" t="str">
        <f ca="1">IF(B795="Лікар-педіатр",Законод!$J$17,IF(B795="Лікар загальної практики - сімейний лікар",Законод!$J$21,IF(B795="Лікар-терапевт",Законод!$J$25,"х")))</f>
        <v>х</v>
      </c>
      <c r="G806" s="932" t="s">
        <v>423</v>
      </c>
      <c r="H806" s="933"/>
      <c r="I806" s="933"/>
      <c r="J806" s="933"/>
      <c r="K806" s="934"/>
      <c r="L806" s="196">
        <f ca="1">IF($B$795="Лікар загальної практики - сімейний лікар",IF(L799&gt;=Законод!$J$22,'01_Доходи'!L799-('01_Доходи'!L800+'01_Доходи'!L801+'01_Доходи'!L802+'01_Доходи'!L803+'01_Доходи'!L804+'01_Доходи'!L805),0),IF($B$795="Лікар-педіатр",IF(L799&gt;=Законод!$J$18,'01_Доходи'!L799-('01_Доходи'!L800+'01_Доходи'!L801+'01_Доходи'!L802+'01_Доходи'!L803+'01_Доходи'!L804+'01_Доходи'!L805),0),IF($B$795="Лікар-терапевт",IF('01_Доходи'!L799&gt;=Законод!$J$26,L799-Законод!$I$27,0),0)))</f>
        <v>0</v>
      </c>
      <c r="M806" s="943"/>
      <c r="N806" s="932" t="s">
        <v>423</v>
      </c>
      <c r="O806" s="933"/>
      <c r="P806" s="933"/>
      <c r="Q806" s="933"/>
      <c r="R806" s="934"/>
      <c r="S806" s="196">
        <f ca="1">IF($B$795="Лікар загальної практики - сімейний лікар",IF(S799&gt;=Законод!$J$22,'01_Доходи'!S799-('01_Доходи'!S800+'01_Доходи'!S801+'01_Доходи'!S802+'01_Доходи'!S803+'01_Доходи'!S804+'01_Доходи'!S805),0),IF($B$795="Лікар-педіатр",IF(S799&gt;=Законод!$J$18,'01_Доходи'!S799-('01_Доходи'!S800+'01_Доходи'!S801+'01_Доходи'!S802+'01_Доходи'!S803+'01_Доходи'!S804+'01_Доходи'!S805),0),IF($B$795="Лікар-терапевт",IF('01_Доходи'!S799&gt;=Законод!$J$26,S799-Законод!$I$27,0),0)))</f>
        <v>0</v>
      </c>
      <c r="T806" s="943"/>
      <c r="U806" s="932" t="s">
        <v>423</v>
      </c>
      <c r="V806" s="933"/>
      <c r="W806" s="933"/>
      <c r="X806" s="933"/>
      <c r="Y806" s="934"/>
      <c r="Z806" s="196">
        <f ca="1">IF($B$795="Лікар загальної практики - сімейний лікар",IF(Z799&gt;=Законод!$J$22,'01_Доходи'!Z799-('01_Доходи'!Z800+'01_Доходи'!Z801+'01_Доходи'!Z802+'01_Доходи'!Z803+'01_Доходи'!Z804+'01_Доходи'!Z805),0),IF($B$795="Лікар-педіатр",IF(Z799&gt;=Законод!$J$18,'01_Доходи'!Z799-('01_Доходи'!Z800+'01_Доходи'!Z801+'01_Доходи'!Z802+'01_Доходи'!Z803+'01_Доходи'!Z804+'01_Доходи'!Z805),0),IF($B$795="Лікар-терапевт",IF('01_Доходи'!Z799&gt;=Законод!$J$26,Z799-Законод!$I$27,0),0)))</f>
        <v>0</v>
      </c>
      <c r="AA806" s="943"/>
      <c r="AB806" s="932" t="s">
        <v>423</v>
      </c>
      <c r="AC806" s="933"/>
      <c r="AD806" s="933"/>
      <c r="AE806" s="933"/>
      <c r="AF806" s="934"/>
      <c r="AG806" s="196">
        <f ca="1">IF($B$795="Лікар загальної практики - сімейний лікар",IF(AG799&gt;=Законод!$J$22,'01_Доходи'!AG799-('01_Доходи'!AG800+'01_Доходи'!AG801+'01_Доходи'!AG802+'01_Доходи'!AG803+'01_Доходи'!AG804+'01_Доходи'!AG805),0),IF($B$795="Лікар-педіатр",IF(AG799&gt;=Законод!$J$18,'01_Доходи'!AG799-('01_Доходи'!AG800+'01_Доходи'!AG801+'01_Доходи'!AG802+'01_Доходи'!AG803+'01_Доходи'!AG804+'01_Доходи'!AG805),0),IF($B$795="Лікар-терапевт",IF('01_Доходи'!AG799&gt;=Законод!$J$26,AG799-Законод!$I$27,0),0)))</f>
        <v>0</v>
      </c>
      <c r="AH806" s="943"/>
      <c r="AI806" s="215"/>
      <c r="AJ806" s="946"/>
      <c r="AK806" s="961"/>
      <c r="AL806" s="961"/>
      <c r="AM806" s="928"/>
      <c r="AN806" s="216">
        <f ca="1">IF(B795="Лікар загальної практики - сімейний лікар",L806*Законод!$C$9/4*Законод!$J$16,IF(B795="Лікар-педіатр",L806*Законод!$C$9/4*Законод!$J$16,IF(B795="Лікар-терапевт",L806*Законод!$C$9/4*Законод!$J$16,0)))</f>
        <v>0</v>
      </c>
      <c r="AO806" s="216">
        <f ca="1">IF(B795="Лікар загальної практики - сімейний лікар",S806*Законод!$C$9/4*Законод!$J$16,IF(B795="Лікар-педіатр",S806*Законод!$C$9/4*Законод!$J$16,IF(B795="Лікар-терапевт",S806*Законод!$C$9/4*Законод!$J$16,0)))</f>
        <v>0</v>
      </c>
      <c r="AP806" s="216">
        <f ca="1">IF(B795="Лікар загальної практики - сімейний лікар",S806*Законод!$C$9/4*Законод!$J$16,IF(B795="Лікар-педіатр",S806*Законод!$C$9/4*Законод!$J$16,IF(B795="Лікар-терапевт",S806*Законод!$C$9/4*Законод!$J$16,0)))</f>
        <v>0</v>
      </c>
      <c r="AQ806" s="216">
        <f ca="1">IF(B795="Лікар загальної практики - сімейний лікар",AG806*Законод!$C$9/4*Законод!$J$16,IF(B795="Лікар-педіатр",AG806*Законод!$C$9/4*Законод!$J$16,IF(B795="Лікар-терапевт",AG806*Законод!$C$9/4*Законод!$J$16,0)))</f>
        <v>0</v>
      </c>
      <c r="AR806" s="217">
        <f t="shared" si="101"/>
        <v>0</v>
      </c>
    </row>
    <row r="807" spans="1:44" s="247" customFormat="1" ht="23.45" hidden="1" customHeight="1" thickBot="1">
      <c r="A807" s="243"/>
      <c r="B807" s="244"/>
      <c r="C807" s="244"/>
      <c r="D807" s="244"/>
      <c r="E807" s="244"/>
      <c r="F807" s="245"/>
      <c r="G807" s="246"/>
      <c r="H807" s="246"/>
      <c r="L807" s="248"/>
      <c r="S807" s="248"/>
      <c r="Z807" s="248"/>
      <c r="AG807" s="248"/>
      <c r="AM807" s="249"/>
      <c r="AR807" s="250"/>
    </row>
    <row r="808" spans="1:44" s="191" customFormat="1" ht="24.6" hidden="1" customHeight="1">
      <c r="A808" s="194">
        <f>A795+1</f>
        <v>60</v>
      </c>
      <c r="B808" s="950"/>
      <c r="C808" s="953"/>
      <c r="D808" s="956"/>
      <c r="E808" s="938"/>
      <c r="F808" s="234" t="s">
        <v>659</v>
      </c>
      <c r="G808" s="196">
        <f>IF($B$808="Лікар-педіатр",G811*L808,IF($B$808="Лікар-терапевт","х",IF($B$808="Лікар загальної практики - сімейний лікар",G811*L808,0)))</f>
        <v>0</v>
      </c>
      <c r="H808" s="196">
        <f>IF($B$808="Лікар-педіатр",H811*L808,IF($B$808="Лікар-терапевт","х",IF($B$808="Лікар загальної практики - сімейний лікар",H811*L808,0)))</f>
        <v>0</v>
      </c>
      <c r="I808" s="196">
        <f>IF($B$808="Лікар-педіатр","x",IF($B$808="Лікар-терапевт",I811*L808,IF($B$808="Лікар загальної практики - сімейний лікар",I811*L808,0)))</f>
        <v>0</v>
      </c>
      <c r="J808" s="196">
        <f>IF($B$808="Лікар-педіатр","x",IF($B$808="Лікар-терапевт",J811*L808,IF($B$808="Лікар загальної практики - сімейний лікар",J811*L808,0)))</f>
        <v>0</v>
      </c>
      <c r="K808" s="196">
        <f>IF($B$808="Лікар-педіатр","x",IF($B$808="Лікар-терапевт",K811*L808,IF($B$808="Лікар загальної практики - сімейний лікар",K811*L808,0)))</f>
        <v>0</v>
      </c>
      <c r="L808" s="557"/>
      <c r="M808" s="941"/>
      <c r="N808" s="196">
        <f>IF($B$808="Лікар-педіатр",N811*S808,IF($B$808="Лікар-терапевт","х",IF($B$808="Лікар загальної практики - сімейний лікар",N811*S808,0)))</f>
        <v>0</v>
      </c>
      <c r="O808" s="196">
        <f>IF($B$808="Лікар-педіатр",O811*S808,IF($B$808="Лікар-терапевт","х",IF($B$808="Лікар загальної практики - сімейний лікар",O811*S808,0)))</f>
        <v>0</v>
      </c>
      <c r="P808" s="196">
        <f>IF($B$808="Лікар-педіатр","x",IF($B$808="Лікар-терапевт",P811*S808,IF($B$808="Лікар загальної практики - сімейний лікар",P811*S808,0)))</f>
        <v>0</v>
      </c>
      <c r="Q808" s="196">
        <f>IF($B$808="Лікар-педіатр","x",IF($B$808="Лікар-терапевт",Q811*S808,IF($B$808="Лікар загальної практики - сімейний лікар",Q811*S808,0)))</f>
        <v>0</v>
      </c>
      <c r="R808" s="196">
        <f>IF($B$808="Лікар-педіатр","x",IF($B$808="Лікар-терапевт",R811*S808,IF($B$808="Лікар загальної практики - сімейний лікар",R811*S808,0)))</f>
        <v>0</v>
      </c>
      <c r="S808" s="557"/>
      <c r="T808" s="941"/>
      <c r="U808" s="196">
        <f>IF($B$808="Лікар-педіатр",U811*Z808,IF($B$808="Лікар-терапевт","х",IF($B$808="Лікар загальної практики - сімейний лікар",U811*Z808,0)))</f>
        <v>0</v>
      </c>
      <c r="V808" s="196">
        <f>IF($B$808="Лікар-педіатр",V811*Z808,IF($B$808="Лікар-терапевт","х",IF($B$808="Лікар загальної практики - сімейний лікар",V811*Z808,0)))</f>
        <v>0</v>
      </c>
      <c r="W808" s="196">
        <f>IF($B$808="Лікар-педіатр","x",IF($B$808="Лікар-терапевт",W811*Z808,IF($B$808="Лікар загальної практики - сімейний лікар",W811*Z808,0)))</f>
        <v>0</v>
      </c>
      <c r="X808" s="196">
        <f>IF($B$808="Лікар-педіатр","x",IF($B$808="Лікар-терапевт",X811*Z808,IF($B$808="Лікар загальної практики - сімейний лікар",X811*Z808,0)))</f>
        <v>0</v>
      </c>
      <c r="Y808" s="196">
        <f>IF($B$808="Лікар-педіатр","x",IF($B$808="Лікар-терапевт",Y811*Z808,IF($B$808="Лікар загальної практики - сімейний лікар",Y811*Z808,0)))</f>
        <v>0</v>
      </c>
      <c r="Z808" s="557"/>
      <c r="AA808" s="941"/>
      <c r="AB808" s="196">
        <f>IF($B$808="Лікар-педіатр",AB811*AG808,IF($B$808="Лікар-терапевт","х",IF($B$808="Лікар загальної практики - сімейний лікар",AB811*AG808,0)))</f>
        <v>0</v>
      </c>
      <c r="AC808" s="196">
        <f>IF($B$808="Лікар-педіатр",AC811*AG808,IF($B$808="Лікар-терапевт","х",IF($B$808="Лікар загальної практики - сімейний лікар",AC811*AG808,0)))</f>
        <v>0</v>
      </c>
      <c r="AD808" s="196">
        <f>IF($B$808="Лікар-педіатр","x",IF($B$808="Лікар-терапевт",AD811*AG808,IF($B$808="Лікар загальної практики - сімейний лікар",AD811*AG808,0)))</f>
        <v>0</v>
      </c>
      <c r="AE808" s="196">
        <f>IF($B$808="Лікар-педіатр","x",IF($B$808="Лікар-терапевт",AE811*AG808,IF($B$808="Лікар загальної практики - сімейний лікар",AE811*AG808,0)))</f>
        <v>0</v>
      </c>
      <c r="AF808" s="196">
        <f>IF($B$808="Лікар-педіатр","x",IF($B$808="Лікар-терапевт",AF811*AG808,IF($B$808="Лікар загальної практики - сімейний лікар",AF811*AG808,0)))</f>
        <v>0</v>
      </c>
      <c r="AG808" s="557"/>
      <c r="AH808" s="941"/>
      <c r="AI808" s="540">
        <f>A808</f>
        <v>60</v>
      </c>
      <c r="AJ808" s="944">
        <f>B808</f>
        <v>0</v>
      </c>
      <c r="AK808" s="959">
        <f>C808</f>
        <v>0</v>
      </c>
      <c r="AL808" s="959">
        <f>D808</f>
        <v>0</v>
      </c>
      <c r="AM808" s="929" t="s">
        <v>79</v>
      </c>
      <c r="AN808" s="947">
        <f>SUM(AN813:AN819)</f>
        <v>0</v>
      </c>
      <c r="AO808" s="947">
        <f>SUM(AO813:AO819)</f>
        <v>0</v>
      </c>
      <c r="AP808" s="947">
        <f>SUM(AP813:AP819)</f>
        <v>0</v>
      </c>
      <c r="AQ808" s="947">
        <f>SUM(AQ813:AQ819)</f>
        <v>0</v>
      </c>
      <c r="AR808" s="962">
        <f>SUM(AN808:AQ812)</f>
        <v>0</v>
      </c>
    </row>
    <row r="809" spans="1:44" s="50" customFormat="1" ht="28.15" hidden="1" customHeight="1">
      <c r="A809" s="197"/>
      <c r="B809" s="951"/>
      <c r="C809" s="954"/>
      <c r="D809" s="957"/>
      <c r="E809" s="939"/>
      <c r="F809" s="234" t="s">
        <v>660</v>
      </c>
      <c r="G809" s="196">
        <f>IF($B$808="Лікар-педіатр",G811*L809,IF($B$808="Лікар-терапевт","х",IF($B$808="Лікар загальної практики - сімейний лікар",G811*L809,0)))</f>
        <v>0</v>
      </c>
      <c r="H809" s="196">
        <f>IF($B$808="Лікар-педіатр",H811*L809,IF($B$808="Лікар-терапевт","х",IF($B$808="Лікар загальної практики - сімейний лікар",H811*L809,0)))</f>
        <v>0</v>
      </c>
      <c r="I809" s="196">
        <f>IF($B$808="Лікар-педіатр","x",IF($B$808="Лікар-терапевт",I811*L809,IF($B$808="Лікар загальної практики - сімейний лікар",I811*L809,0)))</f>
        <v>0</v>
      </c>
      <c r="J809" s="196">
        <f>IF($B$808="Лікар-педіатр","x",IF($B$808="Лікар-терапевт",J811*L809,IF($B$808="Лікар загальної практики - сімейний лікар",J811*L809,0)))</f>
        <v>0</v>
      </c>
      <c r="K809" s="196">
        <f>IF($B$808="Лікар-педіатр","x",IF($B$808="Лікар-терапевт",K811*L809,IF($B$808="Лікар загальної практики - сімейний лікар",K811*L809,0)))</f>
        <v>0</v>
      </c>
      <c r="L809" s="557"/>
      <c r="M809" s="942"/>
      <c r="N809" s="196">
        <f>IF($B$808="Лікар-педіатр",N811*S809,IF($B$808="Лікар-терапевт","х",IF($B$808="Лікар загальної практики - сімейний лікар",N811*S809,0)))</f>
        <v>0</v>
      </c>
      <c r="O809" s="196">
        <f>IF($B$808="Лікар-педіатр",O811*S809,IF($B$808="Лікар-терапевт","х",IF($B$808="Лікар загальної практики - сімейний лікар",O811*S809,0)))</f>
        <v>0</v>
      </c>
      <c r="P809" s="196">
        <f>IF($B$808="Лікар-педіатр","x",IF($B$808="Лікар-терапевт",P811*S809,IF($B$808="Лікар загальної практики - сімейний лікар",P811*S809,0)))</f>
        <v>0</v>
      </c>
      <c r="Q809" s="196">
        <f>IF($B$808="Лікар-педіатр","x",IF($B$808="Лікар-терапевт",Q811*S809,IF($B$808="Лікар загальної практики - сімейний лікар",Q811*S809,0)))</f>
        <v>0</v>
      </c>
      <c r="R809" s="196">
        <f>IF($B$808="Лікар-педіатр","x",IF($B$808="Лікар-терапевт",R811*S809,IF($B$808="Лікар загальної практики - сімейний лікар",R811*S809,0)))</f>
        <v>0</v>
      </c>
      <c r="S809" s="557"/>
      <c r="T809" s="942"/>
      <c r="U809" s="196">
        <f>IF($B$808="Лікар-педіатр",U811*Z809,IF($B$808="Лікар-терапевт","х",IF($B$808="Лікар загальної практики - сімейний лікар",U811*Z809,0)))</f>
        <v>0</v>
      </c>
      <c r="V809" s="196">
        <f>IF($B$808="Лікар-педіатр",V811*Z809,IF($B$808="Лікар-терапевт","х",IF($B$808="Лікар загальної практики - сімейний лікар",V811*Z809,0)))</f>
        <v>0</v>
      </c>
      <c r="W809" s="196">
        <f>IF($B$808="Лікар-педіатр","x",IF($B$808="Лікар-терапевт",W811*Z809,IF($B$808="Лікар загальної практики - сімейний лікар",W811*Z809,0)))</f>
        <v>0</v>
      </c>
      <c r="X809" s="196">
        <f>IF($B$808="Лікар-педіатр","x",IF($B$808="Лікар-терапевт",X811*Z809,IF($B$808="Лікар загальної практики - сімейний лікар",X811*Z809,0)))</f>
        <v>0</v>
      </c>
      <c r="Y809" s="196">
        <f>IF($B$808="Лікар-педіатр","x",IF($B$808="Лікар-терапевт",Y811*Z809,IF($B$808="Лікар загальної практики - сімейний лікар",Y811*Z809,0)))</f>
        <v>0</v>
      </c>
      <c r="Z809" s="557"/>
      <c r="AA809" s="942"/>
      <c r="AB809" s="196">
        <f>IF($B$808="Лікар-педіатр",AB811*AG809,IF($B$808="Лікар-терапевт","х",IF($B$808="Лікар загальної практики - сімейний лікар",AB811*AG809,0)))</f>
        <v>0</v>
      </c>
      <c r="AC809" s="196">
        <f>IF($B$808="Лікар-педіатр",AC811*AG809,IF($B$808="Лікар-терапевт","х",IF($B$808="Лікар загальної практики - сімейний лікар",AC811*AG809,0)))</f>
        <v>0</v>
      </c>
      <c r="AD809" s="196">
        <f>IF($B$808="Лікар-педіатр","x",IF($B$808="Лікар-терапевт",AD811*AG809,IF($B$808="Лікар загальної практики - сімейний лікар",AD811*AG809,0)))</f>
        <v>0</v>
      </c>
      <c r="AE809" s="196">
        <f>IF($B$808="Лікар-педіатр","x",IF($B$808="Лікар-терапевт",AE811*AG809,IF($B$808="Лікар загальної практики - сімейний лікар",AE811*AG809,0)))</f>
        <v>0</v>
      </c>
      <c r="AF809" s="196">
        <f>IF($B$808="Лікар-педіатр","x",IF($B$808="Лікар-терапевт",AF811*AG809,IF($B$808="Лікар загальної практики - сімейний лікар",AF811*AG809,0)))</f>
        <v>0</v>
      </c>
      <c r="AG809" s="557"/>
      <c r="AH809" s="942"/>
      <c r="AI809" s="198"/>
      <c r="AJ809" s="945"/>
      <c r="AK809" s="960"/>
      <c r="AL809" s="960"/>
      <c r="AM809" s="930"/>
      <c r="AN809" s="948"/>
      <c r="AO809" s="948"/>
      <c r="AP809" s="948"/>
      <c r="AQ809" s="948"/>
      <c r="AR809" s="963"/>
    </row>
    <row r="810" spans="1:44" s="90" customFormat="1" ht="31.15" hidden="1" customHeight="1">
      <c r="A810" s="240"/>
      <c r="B810" s="951"/>
      <c r="C810" s="954"/>
      <c r="D810" s="957"/>
      <c r="E810" s="939"/>
      <c r="F810" s="241" t="s">
        <v>661</v>
      </c>
      <c r="G810" s="199">
        <f>IF(B808="Лікар загальної практики - сімейний лікар"," ",IF(B808="Лікар-педіатр"," ",IF(B808="Лікар-терапевт","х",0)))</f>
        <v>0</v>
      </c>
      <c r="H810" s="199">
        <f>IF(B808="Лікар загальної практики - сімейний лікар"," ",IF(B808="Лікар-педіатр"," ",IF(B808="Лікар-терапевт","х",0)))</f>
        <v>0</v>
      </c>
      <c r="I810" s="199">
        <f>IF(B808="Лікар загальної практики - сімейний лікар"," ",IF(B808="Лікар-педіатр","х",IF(B808="Лікар-терапевт"," ",0)))</f>
        <v>0</v>
      </c>
      <c r="J810" s="199">
        <f>IF(B808="Лікар загальної практики - сімейний лікар"," ",IF(B808="Лікар-педіатр","х",IF(B808="Лікар-терапевт"," ",0)))</f>
        <v>0</v>
      </c>
      <c r="K810" s="199">
        <f>IF(B808="Лікар загальної практики - сімейний лікар"," ",IF(B808="Лікар-педіатр","х",IF(B808="Лікар-терапевт"," ",0)))</f>
        <v>0</v>
      </c>
      <c r="L810" s="200">
        <f>SUM(G810:K810)</f>
        <v>0</v>
      </c>
      <c r="M810" s="942"/>
      <c r="N810" s="199">
        <f>IF(B808="Лікар загальної практики - сімейний лікар"," ",IF(B808="Лікар-педіатр"," ",IF(B808="Лікар-терапевт","х",0)))</f>
        <v>0</v>
      </c>
      <c r="O810" s="199">
        <f>IF(B808="Лікар загальної практики - сімейний лікар"," ",IF(B808="Лікар-педіатр"," ",IF(B808="Лікар-терапевт","х",0)))</f>
        <v>0</v>
      </c>
      <c r="P810" s="199">
        <f>IF(B808="Лікар загальної практики - сімейний лікар"," ",IF(B808="Лікар-педіатр","х",IF(B808="Лікар-терапевт"," ",0)))</f>
        <v>0</v>
      </c>
      <c r="Q810" s="199">
        <f>IF(B808="Лікар загальної практики - сімейний лікар"," ",IF(B808="Лікар-педіатр","х",IF(B808="Лікар-терапевт"," ",0)))</f>
        <v>0</v>
      </c>
      <c r="R810" s="199">
        <f>IF(B808="Лікар загальної практики - сімейний лікар"," ",IF(B808="Лікар-педіатр","х",IF(B808="Лікар-терапевт"," ",0)))</f>
        <v>0</v>
      </c>
      <c r="S810" s="200">
        <f>SUM(N810:R810)</f>
        <v>0</v>
      </c>
      <c r="T810" s="942"/>
      <c r="U810" s="199">
        <f>IF(B808="Лікар загальної практики - сімейний лікар"," ",IF(B808="Лікар-педіатр"," ",IF(B808="Лікар-терапевт","х",0)))</f>
        <v>0</v>
      </c>
      <c r="V810" s="199">
        <f>IF(B808="Лікар загальної практики - сімейний лікар"," ",IF(B808="Лікар-педіатр"," ",IF(B808="Лікар-терапевт","х",0)))</f>
        <v>0</v>
      </c>
      <c r="W810" s="199">
        <f>IF(B808="Лікар загальної практики - сімейний лікар"," ",IF(B808="Лікар-педіатр","х",IF(B808="Лікар-терапевт"," ",0)))</f>
        <v>0</v>
      </c>
      <c r="X810" s="199">
        <f>IF(B808="Лікар загальної практики - сімейний лікар"," ",IF(B808="Лікар-педіатр","х",IF(B808="Лікар-терапевт"," ",0)))</f>
        <v>0</v>
      </c>
      <c r="Y810" s="199">
        <f>IF(B808="Лікар загальної практики - сімейний лікар"," ",IF(B808="Лікар-педіатр","х",IF(B808="Лікар-терапевт"," ",0)))</f>
        <v>0</v>
      </c>
      <c r="Z810" s="200">
        <f>SUM(U810:Y810)</f>
        <v>0</v>
      </c>
      <c r="AA810" s="942"/>
      <c r="AB810" s="199">
        <f>IF(B808="Лікар загальної практики - сімейний лікар"," ",IF(B808="Лікар-педіатр"," ",IF(B808="Лікар-терапевт","х",0)))</f>
        <v>0</v>
      </c>
      <c r="AC810" s="199">
        <f>IF(B808="Лікар загальної практики - сімейний лікар"," ",IF(B808="Лікар-педіатр"," ",IF(B808="Лікар-терапевт","х",0)))</f>
        <v>0</v>
      </c>
      <c r="AD810" s="199">
        <f>IF(B808="Лікар загальної практики - сімейний лікар"," ",IF(B808="Лікар-педіатр","х",IF(B808="Лікар-терапевт"," ",0)))</f>
        <v>0</v>
      </c>
      <c r="AE810" s="199">
        <f>IF(B808="Лікар загальної практики - сімейний лікар"," ",IF(B808="Лікар-педіатр","х",IF(B808="Лікар-терапевт"," ",0)))</f>
        <v>0</v>
      </c>
      <c r="AF810" s="199">
        <f>IF(B808="Лікар загальної практики - сімейний лікар"," ",IF(B808="Лікар-педіатр","х",IF(B808="Лікар-терапевт"," ",0)))</f>
        <v>0</v>
      </c>
      <c r="AG810" s="200">
        <f>SUM(AB810:AF810)</f>
        <v>0</v>
      </c>
      <c r="AH810" s="942"/>
      <c r="AI810" s="242"/>
      <c r="AJ810" s="945"/>
      <c r="AK810" s="960"/>
      <c r="AL810" s="960"/>
      <c r="AM810" s="930"/>
      <c r="AN810" s="948"/>
      <c r="AO810" s="948"/>
      <c r="AP810" s="948"/>
      <c r="AQ810" s="948"/>
      <c r="AR810" s="963"/>
    </row>
    <row r="811" spans="1:44" s="50" customFormat="1" ht="31.9" hidden="1" customHeight="1" thickBot="1">
      <c r="A811" s="197"/>
      <c r="B811" s="951"/>
      <c r="C811" s="954"/>
      <c r="D811" s="957"/>
      <c r="E811" s="939"/>
      <c r="F811" s="236" t="s">
        <v>426</v>
      </c>
      <c r="G811" s="203">
        <f>IF($B$808="Лікар-педіатр",G810/L810,IF($B$808="Лікар-терапевт","х",IF($B$808="Лікар загальної практики - сімейний лікар",G810/L810,0)))</f>
        <v>0</v>
      </c>
      <c r="H811" s="203">
        <f>IF($B$808="Лікар-педіатр",H810/L810,IF($B$808="Лікар-терапевт","х",IF($B$808="Лікар загальної практики - сімейний лікар",H810/L810,0)))</f>
        <v>0</v>
      </c>
      <c r="I811" s="203">
        <f>IF($B$808="Лікар-педіатр","x",IF($B$808="Лікар-терапевт",I810/L810,IF($B$808="Лікар загальної практики - сімейний лікар",I810/L810,0)))</f>
        <v>0</v>
      </c>
      <c r="J811" s="203">
        <f>IF($B$808="Лікар-педіатр","x",IF($B$808="Лікар-терапевт",J810/L810,IF($B$808="Лікар загальної практики - сімейний лікар",J810/L810,0)))</f>
        <v>0</v>
      </c>
      <c r="K811" s="203">
        <f>IF($B$808="Лікар-педіатр","x",IF($B$808="Лікар-терапевт",K810/L810,IF($B$808="Лікар загальної практики - сімейний лікар",K810/L810,0)))</f>
        <v>0</v>
      </c>
      <c r="L811" s="203">
        <f>SUM(G811:K811)</f>
        <v>0</v>
      </c>
      <c r="M811" s="942"/>
      <c r="N811" s="203">
        <f>IF($B$808="Лікар-педіатр",N810/S810,IF($B$808="Лікар-терапевт","х",IF($B$808="Лікар загальної практики - сімейний лікар",N810/S810,0)))</f>
        <v>0</v>
      </c>
      <c r="O811" s="203">
        <f>IF($B$808="Лікар-педіатр",O810/S810,IF($B$808="Лікар-терапевт","х",IF($B$808="Лікар загальної практики - сімейний лікар",O810/S810,0)))</f>
        <v>0</v>
      </c>
      <c r="P811" s="203">
        <f>IF($B$808="Лікар-педіатр","x",IF($B$808="Лікар-терапевт",P810/S810,IF($B$808="Лікар загальної практики - сімейний лікар",P810/S810,0)))</f>
        <v>0</v>
      </c>
      <c r="Q811" s="203">
        <f>IF($B$808="Лікар-педіатр","x",IF($B$808="Лікар-терапевт",Q810/S810,IF($B$808="Лікар загальної практики - сімейний лікар",Q810/S810,0)))</f>
        <v>0</v>
      </c>
      <c r="R811" s="203">
        <f>IF($B$808="Лікар-педіатр","x",IF($B$808="Лікар-терапевт",R810/S810,IF($B$808="Лікар загальної практики - сімейний лікар",R810/S810,0)))</f>
        <v>0</v>
      </c>
      <c r="S811" s="203">
        <f>SUM(N811:R811)</f>
        <v>0</v>
      </c>
      <c r="T811" s="942"/>
      <c r="U811" s="203">
        <f>IF($B$808="Лікар-педіатр",U810/Z810,IF($B$808="Лікар-терапевт","х",IF($B$808="Лікар загальної практики - сімейний лікар",U810/Z810,0)))</f>
        <v>0</v>
      </c>
      <c r="V811" s="203">
        <f>IF($B$808="Лікар-педіатр",V810/Z810,IF($B$808="Лікар-терапевт","х",IF($B$808="Лікар загальної практики - сімейний лікар",V810/Z810,0)))</f>
        <v>0</v>
      </c>
      <c r="W811" s="203">
        <f>IF($B$808="Лікар-педіатр","x",IF($B$808="Лікар-терапевт",W810/Z810,IF($B$808="Лікар загальної практики - сімейний лікар",W810/Z810,0)))</f>
        <v>0</v>
      </c>
      <c r="X811" s="203">
        <f>IF($B$808="Лікар-педіатр","x",IF($B$808="Лікар-терапевт",X810/Z810,IF($B$808="Лікар загальної практики - сімейний лікар",X810/Z810,0)))</f>
        <v>0</v>
      </c>
      <c r="Y811" s="203">
        <f>IF($B$808="Лікар-педіатр","x",IF($B$808="Лікар-терапевт",Y810/Z810,IF($B$808="Лікар загальної практики - сімейний лікар",Y810/Z810,0)))</f>
        <v>0</v>
      </c>
      <c r="Z811" s="203">
        <f>SUM(U811:Y811)</f>
        <v>0</v>
      </c>
      <c r="AA811" s="942"/>
      <c r="AB811" s="203">
        <f>IF($B$808="Лікар-педіатр",AB810/AG810,IF($B$808="Лікар-терапевт","х",IF($B$808="Лікар загальної практики - сімейний лікар",AB810/AG810,0)))</f>
        <v>0</v>
      </c>
      <c r="AC811" s="203">
        <f>IF($B$808="Лікар-педіатр",AC810/AG810,IF($B$808="Лікар-терапевт","х",IF($B$808="Лікар загальної практики - сімейний лікар",AC810/AG810,0)))</f>
        <v>0</v>
      </c>
      <c r="AD811" s="203">
        <f>IF($B$808="Лікар-педіатр","x",IF($B$808="Лікар-терапевт",AD810/AG810,IF($B$808="Лікар загальної практики - сімейний лікар",AD810/AG810,0)))</f>
        <v>0</v>
      </c>
      <c r="AE811" s="203">
        <f>IF($B$808="Лікар-педіатр","x",IF($B$808="Лікар-терапевт",AE810/AG810,IF($B$808="Лікар загальної практики - сімейний лікар",AE810/AG810,0)))</f>
        <v>0</v>
      </c>
      <c r="AF811" s="203">
        <f>IF($B$808="Лікар-педіатр","x",IF($B$808="Лікар-терапевт",AF810/AG810,IF($B$808="Лікар загальної практики - сімейний лікар",AF810/AG810,0)))</f>
        <v>0</v>
      </c>
      <c r="AG811" s="203">
        <f>SUM(AB811:AF811)</f>
        <v>0</v>
      </c>
      <c r="AH811" s="942"/>
      <c r="AI811" s="201"/>
      <c r="AJ811" s="945"/>
      <c r="AK811" s="960"/>
      <c r="AL811" s="960"/>
      <c r="AM811" s="930"/>
      <c r="AN811" s="948"/>
      <c r="AO811" s="948"/>
      <c r="AP811" s="948"/>
      <c r="AQ811" s="948"/>
      <c r="AR811" s="963"/>
    </row>
    <row r="812" spans="1:44" s="50" customFormat="1" ht="45" hidden="1" customHeight="1" thickBot="1">
      <c r="A812" s="197"/>
      <c r="B812" s="951"/>
      <c r="C812" s="954"/>
      <c r="D812" s="957"/>
      <c r="E812" s="939"/>
      <c r="F812" s="204" t="s">
        <v>662</v>
      </c>
      <c r="G812" s="205">
        <f>IF($B$808="Лікар загальної практики - сімейний лікар",AVERAGE(G808:G810),IF($B$808="Лікар-педіатр",AVERAGE(G808:G810),IF($B$808="Лікар-терапевт","х",0)))</f>
        <v>0</v>
      </c>
      <c r="H812" s="205">
        <f>IF($B$808="Лікар загальної практики - сімейний лікар",AVERAGE(H808:H810),IF($B$808="Лікар-педіатр",AVERAGE(H808:H810),IF($B$808="Лікар-терапевт","х",0)))</f>
        <v>0</v>
      </c>
      <c r="I812" s="205">
        <f>IF($B$808="Лікар загальної практики - сімейний лікар",AVERAGE(I808:I810),IF($B$808="Лікар-педіатр","x",IF($B$808="Лікар-терапевт",AVERAGE(I808:I810),0)))</f>
        <v>0</v>
      </c>
      <c r="J812" s="205">
        <f>IF($B$808="Лікар загальної практики - сімейний лікар",AVERAGE(J808:J810),IF($B$808="Лікар-педіатр","x",IF($B$808="Лікар-терапевт",AVERAGE(J808:J810),0)))</f>
        <v>0</v>
      </c>
      <c r="K812" s="205">
        <f>IF($B$808="Лікар загальної практики - сімейний лікар",AVERAGE(K808:K810),IF($B$808="Лікар-педіатр","x",IF($B$808="Лікар-терапевт",AVERAGE(K808:K810),0)))</f>
        <v>0</v>
      </c>
      <c r="L812" s="206">
        <f>SUM(G812:K812)</f>
        <v>0</v>
      </c>
      <c r="M812" s="942"/>
      <c r="N812" s="205">
        <f>IF($B$808="Лікар загальної практики - сімейний лікар",AVERAGE(N808:N810),IF($B$808="Лікар-педіатр",AVERAGE(N808:N810),IF($B$808="Лікар-терапевт","х",0)))</f>
        <v>0</v>
      </c>
      <c r="O812" s="205">
        <f>IF($B$808="Лікар загальної практики - сімейний лікар",AVERAGE(O808:O810),IF($B$808="Лікар-педіатр",AVERAGE(O808:O810),IF($B$808="Лікар-терапевт","х",0)))</f>
        <v>0</v>
      </c>
      <c r="P812" s="205">
        <f>IF($B$808="Лікар загальної практики - сімейний лікар",AVERAGE(P808:P810),IF($B$808="Лікар-педіатр","x",IF($B$808="Лікар-терапевт",AVERAGE(P808:P810),0)))</f>
        <v>0</v>
      </c>
      <c r="Q812" s="205">
        <f>IF($B$808="Лікар загальної практики - сімейний лікар",AVERAGE(Q808:Q810),IF($B$808="Лікар-педіатр","x",IF($B$808="Лікар-терапевт",AVERAGE(Q808:Q810),0)))</f>
        <v>0</v>
      </c>
      <c r="R812" s="205">
        <f>IF($B$808="Лікар загальної практики - сімейний лікар",AVERAGE(R808:R810),IF($B$808="Лікар-педіатр","x",IF($B$808="Лікар-терапевт",AVERAGE(R808:R810),0)))</f>
        <v>0</v>
      </c>
      <c r="S812" s="206">
        <f>SUM(N812:R812)</f>
        <v>0</v>
      </c>
      <c r="T812" s="942"/>
      <c r="U812" s="205">
        <f>IF($B$808="Лікар загальної практики - сімейний лікар",AVERAGE(U808:U810),IF($B$808="Лікар-педіатр",AVERAGE(U808:U810),IF($B$808="Лікар-терапевт","х",0)))</f>
        <v>0</v>
      </c>
      <c r="V812" s="205">
        <f>IF($B$808="Лікар загальної практики - сімейний лікар",AVERAGE(V808:V810),IF($B$808="Лікар-педіатр",AVERAGE(V808:V810),IF($B$808="Лікар-терапевт","х",0)))</f>
        <v>0</v>
      </c>
      <c r="W812" s="205">
        <f>IF($B$808="Лікар загальної практики - сімейний лікар",AVERAGE(W808:W810),IF($B$808="Лікар-педіатр","x",IF($B$808="Лікар-терапевт",AVERAGE(W808:W810),0)))</f>
        <v>0</v>
      </c>
      <c r="X812" s="205">
        <f>IF($B$808="Лікар загальної практики - сімейний лікар",AVERAGE(X808:X810),IF($B$808="Лікар-педіатр","x",IF($B$808="Лікар-терапевт",AVERAGE(X808:X810),0)))</f>
        <v>0</v>
      </c>
      <c r="Y812" s="205">
        <f>IF($B$808="Лікар загальної практики - сімейний лікар",AVERAGE(Y808:Y810),IF($B$808="Лікар-педіатр","x",IF($B$808="Лікар-терапевт",AVERAGE(Y808:Y810),0)))</f>
        <v>0</v>
      </c>
      <c r="Z812" s="206">
        <f>SUM(U812:Y812)</f>
        <v>0</v>
      </c>
      <c r="AA812" s="942"/>
      <c r="AB812" s="205">
        <f>IF($B$808="Лікар загальної практики - сімейний лікар",AVERAGE(AB808:AB810),IF($B$808="Лікар-педіатр",AVERAGE(AB808:AB810),IF($B$808="Лікар-терапевт","х",0)))</f>
        <v>0</v>
      </c>
      <c r="AC812" s="205">
        <f>IF($B$808="Лікар загальної практики - сімейний лікар",AVERAGE(AC808:AC810),IF($B$808="Лікар-педіатр",AVERAGE(AC808:AC810),IF($B$808="Лікар-терапевт","х",0)))</f>
        <v>0</v>
      </c>
      <c r="AD812" s="205">
        <f>IF($B$808="Лікар загальної практики - сімейний лікар",AVERAGE(AD808:AD810),IF($B$808="Лікар-педіатр","x",IF($B$808="Лікар-терапевт",AVERAGE(AD808:AD810),0)))</f>
        <v>0</v>
      </c>
      <c r="AE812" s="205">
        <f>IF($B$808="Лікар загальної практики - сімейний лікар",AVERAGE(AE808:AE810),IF($B$808="Лікар-педіатр","x",IF($B$808="Лікар-терапевт",AVERAGE(AE808:AE810),0)))</f>
        <v>0</v>
      </c>
      <c r="AF812" s="205">
        <f>IF($B$808="Лікар загальної практики - сімейний лікар",AVERAGE(AF808:AF810),IF($B$808="Лікар-педіатр","x",IF($B$808="Лікар-терапевт",AVERAGE(AF808:AF810),0)))</f>
        <v>0</v>
      </c>
      <c r="AG812" s="206">
        <f>SUM(AB812:AF812)</f>
        <v>0</v>
      </c>
      <c r="AH812" s="942"/>
      <c r="AI812" s="201"/>
      <c r="AJ812" s="945"/>
      <c r="AK812" s="960"/>
      <c r="AL812" s="960"/>
      <c r="AM812" s="931"/>
      <c r="AN812" s="949"/>
      <c r="AO812" s="949"/>
      <c r="AP812" s="949"/>
      <c r="AQ812" s="949"/>
      <c r="AR812" s="964"/>
    </row>
    <row r="813" spans="1:44" s="50" customFormat="1" ht="40.5" hidden="1">
      <c r="A813" s="197"/>
      <c r="B813" s="951"/>
      <c r="C813" s="954"/>
      <c r="D813" s="957"/>
      <c r="E813" s="939"/>
      <c r="F813" s="237" t="str">
        <f ca="1">IF(B808="Лікар-педіатр",Законод!$C$17,IF(B808="Лікар загальної практики - сімейний лікар",Законод!$C$21,IF(B808="Лікар-терапевт",Законод!$C$25,"х")))</f>
        <v>х</v>
      </c>
      <c r="G813" s="208">
        <f ca="1">IF($B$808="Лікар загальної практики - сімейний лікар",IF(L812&lt;=Законод!$C$22,G812,Законод!$C$22*'01_Доходи'!G811),IF($B$808="Лікар-педіатр",IF(L812&lt;=Законод!$C$18,G812,Законод!$C$18*'01_Доходи'!G811),IF($B$808="Лікар-терапевт","x",0)))</f>
        <v>0</v>
      </c>
      <c r="H813" s="208">
        <f ca="1">IF($B$808="Лікар загальної практики - сімейний лікар",IF(L812&lt;=Законод!$C$22,H812,Законод!$C$22*'01_Доходи'!H811),IF($B$808="Лікар-педіатр",IF(L812&lt;=Законод!$C$18,H812,Законод!$C$18*'01_Доходи'!H811),IF($B$808="Лікар-терапевт","x",0)))</f>
        <v>0</v>
      </c>
      <c r="I813" s="208">
        <f ca="1">IF($B$808="Лікар загальної практики - сімейний лікар",IF(L812&lt;=Законод!$C$22,I812,Законод!$C$22*'01_Доходи'!I811),IF($B$808="Лікар-педіатр","x",IF($B$808="Лікар-терапевт",IF(L812&lt;=Законод!$C$26,I812,Законод!$C$26*'01_Доходи'!I811),0)))</f>
        <v>0</v>
      </c>
      <c r="J813" s="208">
        <f ca="1">IF($B$808="Лікар загальної практики - сімейний лікар",IF(L812&lt;=Законод!$C$22,J812,Законод!$C$22*'01_Доходи'!J811),IF($B$808="Лікар-педіатр","x",IF($B$808="Лікар-терапевт",IF(L812&lt;=Законод!$C$26,J812,Законод!$C$26*'01_Доходи'!J811),0)))</f>
        <v>0</v>
      </c>
      <c r="K813" s="208">
        <f ca="1">IF($B$808="Лікар загальної практики - сімейний лікар",IF(L812&lt;=Законод!$C$22,K812,Законод!$C$22*'01_Доходи'!K811),IF($B$808="Лікар-педіатр","x",IF($B$808="Лікар-терапевт",IF(L812&lt;=Законод!$C$26,K812,Законод!$C$26*'01_Доходи'!K811),0)))</f>
        <v>0</v>
      </c>
      <c r="L813" s="209">
        <f ca="1">SUM(G813:K813)</f>
        <v>0</v>
      </c>
      <c r="M813" s="942"/>
      <c r="N813" s="208">
        <f ca="1">IF($B$808="Лікар загальної практики - сімейний лікар",IF(S812&lt;=Законод!$C$22,N812,Законод!$C$22*'01_Доходи'!N811),IF($B$808="Лікар-педіатр",IF(S812&lt;=Законод!$C$18,N812,Законод!$C$18*'01_Доходи'!N811),IF($B$808="Лікар-терапевт","x",0)))</f>
        <v>0</v>
      </c>
      <c r="O813" s="208">
        <f ca="1">IF($B$808="Лікар загальної практики - сімейний лікар",IF(S812&lt;=Законод!$C$22,O812,Законод!$C$22*'01_Доходи'!O811),IF($B$808="Лікар-педіатр",IF(S812&lt;=Законод!$C$18,O812,Законод!$C$18*'01_Доходи'!O811),IF($B$808="Лікар-терапевт","x",0)))</f>
        <v>0</v>
      </c>
      <c r="P813" s="208">
        <f ca="1">IF($B$808="Лікар загальної практики - сімейний лікар",IF(S812&lt;=Законод!$C$22,P812,Законод!$C$22*'01_Доходи'!P811),IF($B$808="Лікар-педіатр","x",IF($B$808="Лікар-терапевт",IF(S812&lt;=Законод!$C$26,P812,Законод!$C$26*'01_Доходи'!P811),0)))</f>
        <v>0</v>
      </c>
      <c r="Q813" s="208">
        <f ca="1">IF($B$808="Лікар загальної практики - сімейний лікар",IF(S812&lt;=Законод!$C$22,Q812,Законод!$C$22*'01_Доходи'!Q811),IF($B$808="Лікар-педіатр","x",IF($B$808="Лікар-терапевт",IF(S812&lt;=Законод!$C$26,Q812,Законод!$C$26*'01_Доходи'!Q811),0)))</f>
        <v>0</v>
      </c>
      <c r="R813" s="208">
        <f ca="1">IF($B$808="Лікар загальної практики - сімейний лікар",IF(S812&lt;=Законод!$C$22,R812,Законод!$C$22*'01_Доходи'!R811),IF($B$808="Лікар-педіатр","x",IF($B$808="Лікар-терапевт",IF(S812&lt;=Законод!$C$26,R812,Законод!$C$26*'01_Доходи'!R811),0)))</f>
        <v>0</v>
      </c>
      <c r="S813" s="209">
        <f ca="1">SUM(N813:R813)</f>
        <v>0</v>
      </c>
      <c r="T813" s="942"/>
      <c r="U813" s="208">
        <f ca="1">IF($B$808="Лікар загальної практики - сімейний лікар",IF(Z812&lt;=Законод!$C$22,U812,Законод!$C$22*'01_Доходи'!U811),IF($B$808="Лікар-педіатр",IF(Z812&lt;=Законод!$C$18,U812,Законод!$C$18*'01_Доходи'!U811),IF($B$808="Лікар-терапевт","x",0)))</f>
        <v>0</v>
      </c>
      <c r="V813" s="208">
        <f ca="1">IF($B$808="Лікар загальної практики - сімейний лікар",IF(Z812&lt;=Законод!$C$22,V812,Законод!$C$22*'01_Доходи'!V811),IF($B$808="Лікар-педіатр",IF(Z812&lt;=Законод!$C$18,V812,Законод!$C$18*'01_Доходи'!V811),IF($B$808="Лікар-терапевт","x",0)))</f>
        <v>0</v>
      </c>
      <c r="W813" s="208">
        <f ca="1">IF($B$808="Лікар загальної практики - сімейний лікар",IF(Z812&lt;=Законод!$C$22,W812,Законод!$C$22*'01_Доходи'!W811),IF($B$808="Лікар-педіатр","x",IF($B$808="Лікар-терапевт",IF(Z812&lt;=Законод!$C$26,W812,Законод!$C$26*'01_Доходи'!W811),0)))</f>
        <v>0</v>
      </c>
      <c r="X813" s="208">
        <f ca="1">IF($B$808="Лікар загальної практики - сімейний лікар",IF(Z812&lt;=Законод!$C$22,X812,Законод!$C$22*'01_Доходи'!X811),IF($B$808="Лікар-педіатр","x",IF($B$808="Лікар-терапевт",IF(Z812&lt;=Законод!$C$26,X812,Законод!$C$26*'01_Доходи'!X811),0)))</f>
        <v>0</v>
      </c>
      <c r="Y813" s="208">
        <f ca="1">IF($B$808="Лікар загальної практики - сімейний лікар",IF(Z812&lt;=Законод!$C$22,Y812,Законод!$C$22*'01_Доходи'!Y811),IF($B$808="Лікар-педіатр","x",IF($B$808="Лікар-терапевт",IF(Z812&lt;=Законод!$C$26,Y812,Законод!$C$26*'01_Доходи'!Y811),0)))</f>
        <v>0</v>
      </c>
      <c r="Z813" s="209">
        <f ca="1">SUM(U813:Y813)</f>
        <v>0</v>
      </c>
      <c r="AA813" s="942"/>
      <c r="AB813" s="208">
        <f ca="1">IF($B$808="Лікар загальної практики - сімейний лікар",IF(AG812&lt;=Законод!$C$22,AB812,Законод!$C$22*'01_Доходи'!AB811),IF($B$808="Лікар-педіатр",IF(AG812&lt;=Законод!$C$18,AB812,Законод!$C$18*'01_Доходи'!AB811),IF($B$808="Лікар-терапевт","x",0)))</f>
        <v>0</v>
      </c>
      <c r="AC813" s="208">
        <f ca="1">IF($B$808="Лікар загальної практики - сімейний лікар",IF(AG812&lt;=Законод!$C$22,AC812,Законод!$C$22*'01_Доходи'!AC811),IF($B$808="Лікар-педіатр",IF(AG812&lt;=Законод!$C$18,AC812,Законод!$C$18*'01_Доходи'!AC811),IF($B$808="Лікар-терапевт","x",0)))</f>
        <v>0</v>
      </c>
      <c r="AD813" s="208">
        <f ca="1">IF($B$808="Лікар загальної практики - сімейний лікар",IF(AG812&lt;=Законод!$C$22,AD812,Законод!$C$22*'01_Доходи'!AD811),IF($B$808="Лікар-педіатр","x",IF($B$808="Лікар-терапевт",IF(AG812&lt;=Законод!$C$26,AD812,Законод!$C$26*'01_Доходи'!AD811),0)))</f>
        <v>0</v>
      </c>
      <c r="AE813" s="208">
        <f ca="1">IF($B$808="Лікар загальної практики - сімейний лікар",IF(AG812&lt;=Законод!$C$22,AE812,Законод!$C$22*'01_Доходи'!AE811),IF($B$808="Лікар-педіатр","x",IF($B$808="Лікар-терапевт",IF(AG812&lt;=Законод!$C$26,AE812,Законод!$C$26*'01_Доходи'!AE811),0)))</f>
        <v>0</v>
      </c>
      <c r="AF813" s="208">
        <f ca="1">IF($B$808="Лікар загальної практики - сімейний лікар",IF(AG812&lt;=Законод!$C$22,AF812,Законод!$C$22*'01_Доходи'!AF811),IF($B$808="Лікар-педіатр","x",IF($B$808="Лікар-терапевт",IF(AG812&lt;=Законод!$C$26,AF812,Законод!$C$26*'01_Доходи'!AF811),0)))</f>
        <v>0</v>
      </c>
      <c r="AG813" s="209">
        <f ca="1">SUM(AB813:AF813)</f>
        <v>0</v>
      </c>
      <c r="AH813" s="942"/>
      <c r="AI813" s="201"/>
      <c r="AJ813" s="945"/>
      <c r="AK813" s="960"/>
      <c r="AL813" s="960"/>
      <c r="AM813" s="348" t="s">
        <v>451</v>
      </c>
      <c r="AN813" s="210">
        <f ca="1">IF(B808="Лікар загальної практики - сімейний лікар",G813*Законод!$C$11+'01_Доходи'!H813*Законод!$D$11+'01_Доходи'!I813*Законод!$E$11+'01_Доходи'!J813*Законод!$F$11+'01_Доходи'!K813*Законод!$G$11,IF(B808="Лікар-педіатр",G813*Законод!$C$11+'01_Доходи'!H813*Законод!$D$11,IF(B808="Лікар-терапевт",'01_Доходи'!I813*Законод!$E$11+'01_Доходи'!J813*Законод!$F$11+'01_Доходи'!K813*Законод!$G$11,0)))</f>
        <v>0</v>
      </c>
      <c r="AO813" s="210">
        <f ca="1">IF(B808="Лікар загальної практики - сімейний лікар",N813*Законод!$C$11+'01_Доходи'!O813*Законод!$D$11+'01_Доходи'!P813*Законод!$E$11+'01_Доходи'!Q813*Законод!$F$11+'01_Доходи'!R813*Законод!$G$11,IF(B808="Лікар-педіатр",N813*Законод!$C$11+'01_Доходи'!O813*Законод!$D$11,IF(B808="Лікар-терапевт",'01_Доходи'!P813*Законод!$E$11+'01_Доходи'!Q813*Законод!$F$11+'01_Доходи'!R813*Законод!$G$11,0)))</f>
        <v>0</v>
      </c>
      <c r="AP813" s="210">
        <f ca="1">IF(B808="Лікар загальної практики - сімейний лікар",U813*Законод!$C$11+'01_Доходи'!V813*Законод!$D$11+'01_Доходи'!W813*Законод!$E$11+'01_Доходи'!X813*Законод!$F$11+'01_Доходи'!Y813*Законод!$G$11,IF(B808="Лікар-педіатр",U813*Законод!$C$11+'01_Доходи'!V813*Законод!$D$11,IF(B808="Лікар-терапевт",'01_Доходи'!W813*Законод!$E$11+'01_Доходи'!X813*Законод!$F$11+'01_Доходи'!Y813*Законод!$G$11,0)))</f>
        <v>0</v>
      </c>
      <c r="AQ813" s="210">
        <f ca="1">IF(B808="Лікар загальної практики - сімейний лікар",AB813*Законод!$C$11+'01_Доходи'!AC813*Законод!$D$11+'01_Доходи'!AD813*Законод!$E$11+'01_Доходи'!AE813*Законод!$F$11+'01_Доходи'!AF813*Законод!$G$11,IF(B808="Лікар-педіатр",AB813*Законод!$C$11+'01_Доходи'!AC813*Законод!$D$11,IF(B808="Лікар-терапевт",'01_Доходи'!AD813*Законод!$E$11+'01_Доходи'!AE813*Законод!$F$11+'01_Доходи'!AF813*Законод!$G$11,0)))</f>
        <v>0</v>
      </c>
      <c r="AR813" s="211">
        <f t="shared" ref="AR813:AR819" si="102">SUM(AN813:AQ813)</f>
        <v>0</v>
      </c>
    </row>
    <row r="814" spans="1:44" s="50" customFormat="1" ht="31.9" hidden="1" customHeight="1">
      <c r="A814" s="197"/>
      <c r="B814" s="951"/>
      <c r="C814" s="954"/>
      <c r="D814" s="957"/>
      <c r="E814" s="939"/>
      <c r="F814" s="238" t="str">
        <f ca="1">IF(B808="Лікар-педіатр",Законод!$E$17,IF(B808="Лікар загальної практики - сімейний лікар",Законод!$E$21,IF(B808="Лікар-терапевт",Законод!$E$25,"х")))</f>
        <v>х</v>
      </c>
      <c r="G814" s="935" t="s">
        <v>423</v>
      </c>
      <c r="H814" s="936"/>
      <c r="I814" s="936"/>
      <c r="J814" s="936"/>
      <c r="K814" s="937"/>
      <c r="L814" s="196">
        <f ca="1">IF($B$808="Лікар загальної практики - сімейний лікар",IF(L812&lt;Законод!$C$22,0,(IF(AND(L812&gt;=Законод!$E$22,L812&lt;=Законод!$E$23),L812-Законод!$C$22,IF('01_Доходи'!L812&gt;=Законод!$F$22,Законод!$E$24,0)))),IF($B$808="Лікар-педіатр",IF(L812&lt;Законод!$C$18,0,(IF(AND(L812&gt;=Законод!$E$18,L812&lt;=Законод!$E$19),L812-Законод!$C$18,IF('01_Доходи'!L812&gt;=Законод!$F$18,Законод!$E$20,0)))),IF($B$808="Лікар-терапевт",IF(L812&lt;Законод!$C$26,0,(IF(AND(L812&gt;=Законод!$E$26,L812&lt;=Законод!$E$27),L812-Законод!$C$26,IF('01_Доходи'!L812&gt;=Законод!$F$26,Законод!$E$28,0)))),0)))</f>
        <v>0</v>
      </c>
      <c r="M814" s="942"/>
      <c r="N814" s="935" t="s">
        <v>423</v>
      </c>
      <c r="O814" s="936"/>
      <c r="P814" s="936"/>
      <c r="Q814" s="936"/>
      <c r="R814" s="937"/>
      <c r="S814" s="196">
        <f ca="1">IF($B$808="Лікар загальної практики - сімейний лікар",IF(S812&lt;Законод!$C$22,0,(IF(AND(S812&gt;=Законод!$E$22,S812&lt;=Законод!$E$23),S812-Законод!$C$22,IF('01_Доходи'!S812&gt;=Законод!$F$22,Законод!$E$24,0)))),IF($B$808="Лікар-педіатр",IF(S812&lt;Законод!$C$18,0,(IF(AND(S812&gt;=Законод!$E$18,S812&lt;=Законод!$E$19),S812-Законод!$C$18,IF('01_Доходи'!S812&gt;=Законод!$F$18,Законод!$E$20,0)))),IF($B$808="Лікар-терапевт",IF(S812&lt;Законод!$C$26,0,(IF(AND(S812&gt;=Законод!$E$26,S812&lt;=Законод!$E$27),S812-Законод!$C$26,IF('01_Доходи'!S812&gt;=Законод!$F$26,Законод!$E$28,0)))),0)))</f>
        <v>0</v>
      </c>
      <c r="T814" s="942"/>
      <c r="U814" s="935" t="s">
        <v>423</v>
      </c>
      <c r="V814" s="936"/>
      <c r="W814" s="936"/>
      <c r="X814" s="936"/>
      <c r="Y814" s="937"/>
      <c r="Z814" s="196">
        <f ca="1">IF($B$808="Лікар загальної практики - сімейний лікар",IF(Z812&lt;Законод!$C$22,0,(IF(AND(Z812&gt;=Законод!$E$22,Z812&lt;=Законод!$E$23),Z812-Законод!$C$22,IF('01_Доходи'!Z812&gt;=Законод!$F$22,Законод!$E$24,0)))),IF($B$808="Лікар-педіатр",IF(Z812&lt;Законод!$C$18,0,(IF(AND(Z812&gt;=Законод!$E$18,Z812&lt;=Законод!$E$19),Z812-Законод!$C$18,IF('01_Доходи'!Z812&gt;=Законод!$F$18,Законод!$E$20,0)))),IF($B$808="Лікар-терапевт",IF(Z812&lt;Законод!$C$26,0,(IF(AND(Z812&gt;=Законод!$E$26,Z812&lt;=Законод!$E$27),Z812-Законод!$C$26,IF('01_Доходи'!Z812&gt;=Законод!$F$26,Законод!$E$28,0)))),0)))</f>
        <v>0</v>
      </c>
      <c r="AA814" s="942"/>
      <c r="AB814" s="935" t="s">
        <v>423</v>
      </c>
      <c r="AC814" s="936"/>
      <c r="AD814" s="936"/>
      <c r="AE814" s="936"/>
      <c r="AF814" s="937"/>
      <c r="AG814" s="196">
        <f ca="1">IF($B$808="Лікар загальної практики - сімейний лікар",IF(AG812&lt;Законод!$C$22,0,(IF(AND(AG812&gt;=Законод!$E$22,AG812&lt;=Законод!$E$23),AG812-Законод!$C$22,IF('01_Доходи'!AG812&gt;=Законод!$F$22,Законод!$E$24,0)))),IF($B$808="Лікар-педіатр",IF(AG812&lt;Законод!$C$18,0,(IF(AND(AG812&gt;=Законод!$E$18,AG812&lt;=Законод!$E$19),AG812-Законод!$C$18,IF('01_Доходи'!AG812&gt;=Законод!$F$18,Законод!$E$20,0)))),IF($B$808="Лікар-терапевт",IF(AG812&lt;Законод!$C$26,0,(IF(AND(AG812&gt;=Законод!$E$26,AG812&lt;=Законод!$E$27),AG812-Законод!$C$26,IF('01_Доходи'!AG812&gt;=Законод!$F$26,Законод!$E$28,0)))),0)))</f>
        <v>0</v>
      </c>
      <c r="AH814" s="942"/>
      <c r="AI814" s="201"/>
      <c r="AJ814" s="945"/>
      <c r="AK814" s="960"/>
      <c r="AL814" s="960"/>
      <c r="AM814" s="926" t="s">
        <v>452</v>
      </c>
      <c r="AN814" s="210">
        <f ca="1">IF(B808="Лікар загальної практики - сімейний лікар",L814*Законод!$C$9/4*Законод!$E$16,IF(B808="Лікар-педіатр",L814*Законод!$C$9/4*Законод!$E$16,IF(B808="Лікар-терапевт",L814*Законод!$C$9/4*Законод!$E$16,0)))</f>
        <v>0</v>
      </c>
      <c r="AO814" s="210">
        <f ca="1">IF(B808="Лікар загальної практики - сімейний лікар",S814*Законод!$C$9/4*Законод!$E$16,IF(B808="Лікар-педіатр",S814*Законод!$C$9/4*Законод!$E$16,IF(B808="Лікар-терапевт",S814*Законод!$C$9/4*Законод!$E$16,0)))</f>
        <v>0</v>
      </c>
      <c r="AP814" s="210">
        <f ca="1">IF(B808="Лікар загальної практики - сімейний лікар",Z814*Законод!$C$9/4*Законод!$E$16,IF(B808="Лікар-педіатр",Z814*Законод!$C$9/4*Законод!$E$16,IF(B808="Лікар-терапевт",Z814*Законод!$C$9/4*Законод!$E$16,0)))</f>
        <v>0</v>
      </c>
      <c r="AQ814" s="210">
        <f ca="1">IF(B808="Лікар загальної практики - сімейний лікар",AG814*Законод!$C$9/4*Законод!$E$16,IF(B808="Лікар-педіатр",AG814*Законод!$C$9/4*Законод!$E$16,IF(B808="Лікар-терапевт",AG814*Законод!$C$9/4*Законод!$E$16,0)))</f>
        <v>0</v>
      </c>
      <c r="AR814" s="211">
        <f t="shared" si="102"/>
        <v>0</v>
      </c>
    </row>
    <row r="815" spans="1:44" s="50" customFormat="1" ht="31.9" hidden="1" customHeight="1">
      <c r="A815" s="197"/>
      <c r="B815" s="951"/>
      <c r="C815" s="954"/>
      <c r="D815" s="957"/>
      <c r="E815" s="939"/>
      <c r="F815" s="238" t="str">
        <f ca="1">IF(B808="Лікар-педіатр",Законод!$F$17,IF(B808="Лікар загальної практики - сімейний лікар",Законод!$F$21,IF(B808="Лікар-терапевт",Законод!$F$25,"х")))</f>
        <v>х</v>
      </c>
      <c r="G815" s="935" t="s">
        <v>423</v>
      </c>
      <c r="H815" s="936"/>
      <c r="I815" s="936"/>
      <c r="J815" s="936"/>
      <c r="K815" s="937"/>
      <c r="L815" s="196">
        <f ca="1">IF($B$808="Лікар загальної практики - сімейний лікар",IF(L812&lt;Законод!$C$22,0,(IF(AND(L812&gt;=Законод!$F$22,L812&lt;=Законод!$F$23),L812-Законод!$E$23,IF('01_Доходи'!L812&gt;=Законод!$G$22,Законод!$F$24,0)))),IF($B$808="Лікар-педіатр",IF(L812&lt;Законод!$C$18,0,(IF(AND(L812&gt;=Законод!$F$18,L812&lt;=Законод!$F$19),L812-Законод!$E$19,IF('01_Доходи'!L812&gt;=Законод!$G$18,Законод!$F$20,0)))),IF($B$808="Лікар-терапевт",IF(L812&lt;Законод!$C$26,0,(IF(AND(L812&gt;=Законод!$F$26,L812&lt;=Законод!$F$27),L812-Законод!$E$27,IF('01_Доходи'!L812&gt;=Законод!$G$26,Законод!$F$28,0)))),0)))</f>
        <v>0</v>
      </c>
      <c r="M815" s="942"/>
      <c r="N815" s="935" t="s">
        <v>423</v>
      </c>
      <c r="O815" s="936"/>
      <c r="P815" s="936"/>
      <c r="Q815" s="936"/>
      <c r="R815" s="937"/>
      <c r="S815" s="196">
        <f ca="1">IF($B$808="Лікар загальної практики - сімейний лікар",IF(S812&lt;Законод!$C$22,0,(IF(AND(S812&gt;=Законод!$F$22,S812&lt;=Законод!$F$23),S812-Законод!$E$23,IF('01_Доходи'!S812&gt;=Законод!$G$22,Законод!$F$24,0)))),IF($B$808="Лікар-педіатр",IF(S812&lt;Законод!$C$18,0,(IF(AND(S812&gt;=Законод!$F$18,S812&lt;=Законод!$F$19),S812-Законод!$E$19,IF('01_Доходи'!S812&gt;=Законод!$G$18,Законод!$F$20,0)))),IF($B$808="Лікар-терапевт",IF(S812&lt;Законод!$C$26,0,(IF(AND(S812&gt;=Законод!$F$26,S812&lt;=Законод!$F$27),S812-Законод!$E$27,IF('01_Доходи'!S812&gt;=Законод!$G$26,Законод!$F$28,0)))),0)))</f>
        <v>0</v>
      </c>
      <c r="T815" s="942"/>
      <c r="U815" s="935" t="s">
        <v>423</v>
      </c>
      <c r="V815" s="936"/>
      <c r="W815" s="936"/>
      <c r="X815" s="936"/>
      <c r="Y815" s="937"/>
      <c r="Z815" s="196">
        <f ca="1">IF($B$808="Лікар загальної практики - сімейний лікар",IF(Z812&lt;Законод!$C$22,0,(IF(AND(Z812&gt;=Законод!$F$22,Z812&lt;=Законод!$F$23),Z812-Законод!$E$23,IF('01_Доходи'!Z812&gt;=Законод!$G$22,Законод!$F$24,0)))),IF($B$808="Лікар-педіатр",IF(Z812&lt;Законод!$C$18,0,(IF(AND(Z812&gt;=Законод!$F$18,Z812&lt;=Законод!$F$19),Z812-Законод!$E$19,IF('01_Доходи'!Z812&gt;=Законод!$G$18,Законод!$F$20,0)))),IF($B$808="Лікар-терапевт",IF(Z812&lt;Законод!$C$26,0,(IF(AND(Z812&gt;=Законод!$F$26,Z812&lt;=Законод!$F$27),Z812-Законод!$E$27,IF('01_Доходи'!Z812&gt;=Законод!$G$26,Законод!$F$28,0)))),0)))</f>
        <v>0</v>
      </c>
      <c r="AA815" s="942"/>
      <c r="AB815" s="935" t="s">
        <v>423</v>
      </c>
      <c r="AC815" s="936"/>
      <c r="AD815" s="936"/>
      <c r="AE815" s="936"/>
      <c r="AF815" s="937"/>
      <c r="AG815" s="196">
        <f ca="1">IF($B$808="Лікар загальної практики - сімейний лікар",IF(AG812&lt;Законод!$C$22,0,(IF(AND(AG812&gt;=Законод!$F$22,AG812&lt;=Законод!$F$23),AG812-Законод!$E$23,IF('01_Доходи'!AG812&gt;=Законод!$G$22,Законод!$F$24,0)))),IF($B$808="Лікар-педіатр",IF(AG812&lt;Законод!$C$18,0,(IF(AND(AG812&gt;=Законод!$F$18,AG812&lt;=Законод!$F$19),AG812-Законод!$E$19,IF('01_Доходи'!AG812&gt;=Законод!$G$18,Законод!$F$20,0)))),IF($B$808="Лікар-терапевт",IF(AG812&lt;Законод!$C$26,0,(IF(AND(AG812&gt;=Законод!$F$26,AG812&lt;=Законод!$F$27),AG812-Законод!$E$27,IF('01_Доходи'!AG812&gt;=Законод!$G$26,Законод!$F$28,0)))),0)))</f>
        <v>0</v>
      </c>
      <c r="AH815" s="942"/>
      <c r="AI815" s="201"/>
      <c r="AJ815" s="945"/>
      <c r="AK815" s="960"/>
      <c r="AL815" s="960"/>
      <c r="AM815" s="927"/>
      <c r="AN815" s="210">
        <f ca="1">IF(B808="Лікар загальної практики - сімейний лікар",L815*Законод!$C$9/4*Законод!$F$16,IF(B808="Лікар-педіатр",L815*Законод!$C$9/4*Законод!$F$16,IF(B808="Лікар-терапевт",L815*Законод!$C$9/4*Законод!$F$16,0)))</f>
        <v>0</v>
      </c>
      <c r="AO815" s="210">
        <f ca="1">IF(B808="Лікар загальної практики - сімейний лікар",S815*Законод!$C$9/4*Законод!$F$16,IF(B808="Лікар-педіатр",S815*Законод!$C$9/4*Законод!$F$16,IF(B808="Лікар-терапевт",S815*Законод!$C$9/4*Законод!$F$16,0)))</f>
        <v>0</v>
      </c>
      <c r="AP815" s="210">
        <f ca="1">IF(B808="Лікар загальної практики - сімейний лікар",Z815*Законод!$C$9/4*Законод!$F$16,IF(B808="Лікар-педіатр",Z815*Законод!$C$9/4*Законод!$F$16,IF(B808="Лікар-терапевт",Z815*Законод!$C$9/4*Законод!$F$16,0)))</f>
        <v>0</v>
      </c>
      <c r="AQ815" s="210">
        <f ca="1">IF(B808="Лікар загальної практики - сімейний лікар",AG815*Законод!$C$9/4*Законод!$F$16,IF(B808="Лікар-педіатр",AG815*Законод!$C$9/4*Законод!$F$16,IF(B808="Лікар-терапевт",AG815*Законод!$C$9/4*Законод!$F$16,0)))</f>
        <v>0</v>
      </c>
      <c r="AR815" s="211">
        <f t="shared" si="102"/>
        <v>0</v>
      </c>
    </row>
    <row r="816" spans="1:44" s="50" customFormat="1" ht="31.9" hidden="1" customHeight="1">
      <c r="A816" s="197"/>
      <c r="B816" s="951"/>
      <c r="C816" s="954"/>
      <c r="D816" s="957"/>
      <c r="E816" s="939"/>
      <c r="F816" s="238" t="str">
        <f ca="1">IF(B808="Лікар-педіатр",Законод!$G$17,IF(B808="Лікар загальної практики - сімейний лікар",Законод!$G$21,IF(B808="Лікар-терапевт",Законод!$G$25,"х")))</f>
        <v>х</v>
      </c>
      <c r="G816" s="935" t="s">
        <v>423</v>
      </c>
      <c r="H816" s="936"/>
      <c r="I816" s="936"/>
      <c r="J816" s="936"/>
      <c r="K816" s="937"/>
      <c r="L816" s="196">
        <f ca="1">IF($B$808="Лікар загальної практики - сімейний лікар",IF(L812&lt;Законод!$C$22,0,(IF(AND(L812&gt;=Законод!$G$22,L812&lt;=Законод!$G$23),L812-Законод!$F$23,IF('01_Доходи'!L812&gt;=Законод!$H$22,Законод!$G$24,0)))),IF($B$808="Лікар-педіатр",IF(L812&lt;Законод!$C$18,0,(IF(AND(L812&gt;=Законод!$G$18,L812&lt;=Законод!$G$19),L812-Законод!$F$19,IF('01_Доходи'!L812&gt;=Законод!$H$18,Законод!$G$20,0)))),IF($B$808="Лікар-терапевт",IF(L812&lt;Законод!$C$26,0,(IF(AND(L812&gt;=Законод!$G$26,L812&lt;=Законод!$G$27),L812-Законод!$F$27,IF('01_Доходи'!L812&gt;=Законод!$H$26,Законод!$G$28,0)))),0)))</f>
        <v>0</v>
      </c>
      <c r="M816" s="942"/>
      <c r="N816" s="935" t="s">
        <v>423</v>
      </c>
      <c r="O816" s="936"/>
      <c r="P816" s="936"/>
      <c r="Q816" s="936"/>
      <c r="R816" s="937"/>
      <c r="S816" s="196">
        <f ca="1">IF($B$808="Лікар загальної практики - сімейний лікар",IF(S812&lt;Законод!$C$22,0,(IF(AND(S812&gt;=Законод!$G$22,S812&lt;=Законод!$G$23),S812-Законод!$F$23,IF('01_Доходи'!S812&gt;=Законод!$H$22,Законод!$G$24,0)))),IF($B$808="Лікар-педіатр",IF(S812&lt;Законод!$C$18,0,(IF(AND(S812&gt;=Законод!$G$18,S812&lt;=Законод!$G$19),S812-Законод!$F$19,IF('01_Доходи'!S812&gt;=Законод!$H$18,Законод!$G$20,0)))),IF($B$808="Лікар-терапевт",IF(S812&lt;Законод!$C$26,0,(IF(AND(S812&gt;=Законод!$G$26,S812&lt;=Законод!$G$27),S812-Законод!$F$27,IF('01_Доходи'!S812&gt;=Законод!$H$26,Законод!$G$28,0)))),0)))</f>
        <v>0</v>
      </c>
      <c r="T816" s="942"/>
      <c r="U816" s="935" t="s">
        <v>423</v>
      </c>
      <c r="V816" s="936"/>
      <c r="W816" s="936"/>
      <c r="X816" s="936"/>
      <c r="Y816" s="937"/>
      <c r="Z816" s="196">
        <f ca="1">IF($B$808="Лікар загальної практики - сімейний лікар",IF(Z812&lt;Законод!$C$22,0,(IF(AND(Z812&gt;=Законод!$G$22,Z812&lt;=Законод!$G$23),Z812-Законод!$F$23,IF('01_Доходи'!Z812&gt;=Законод!$H$22,Законод!$G$24,0)))),IF($B$808="Лікар-педіатр",IF(Z812&lt;Законод!$C$18,0,(IF(AND(Z812&gt;=Законод!$G$18,Z812&lt;=Законод!$G$19),Z812-Законод!$F$19,IF('01_Доходи'!Z812&gt;=Законод!$H$18,Законод!$G$20,0)))),IF($B$808="Лікар-терапевт",IF(Z812&lt;Законод!$C$26,0,(IF(AND(Z812&gt;=Законод!$G$26,Z812&lt;=Законод!$G$27),Z812-Законод!$F$27,IF('01_Доходи'!Z812&gt;=Законод!$H$26,Законод!$G$28,0)))),0)))</f>
        <v>0</v>
      </c>
      <c r="AA816" s="942"/>
      <c r="AB816" s="935" t="s">
        <v>423</v>
      </c>
      <c r="AC816" s="936"/>
      <c r="AD816" s="936"/>
      <c r="AE816" s="936"/>
      <c r="AF816" s="937"/>
      <c r="AG816" s="196">
        <f ca="1">IF($B$808="Лікар загальної практики - сімейний лікар",IF(AG812&lt;Законод!$C$22,0,(IF(AND(AG812&gt;=Законод!$G$22,AG812&lt;=Законод!$G$23),AG812-Законод!$F$23,IF('01_Доходи'!AG812&gt;=Законод!$H$22,Законод!$G$24,0)))),IF($B$808="Лікар-педіатр",IF(AG812&lt;Законод!$C$18,0,(IF(AND(AG812&gt;=Законод!$G$18,AG812&lt;=Законод!$G$19),AG812-Законод!$F$19,IF('01_Доходи'!AG812&gt;=Законод!$H$18,Законод!$G$20,0)))),IF($B$808="Лікар-терапевт",IF(AG812&lt;Законод!$C$26,0,(IF(AND(AG812&gt;=Законод!$G$26,AG812&lt;=Законод!$G$27),AG812-Законод!$F$27,IF('01_Доходи'!AG812&gt;=Законод!$H$26,Законод!$G$28,0)))),0)))</f>
        <v>0</v>
      </c>
      <c r="AH816" s="942"/>
      <c r="AI816" s="201"/>
      <c r="AJ816" s="945"/>
      <c r="AK816" s="960"/>
      <c r="AL816" s="960"/>
      <c r="AM816" s="927"/>
      <c r="AN816" s="210">
        <f ca="1">IF(B808="Лікар загальної практики - сімейний лікар",L816*Законод!$C$9/4*Законод!$G$16,IF(B808="Лікар-педіатр",L816*Законод!$C$9/4*Законод!$G$16,IF(B808="Лікар-терапевт",L816*Законод!$C$9/4*Законод!$G$16,0)))</f>
        <v>0</v>
      </c>
      <c r="AO816" s="210">
        <f ca="1">IF(B808="Лікар загальної практики - сімейний лікар",S816*Законод!$C$9/4*Законод!$G$16,IF(B808="Лікар-педіатр",S816*Законод!$C$9/4*Законод!$G$16,IF(B808="Лікар-терапевт",S816*Законод!$C$9/4*Законод!$G$16,0)))</f>
        <v>0</v>
      </c>
      <c r="AP816" s="210">
        <f ca="1">IF(B808="Лікар загальної практики - сімейний лікар",Z816*Законод!$C$9/4*Законод!$G$16,IF(B808="Лікар-педіатр",Z816*Законод!$C$9/4*Законод!$G$16,IF(B808="Лікар-терапевт",Z816*Законод!$C$9/4*Законод!$G$16,0)))</f>
        <v>0</v>
      </c>
      <c r="AQ816" s="210">
        <f ca="1">IF(B808="Лікар загальної практики - сімейний лікар",AG816*Законод!$C$9/4*Законод!$G$16,IF(B808="Лікар-педіатр",AG816*Законод!$C$9/4*Законод!$G$16,IF(B808="Лікар-терапевт",AG816*Законод!$C$9/4*Законод!$G$16,0)))</f>
        <v>0</v>
      </c>
      <c r="AR816" s="211">
        <f t="shared" si="102"/>
        <v>0</v>
      </c>
    </row>
    <row r="817" spans="1:44" s="50" customFormat="1" ht="31.9" hidden="1" customHeight="1">
      <c r="A817" s="197"/>
      <c r="B817" s="951"/>
      <c r="C817" s="954"/>
      <c r="D817" s="957"/>
      <c r="E817" s="939"/>
      <c r="F817" s="238" t="str">
        <f ca="1">IF(B808="Лікар-педіатр",Законод!$H$17,IF(B808="Лікар загальної практики - сімейний лікар",Законод!$H$21,IF(B808="Лікар-терапевт",Законод!$H$25,"х")))</f>
        <v>х</v>
      </c>
      <c r="G817" s="935" t="s">
        <v>423</v>
      </c>
      <c r="H817" s="936"/>
      <c r="I817" s="936"/>
      <c r="J817" s="936"/>
      <c r="K817" s="937"/>
      <c r="L817" s="196">
        <f ca="1">IF($B$808="Лікар загальної практики - сімейний лікар",IF(L812&lt;Законод!$C$22,0,(IF(AND(L812&gt;=Законод!$H$22,L812&lt;=Законод!$H$23),L812-Законод!$G$23,IF('01_Доходи'!L812&gt;=Законод!$I$22,Законод!$H$24,0)))),IF($B$808="Лікар-педіатр",IF(L812&lt;Законод!$C$18,0,(IF(AND(L812&gt;=Законод!$H$18,L812&lt;=Законод!$H$19),L812-Законод!$G$19,IF('01_Доходи'!L812&gt;=Законод!$I$18,Законод!$H$20,0)))),IF($B$808="Лікар-терапевт",IF(L812&lt;Законод!$C$26,0,(IF(AND(L812&gt;=Законод!$H$26,L812&lt;=Законод!$H$27),L812-Законод!$G$27,IF(L812&gt;=Законод!$I$26,Законод!$H$28,0)))),0)))</f>
        <v>0</v>
      </c>
      <c r="M817" s="942"/>
      <c r="N817" s="935" t="s">
        <v>423</v>
      </c>
      <c r="O817" s="936"/>
      <c r="P817" s="936"/>
      <c r="Q817" s="936"/>
      <c r="R817" s="937"/>
      <c r="S817" s="196">
        <f ca="1">IF($B$808="Лікар загальної практики - сімейний лікар",IF(S812&lt;Законод!$C$22,0,(IF(AND(S812&gt;=Законод!$H$22,S812&lt;=Законод!$H$23),S812-Законод!$G$23,IF('01_Доходи'!S812&gt;=Законод!$I$22,Законод!$H$24,0)))),IF($B$808="Лікар-педіатр",IF(S812&lt;Законод!$C$18,0,(IF(AND(S812&gt;=Законод!$H$18,S812&lt;=Законод!$H$19),S812-Законод!$G$19,IF('01_Доходи'!S812&gt;=Законод!$I$18,Законод!$H$20,0)))),IF($B$808="Лікар-терапевт",IF(S812&lt;Законод!$C$26,0,(IF(AND(S812&gt;=Законод!$H$26,S812&lt;=Законод!$H$27),S812-Законод!$G$27,IF(S812&gt;=Законод!$I$26,Законод!$H$28,0)))),0)))</f>
        <v>0</v>
      </c>
      <c r="T817" s="942"/>
      <c r="U817" s="935" t="s">
        <v>423</v>
      </c>
      <c r="V817" s="936"/>
      <c r="W817" s="936"/>
      <c r="X817" s="936"/>
      <c r="Y817" s="937"/>
      <c r="Z817" s="196">
        <f ca="1">IF($B$808="Лікар загальної практики - сімейний лікар",IF(Z812&lt;Законод!$C$22,0,(IF(AND(Z812&gt;=Законод!$H$22,Z812&lt;=Законод!$H$23),Z812-Законод!$G$23,IF('01_Доходи'!Z812&gt;=Законод!$I$22,Законод!$H$24,0)))),IF($B$808="Лікар-педіатр",IF(Z812&lt;Законод!$C$18,0,(IF(AND(Z812&gt;=Законод!$H$18,Z812&lt;=Законод!$H$19),Z812-Законод!$G$19,IF('01_Доходи'!Z812&gt;=Законод!$I$18,Законод!$H$20,0)))),IF($B$808="Лікар-терапевт",IF(Z812&lt;Законод!$C$26,0,(IF(AND(Z812&gt;=Законод!$H$26,Z812&lt;=Законод!$H$27),Z812-Законод!$G$27,IF(Z812&gt;=Законод!$I$26,Законод!$H$28,0)))),0)))</f>
        <v>0</v>
      </c>
      <c r="AA817" s="942"/>
      <c r="AB817" s="935" t="s">
        <v>423</v>
      </c>
      <c r="AC817" s="936"/>
      <c r="AD817" s="936"/>
      <c r="AE817" s="936"/>
      <c r="AF817" s="937"/>
      <c r="AG817" s="196">
        <f ca="1">IF($B$808="Лікар загальної практики - сімейний лікар",IF(AG812&lt;Законод!$C$22,0,(IF(AND(AG812&gt;=Законод!$H$22,AG812&lt;=Законод!$H$23),AG812-Законод!$G$23,IF('01_Доходи'!AG812&gt;=Законод!$I$22,Законод!$H$24,0)))),IF($B$808="Лікар-педіатр",IF(AG812&lt;Законод!$C$18,0,(IF(AND(AG812&gt;=Законод!$H$18,AG812&lt;=Законод!$H$19),AG812-Законод!$G$19,IF('01_Доходи'!AG812&gt;=Законод!$I$18,Законод!$H$20,0)))),IF($B$808="Лікар-терапевт",IF(AG812&lt;Законод!$C$26,0,(IF(AND(AG812&gt;=Законод!$H$26,AG812&lt;=Законод!$H$27),AG812-Законод!$G$27,IF(AG812&gt;=Законод!$I$26,Законод!$H$28,0)))),0)))</f>
        <v>0</v>
      </c>
      <c r="AH817" s="942"/>
      <c r="AI817" s="201"/>
      <c r="AJ817" s="945"/>
      <c r="AK817" s="960"/>
      <c r="AL817" s="960"/>
      <c r="AM817" s="927"/>
      <c r="AN817" s="210">
        <f ca="1">IF(B808="Лікар загальної практики - сімейний лікар",L817*Законод!$C$9/4*Законод!$H$16,IF(B808="Лікар-педіатр",L817*Законод!$C$9/4*Законод!$H$16,IF(B808="Лікар-терапевт",L817*Законод!$C$9/4*Законод!$H$16,0)))</f>
        <v>0</v>
      </c>
      <c r="AO817" s="210">
        <f ca="1">IF(B808="Лікар загальної практики - сімейний лікар",S817*Законод!$C$9/4*Законод!$H$16,IF(B808="Лікар-педіатр",S817*Законод!$C$9/4*Законод!$H$16,IF(B808="Лікар-терапевт",S817*Законод!$C$9/4*Законод!$H$16,0)))</f>
        <v>0</v>
      </c>
      <c r="AP817" s="210">
        <f ca="1">IF(B808="Лікар загальної практики - сімейний лікар",Z817*Законод!$C$9/4*Законод!$H$16,IF(B808="Лікар-педіатр",Z817*Законод!$C$9/4*Законод!$H$16,IF(B808="Лікар-терапевт",Z817*Законод!$C$9/4*Законод!$H$16,0)))</f>
        <v>0</v>
      </c>
      <c r="AQ817" s="210">
        <f ca="1">IF(B808="Лікар загальної практики - сімейний лікар",AG817*Законод!$C$9/4*Законод!$H$16,IF(B808="Лікар-педіатр",AG817*Законод!$C$9/4*Законод!$H$16,IF(B808="Лікар-терапевт",AG817*Законод!$C$9/4*Законод!$H$16,0)))</f>
        <v>0</v>
      </c>
      <c r="AR817" s="211">
        <f t="shared" si="102"/>
        <v>0</v>
      </c>
    </row>
    <row r="818" spans="1:44" s="50" customFormat="1" ht="31.9" hidden="1" customHeight="1">
      <c r="A818" s="197"/>
      <c r="B818" s="951"/>
      <c r="C818" s="954"/>
      <c r="D818" s="957"/>
      <c r="E818" s="939"/>
      <c r="F818" s="238" t="str">
        <f ca="1">IF(B808="Лікар-педіатр",Законод!$I$17,IF(B808="Лікар загальної практики - сімейний лікар",Законод!$I$21,IF(B808="Лікар-терапевт",Законод!$I$25,"х")))</f>
        <v>х</v>
      </c>
      <c r="G818" s="935" t="s">
        <v>423</v>
      </c>
      <c r="H818" s="936"/>
      <c r="I818" s="936"/>
      <c r="J818" s="936"/>
      <c r="K818" s="937"/>
      <c r="L818" s="196">
        <f ca="1">IF($B$808="Лікар загальної практики - сімейний лікар",IF(L812&lt;Законод!$C$22,0,(IF(AND(L812&gt;=Законод!$I$22,L812&lt;=Законод!$I$23),L812-Законод!$H$23,IF('01_Доходи'!L812&gt;=Законод!$I$22,Законод!$I$24,0)))),IF($B$808="Лікар-педіатр",IF(L812&lt;Законод!$C$18,0,(IF(AND(L812&gt;=Законод!$I$18,L812&lt;=Законод!$I$19),L812-Законод!$H$19,IF('01_Доходи'!L812&gt;=Законод!$I$18,Законод!$H$20,0)))),IF($B$808="Лікар-терапевт",IF(L812&lt;Законод!$C$26,0,(IF(AND(L812&gt;=Законод!$I$26,L812&lt;=Законод!$I$27),L812-Законод!$H$27,IF('01_Доходи'!L812&gt;=Законод!$I$26,Законод!$H$28,0)))),0)))</f>
        <v>0</v>
      </c>
      <c r="M818" s="942"/>
      <c r="N818" s="935" t="s">
        <v>423</v>
      </c>
      <c r="O818" s="936"/>
      <c r="P818" s="936"/>
      <c r="Q818" s="936"/>
      <c r="R818" s="937"/>
      <c r="S818" s="196">
        <f ca="1">IF($B$808="Лікар загальної практики - сімейний лікар",IF(S812&lt;Законод!$C$22,0,(IF(AND(S812&gt;=Законод!$I$22,S812&lt;=Законод!$I$23),S812-Законод!$H$23,IF('01_Доходи'!S812&gt;=Законод!$I$22,Законод!$I$24,0)))),IF($B$808="Лікар-педіатр",IF(S812&lt;Законод!$C$18,0,(IF(AND(S812&gt;=Законод!$I$18,S812&lt;=Законод!$I$19),S812-Законод!$H$19,IF('01_Доходи'!S812&gt;=Законод!$I$18,Законод!$H$20,0)))),IF($B$808="Лікар-терапевт",IF(S812&lt;Законод!$C$26,0,(IF(AND(S812&gt;=Законод!$I$26,S812&lt;=Законод!$I$27),S812-Законод!$H$27,IF('01_Доходи'!S812&gt;=Законод!$I$26,Законод!$H$28,0)))),0)))</f>
        <v>0</v>
      </c>
      <c r="T818" s="942"/>
      <c r="U818" s="935" t="s">
        <v>423</v>
      </c>
      <c r="V818" s="936"/>
      <c r="W818" s="936"/>
      <c r="X818" s="936"/>
      <c r="Y818" s="937"/>
      <c r="Z818" s="196">
        <f ca="1">IF($B$808="Лікар загальної практики - сімейний лікар",IF(Z812&lt;Законод!$C$22,0,(IF(AND(Z812&gt;=Законод!$I$22,Z812&lt;=Законод!$I$23),Z812-Законод!$H$23,IF('01_Доходи'!Z812&gt;=Законод!$I$22,Законод!$I$24,0)))),IF($B$808="Лікар-педіатр",IF(Z812&lt;Законод!$C$18,0,(IF(AND(Z812&gt;=Законод!$I$18,Z812&lt;=Законод!$I$19),Z812-Законод!$H$19,IF('01_Доходи'!Z812&gt;=Законод!$I$18,Законод!$H$20,0)))),IF($B$808="Лікар-терапевт",IF(Z812&lt;Законод!$C$26,0,(IF(AND(Z812&gt;=Законод!$I$26,Z812&lt;=Законод!$I$27),Z812-Законод!$H$27,IF('01_Доходи'!Z812&gt;=Законод!$I$26,Законод!$H$28,0)))),0)))</f>
        <v>0</v>
      </c>
      <c r="AA818" s="942"/>
      <c r="AB818" s="935" t="s">
        <v>423</v>
      </c>
      <c r="AC818" s="936"/>
      <c r="AD818" s="936"/>
      <c r="AE818" s="936"/>
      <c r="AF818" s="937"/>
      <c r="AG818" s="196">
        <f ca="1">IF($B$808="Лікар загальної практики - сімейний лікар",IF(AG812&lt;Законод!$C$22,0,(IF(AND(AG812&gt;=Законод!$I$22,AG812&lt;=Законод!$I$23),AG812-Законод!$H$23,IF('01_Доходи'!AG812&gt;=Законод!$I$22,Законод!$I$24,0)))),IF($B$808="Лікар-педіатр",IF(AG812&lt;Законод!$C$18,0,(IF(AND(AG812&gt;=Законод!$I$18,AG812&lt;=Законод!$I$19),AG812-Законод!$H$19,IF('01_Доходи'!AG812&gt;=Законод!$I$18,Законод!$H$20,0)))),IF($B$808="Лікар-терапевт",IF(AG812&lt;Законод!$C$26,0,(IF(AND(AG812&gt;=Законод!$I$26,AG812&lt;=Законод!$I$27),AG812-Законод!$H$27,IF('01_Доходи'!AG812&gt;=Законод!$I$26,Законод!$H$28,0)))),0)))</f>
        <v>0</v>
      </c>
      <c r="AH818" s="942"/>
      <c r="AI818" s="201"/>
      <c r="AJ818" s="945"/>
      <c r="AK818" s="960"/>
      <c r="AL818" s="960"/>
      <c r="AM818" s="927"/>
      <c r="AN818" s="210">
        <f ca="1">IF(B808="Лікар загальної практики - сімейний лікар",L818*Законод!$C$9/4*Законод!$I$16,IF(B808="Лікар-педіатр",L818*Законод!$C$9/4*Законод!$I$16,IF(B808="Лікар-терапевт",L818*Законод!$C$9/4*Законод!$I$16,0)))</f>
        <v>0</v>
      </c>
      <c r="AO818" s="210">
        <f ca="1">IF(B808="Лікар загальної практики - сімейний лікар",S818*Законод!$C$9/4*Законод!$I$16,IF(B808="Лікар-педіатр",S818*Законод!$C$9/4*Законод!$I$16,IF(B808="Лікар-терапевт",S818*Законод!$C$9/4*Законод!$I$16,0)))</f>
        <v>0</v>
      </c>
      <c r="AP818" s="210">
        <f ca="1">IF(B808="Лікар загальної практики - сімейний лікар",Z818*Законод!$C$9/4*Законод!$I$16,IF(B808="Лікар-педіатр",Z818*Законод!$C$9/4*Законод!$I$16,IF(B808="Лікар-терапевт",Z818*Законод!$C$9/4*Законод!$I$16,0)))</f>
        <v>0</v>
      </c>
      <c r="AQ818" s="210">
        <f ca="1">IF(B808="Лікар загальної практики - сімейний лікар",AG818*Законод!$C$9/4*Законод!$I$16,IF(B808="Лікар-педіатр",AG818*Законод!$C$9/4*Законод!$I$16,IF(B808="Лікар-терапевт",AG818*Законод!$C$9/4*Законод!$I$16,0)))</f>
        <v>0</v>
      </c>
      <c r="AR818" s="211">
        <f t="shared" si="102"/>
        <v>0</v>
      </c>
    </row>
    <row r="819" spans="1:44" s="218" customFormat="1" ht="31.9" hidden="1" customHeight="1" thickBot="1">
      <c r="A819" s="213"/>
      <c r="B819" s="952"/>
      <c r="C819" s="955"/>
      <c r="D819" s="958"/>
      <c r="E819" s="940"/>
      <c r="F819" s="239" t="str">
        <f ca="1">IF(B808="Лікар-педіатр",Законод!$J$17,IF(B808="Лікар загальної практики - сімейний лікар",Законод!$J$21,IF(B808="Лікар-терапевт",Законод!$J$25,"х")))</f>
        <v>х</v>
      </c>
      <c r="G819" s="932" t="s">
        <v>423</v>
      </c>
      <c r="H819" s="933"/>
      <c r="I819" s="933"/>
      <c r="J819" s="933"/>
      <c r="K819" s="934"/>
      <c r="L819" s="196">
        <f ca="1">IF($B$808="Лікар загальної практики - сімейний лікар",IF(L812&gt;=Законод!$J$22,'01_Доходи'!L812-('01_Доходи'!L813+'01_Доходи'!L814+'01_Доходи'!L815+'01_Доходи'!L816+'01_Доходи'!L817+'01_Доходи'!L818),0),IF($B$808="Лікар-педіатр",IF(L812&gt;=Законод!$J$18,'01_Доходи'!L812-('01_Доходи'!L813+'01_Доходи'!L814+'01_Доходи'!L815+'01_Доходи'!L816+'01_Доходи'!L817+'01_Доходи'!L818),0),IF($B$808="Лікар-терапевт",IF('01_Доходи'!L812&gt;=Законод!$J$26,L812-Законод!$I$27,0),0)))</f>
        <v>0</v>
      </c>
      <c r="M819" s="943"/>
      <c r="N819" s="932" t="s">
        <v>423</v>
      </c>
      <c r="O819" s="933"/>
      <c r="P819" s="933"/>
      <c r="Q819" s="933"/>
      <c r="R819" s="934"/>
      <c r="S819" s="196">
        <f ca="1">IF($B$808="Лікар загальної практики - сімейний лікар",IF(S812&gt;=Законод!$J$22,'01_Доходи'!S812-('01_Доходи'!S813+'01_Доходи'!S814+'01_Доходи'!S815+'01_Доходи'!S816+'01_Доходи'!S817+'01_Доходи'!S818),0),IF($B$808="Лікар-педіатр",IF(S812&gt;=Законод!$J$18,'01_Доходи'!S812-('01_Доходи'!S813+'01_Доходи'!S814+'01_Доходи'!S815+'01_Доходи'!S816+'01_Доходи'!S817+'01_Доходи'!S818),0),IF($B$808="Лікар-терапевт",IF('01_Доходи'!S812&gt;=Законод!$J$26,S812-Законод!$I$27,0),0)))</f>
        <v>0</v>
      </c>
      <c r="T819" s="943"/>
      <c r="U819" s="932" t="s">
        <v>423</v>
      </c>
      <c r="V819" s="933"/>
      <c r="W819" s="933"/>
      <c r="X819" s="933"/>
      <c r="Y819" s="934"/>
      <c r="Z819" s="196">
        <f ca="1">IF($B$808="Лікар загальної практики - сімейний лікар",IF(Z812&gt;=Законод!$J$22,'01_Доходи'!Z812-('01_Доходи'!Z813+'01_Доходи'!Z814+'01_Доходи'!Z815+'01_Доходи'!Z816+'01_Доходи'!Z817+'01_Доходи'!Z818),0),IF($B$808="Лікар-педіатр",IF(Z812&gt;=Законод!$J$18,'01_Доходи'!Z812-('01_Доходи'!Z813+'01_Доходи'!Z814+'01_Доходи'!Z815+'01_Доходи'!Z816+'01_Доходи'!Z817+'01_Доходи'!Z818),0),IF($B$808="Лікар-терапевт",IF('01_Доходи'!Z812&gt;=Законод!$J$26,Z812-Законод!$I$27,0),0)))</f>
        <v>0</v>
      </c>
      <c r="AA819" s="943"/>
      <c r="AB819" s="932" t="s">
        <v>423</v>
      </c>
      <c r="AC819" s="933"/>
      <c r="AD819" s="933"/>
      <c r="AE819" s="933"/>
      <c r="AF819" s="934"/>
      <c r="AG819" s="196">
        <f ca="1">IF($B$808="Лікар загальної практики - сімейний лікар",IF(AG812&gt;=Законод!$J$22,'01_Доходи'!AG812-('01_Доходи'!AG813+'01_Доходи'!AG814+'01_Доходи'!AG815+'01_Доходи'!AG816+'01_Доходи'!AG817+'01_Доходи'!AG818),0),IF($B$808="Лікар-педіатр",IF(AG812&gt;=Законод!$J$18,'01_Доходи'!AG812-('01_Доходи'!AG813+'01_Доходи'!AG814+'01_Доходи'!AG815+'01_Доходи'!AG816+'01_Доходи'!AG817+'01_Доходи'!AG818),0),IF($B$808="Лікар-терапевт",IF('01_Доходи'!AG812&gt;=Законод!$J$26,AG812-Законод!$I$27,0),0)))</f>
        <v>0</v>
      </c>
      <c r="AH819" s="943"/>
      <c r="AI819" s="215"/>
      <c r="AJ819" s="946"/>
      <c r="AK819" s="961"/>
      <c r="AL819" s="961"/>
      <c r="AM819" s="928"/>
      <c r="AN819" s="216">
        <f ca="1">IF(B808="Лікар загальної практики - сімейний лікар",L819*Законод!$C$9/4*Законод!$J$16,IF(B808="Лікар-педіатр",L819*Законод!$C$9/4*Законод!$J$16,IF(B808="Лікар-терапевт",L819*Законод!$C$9/4*Законод!$J$16,0)))</f>
        <v>0</v>
      </c>
      <c r="AO819" s="216">
        <f ca="1">IF(B808="Лікар загальної практики - сімейний лікар",S819*Законод!$C$9/4*Законод!$J$16,IF(B808="Лікар-педіатр",S819*Законод!$C$9/4*Законод!$J$16,IF(B808="Лікар-терапевт",S819*Законод!$C$9/4*Законод!$J$16,0)))</f>
        <v>0</v>
      </c>
      <c r="AP819" s="216">
        <f ca="1">IF(B808="Лікар загальної практики - сімейний лікар",S819*Законод!$C$9/4*Законод!$J$16,IF(B808="Лікар-педіатр",S819*Законод!$C$9/4*Законод!$J$16,IF(B808="Лікар-терапевт",S819*Законод!$C$9/4*Законод!$J$16,0)))</f>
        <v>0</v>
      </c>
      <c r="AQ819" s="216">
        <f ca="1">IF(B808="Лікар загальної практики - сімейний лікар",AG819*Законод!$C$9/4*Законод!$J$16,IF(B808="Лікар-педіатр",AG819*Законод!$C$9/4*Законод!$J$16,IF(B808="Лікар-терапевт",AG819*Законод!$C$9/4*Законод!$J$16,0)))</f>
        <v>0</v>
      </c>
      <c r="AR819" s="217">
        <f t="shared" si="102"/>
        <v>0</v>
      </c>
    </row>
    <row r="820" spans="1:44" s="247" customFormat="1" ht="23.45" hidden="1" customHeight="1" thickBot="1">
      <c r="A820" s="243"/>
      <c r="B820" s="244"/>
      <c r="C820" s="244"/>
      <c r="D820" s="244"/>
      <c r="E820" s="244"/>
      <c r="F820" s="245"/>
      <c r="G820" s="246"/>
      <c r="H820" s="246"/>
      <c r="L820" s="248"/>
      <c r="S820" s="248"/>
      <c r="Z820" s="248"/>
      <c r="AG820" s="248"/>
      <c r="AM820" s="249"/>
      <c r="AR820" s="250"/>
    </row>
    <row r="821" spans="1:44" s="191" customFormat="1" ht="24.6" hidden="1" customHeight="1">
      <c r="A821" s="194">
        <f>A808+1</f>
        <v>61</v>
      </c>
      <c r="B821" s="950"/>
      <c r="C821" s="953"/>
      <c r="D821" s="956"/>
      <c r="E821" s="938"/>
      <c r="F821" s="234" t="s">
        <v>659</v>
      </c>
      <c r="G821" s="196">
        <f>IF($B$821="Лікар-педіатр",G824*L821,IF($B$821="Лікар-терапевт","х",IF($B$821="Лікар загальної практики - сімейний лікар",G824*L821,0)))</f>
        <v>0</v>
      </c>
      <c r="H821" s="196">
        <f>IF($B$821="Лікар-педіатр",H824*L821,IF($B$821="Лікар-терапевт","х",IF($B$821="Лікар загальної практики - сімейний лікар",H824*L821,0)))</f>
        <v>0</v>
      </c>
      <c r="I821" s="196">
        <f>IF($B$821="Лікар-педіатр","x",IF($B$821="Лікар-терапевт",I824*L821,IF($B$821="Лікар загальної практики - сімейний лікар",I824*L821,0)))</f>
        <v>0</v>
      </c>
      <c r="J821" s="196">
        <f>IF($B$821="Лікар-педіатр","x",IF($B$821="Лікар-терапевт",J824*L821,IF($B$821="Лікар загальної практики - сімейний лікар",J824*L821,0)))</f>
        <v>0</v>
      </c>
      <c r="K821" s="196">
        <f>IF($B$821="Лікар-педіатр","x",IF($B$821="Лікар-терапевт",K824*L821,IF($B$821="Лікар загальної практики - сімейний лікар",K824*L821,0)))</f>
        <v>0</v>
      </c>
      <c r="L821" s="557"/>
      <c r="M821" s="941"/>
      <c r="N821" s="196">
        <f>IF($B$821="Лікар-педіатр",N824*S821,IF($B$821="Лікар-терапевт","х",IF($B$821="Лікар загальної практики - сімейний лікар",N824*S821,0)))</f>
        <v>0</v>
      </c>
      <c r="O821" s="196">
        <f>IF($B$821="Лікар-педіатр",O824*S821,IF($B$821="Лікар-терапевт","х",IF($B$821="Лікар загальної практики - сімейний лікар",O824*S821,0)))</f>
        <v>0</v>
      </c>
      <c r="P821" s="196">
        <f>IF($B$821="Лікар-педіатр","x",IF($B$821="Лікар-терапевт",P824*S821,IF($B$821="Лікар загальної практики - сімейний лікар",P824*S821,0)))</f>
        <v>0</v>
      </c>
      <c r="Q821" s="196">
        <f>IF($B$821="Лікар-педіатр","x",IF($B$821="Лікар-терапевт",Q824*S821,IF($B$821="Лікар загальної практики - сімейний лікар",Q824*S821,0)))</f>
        <v>0</v>
      </c>
      <c r="R821" s="196">
        <f>IF($B$821="Лікар-педіатр","x",IF($B$821="Лікар-терапевт",R824*S821,IF($B$821="Лікар загальної практики - сімейний лікар",R824*S821,0)))</f>
        <v>0</v>
      </c>
      <c r="S821" s="557"/>
      <c r="T821" s="941"/>
      <c r="U821" s="196">
        <f>IF($B$821="Лікар-педіатр",U824*Z821,IF($B$821="Лікар-терапевт","х",IF($B$821="Лікар загальної практики - сімейний лікар",U824*Z821,0)))</f>
        <v>0</v>
      </c>
      <c r="V821" s="196">
        <f>IF($B$821="Лікар-педіатр",V824*Z821,IF($B$821="Лікар-терапевт","х",IF($B$821="Лікар загальної практики - сімейний лікар",V824*Z821,0)))</f>
        <v>0</v>
      </c>
      <c r="W821" s="196">
        <f>IF($B$821="Лікар-педіатр","x",IF($B$821="Лікар-терапевт",W824*Z821,IF($B$821="Лікар загальної практики - сімейний лікар",W824*Z821,0)))</f>
        <v>0</v>
      </c>
      <c r="X821" s="196">
        <f>IF($B$821="Лікар-педіатр","x",IF($B$821="Лікар-терапевт",X824*Z821,IF($B$821="Лікар загальної практики - сімейний лікар",X824*Z821,0)))</f>
        <v>0</v>
      </c>
      <c r="Y821" s="196">
        <f>IF($B$821="Лікар-педіатр","x",IF($B$821="Лікар-терапевт",Y824*Z821,IF($B$821="Лікар загальної практики - сімейний лікар",Y824*Z821,0)))</f>
        <v>0</v>
      </c>
      <c r="Z821" s="557"/>
      <c r="AA821" s="941"/>
      <c r="AB821" s="196">
        <f>IF($B$821="Лікар-педіатр",AB824*AG821,IF($B$821="Лікар-терапевт","х",IF($B$821="Лікар загальної практики - сімейний лікар",AB824*AG821,0)))</f>
        <v>0</v>
      </c>
      <c r="AC821" s="196">
        <f>IF($B$821="Лікар-педіатр",AC824*AG821,IF($B$821="Лікар-терапевт","х",IF($B$821="Лікар загальної практики - сімейний лікар",AC824*AG821,0)))</f>
        <v>0</v>
      </c>
      <c r="AD821" s="196">
        <f>IF($B$821="Лікар-педіатр","x",IF($B$821="Лікар-терапевт",AD824*AG821,IF($B$821="Лікар загальної практики - сімейний лікар",AD824*AG821,0)))</f>
        <v>0</v>
      </c>
      <c r="AE821" s="196">
        <f>IF($B$821="Лікар-педіатр","x",IF($B$821="Лікар-терапевт",AE824*AG821,IF($B$821="Лікар загальної практики - сімейний лікар",AE824*AG821,0)))</f>
        <v>0</v>
      </c>
      <c r="AF821" s="196">
        <f>IF($B$821="Лікар-педіатр","x",IF($B$821="Лікар-терапевт",AF824*AG821,IF($B$821="Лікар загальної практики - сімейний лікар",AF824*AG821,0)))</f>
        <v>0</v>
      </c>
      <c r="AG821" s="557"/>
      <c r="AH821" s="941"/>
      <c r="AI821" s="540">
        <f>A821</f>
        <v>61</v>
      </c>
      <c r="AJ821" s="944">
        <f>B821</f>
        <v>0</v>
      </c>
      <c r="AK821" s="959">
        <f>C821</f>
        <v>0</v>
      </c>
      <c r="AL821" s="959">
        <f>D821</f>
        <v>0</v>
      </c>
      <c r="AM821" s="929" t="s">
        <v>79</v>
      </c>
      <c r="AN821" s="947">
        <f>SUM(AN826:AN832)</f>
        <v>0</v>
      </c>
      <c r="AO821" s="947">
        <f>SUM(AO826:AO832)</f>
        <v>0</v>
      </c>
      <c r="AP821" s="947">
        <f>SUM(AP826:AP832)</f>
        <v>0</v>
      </c>
      <c r="AQ821" s="947">
        <f>SUM(AQ826:AQ832)</f>
        <v>0</v>
      </c>
      <c r="AR821" s="962">
        <f>SUM(AN821:AQ825)</f>
        <v>0</v>
      </c>
    </row>
    <row r="822" spans="1:44" s="50" customFormat="1" ht="28.15" hidden="1" customHeight="1">
      <c r="A822" s="197"/>
      <c r="B822" s="951"/>
      <c r="C822" s="954"/>
      <c r="D822" s="957"/>
      <c r="E822" s="939"/>
      <c r="F822" s="234" t="s">
        <v>660</v>
      </c>
      <c r="G822" s="196">
        <f>IF($B$821="Лікар-педіатр",G824*L822,IF($B$821="Лікар-терапевт","х",IF($B$821="Лікар загальної практики - сімейний лікар",G824*L822,0)))</f>
        <v>0</v>
      </c>
      <c r="H822" s="196">
        <f>IF($B$821="Лікар-педіатр",H824*L822,IF($B$821="Лікар-терапевт","х",IF($B$821="Лікар загальної практики - сімейний лікар",H824*L822,0)))</f>
        <v>0</v>
      </c>
      <c r="I822" s="196">
        <f>IF($B$821="Лікар-педіатр","x",IF($B$821="Лікар-терапевт",I824*L822,IF($B$821="Лікар загальної практики - сімейний лікар",I824*L822,0)))</f>
        <v>0</v>
      </c>
      <c r="J822" s="196">
        <f>IF($B$821="Лікар-педіатр","x",IF($B$821="Лікар-терапевт",J824*L822,IF($B$821="Лікар загальної практики - сімейний лікар",J824*L822,0)))</f>
        <v>0</v>
      </c>
      <c r="K822" s="196">
        <f>IF($B$821="Лікар-педіатр","x",IF($B$821="Лікар-терапевт",K824*L822,IF($B$821="Лікар загальної практики - сімейний лікар",K824*L822,0)))</f>
        <v>0</v>
      </c>
      <c r="L822" s="557"/>
      <c r="M822" s="942"/>
      <c r="N822" s="196">
        <f>IF($B$821="Лікар-педіатр",N824*S822,IF($B$821="Лікар-терапевт","х",IF($B$821="Лікар загальної практики - сімейний лікар",N824*S822,0)))</f>
        <v>0</v>
      </c>
      <c r="O822" s="196">
        <f>IF($B$821="Лікар-педіатр",O824*S822,IF($B$821="Лікар-терапевт","х",IF($B$821="Лікар загальної практики - сімейний лікар",O824*S822,0)))</f>
        <v>0</v>
      </c>
      <c r="P822" s="196">
        <f>IF($B$821="Лікар-педіатр","x",IF($B$821="Лікар-терапевт",P824*S822,IF($B$821="Лікар загальної практики - сімейний лікар",P824*S822,0)))</f>
        <v>0</v>
      </c>
      <c r="Q822" s="196">
        <f>IF($B$821="Лікар-педіатр","x",IF($B$821="Лікар-терапевт",Q824*S822,IF($B$821="Лікар загальної практики - сімейний лікар",Q824*S822,0)))</f>
        <v>0</v>
      </c>
      <c r="R822" s="196">
        <f>IF($B$821="Лікар-педіатр","x",IF($B$821="Лікар-терапевт",R824*S822,IF($B$821="Лікар загальної практики - сімейний лікар",R824*S822,0)))</f>
        <v>0</v>
      </c>
      <c r="S822" s="557"/>
      <c r="T822" s="942"/>
      <c r="U822" s="196">
        <f>IF($B$821="Лікар-педіатр",U824*Z822,IF($B$821="Лікар-терапевт","х",IF($B$821="Лікар загальної практики - сімейний лікар",U824*Z822,0)))</f>
        <v>0</v>
      </c>
      <c r="V822" s="196">
        <f>IF($B$821="Лікар-педіатр",V824*Z822,IF($B$821="Лікар-терапевт","х",IF($B$821="Лікар загальної практики - сімейний лікар",V824*Z822,0)))</f>
        <v>0</v>
      </c>
      <c r="W822" s="196">
        <f>IF($B$821="Лікар-педіатр","x",IF($B$821="Лікар-терапевт",W824*Z822,IF($B$821="Лікар загальної практики - сімейний лікар",W824*Z822,0)))</f>
        <v>0</v>
      </c>
      <c r="X822" s="196">
        <f>IF($B$821="Лікар-педіатр","x",IF($B$821="Лікар-терапевт",X824*Z822,IF($B$821="Лікар загальної практики - сімейний лікар",X824*Z822,0)))</f>
        <v>0</v>
      </c>
      <c r="Y822" s="196">
        <f>IF($B$821="Лікар-педіатр","x",IF($B$821="Лікар-терапевт",Y824*Z822,IF($B$821="Лікар загальної практики - сімейний лікар",Y824*Z822,0)))</f>
        <v>0</v>
      </c>
      <c r="Z822" s="557"/>
      <c r="AA822" s="942"/>
      <c r="AB822" s="196">
        <f>IF($B$821="Лікар-педіатр",AB824*AG822,IF($B$821="Лікар-терапевт","х",IF($B$821="Лікар загальної практики - сімейний лікар",AB824*AG822,0)))</f>
        <v>0</v>
      </c>
      <c r="AC822" s="196">
        <f>IF($B$821="Лікар-педіатр",AC824*AG822,IF($B$821="Лікар-терапевт","х",IF($B$821="Лікар загальної практики - сімейний лікар",AC824*AG822,0)))</f>
        <v>0</v>
      </c>
      <c r="AD822" s="196">
        <f>IF($B$821="Лікар-педіатр","x",IF($B$821="Лікар-терапевт",AD824*AG822,IF($B$821="Лікар загальної практики - сімейний лікар",AD824*AG822,0)))</f>
        <v>0</v>
      </c>
      <c r="AE822" s="196">
        <f>IF($B$821="Лікар-педіатр","x",IF($B$821="Лікар-терапевт",AE824*AG822,IF($B$821="Лікар загальної практики - сімейний лікар",AE824*AG822,0)))</f>
        <v>0</v>
      </c>
      <c r="AF822" s="196">
        <f>IF($B$821="Лікар-педіатр","x",IF($B$821="Лікар-терапевт",AF824*AG822,IF($B$821="Лікар загальної практики - сімейний лікар",AF824*AG822,0)))</f>
        <v>0</v>
      </c>
      <c r="AG822" s="557"/>
      <c r="AH822" s="942"/>
      <c r="AI822" s="198"/>
      <c r="AJ822" s="945"/>
      <c r="AK822" s="960"/>
      <c r="AL822" s="960"/>
      <c r="AM822" s="930"/>
      <c r="AN822" s="948"/>
      <c r="AO822" s="948"/>
      <c r="AP822" s="948"/>
      <c r="AQ822" s="948"/>
      <c r="AR822" s="963"/>
    </row>
    <row r="823" spans="1:44" s="90" customFormat="1" ht="31.15" hidden="1" customHeight="1">
      <c r="A823" s="240"/>
      <c r="B823" s="951"/>
      <c r="C823" s="954"/>
      <c r="D823" s="957"/>
      <c r="E823" s="939"/>
      <c r="F823" s="241" t="s">
        <v>661</v>
      </c>
      <c r="G823" s="199">
        <f>IF(B821="Лікар загальної практики - сімейний лікар"," ",IF(B821="Лікар-педіатр"," ",IF(B821="Лікар-терапевт","х",0)))</f>
        <v>0</v>
      </c>
      <c r="H823" s="199">
        <f>IF(B821="Лікар загальної практики - сімейний лікар"," ",IF(B821="Лікар-педіатр"," ",IF(B821="Лікар-терапевт","х",0)))</f>
        <v>0</v>
      </c>
      <c r="I823" s="199">
        <f>IF(B821="Лікар загальної практики - сімейний лікар"," ",IF(B821="Лікар-педіатр","х",IF(B821="Лікар-терапевт"," ",0)))</f>
        <v>0</v>
      </c>
      <c r="J823" s="199">
        <f>IF(B821="Лікар загальної практики - сімейний лікар"," ",IF(B821="Лікар-педіатр","х",IF(B821="Лікар-терапевт"," ",0)))</f>
        <v>0</v>
      </c>
      <c r="K823" s="199">
        <f>IF(B821="Лікар загальної практики - сімейний лікар"," ",IF(B821="Лікар-педіатр","х",IF(B821="Лікар-терапевт"," ",0)))</f>
        <v>0</v>
      </c>
      <c r="L823" s="200">
        <f>SUM(G823:K823)</f>
        <v>0</v>
      </c>
      <c r="M823" s="942"/>
      <c r="N823" s="199">
        <f>IF(B821="Лікар загальної практики - сімейний лікар"," ",IF(B821="Лікар-педіатр"," ",IF(B821="Лікар-терапевт","х",0)))</f>
        <v>0</v>
      </c>
      <c r="O823" s="199">
        <f>IF(B821="Лікар загальної практики - сімейний лікар"," ",IF(B821="Лікар-педіатр"," ",IF(B821="Лікар-терапевт","х",0)))</f>
        <v>0</v>
      </c>
      <c r="P823" s="199">
        <f>IF(B821="Лікар загальної практики - сімейний лікар"," ",IF(B821="Лікар-педіатр","х",IF(B821="Лікар-терапевт"," ",0)))</f>
        <v>0</v>
      </c>
      <c r="Q823" s="199">
        <f>IF(B821="Лікар загальної практики - сімейний лікар"," ",IF(B821="Лікар-педіатр","х",IF(B821="Лікар-терапевт"," ",0)))</f>
        <v>0</v>
      </c>
      <c r="R823" s="199">
        <f>IF(B821="Лікар загальної практики - сімейний лікар"," ",IF(B821="Лікар-педіатр","х",IF(B821="Лікар-терапевт"," ",0)))</f>
        <v>0</v>
      </c>
      <c r="S823" s="200">
        <f>SUM(N823:R823)</f>
        <v>0</v>
      </c>
      <c r="T823" s="942"/>
      <c r="U823" s="199">
        <f>IF(B821="Лікар загальної практики - сімейний лікар"," ",IF(B821="Лікар-педіатр"," ",IF(B821="Лікар-терапевт","х",0)))</f>
        <v>0</v>
      </c>
      <c r="V823" s="199">
        <f>IF(B821="Лікар загальної практики - сімейний лікар"," ",IF(B821="Лікар-педіатр"," ",IF(B821="Лікар-терапевт","х",0)))</f>
        <v>0</v>
      </c>
      <c r="W823" s="199">
        <f>IF(B821="Лікар загальної практики - сімейний лікар"," ",IF(B821="Лікар-педіатр","х",IF(B821="Лікар-терапевт"," ",0)))</f>
        <v>0</v>
      </c>
      <c r="X823" s="199">
        <f>IF(B821="Лікар загальної практики - сімейний лікар"," ",IF(B821="Лікар-педіатр","х",IF(B821="Лікар-терапевт"," ",0)))</f>
        <v>0</v>
      </c>
      <c r="Y823" s="199">
        <f>IF(B821="Лікар загальної практики - сімейний лікар"," ",IF(B821="Лікар-педіатр","х",IF(B821="Лікар-терапевт"," ",0)))</f>
        <v>0</v>
      </c>
      <c r="Z823" s="200">
        <f>SUM(U823:Y823)</f>
        <v>0</v>
      </c>
      <c r="AA823" s="942"/>
      <c r="AB823" s="199">
        <f>IF(B821="Лікар загальної практики - сімейний лікар"," ",IF(B821="Лікар-педіатр"," ",IF(B821="Лікар-терапевт","х",0)))</f>
        <v>0</v>
      </c>
      <c r="AC823" s="199">
        <f>IF(B821="Лікар загальної практики - сімейний лікар"," ",IF(B821="Лікар-педіатр"," ",IF(B821="Лікар-терапевт","х",0)))</f>
        <v>0</v>
      </c>
      <c r="AD823" s="199">
        <f>IF(B821="Лікар загальної практики - сімейний лікар"," ",IF(B821="Лікар-педіатр","х",IF(B821="Лікар-терапевт"," ",0)))</f>
        <v>0</v>
      </c>
      <c r="AE823" s="199">
        <f>IF(B821="Лікар загальної практики - сімейний лікар"," ",IF(B821="Лікар-педіатр","х",IF(B821="Лікар-терапевт"," ",0)))</f>
        <v>0</v>
      </c>
      <c r="AF823" s="199">
        <f>IF(B821="Лікар загальної практики - сімейний лікар"," ",IF(B821="Лікар-педіатр","х",IF(B821="Лікар-терапевт"," ",0)))</f>
        <v>0</v>
      </c>
      <c r="AG823" s="200">
        <f>SUM(AB823:AF823)</f>
        <v>0</v>
      </c>
      <c r="AH823" s="942"/>
      <c r="AI823" s="242"/>
      <c r="AJ823" s="945"/>
      <c r="AK823" s="960"/>
      <c r="AL823" s="960"/>
      <c r="AM823" s="930"/>
      <c r="AN823" s="948"/>
      <c r="AO823" s="948"/>
      <c r="AP823" s="948"/>
      <c r="AQ823" s="948"/>
      <c r="AR823" s="963"/>
    </row>
    <row r="824" spans="1:44" s="50" customFormat="1" ht="31.9" hidden="1" customHeight="1" thickBot="1">
      <c r="A824" s="197"/>
      <c r="B824" s="951"/>
      <c r="C824" s="954"/>
      <c r="D824" s="957"/>
      <c r="E824" s="939"/>
      <c r="F824" s="236" t="s">
        <v>426</v>
      </c>
      <c r="G824" s="203">
        <f>IF($B$821="Лікар-педіатр",G823/L823,IF($B$821="Лікар-терапевт","х",IF($B$821="Лікар загальної практики - сімейний лікар",G823/L823,0)))</f>
        <v>0</v>
      </c>
      <c r="H824" s="203">
        <f>IF($B$821="Лікар-педіатр",H823/L823,IF($B$821="Лікар-терапевт","х",IF($B$821="Лікар загальної практики - сімейний лікар",H823/L823,0)))</f>
        <v>0</v>
      </c>
      <c r="I824" s="203">
        <f>IF($B$821="Лікар-педіатр","x",IF($B$821="Лікар-терапевт",I823/L823,IF($B$821="Лікар загальної практики - сімейний лікар",I823/L823,0)))</f>
        <v>0</v>
      </c>
      <c r="J824" s="203">
        <f>IF($B$821="Лікар-педіатр","x",IF($B$821="Лікар-терапевт",J823/L823,IF($B$821="Лікар загальної практики - сімейний лікар",J823/L823,0)))</f>
        <v>0</v>
      </c>
      <c r="K824" s="203">
        <f>IF($B$821="Лікар-педіатр","x",IF($B$821="Лікар-терапевт",K823/L823,IF($B$821="Лікар загальної практики - сімейний лікар",K823/L823,0)))</f>
        <v>0</v>
      </c>
      <c r="L824" s="203">
        <f>SUM(G824:K824)</f>
        <v>0</v>
      </c>
      <c r="M824" s="942"/>
      <c r="N824" s="203">
        <f>IF($B$821="Лікар-педіатр",N823/S823,IF($B$821="Лікар-терапевт","х",IF($B$821="Лікар загальної практики - сімейний лікар",N823/S823,0)))</f>
        <v>0</v>
      </c>
      <c r="O824" s="203">
        <f>IF($B$821="Лікар-педіатр",O823/S823,IF($B$821="Лікар-терапевт","х",IF($B$821="Лікар загальної практики - сімейний лікар",O823/S823,0)))</f>
        <v>0</v>
      </c>
      <c r="P824" s="203">
        <f>IF($B$821="Лікар-педіатр","x",IF($B$821="Лікар-терапевт",P823/S823,IF($B$821="Лікар загальної практики - сімейний лікар",P823/S823,0)))</f>
        <v>0</v>
      </c>
      <c r="Q824" s="203">
        <f>IF($B$821="Лікар-педіатр","x",IF($B$821="Лікар-терапевт",Q823/S823,IF($B$821="Лікар загальної практики - сімейний лікар",Q823/S823,0)))</f>
        <v>0</v>
      </c>
      <c r="R824" s="203">
        <f>IF($B$821="Лікар-педіатр","x",IF($B$821="Лікар-терапевт",R823/S823,IF($B$821="Лікар загальної практики - сімейний лікар",R823/S823,0)))</f>
        <v>0</v>
      </c>
      <c r="S824" s="203">
        <f>SUM(N824:R824)</f>
        <v>0</v>
      </c>
      <c r="T824" s="942"/>
      <c r="U824" s="203">
        <f>IF($B$821="Лікар-педіатр",U823/Z823,IF($B$821="Лікар-терапевт","х",IF($B$821="Лікар загальної практики - сімейний лікар",U823/Z823,0)))</f>
        <v>0</v>
      </c>
      <c r="V824" s="203">
        <f>IF($B$821="Лікар-педіатр",V823/Z823,IF($B$821="Лікар-терапевт","х",IF($B$821="Лікар загальної практики - сімейний лікар",V823/Z823,0)))</f>
        <v>0</v>
      </c>
      <c r="W824" s="203">
        <f>IF($B$821="Лікар-педіатр","x",IF($B$821="Лікар-терапевт",W823/Z823,IF($B$821="Лікар загальної практики - сімейний лікар",W823/Z823,0)))</f>
        <v>0</v>
      </c>
      <c r="X824" s="203">
        <f>IF($B$821="Лікар-педіатр","x",IF($B$821="Лікар-терапевт",X823/Z823,IF($B$821="Лікар загальної практики - сімейний лікар",X823/Z823,0)))</f>
        <v>0</v>
      </c>
      <c r="Y824" s="203">
        <f>IF($B$821="Лікар-педіатр","x",IF($B$821="Лікар-терапевт",Y823/Z823,IF($B$821="Лікар загальної практики - сімейний лікар",Y823/Z823,0)))</f>
        <v>0</v>
      </c>
      <c r="Z824" s="203">
        <f>SUM(U824:Y824)</f>
        <v>0</v>
      </c>
      <c r="AA824" s="942"/>
      <c r="AB824" s="203">
        <f>IF($B$821="Лікар-педіатр",AB823/AG823,IF($B$821="Лікар-терапевт","х",IF($B$821="Лікар загальної практики - сімейний лікар",AB823/AG823,0)))</f>
        <v>0</v>
      </c>
      <c r="AC824" s="203">
        <f>IF($B$821="Лікар-педіатр",AC823/AG823,IF($B$821="Лікар-терапевт","х",IF($B$821="Лікар загальної практики - сімейний лікар",AC823/AG823,0)))</f>
        <v>0</v>
      </c>
      <c r="AD824" s="203">
        <f>IF($B$821="Лікар-педіатр","x",IF($B$821="Лікар-терапевт",AD823/AG823,IF($B$821="Лікар загальної практики - сімейний лікар",AD823/AG823,0)))</f>
        <v>0</v>
      </c>
      <c r="AE824" s="203">
        <f>IF($B$821="Лікар-педіатр","x",IF($B$821="Лікар-терапевт",AE823/AG823,IF($B$821="Лікар загальної практики - сімейний лікар",AE823/AG823,0)))</f>
        <v>0</v>
      </c>
      <c r="AF824" s="203">
        <f>IF($B$821="Лікар-педіатр","x",IF($B$821="Лікар-терапевт",AF823/AG823,IF($B$821="Лікар загальної практики - сімейний лікар",AF823/AG823,0)))</f>
        <v>0</v>
      </c>
      <c r="AG824" s="203">
        <f>SUM(AB824:AF824)</f>
        <v>0</v>
      </c>
      <c r="AH824" s="942"/>
      <c r="AI824" s="201"/>
      <c r="AJ824" s="945"/>
      <c r="AK824" s="960"/>
      <c r="AL824" s="960"/>
      <c r="AM824" s="930"/>
      <c r="AN824" s="948"/>
      <c r="AO824" s="948"/>
      <c r="AP824" s="948"/>
      <c r="AQ824" s="948"/>
      <c r="AR824" s="963"/>
    </row>
    <row r="825" spans="1:44" s="50" customFormat="1" ht="45" hidden="1" customHeight="1" thickBot="1">
      <c r="A825" s="197"/>
      <c r="B825" s="951"/>
      <c r="C825" s="954"/>
      <c r="D825" s="957"/>
      <c r="E825" s="939"/>
      <c r="F825" s="204" t="s">
        <v>662</v>
      </c>
      <c r="G825" s="205">
        <f>IF($B$821="Лікар загальної практики - сімейний лікар",AVERAGE(G821:G823),IF($B$821="Лікар-педіатр",AVERAGE(G821:G823),IF($B$821="Лікар-терапевт","х",0)))</f>
        <v>0</v>
      </c>
      <c r="H825" s="205">
        <f>IF($B$821="Лікар загальної практики - сімейний лікар",AVERAGE(H821:H823),IF($B$821="Лікар-педіатр",AVERAGE(H821:H823),IF($B$821="Лікар-терапевт","х",0)))</f>
        <v>0</v>
      </c>
      <c r="I825" s="205">
        <f>IF($B$821="Лікар загальної практики - сімейний лікар",AVERAGE(I821:I823),IF($B$821="Лікар-педіатр","x",IF($B$821="Лікар-терапевт",AVERAGE(I821:I823),0)))</f>
        <v>0</v>
      </c>
      <c r="J825" s="205">
        <f>IF($B$821="Лікар загальної практики - сімейний лікар",AVERAGE(J821:J823),IF($B$821="Лікар-педіатр","x",IF($B$821="Лікар-терапевт",AVERAGE(J821:J823),0)))</f>
        <v>0</v>
      </c>
      <c r="K825" s="205">
        <f>IF($B$821="Лікар загальної практики - сімейний лікар",AVERAGE(K821:K823),IF($B$821="Лікар-педіатр","x",IF($B$821="Лікар-терапевт",AVERAGE(K821:K823),0)))</f>
        <v>0</v>
      </c>
      <c r="L825" s="206">
        <f>SUM(G825:K825)</f>
        <v>0</v>
      </c>
      <c r="M825" s="942"/>
      <c r="N825" s="205">
        <f>IF($B$821="Лікар загальної практики - сімейний лікар",AVERAGE(N821:N823),IF($B$821="Лікар-педіатр",AVERAGE(N821:N823),IF($B$821="Лікар-терапевт","х",0)))</f>
        <v>0</v>
      </c>
      <c r="O825" s="205">
        <f>IF($B$821="Лікар загальної практики - сімейний лікар",AVERAGE(O821:O823),IF($B$821="Лікар-педіатр",AVERAGE(O821:O823),IF($B$821="Лікар-терапевт","х",0)))</f>
        <v>0</v>
      </c>
      <c r="P825" s="205">
        <f>IF($B$821="Лікар загальної практики - сімейний лікар",AVERAGE(P821:P823),IF($B$821="Лікар-педіатр","x",IF($B$821="Лікар-терапевт",AVERAGE(P821:P823),0)))</f>
        <v>0</v>
      </c>
      <c r="Q825" s="205">
        <f>IF($B$821="Лікар загальної практики - сімейний лікар",AVERAGE(Q821:Q823),IF($B$821="Лікар-педіатр","x",IF($B$821="Лікар-терапевт",AVERAGE(Q821:Q823),0)))</f>
        <v>0</v>
      </c>
      <c r="R825" s="205">
        <f>IF($B$821="Лікар загальної практики - сімейний лікар",AVERAGE(R821:R823),IF($B$821="Лікар-педіатр","x",IF($B$821="Лікар-терапевт",AVERAGE(R821:R823),0)))</f>
        <v>0</v>
      </c>
      <c r="S825" s="206">
        <f>SUM(N825:R825)</f>
        <v>0</v>
      </c>
      <c r="T825" s="942"/>
      <c r="U825" s="205">
        <f>IF($B$821="Лікар загальної практики - сімейний лікар",AVERAGE(U821:U823),IF($B$821="Лікар-педіатр",AVERAGE(U821:U823),IF($B$821="Лікар-терапевт","х",0)))</f>
        <v>0</v>
      </c>
      <c r="V825" s="205">
        <f>IF($B$821="Лікар загальної практики - сімейний лікар",AVERAGE(V821:V823),IF($B$821="Лікар-педіатр",AVERAGE(V821:V823),IF($B$821="Лікар-терапевт","х",0)))</f>
        <v>0</v>
      </c>
      <c r="W825" s="205">
        <f>IF($B$821="Лікар загальної практики - сімейний лікар",AVERAGE(W821:W823),IF($B$821="Лікар-педіатр","x",IF($B$821="Лікар-терапевт",AVERAGE(W821:W823),0)))</f>
        <v>0</v>
      </c>
      <c r="X825" s="205">
        <f>IF($B$821="Лікар загальної практики - сімейний лікар",AVERAGE(X821:X823),IF($B$821="Лікар-педіатр","x",IF($B$821="Лікар-терапевт",AVERAGE(X821:X823),0)))</f>
        <v>0</v>
      </c>
      <c r="Y825" s="205">
        <f>IF($B$821="Лікар загальної практики - сімейний лікар",AVERAGE(Y821:Y823),IF($B$821="Лікар-педіатр","x",IF($B$821="Лікар-терапевт",AVERAGE(Y821:Y823),0)))</f>
        <v>0</v>
      </c>
      <c r="Z825" s="206">
        <f>SUM(U825:Y825)</f>
        <v>0</v>
      </c>
      <c r="AA825" s="942"/>
      <c r="AB825" s="205">
        <f>IF($B$821="Лікар загальної практики - сімейний лікар",AVERAGE(AB821:AB823),IF($B$821="Лікар-педіатр",AVERAGE(AB821:AB823),IF($B$821="Лікар-терапевт","х",0)))</f>
        <v>0</v>
      </c>
      <c r="AC825" s="205">
        <f>IF($B$821="Лікар загальної практики - сімейний лікар",AVERAGE(AC821:AC823),IF($B$821="Лікар-педіатр",AVERAGE(AC821:AC823),IF($B$821="Лікар-терапевт","х",0)))</f>
        <v>0</v>
      </c>
      <c r="AD825" s="205">
        <f>IF($B$821="Лікар загальної практики - сімейний лікар",AVERAGE(AD821:AD823),IF($B$821="Лікар-педіатр","x",IF($B$821="Лікар-терапевт",AVERAGE(AD821:AD823),0)))</f>
        <v>0</v>
      </c>
      <c r="AE825" s="205">
        <f>IF($B$821="Лікар загальної практики - сімейний лікар",AVERAGE(AE821:AE823),IF($B$821="Лікар-педіатр","x",IF($B$821="Лікар-терапевт",AVERAGE(AE821:AE823),0)))</f>
        <v>0</v>
      </c>
      <c r="AF825" s="205">
        <f>IF($B$821="Лікар загальної практики - сімейний лікар",AVERAGE(AF821:AF823),IF($B$821="Лікар-педіатр","x",IF($B$821="Лікар-терапевт",AVERAGE(AF821:AF823),0)))</f>
        <v>0</v>
      </c>
      <c r="AG825" s="206">
        <f>SUM(AB825:AF825)</f>
        <v>0</v>
      </c>
      <c r="AH825" s="942"/>
      <c r="AI825" s="201"/>
      <c r="AJ825" s="945"/>
      <c r="AK825" s="960"/>
      <c r="AL825" s="960"/>
      <c r="AM825" s="931"/>
      <c r="AN825" s="949"/>
      <c r="AO825" s="949"/>
      <c r="AP825" s="949"/>
      <c r="AQ825" s="949"/>
      <c r="AR825" s="964"/>
    </row>
    <row r="826" spans="1:44" s="50" customFormat="1" ht="40.5" hidden="1">
      <c r="A826" s="197"/>
      <c r="B826" s="951"/>
      <c r="C826" s="954"/>
      <c r="D826" s="957"/>
      <c r="E826" s="939"/>
      <c r="F826" s="237" t="str">
        <f ca="1">IF(B821="Лікар-педіатр",Законод!$C$17,IF(B821="Лікар загальної практики - сімейний лікар",Законод!$C$21,IF(B821="Лікар-терапевт",Законод!$C$25,"х")))</f>
        <v>х</v>
      </c>
      <c r="G826" s="208">
        <f ca="1">IF($B$821="Лікар загальної практики - сімейний лікар",IF(L825&lt;=Законод!$C$22,G825,Законод!$C$22*'01_Доходи'!G824),IF($B$821="Лікар-педіатр",IF(L825&lt;=Законод!$C$18,G825,Законод!$C$18*'01_Доходи'!G824),IF($B$821="Лікар-терапевт","x",0)))</f>
        <v>0</v>
      </c>
      <c r="H826" s="208">
        <f ca="1">IF($B$821="Лікар загальної практики - сімейний лікар",IF(L825&lt;=Законод!$C$22,H825,Законод!$C$22*'01_Доходи'!H824),IF($B$821="Лікар-педіатр",IF(L825&lt;=Законод!$C$18,H825,Законод!$C$18*'01_Доходи'!H824),IF($B$821="Лікар-терапевт","x",0)))</f>
        <v>0</v>
      </c>
      <c r="I826" s="208">
        <f ca="1">IF($B$821="Лікар загальної практики - сімейний лікар",IF(L825&lt;=Законод!$C$22,I825,Законод!$C$22*'01_Доходи'!I824),IF($B$821="Лікар-педіатр","x",IF($B$821="Лікар-терапевт",IF(L825&lt;=Законод!$C$26,I825,Законод!$C$26*'01_Доходи'!I824),0)))</f>
        <v>0</v>
      </c>
      <c r="J826" s="208">
        <f ca="1">IF($B$821="Лікар загальної практики - сімейний лікар",IF(L825&lt;=Законод!$C$22,J825,Законод!$C$22*'01_Доходи'!J824),IF($B$821="Лікар-педіатр","x",IF($B$821="Лікар-терапевт",IF(L825&lt;=Законод!$C$26,J825,Законод!$C$26*'01_Доходи'!J824),0)))</f>
        <v>0</v>
      </c>
      <c r="K826" s="208">
        <f ca="1">IF($B$821="Лікар загальної практики - сімейний лікар",IF(L825&lt;=Законод!$C$22,K825,Законод!$C$22*'01_Доходи'!K824),IF($B$821="Лікар-педіатр","x",IF($B$821="Лікар-терапевт",IF(L825&lt;=Законод!$C$26,K825,Законод!$C$26*'01_Доходи'!K824),0)))</f>
        <v>0</v>
      </c>
      <c r="L826" s="209">
        <f ca="1">SUM(G826:K826)</f>
        <v>0</v>
      </c>
      <c r="M826" s="942"/>
      <c r="N826" s="208">
        <f ca="1">IF($B$821="Лікар загальної практики - сімейний лікар",IF(S825&lt;=Законод!$C$22,N825,Законод!$C$22*'01_Доходи'!N824),IF($B$821="Лікар-педіатр",IF(S825&lt;=Законод!$C$18,N825,Законод!$C$18*'01_Доходи'!N824),IF($B$821="Лікар-терапевт","x",0)))</f>
        <v>0</v>
      </c>
      <c r="O826" s="208">
        <f ca="1">IF($B$821="Лікар загальної практики - сімейний лікар",IF(S825&lt;=Законод!$C$22,O825,Законод!$C$22*'01_Доходи'!O824),IF($B$821="Лікар-педіатр",IF(S825&lt;=Законод!$C$18,O825,Законод!$C$18*'01_Доходи'!O824),IF($B$821="Лікар-терапевт","x",0)))</f>
        <v>0</v>
      </c>
      <c r="P826" s="208">
        <f ca="1">IF($B$821="Лікар загальної практики - сімейний лікар",IF(S825&lt;=Законод!$C$22,P825,Законод!$C$22*'01_Доходи'!P824),IF($B$821="Лікар-педіатр","x",IF($B$821="Лікар-терапевт",IF(S825&lt;=Законод!$C$26,P825,Законод!$C$26*'01_Доходи'!P824),0)))</f>
        <v>0</v>
      </c>
      <c r="Q826" s="208">
        <f ca="1">IF($B$821="Лікар загальної практики - сімейний лікар",IF(S825&lt;=Законод!$C$22,Q825,Законод!$C$22*'01_Доходи'!Q824),IF($B$821="Лікар-педіатр","x",IF($B$821="Лікар-терапевт",IF(S825&lt;=Законод!$C$26,Q825,Законод!$C$26*'01_Доходи'!Q824),0)))</f>
        <v>0</v>
      </c>
      <c r="R826" s="208">
        <f ca="1">IF($B$821="Лікар загальної практики - сімейний лікар",IF(S825&lt;=Законод!$C$22,R825,Законод!$C$22*'01_Доходи'!R824),IF($B$821="Лікар-педіатр","x",IF($B$821="Лікар-терапевт",IF(S825&lt;=Законод!$C$26,R825,Законод!$C$26*'01_Доходи'!R824),0)))</f>
        <v>0</v>
      </c>
      <c r="S826" s="209">
        <f ca="1">SUM(N826:R826)</f>
        <v>0</v>
      </c>
      <c r="T826" s="942"/>
      <c r="U826" s="208">
        <f ca="1">IF($B$821="Лікар загальної практики - сімейний лікар",IF(Z825&lt;=Законод!$C$22,U825,Законод!$C$22*'01_Доходи'!U824),IF($B$821="Лікар-педіатр",IF(Z825&lt;=Законод!$C$18,U825,Законод!$C$18*'01_Доходи'!U824),IF($B$821="Лікар-терапевт","x",0)))</f>
        <v>0</v>
      </c>
      <c r="V826" s="208">
        <f ca="1">IF($B$821="Лікар загальної практики - сімейний лікар",IF(Z825&lt;=Законод!$C$22,V825,Законод!$C$22*'01_Доходи'!V824),IF($B$821="Лікар-педіатр",IF(Z825&lt;=Законод!$C$18,V825,Законод!$C$18*'01_Доходи'!V824),IF($B$821="Лікар-терапевт","x",0)))</f>
        <v>0</v>
      </c>
      <c r="W826" s="208">
        <f ca="1">IF($B$821="Лікар загальної практики - сімейний лікар",IF(Z825&lt;=Законод!$C$22,W825,Законод!$C$22*'01_Доходи'!W824),IF($B$821="Лікар-педіатр","x",IF($B$821="Лікар-терапевт",IF(Z825&lt;=Законод!$C$26,W825,Законод!$C$26*'01_Доходи'!W824),0)))</f>
        <v>0</v>
      </c>
      <c r="X826" s="208">
        <f ca="1">IF($B$821="Лікар загальної практики - сімейний лікар",IF(Z825&lt;=Законод!$C$22,X825,Законод!$C$22*'01_Доходи'!X824),IF($B$821="Лікар-педіатр","x",IF($B$821="Лікар-терапевт",IF(Z825&lt;=Законод!$C$26,X825,Законод!$C$26*'01_Доходи'!X824),0)))</f>
        <v>0</v>
      </c>
      <c r="Y826" s="208">
        <f ca="1">IF($B$821="Лікар загальної практики - сімейний лікар",IF(Z825&lt;=Законод!$C$22,Y825,Законод!$C$22*'01_Доходи'!Y824),IF($B$821="Лікар-педіатр","x",IF($B$821="Лікар-терапевт",IF(Z825&lt;=Законод!$C$26,Y825,Законод!$C$26*'01_Доходи'!Y824),0)))</f>
        <v>0</v>
      </c>
      <c r="Z826" s="209">
        <f ca="1">SUM(U826:Y826)</f>
        <v>0</v>
      </c>
      <c r="AA826" s="942"/>
      <c r="AB826" s="208">
        <f ca="1">IF($B$821="Лікар загальної практики - сімейний лікар",IF(AG825&lt;=Законод!$C$22,AB825,Законод!$C$22*'01_Доходи'!AB824),IF($B$821="Лікар-педіатр",IF(AG825&lt;=Законод!$C$18,AB825,Законод!$C$18*'01_Доходи'!AB824),IF($B$821="Лікар-терапевт","x",0)))</f>
        <v>0</v>
      </c>
      <c r="AC826" s="208">
        <f ca="1">IF($B$821="Лікар загальної практики - сімейний лікар",IF(AG825&lt;=Законод!$C$22,AC825,Законод!$C$22*'01_Доходи'!AC824),IF($B$821="Лікар-педіатр",IF(AG825&lt;=Законод!$C$18,AC825,Законод!$C$18*'01_Доходи'!AC824),IF($B$821="Лікар-терапевт","x",0)))</f>
        <v>0</v>
      </c>
      <c r="AD826" s="208">
        <f ca="1">IF($B$821="Лікар загальної практики - сімейний лікар",IF(AG825&lt;=Законод!$C$22,AD825,Законод!$C$22*'01_Доходи'!AD824),IF($B$821="Лікар-педіатр","x",IF($B$821="Лікар-терапевт",IF(AG825&lt;=Законод!$C$26,AD825,Законод!$C$26*'01_Доходи'!AD824),0)))</f>
        <v>0</v>
      </c>
      <c r="AE826" s="208">
        <f ca="1">IF($B$821="Лікар загальної практики - сімейний лікар",IF(AG825&lt;=Законод!$C$22,AE825,Законод!$C$22*'01_Доходи'!AE824),IF($B$821="Лікар-педіатр","x",IF($B$821="Лікар-терапевт",IF(AG825&lt;=Законод!$C$26,AE825,Законод!$C$26*'01_Доходи'!AE824),0)))</f>
        <v>0</v>
      </c>
      <c r="AF826" s="208">
        <f ca="1">IF($B$821="Лікар загальної практики - сімейний лікар",IF(AG825&lt;=Законод!$C$22,AF825,Законод!$C$22*'01_Доходи'!AF824),IF($B$821="Лікар-педіатр","x",IF($B$821="Лікар-терапевт",IF(AG825&lt;=Законод!$C$26,AF825,Законод!$C$26*'01_Доходи'!AF824),0)))</f>
        <v>0</v>
      </c>
      <c r="AG826" s="209">
        <f ca="1">SUM(AB826:AF826)</f>
        <v>0</v>
      </c>
      <c r="AH826" s="942"/>
      <c r="AI826" s="201"/>
      <c r="AJ826" s="945"/>
      <c r="AK826" s="960"/>
      <c r="AL826" s="960"/>
      <c r="AM826" s="348" t="s">
        <v>451</v>
      </c>
      <c r="AN826" s="210">
        <f ca="1">IF(B821="Лікар загальної практики - сімейний лікар",G826*Законод!$C$11+'01_Доходи'!H826*Законод!$D$11+'01_Доходи'!I826*Законод!$E$11+'01_Доходи'!J826*Законод!$F$11+'01_Доходи'!K826*Законод!$G$11,IF(B821="Лікар-педіатр",G826*Законод!$C$11+'01_Доходи'!H826*Законод!$D$11,IF(B821="Лікар-терапевт",'01_Доходи'!I826*Законод!$E$11+'01_Доходи'!J826*Законод!$F$11+'01_Доходи'!K826*Законод!$G$11,0)))</f>
        <v>0</v>
      </c>
      <c r="AO826" s="210">
        <f ca="1">IF(B821="Лікар загальної практики - сімейний лікар",N826*Законод!$C$11+'01_Доходи'!O826*Законод!$D$11+'01_Доходи'!P826*Законод!$E$11+'01_Доходи'!Q826*Законод!$F$11+'01_Доходи'!R826*Законод!$G$11,IF(B821="Лікар-педіатр",N826*Законод!$C$11+'01_Доходи'!O826*Законод!$D$11,IF(B821="Лікар-терапевт",'01_Доходи'!P826*Законод!$E$11+'01_Доходи'!Q826*Законод!$F$11+'01_Доходи'!R826*Законод!$G$11,0)))</f>
        <v>0</v>
      </c>
      <c r="AP826" s="210">
        <f ca="1">IF(B821="Лікар загальної практики - сімейний лікар",U826*Законод!$C$11+'01_Доходи'!V826*Законод!$D$11+'01_Доходи'!W826*Законод!$E$11+'01_Доходи'!X826*Законод!$F$11+'01_Доходи'!Y826*Законод!$G$11,IF(B821="Лікар-педіатр",U826*Законод!$C$11+'01_Доходи'!V826*Законод!$D$11,IF(B821="Лікар-терапевт",'01_Доходи'!W826*Законод!$E$11+'01_Доходи'!X826*Законод!$F$11+'01_Доходи'!Y826*Законод!$G$11,0)))</f>
        <v>0</v>
      </c>
      <c r="AQ826" s="210">
        <f ca="1">IF(B821="Лікар загальної практики - сімейний лікар",AB826*Законод!$C$11+'01_Доходи'!AC826*Законод!$D$11+'01_Доходи'!AD826*Законод!$E$11+'01_Доходи'!AE826*Законод!$F$11+'01_Доходи'!AF826*Законод!$G$11,IF(B821="Лікар-педіатр",AB826*Законод!$C$11+'01_Доходи'!AC826*Законод!$D$11,IF(B821="Лікар-терапевт",'01_Доходи'!AD826*Законод!$E$11+'01_Доходи'!AE826*Законод!$F$11+'01_Доходи'!AF826*Законод!$G$11,0)))</f>
        <v>0</v>
      </c>
      <c r="AR826" s="211">
        <f t="shared" ref="AR826:AR832" si="103">SUM(AN826:AQ826)</f>
        <v>0</v>
      </c>
    </row>
    <row r="827" spans="1:44" s="50" customFormat="1" ht="31.9" hidden="1" customHeight="1">
      <c r="A827" s="197"/>
      <c r="B827" s="951"/>
      <c r="C827" s="954"/>
      <c r="D827" s="957"/>
      <c r="E827" s="939"/>
      <c r="F827" s="238" t="str">
        <f ca="1">IF(B821="Лікар-педіатр",Законод!$E$17,IF(B821="Лікар загальної практики - сімейний лікар",Законод!$E$21,IF(B821="Лікар-терапевт",Законод!$E$25,"х")))</f>
        <v>х</v>
      </c>
      <c r="G827" s="935" t="s">
        <v>423</v>
      </c>
      <c r="H827" s="936"/>
      <c r="I827" s="936"/>
      <c r="J827" s="936"/>
      <c r="K827" s="937"/>
      <c r="L827" s="196">
        <f ca="1">IF($B$821="Лікар загальної практики - сімейний лікар",IF(L825&lt;Законод!$C$22,0,(IF(AND(L825&gt;=Законод!$E$22,L825&lt;=Законод!$E$23),L825-Законод!$C$22,IF('01_Доходи'!L825&gt;=Законод!$F$22,Законод!$E$24,0)))),IF($B$821="Лікар-педіатр",IF(L825&lt;Законод!$C$18,0,(IF(AND(L825&gt;=Законод!$E$18,L825&lt;=Законод!$E$19),L825-Законод!$C$18,IF('01_Доходи'!L825&gt;=Законод!$F$18,Законод!$E$20,0)))),IF($B$821="Лікар-терапевт",IF(L825&lt;Законод!$C$26,0,(IF(AND(L825&gt;=Законод!$E$26,L825&lt;=Законод!$E$27),L825-Законод!$C$26,IF('01_Доходи'!L825&gt;=Законод!$F$26,Законод!$E$28,0)))),0)))</f>
        <v>0</v>
      </c>
      <c r="M827" s="942"/>
      <c r="N827" s="935" t="s">
        <v>423</v>
      </c>
      <c r="O827" s="936"/>
      <c r="P827" s="936"/>
      <c r="Q827" s="936"/>
      <c r="R827" s="937"/>
      <c r="S827" s="196">
        <f ca="1">IF($B$821="Лікар загальної практики - сімейний лікар",IF(S825&lt;Законод!$C$22,0,(IF(AND(S825&gt;=Законод!$E$22,S825&lt;=Законод!$E$23),S825-Законод!$C$22,IF('01_Доходи'!S825&gt;=Законод!$F$22,Законод!$E$24,0)))),IF($B$821="Лікар-педіатр",IF(S825&lt;Законод!$C$18,0,(IF(AND(S825&gt;=Законод!$E$18,S825&lt;=Законод!$E$19),S825-Законод!$C$18,IF('01_Доходи'!S825&gt;=Законод!$F$18,Законод!$E$20,0)))),IF($B$821="Лікар-терапевт",IF(S825&lt;Законод!$C$26,0,(IF(AND(S825&gt;=Законод!$E$26,S825&lt;=Законод!$E$27),S825-Законод!$C$26,IF('01_Доходи'!S825&gt;=Законод!$F$26,Законод!$E$28,0)))),0)))</f>
        <v>0</v>
      </c>
      <c r="T827" s="942"/>
      <c r="U827" s="935" t="s">
        <v>423</v>
      </c>
      <c r="V827" s="936"/>
      <c r="W827" s="936"/>
      <c r="X827" s="936"/>
      <c r="Y827" s="937"/>
      <c r="Z827" s="196">
        <f ca="1">IF($B$821="Лікар загальної практики - сімейний лікар",IF(Z825&lt;Законод!$C$22,0,(IF(AND(Z825&gt;=Законод!$E$22,Z825&lt;=Законод!$E$23),Z825-Законод!$C$22,IF('01_Доходи'!Z825&gt;=Законод!$F$22,Законод!$E$24,0)))),IF($B$821="Лікар-педіатр",IF(Z825&lt;Законод!$C$18,0,(IF(AND(Z825&gt;=Законод!$E$18,Z825&lt;=Законод!$E$19),Z825-Законод!$C$18,IF('01_Доходи'!Z825&gt;=Законод!$F$18,Законод!$E$20,0)))),IF($B$821="Лікар-терапевт",IF(Z825&lt;Законод!$C$26,0,(IF(AND(Z825&gt;=Законод!$E$26,Z825&lt;=Законод!$E$27),Z825-Законод!$C$26,IF('01_Доходи'!Z825&gt;=Законод!$F$26,Законод!$E$28,0)))),0)))</f>
        <v>0</v>
      </c>
      <c r="AA827" s="942"/>
      <c r="AB827" s="935" t="s">
        <v>423</v>
      </c>
      <c r="AC827" s="936"/>
      <c r="AD827" s="936"/>
      <c r="AE827" s="936"/>
      <c r="AF827" s="937"/>
      <c r="AG827" s="196">
        <f ca="1">IF($B$821="Лікар загальної практики - сімейний лікар",IF(AG825&lt;Законод!$C$22,0,(IF(AND(AG825&gt;=Законод!$E$22,AG825&lt;=Законод!$E$23),AG825-Законод!$C$22,IF('01_Доходи'!AG825&gt;=Законод!$F$22,Законод!$E$24,0)))),IF($B$821="Лікар-педіатр",IF(AG825&lt;Законод!$C$18,0,(IF(AND(AG825&gt;=Законод!$E$18,AG825&lt;=Законод!$E$19),AG825-Законод!$C$18,IF('01_Доходи'!AG825&gt;=Законод!$F$18,Законод!$E$20,0)))),IF($B$821="Лікар-терапевт",IF(AG825&lt;Законод!$C$26,0,(IF(AND(AG825&gt;=Законод!$E$26,AG825&lt;=Законод!$E$27),AG825-Законод!$C$26,IF('01_Доходи'!AG825&gt;=Законод!$F$26,Законод!$E$28,0)))),0)))</f>
        <v>0</v>
      </c>
      <c r="AH827" s="942"/>
      <c r="AI827" s="201"/>
      <c r="AJ827" s="945"/>
      <c r="AK827" s="960"/>
      <c r="AL827" s="960"/>
      <c r="AM827" s="926" t="s">
        <v>452</v>
      </c>
      <c r="AN827" s="210">
        <f ca="1">IF(B821="Лікар загальної практики - сімейний лікар",L827*Законод!$C$9/4*Законод!$E$16,IF(B821="Лікар-педіатр",L827*Законод!$C$9/4*Законод!$E$16,IF(B821="Лікар-терапевт",L827*Законод!$C$9/4*Законод!$E$16,0)))</f>
        <v>0</v>
      </c>
      <c r="AO827" s="210">
        <f ca="1">IF(B821="Лікар загальної практики - сімейний лікар",S827*Законод!$C$9/4*Законод!$E$16,IF(B821="Лікар-педіатр",S827*Законод!$C$9/4*Законод!$E$16,IF(B821="Лікар-терапевт",S827*Законод!$C$9/4*Законод!$E$16,0)))</f>
        <v>0</v>
      </c>
      <c r="AP827" s="210">
        <f ca="1">IF(B821="Лікар загальної практики - сімейний лікар",Z827*Законод!$C$9/4*Законод!$E$16,IF(B821="Лікар-педіатр",Z827*Законод!$C$9/4*Законод!$E$16,IF(B821="Лікар-терапевт",Z827*Законод!$C$9/4*Законод!$E$16,0)))</f>
        <v>0</v>
      </c>
      <c r="AQ827" s="210">
        <f ca="1">IF(B821="Лікар загальної практики - сімейний лікар",AG827*Законод!$C$9/4*Законод!$E$16,IF(B821="Лікар-педіатр",AG827*Законод!$C$9/4*Законод!$E$16,IF(B821="Лікар-терапевт",AG827*Законод!$C$9/4*Законод!$E$16,0)))</f>
        <v>0</v>
      </c>
      <c r="AR827" s="211">
        <f t="shared" si="103"/>
        <v>0</v>
      </c>
    </row>
    <row r="828" spans="1:44" s="50" customFormat="1" ht="31.9" hidden="1" customHeight="1">
      <c r="A828" s="197"/>
      <c r="B828" s="951"/>
      <c r="C828" s="954"/>
      <c r="D828" s="957"/>
      <c r="E828" s="939"/>
      <c r="F828" s="238" t="str">
        <f ca="1">IF(B821="Лікар-педіатр",Законод!$F$17,IF(B821="Лікар загальної практики - сімейний лікар",Законод!$F$21,IF(B821="Лікар-терапевт",Законод!$F$25,"х")))</f>
        <v>х</v>
      </c>
      <c r="G828" s="935" t="s">
        <v>423</v>
      </c>
      <c r="H828" s="936"/>
      <c r="I828" s="936"/>
      <c r="J828" s="936"/>
      <c r="K828" s="937"/>
      <c r="L828" s="196">
        <f ca="1">IF($B$821="Лікар загальної практики - сімейний лікар",IF(L825&lt;Законод!$C$22,0,(IF(AND(L825&gt;=Законод!$F$22,L825&lt;=Законод!$F$23),L825-Законод!$E$23,IF('01_Доходи'!L825&gt;=Законод!$G$22,Законод!$F$24,0)))),IF($B$821="Лікар-педіатр",IF(L825&lt;Законод!$C$18,0,(IF(AND(L825&gt;=Законод!$F$18,L825&lt;=Законод!$F$19),L825-Законод!$E$19,IF('01_Доходи'!L825&gt;=Законод!$G$18,Законод!$F$20,0)))),IF($B$821="Лікар-терапевт",IF(L825&lt;Законод!$C$26,0,(IF(AND(L825&gt;=Законод!$F$26,L825&lt;=Законод!$F$27),L825-Законод!$E$27,IF('01_Доходи'!L825&gt;=Законод!$G$26,Законод!$F$28,0)))),0)))</f>
        <v>0</v>
      </c>
      <c r="M828" s="942"/>
      <c r="N828" s="935" t="s">
        <v>423</v>
      </c>
      <c r="O828" s="936"/>
      <c r="P828" s="936"/>
      <c r="Q828" s="936"/>
      <c r="R828" s="937"/>
      <c r="S828" s="196">
        <f ca="1">IF($B$821="Лікар загальної практики - сімейний лікар",IF(S825&lt;Законод!$C$22,0,(IF(AND(S825&gt;=Законод!$F$22,S825&lt;=Законод!$F$23),S825-Законод!$E$23,IF('01_Доходи'!S825&gt;=Законод!$G$22,Законод!$F$24,0)))),IF($B$821="Лікар-педіатр",IF(S825&lt;Законод!$C$18,0,(IF(AND(S825&gt;=Законод!$F$18,S825&lt;=Законод!$F$19),S825-Законод!$E$19,IF('01_Доходи'!S825&gt;=Законод!$G$18,Законод!$F$20,0)))),IF($B$821="Лікар-терапевт",IF(S825&lt;Законод!$C$26,0,(IF(AND(S825&gt;=Законод!$F$26,S825&lt;=Законод!$F$27),S825-Законод!$E$27,IF('01_Доходи'!S825&gt;=Законод!$G$26,Законод!$F$28,0)))),0)))</f>
        <v>0</v>
      </c>
      <c r="T828" s="942"/>
      <c r="U828" s="935" t="s">
        <v>423</v>
      </c>
      <c r="V828" s="936"/>
      <c r="W828" s="936"/>
      <c r="X828" s="936"/>
      <c r="Y828" s="937"/>
      <c r="Z828" s="196">
        <f ca="1">IF($B$821="Лікар загальної практики - сімейний лікар",IF(Z825&lt;Законод!$C$22,0,(IF(AND(Z825&gt;=Законод!$F$22,Z825&lt;=Законод!$F$23),Z825-Законод!$E$23,IF('01_Доходи'!Z825&gt;=Законод!$G$22,Законод!$F$24,0)))),IF($B$821="Лікар-педіатр",IF(Z825&lt;Законод!$C$18,0,(IF(AND(Z825&gt;=Законод!$F$18,Z825&lt;=Законод!$F$19),Z825-Законод!$E$19,IF('01_Доходи'!Z825&gt;=Законод!$G$18,Законод!$F$20,0)))),IF($B$821="Лікар-терапевт",IF(Z825&lt;Законод!$C$26,0,(IF(AND(Z825&gt;=Законод!$F$26,Z825&lt;=Законод!$F$27),Z825-Законод!$E$27,IF('01_Доходи'!Z825&gt;=Законод!$G$26,Законод!$F$28,0)))),0)))</f>
        <v>0</v>
      </c>
      <c r="AA828" s="942"/>
      <c r="AB828" s="935" t="s">
        <v>423</v>
      </c>
      <c r="AC828" s="936"/>
      <c r="AD828" s="936"/>
      <c r="AE828" s="936"/>
      <c r="AF828" s="937"/>
      <c r="AG828" s="196">
        <f ca="1">IF($B$821="Лікар загальної практики - сімейний лікар",IF(AG825&lt;Законод!$C$22,0,(IF(AND(AG825&gt;=Законод!$F$22,AG825&lt;=Законод!$F$23),AG825-Законод!$E$23,IF('01_Доходи'!AG825&gt;=Законод!$G$22,Законод!$F$24,0)))),IF($B$821="Лікар-педіатр",IF(AG825&lt;Законод!$C$18,0,(IF(AND(AG825&gt;=Законод!$F$18,AG825&lt;=Законод!$F$19),AG825-Законод!$E$19,IF('01_Доходи'!AG825&gt;=Законод!$G$18,Законод!$F$20,0)))),IF($B$821="Лікар-терапевт",IF(AG825&lt;Законод!$C$26,0,(IF(AND(AG825&gt;=Законод!$F$26,AG825&lt;=Законод!$F$27),AG825-Законод!$E$27,IF('01_Доходи'!AG825&gt;=Законод!$G$26,Законод!$F$28,0)))),0)))</f>
        <v>0</v>
      </c>
      <c r="AH828" s="942"/>
      <c r="AI828" s="201"/>
      <c r="AJ828" s="945"/>
      <c r="AK828" s="960"/>
      <c r="AL828" s="960"/>
      <c r="AM828" s="927"/>
      <c r="AN828" s="210">
        <f ca="1">IF(B821="Лікар загальної практики - сімейний лікар",L828*Законод!$C$9/4*Законод!$F$16,IF(B821="Лікар-педіатр",L828*Законод!$C$9/4*Законод!$F$16,IF(B821="Лікар-терапевт",L828*Законод!$C$9/4*Законод!$F$16,0)))</f>
        <v>0</v>
      </c>
      <c r="AO828" s="210">
        <f ca="1">IF(B821="Лікар загальної практики - сімейний лікар",S828*Законод!$C$9/4*Законод!$F$16,IF(B821="Лікар-педіатр",S828*Законод!$C$9/4*Законод!$F$16,IF(B821="Лікар-терапевт",S828*Законод!$C$9/4*Законод!$F$16,0)))</f>
        <v>0</v>
      </c>
      <c r="AP828" s="210">
        <f ca="1">IF(B821="Лікар загальної практики - сімейний лікар",Z828*Законод!$C$9/4*Законод!$F$16,IF(B821="Лікар-педіатр",Z828*Законод!$C$9/4*Законод!$F$16,IF(B821="Лікар-терапевт",Z828*Законод!$C$9/4*Законод!$F$16,0)))</f>
        <v>0</v>
      </c>
      <c r="AQ828" s="210">
        <f ca="1">IF(B821="Лікар загальної практики - сімейний лікар",AG828*Законод!$C$9/4*Законод!$F$16,IF(B821="Лікар-педіатр",AG828*Законод!$C$9/4*Законод!$F$16,IF(B821="Лікар-терапевт",AG828*Законод!$C$9/4*Законод!$F$16,0)))</f>
        <v>0</v>
      </c>
      <c r="AR828" s="211">
        <f t="shared" si="103"/>
        <v>0</v>
      </c>
    </row>
    <row r="829" spans="1:44" s="50" customFormat="1" ht="31.9" hidden="1" customHeight="1">
      <c r="A829" s="197"/>
      <c r="B829" s="951"/>
      <c r="C829" s="954"/>
      <c r="D829" s="957"/>
      <c r="E829" s="939"/>
      <c r="F829" s="238" t="str">
        <f ca="1">IF(B821="Лікар-педіатр",Законод!$G$17,IF(B821="Лікар загальної практики - сімейний лікар",Законод!$G$21,IF(B821="Лікар-терапевт",Законод!$G$25,"х")))</f>
        <v>х</v>
      </c>
      <c r="G829" s="935" t="s">
        <v>423</v>
      </c>
      <c r="H829" s="936"/>
      <c r="I829" s="936"/>
      <c r="J829" s="936"/>
      <c r="K829" s="937"/>
      <c r="L829" s="196">
        <f ca="1">IF($B$821="Лікар загальної практики - сімейний лікар",IF(L825&lt;Законод!$C$22,0,(IF(AND(L825&gt;=Законод!$G$22,L825&lt;=Законод!$G$23),L825-Законод!$F$23,IF('01_Доходи'!L825&gt;=Законод!$H$22,Законод!$G$24,0)))),IF($B$821="Лікар-педіатр",IF(L825&lt;Законод!$C$18,0,(IF(AND(L825&gt;=Законод!$G$18,L825&lt;=Законод!$G$19),L825-Законод!$F$19,IF('01_Доходи'!L825&gt;=Законод!$H$18,Законод!$G$20,0)))),IF($B$821="Лікар-терапевт",IF(L825&lt;Законод!$C$26,0,(IF(AND(L825&gt;=Законод!$G$26,L825&lt;=Законод!$G$27),L825-Законод!$F$27,IF('01_Доходи'!L825&gt;=Законод!$H$26,Законод!$G$28,0)))),0)))</f>
        <v>0</v>
      </c>
      <c r="M829" s="942"/>
      <c r="N829" s="935" t="s">
        <v>423</v>
      </c>
      <c r="O829" s="936"/>
      <c r="P829" s="936"/>
      <c r="Q829" s="936"/>
      <c r="R829" s="937"/>
      <c r="S829" s="196">
        <f ca="1">IF($B$821="Лікар загальної практики - сімейний лікар",IF(S825&lt;Законод!$C$22,0,(IF(AND(S825&gt;=Законод!$G$22,S825&lt;=Законод!$G$23),S825-Законод!$F$23,IF('01_Доходи'!S825&gt;=Законод!$H$22,Законод!$G$24,0)))),IF($B$821="Лікар-педіатр",IF(S825&lt;Законод!$C$18,0,(IF(AND(S825&gt;=Законод!$G$18,S825&lt;=Законод!$G$19),S825-Законод!$F$19,IF('01_Доходи'!S825&gt;=Законод!$H$18,Законод!$G$20,0)))),IF($B$821="Лікар-терапевт",IF(S825&lt;Законод!$C$26,0,(IF(AND(S825&gt;=Законод!$G$26,S825&lt;=Законод!$G$27),S825-Законод!$F$27,IF('01_Доходи'!S825&gt;=Законод!$H$26,Законод!$G$28,0)))),0)))</f>
        <v>0</v>
      </c>
      <c r="T829" s="942"/>
      <c r="U829" s="935" t="s">
        <v>423</v>
      </c>
      <c r="V829" s="936"/>
      <c r="W829" s="936"/>
      <c r="X829" s="936"/>
      <c r="Y829" s="937"/>
      <c r="Z829" s="196">
        <f ca="1">IF($B$821="Лікар загальної практики - сімейний лікар",IF(Z825&lt;Законод!$C$22,0,(IF(AND(Z825&gt;=Законод!$G$22,Z825&lt;=Законод!$G$23),Z825-Законод!$F$23,IF('01_Доходи'!Z825&gt;=Законод!$H$22,Законод!$G$24,0)))),IF($B$821="Лікар-педіатр",IF(Z825&lt;Законод!$C$18,0,(IF(AND(Z825&gt;=Законод!$G$18,Z825&lt;=Законод!$G$19),Z825-Законод!$F$19,IF('01_Доходи'!Z825&gt;=Законод!$H$18,Законод!$G$20,0)))),IF($B$821="Лікар-терапевт",IF(Z825&lt;Законод!$C$26,0,(IF(AND(Z825&gt;=Законод!$G$26,Z825&lt;=Законод!$G$27),Z825-Законод!$F$27,IF('01_Доходи'!Z825&gt;=Законод!$H$26,Законод!$G$28,0)))),0)))</f>
        <v>0</v>
      </c>
      <c r="AA829" s="942"/>
      <c r="AB829" s="935" t="s">
        <v>423</v>
      </c>
      <c r="AC829" s="936"/>
      <c r="AD829" s="936"/>
      <c r="AE829" s="936"/>
      <c r="AF829" s="937"/>
      <c r="AG829" s="196">
        <f ca="1">IF($B$821="Лікар загальної практики - сімейний лікар",IF(AG825&lt;Законод!$C$22,0,(IF(AND(AG825&gt;=Законод!$G$22,AG825&lt;=Законод!$G$23),AG825-Законод!$F$23,IF('01_Доходи'!AG825&gt;=Законод!$H$22,Законод!$G$24,0)))),IF($B$821="Лікар-педіатр",IF(AG825&lt;Законод!$C$18,0,(IF(AND(AG825&gt;=Законод!$G$18,AG825&lt;=Законод!$G$19),AG825-Законод!$F$19,IF('01_Доходи'!AG825&gt;=Законод!$H$18,Законод!$G$20,0)))),IF($B$821="Лікар-терапевт",IF(AG825&lt;Законод!$C$26,0,(IF(AND(AG825&gt;=Законод!$G$26,AG825&lt;=Законод!$G$27),AG825-Законод!$F$27,IF('01_Доходи'!AG825&gt;=Законод!$H$26,Законод!$G$28,0)))),0)))</f>
        <v>0</v>
      </c>
      <c r="AH829" s="942"/>
      <c r="AI829" s="201"/>
      <c r="AJ829" s="945"/>
      <c r="AK829" s="960"/>
      <c r="AL829" s="960"/>
      <c r="AM829" s="927"/>
      <c r="AN829" s="210">
        <f ca="1">IF(B821="Лікар загальної практики - сімейний лікар",L829*Законод!$C$9/4*Законод!$G$16,IF(B821="Лікар-педіатр",L829*Законод!$C$9/4*Законод!$G$16,IF(B821="Лікар-терапевт",L829*Законод!$C$9/4*Законод!$G$16,0)))</f>
        <v>0</v>
      </c>
      <c r="AO829" s="210">
        <f ca="1">IF(B821="Лікар загальної практики - сімейний лікар",S829*Законод!$C$9/4*Законод!$G$16,IF(B821="Лікар-педіатр",S829*Законод!$C$9/4*Законод!$G$16,IF(B821="Лікар-терапевт",S829*Законод!$C$9/4*Законод!$G$16,0)))</f>
        <v>0</v>
      </c>
      <c r="AP829" s="210">
        <f ca="1">IF(B821="Лікар загальної практики - сімейний лікар",Z829*Законод!$C$9/4*Законод!$G$16,IF(B821="Лікар-педіатр",Z829*Законод!$C$9/4*Законод!$G$16,IF(B821="Лікар-терапевт",Z829*Законод!$C$9/4*Законод!$G$16,0)))</f>
        <v>0</v>
      </c>
      <c r="AQ829" s="210">
        <f ca="1">IF(B821="Лікар загальної практики - сімейний лікар",AG829*Законод!$C$9/4*Законод!$G$16,IF(B821="Лікар-педіатр",AG829*Законод!$C$9/4*Законод!$G$16,IF(B821="Лікар-терапевт",AG829*Законод!$C$9/4*Законод!$G$16,0)))</f>
        <v>0</v>
      </c>
      <c r="AR829" s="211">
        <f t="shared" si="103"/>
        <v>0</v>
      </c>
    </row>
    <row r="830" spans="1:44" s="50" customFormat="1" ht="31.9" hidden="1" customHeight="1">
      <c r="A830" s="197"/>
      <c r="B830" s="951"/>
      <c r="C830" s="954"/>
      <c r="D830" s="957"/>
      <c r="E830" s="939"/>
      <c r="F830" s="238" t="str">
        <f ca="1">IF(B821="Лікар-педіатр",Законод!$H$17,IF(B821="Лікар загальної практики - сімейний лікар",Законод!$H$21,IF(B821="Лікар-терапевт",Законод!$H$25,"х")))</f>
        <v>х</v>
      </c>
      <c r="G830" s="935" t="s">
        <v>423</v>
      </c>
      <c r="H830" s="936"/>
      <c r="I830" s="936"/>
      <c r="J830" s="936"/>
      <c r="K830" s="937"/>
      <c r="L830" s="196">
        <f ca="1">IF($B$821="Лікар загальної практики - сімейний лікар",IF(L825&lt;Законод!$C$22,0,(IF(AND(L825&gt;=Законод!$H$22,L825&lt;=Законод!$H$23),L825-Законод!$G$23,IF('01_Доходи'!L825&gt;=Законод!$I$22,Законод!$H$24,0)))),IF($B$821="Лікар-педіатр",IF(L825&lt;Законод!$C$18,0,(IF(AND(L825&gt;=Законод!$H$18,L825&lt;=Законод!$H$19),L825-Законод!$G$19,IF('01_Доходи'!L825&gt;=Законод!$I$18,Законод!$H$20,0)))),IF($B$821="Лікар-терапевт",IF(L825&lt;Законод!$C$26,0,(IF(AND(L825&gt;=Законод!$H$26,L825&lt;=Законод!$H$27),L825-Законод!$G$27,IF(L825&gt;=Законод!$I$26,Законод!$H$28,0)))),0)))</f>
        <v>0</v>
      </c>
      <c r="M830" s="942"/>
      <c r="N830" s="935" t="s">
        <v>423</v>
      </c>
      <c r="O830" s="936"/>
      <c r="P830" s="936"/>
      <c r="Q830" s="936"/>
      <c r="R830" s="937"/>
      <c r="S830" s="196">
        <f ca="1">IF($B$821="Лікар загальної практики - сімейний лікар",IF(S825&lt;Законод!$C$22,0,(IF(AND(S825&gt;=Законод!$H$22,S825&lt;=Законод!$H$23),S825-Законод!$G$23,IF('01_Доходи'!S825&gt;=Законод!$I$22,Законод!$H$24,0)))),IF($B$821="Лікар-педіатр",IF(S825&lt;Законод!$C$18,0,(IF(AND(S825&gt;=Законод!$H$18,S825&lt;=Законод!$H$19),S825-Законод!$G$19,IF('01_Доходи'!S825&gt;=Законод!$I$18,Законод!$H$20,0)))),IF($B$821="Лікар-терапевт",IF(S825&lt;Законод!$C$26,0,(IF(AND(S825&gt;=Законод!$H$26,S825&lt;=Законод!$H$27),S825-Законод!$G$27,IF(S825&gt;=Законод!$I$26,Законод!$H$28,0)))),0)))</f>
        <v>0</v>
      </c>
      <c r="T830" s="942"/>
      <c r="U830" s="935" t="s">
        <v>423</v>
      </c>
      <c r="V830" s="936"/>
      <c r="W830" s="936"/>
      <c r="X830" s="936"/>
      <c r="Y830" s="937"/>
      <c r="Z830" s="196">
        <f ca="1">IF($B$821="Лікар загальної практики - сімейний лікар",IF(Z825&lt;Законод!$C$22,0,(IF(AND(Z825&gt;=Законод!$H$22,Z825&lt;=Законод!$H$23),Z825-Законод!$G$23,IF('01_Доходи'!Z825&gt;=Законод!$I$22,Законод!$H$24,0)))),IF($B$821="Лікар-педіатр",IF(Z825&lt;Законод!$C$18,0,(IF(AND(Z825&gt;=Законод!$H$18,Z825&lt;=Законод!$H$19),Z825-Законод!$G$19,IF('01_Доходи'!Z825&gt;=Законод!$I$18,Законод!$H$20,0)))),IF($B$821="Лікар-терапевт",IF(Z825&lt;Законод!$C$26,0,(IF(AND(Z825&gt;=Законод!$H$26,Z825&lt;=Законод!$H$27),Z825-Законод!$G$27,IF(Z825&gt;=Законод!$I$26,Законод!$H$28,0)))),0)))</f>
        <v>0</v>
      </c>
      <c r="AA830" s="942"/>
      <c r="AB830" s="935" t="s">
        <v>423</v>
      </c>
      <c r="AC830" s="936"/>
      <c r="AD830" s="936"/>
      <c r="AE830" s="936"/>
      <c r="AF830" s="937"/>
      <c r="AG830" s="196">
        <f ca="1">IF($B$821="Лікар загальної практики - сімейний лікар",IF(AG825&lt;Законод!$C$22,0,(IF(AND(AG825&gt;=Законод!$H$22,AG825&lt;=Законод!$H$23),AG825-Законод!$G$23,IF('01_Доходи'!AG825&gt;=Законод!$I$22,Законод!$H$24,0)))),IF($B$821="Лікар-педіатр",IF(AG825&lt;Законод!$C$18,0,(IF(AND(AG825&gt;=Законод!$H$18,AG825&lt;=Законод!$H$19),AG825-Законод!$G$19,IF('01_Доходи'!AG825&gt;=Законод!$I$18,Законод!$H$20,0)))),IF($B$821="Лікар-терапевт",IF(AG825&lt;Законод!$C$26,0,(IF(AND(AG825&gt;=Законод!$H$26,AG825&lt;=Законод!$H$27),AG825-Законод!$G$27,IF(AG825&gt;=Законод!$I$26,Законод!$H$28,0)))),0)))</f>
        <v>0</v>
      </c>
      <c r="AH830" s="942"/>
      <c r="AI830" s="201"/>
      <c r="AJ830" s="945"/>
      <c r="AK830" s="960"/>
      <c r="AL830" s="960"/>
      <c r="AM830" s="927"/>
      <c r="AN830" s="210">
        <f ca="1">IF(B821="Лікар загальної практики - сімейний лікар",L830*Законод!$C$9/4*Законод!$H$16,IF(B821="Лікар-педіатр",L830*Законод!$C$9/4*Законод!$H$16,IF(B821="Лікар-терапевт",L830*Законод!$C$9/4*Законод!$H$16,0)))</f>
        <v>0</v>
      </c>
      <c r="AO830" s="210">
        <f ca="1">IF(B821="Лікар загальної практики - сімейний лікар",S830*Законод!$C$9/4*Законод!$H$16,IF(B821="Лікар-педіатр",S830*Законод!$C$9/4*Законод!$H$16,IF(B821="Лікар-терапевт",S830*Законод!$C$9/4*Законод!$H$16,0)))</f>
        <v>0</v>
      </c>
      <c r="AP830" s="210">
        <f ca="1">IF(B821="Лікар загальної практики - сімейний лікар",Z830*Законод!$C$9/4*Законод!$H$16,IF(B821="Лікар-педіатр",Z830*Законод!$C$9/4*Законод!$H$16,IF(B821="Лікар-терапевт",Z830*Законод!$C$9/4*Законод!$H$16,0)))</f>
        <v>0</v>
      </c>
      <c r="AQ830" s="210">
        <f ca="1">IF(B821="Лікар загальної практики - сімейний лікар",AG830*Законод!$C$9/4*Законод!$H$16,IF(B821="Лікар-педіатр",AG830*Законод!$C$9/4*Законод!$H$16,IF(B821="Лікар-терапевт",AG830*Законод!$C$9/4*Законод!$H$16,0)))</f>
        <v>0</v>
      </c>
      <c r="AR830" s="211">
        <f t="shared" si="103"/>
        <v>0</v>
      </c>
    </row>
    <row r="831" spans="1:44" s="50" customFormat="1" ht="31.9" hidden="1" customHeight="1">
      <c r="A831" s="197"/>
      <c r="B831" s="951"/>
      <c r="C831" s="954"/>
      <c r="D831" s="957"/>
      <c r="E831" s="939"/>
      <c r="F831" s="238" t="str">
        <f ca="1">IF(B821="Лікар-педіатр",Законод!$I$17,IF(B821="Лікар загальної практики - сімейний лікар",Законод!$I$21,IF(B821="Лікар-терапевт",Законод!$I$25,"х")))</f>
        <v>х</v>
      </c>
      <c r="G831" s="935" t="s">
        <v>423</v>
      </c>
      <c r="H831" s="936"/>
      <c r="I831" s="936"/>
      <c r="J831" s="936"/>
      <c r="K831" s="937"/>
      <c r="L831" s="196">
        <f ca="1">IF($B$821="Лікар загальної практики - сімейний лікар",IF(L825&lt;Законод!$C$22,0,(IF(AND(L825&gt;=Законод!$I$22,L825&lt;=Законод!$I$23),L825-Законод!$H$23,IF('01_Доходи'!L825&gt;=Законод!$I$22,Законод!$I$24,0)))),IF($B$821="Лікар-педіатр",IF(L825&lt;Законод!$C$18,0,(IF(AND(L825&gt;=Законод!$I$18,L825&lt;=Законод!$I$19),L825-Законод!$H$19,IF('01_Доходи'!L825&gt;=Законод!$I$18,Законод!$H$20,0)))),IF($B$821="Лікар-терапевт",IF(L825&lt;Законод!$C$26,0,(IF(AND(L825&gt;=Законод!$I$26,L825&lt;=Законод!$I$27),L825-Законод!$H$27,IF('01_Доходи'!L825&gt;=Законод!$I$26,Законод!$H$28,0)))),0)))</f>
        <v>0</v>
      </c>
      <c r="M831" s="942"/>
      <c r="N831" s="935" t="s">
        <v>423</v>
      </c>
      <c r="O831" s="936"/>
      <c r="P831" s="936"/>
      <c r="Q831" s="936"/>
      <c r="R831" s="937"/>
      <c r="S831" s="196">
        <f ca="1">IF($B$821="Лікар загальної практики - сімейний лікар",IF(S825&lt;Законод!$C$22,0,(IF(AND(S825&gt;=Законод!$I$22,S825&lt;=Законод!$I$23),S825-Законод!$H$23,IF('01_Доходи'!S825&gt;=Законод!$I$22,Законод!$I$24,0)))),IF($B$821="Лікар-педіатр",IF(S825&lt;Законод!$C$18,0,(IF(AND(S825&gt;=Законод!$I$18,S825&lt;=Законод!$I$19),S825-Законод!$H$19,IF('01_Доходи'!S825&gt;=Законод!$I$18,Законод!$H$20,0)))),IF($B$821="Лікар-терапевт",IF(S825&lt;Законод!$C$26,0,(IF(AND(S825&gt;=Законод!$I$26,S825&lt;=Законод!$I$27),S825-Законод!$H$27,IF('01_Доходи'!S825&gt;=Законод!$I$26,Законод!$H$28,0)))),0)))</f>
        <v>0</v>
      </c>
      <c r="T831" s="942"/>
      <c r="U831" s="935" t="s">
        <v>423</v>
      </c>
      <c r="V831" s="936"/>
      <c r="W831" s="936"/>
      <c r="X831" s="936"/>
      <c r="Y831" s="937"/>
      <c r="Z831" s="196">
        <f ca="1">IF($B$821="Лікар загальної практики - сімейний лікар",IF(Z825&lt;Законод!$C$22,0,(IF(AND(Z825&gt;=Законод!$I$22,Z825&lt;=Законод!$I$23),Z825-Законод!$H$23,IF('01_Доходи'!Z825&gt;=Законод!$I$22,Законод!$I$24,0)))),IF($B$821="Лікар-педіатр",IF(Z825&lt;Законод!$C$18,0,(IF(AND(Z825&gt;=Законод!$I$18,Z825&lt;=Законод!$I$19),Z825-Законод!$H$19,IF('01_Доходи'!Z825&gt;=Законод!$I$18,Законод!$H$20,0)))),IF($B$821="Лікар-терапевт",IF(Z825&lt;Законод!$C$26,0,(IF(AND(Z825&gt;=Законод!$I$26,Z825&lt;=Законод!$I$27),Z825-Законод!$H$27,IF('01_Доходи'!Z825&gt;=Законод!$I$26,Законод!$H$28,0)))),0)))</f>
        <v>0</v>
      </c>
      <c r="AA831" s="942"/>
      <c r="AB831" s="935" t="s">
        <v>423</v>
      </c>
      <c r="AC831" s="936"/>
      <c r="AD831" s="936"/>
      <c r="AE831" s="936"/>
      <c r="AF831" s="937"/>
      <c r="AG831" s="196">
        <f ca="1">IF($B$821="Лікар загальної практики - сімейний лікар",IF(AG825&lt;Законод!$C$22,0,(IF(AND(AG825&gt;=Законод!$I$22,AG825&lt;=Законод!$I$23),AG825-Законод!$H$23,IF('01_Доходи'!AG825&gt;=Законод!$I$22,Законод!$I$24,0)))),IF($B$821="Лікар-педіатр",IF(AG825&lt;Законод!$C$18,0,(IF(AND(AG825&gt;=Законод!$I$18,AG825&lt;=Законод!$I$19),AG825-Законод!$H$19,IF('01_Доходи'!AG825&gt;=Законод!$I$18,Законод!$H$20,0)))),IF($B$821="Лікар-терапевт",IF(AG825&lt;Законод!$C$26,0,(IF(AND(AG825&gt;=Законод!$I$26,AG825&lt;=Законод!$I$27),AG825-Законод!$H$27,IF('01_Доходи'!AG825&gt;=Законод!$I$26,Законод!$H$28,0)))),0)))</f>
        <v>0</v>
      </c>
      <c r="AH831" s="942"/>
      <c r="AI831" s="201"/>
      <c r="AJ831" s="945"/>
      <c r="AK831" s="960"/>
      <c r="AL831" s="960"/>
      <c r="AM831" s="927"/>
      <c r="AN831" s="210">
        <f ca="1">IF(B821="Лікар загальної практики - сімейний лікар",L831*Законод!$C$9/4*Законод!$I$16,IF(B821="Лікар-педіатр",L831*Законод!$C$9/4*Законод!$I$16,IF(B821="Лікар-терапевт",L831*Законод!$C$9/4*Законод!$I$16,0)))</f>
        <v>0</v>
      </c>
      <c r="AO831" s="210">
        <f ca="1">IF(B821="Лікар загальної практики - сімейний лікар",S831*Законод!$C$9/4*Законод!$I$16,IF(B821="Лікар-педіатр",S831*Законод!$C$9/4*Законод!$I$16,IF(B821="Лікар-терапевт",S831*Законод!$C$9/4*Законод!$I$16,0)))</f>
        <v>0</v>
      </c>
      <c r="AP831" s="210">
        <f ca="1">IF(B821="Лікар загальної практики - сімейний лікар",Z831*Законод!$C$9/4*Законод!$I$16,IF(B821="Лікар-педіатр",Z831*Законод!$C$9/4*Законод!$I$16,IF(B821="Лікар-терапевт",Z831*Законод!$C$9/4*Законод!$I$16,0)))</f>
        <v>0</v>
      </c>
      <c r="AQ831" s="210">
        <f ca="1">IF(B821="Лікар загальної практики - сімейний лікар",AG831*Законод!$C$9/4*Законод!$I$16,IF(B821="Лікар-педіатр",AG831*Законод!$C$9/4*Законод!$I$16,IF(B821="Лікар-терапевт",AG831*Законод!$C$9/4*Законод!$I$16,0)))</f>
        <v>0</v>
      </c>
      <c r="AR831" s="211">
        <f t="shared" si="103"/>
        <v>0</v>
      </c>
    </row>
    <row r="832" spans="1:44" s="218" customFormat="1" ht="31.9" hidden="1" customHeight="1" thickBot="1">
      <c r="A832" s="213"/>
      <c r="B832" s="952"/>
      <c r="C832" s="955"/>
      <c r="D832" s="958"/>
      <c r="E832" s="940"/>
      <c r="F832" s="239" t="str">
        <f ca="1">IF(B821="Лікар-педіатр",Законод!$J$17,IF(B821="Лікар загальної практики - сімейний лікар",Законод!$J$21,IF(B821="Лікар-терапевт",Законод!$J$25,"х")))</f>
        <v>х</v>
      </c>
      <c r="G832" s="932" t="s">
        <v>423</v>
      </c>
      <c r="H832" s="933"/>
      <c r="I832" s="933"/>
      <c r="J832" s="933"/>
      <c r="K832" s="934"/>
      <c r="L832" s="196">
        <f ca="1">IF($B$821="Лікар загальної практики - сімейний лікар",IF(L825&gt;=Законод!$J$22,'01_Доходи'!L825-('01_Доходи'!L826+'01_Доходи'!L827+'01_Доходи'!L828+'01_Доходи'!L829+'01_Доходи'!L830+'01_Доходи'!L831),0),IF($B$821="Лікар-педіатр",IF(L825&gt;=Законод!$J$18,'01_Доходи'!L825-('01_Доходи'!L826+'01_Доходи'!L827+'01_Доходи'!L828+'01_Доходи'!L829+'01_Доходи'!L830+'01_Доходи'!L831),0),IF($B$821="Лікар-терапевт",IF('01_Доходи'!L825&gt;=Законод!$J$26,L825-Законод!$I$27,0),0)))</f>
        <v>0</v>
      </c>
      <c r="M832" s="943"/>
      <c r="N832" s="932" t="s">
        <v>423</v>
      </c>
      <c r="O832" s="933"/>
      <c r="P832" s="933"/>
      <c r="Q832" s="933"/>
      <c r="R832" s="934"/>
      <c r="S832" s="196">
        <f ca="1">IF($B$821="Лікар загальної практики - сімейний лікар",IF(S825&gt;=Законод!$J$22,'01_Доходи'!S825-('01_Доходи'!S826+'01_Доходи'!S827+'01_Доходи'!S828+'01_Доходи'!S829+'01_Доходи'!S830+'01_Доходи'!S831),0),IF($B$821="Лікар-педіатр",IF(S825&gt;=Законод!$J$18,'01_Доходи'!S825-('01_Доходи'!S826+'01_Доходи'!S827+'01_Доходи'!S828+'01_Доходи'!S829+'01_Доходи'!S830+'01_Доходи'!S831),0),IF($B$821="Лікар-терапевт",IF('01_Доходи'!S825&gt;=Законод!$J$26,S825-Законод!$I$27,0),0)))</f>
        <v>0</v>
      </c>
      <c r="T832" s="943"/>
      <c r="U832" s="932" t="s">
        <v>423</v>
      </c>
      <c r="V832" s="933"/>
      <c r="W832" s="933"/>
      <c r="X832" s="933"/>
      <c r="Y832" s="934"/>
      <c r="Z832" s="196">
        <f ca="1">IF($B$821="Лікар загальної практики - сімейний лікар",IF(Z825&gt;=Законод!$J$22,'01_Доходи'!Z825-('01_Доходи'!Z826+'01_Доходи'!Z827+'01_Доходи'!Z828+'01_Доходи'!Z829+'01_Доходи'!Z830+'01_Доходи'!Z831),0),IF($B$821="Лікар-педіатр",IF(Z825&gt;=Законод!$J$18,'01_Доходи'!Z825-('01_Доходи'!Z826+'01_Доходи'!Z827+'01_Доходи'!Z828+'01_Доходи'!Z829+'01_Доходи'!Z830+'01_Доходи'!Z831),0),IF($B$821="Лікар-терапевт",IF('01_Доходи'!Z825&gt;=Законод!$J$26,Z825-Законод!$I$27,0),0)))</f>
        <v>0</v>
      </c>
      <c r="AA832" s="943"/>
      <c r="AB832" s="932" t="s">
        <v>423</v>
      </c>
      <c r="AC832" s="933"/>
      <c r="AD832" s="933"/>
      <c r="AE832" s="933"/>
      <c r="AF832" s="934"/>
      <c r="AG832" s="196">
        <f ca="1">IF($B$821="Лікар загальної практики - сімейний лікар",IF(AG825&gt;=Законод!$J$22,'01_Доходи'!AG825-('01_Доходи'!AG826+'01_Доходи'!AG827+'01_Доходи'!AG828+'01_Доходи'!AG829+'01_Доходи'!AG830+'01_Доходи'!AG831),0),IF($B$821="Лікар-педіатр",IF(AG825&gt;=Законод!$J$18,'01_Доходи'!AG825-('01_Доходи'!AG826+'01_Доходи'!AG827+'01_Доходи'!AG828+'01_Доходи'!AG829+'01_Доходи'!AG830+'01_Доходи'!AG831),0),IF($B$821="Лікар-терапевт",IF('01_Доходи'!AG825&gt;=Законод!$J$26,AG825-Законод!$I$27,0),0)))</f>
        <v>0</v>
      </c>
      <c r="AH832" s="943"/>
      <c r="AI832" s="215"/>
      <c r="AJ832" s="946"/>
      <c r="AK832" s="961"/>
      <c r="AL832" s="961"/>
      <c r="AM832" s="928"/>
      <c r="AN832" s="216">
        <f ca="1">IF(B821="Лікар загальної практики - сімейний лікар",L832*Законод!$C$9/4*Законод!$J$16,IF(B821="Лікар-педіатр",L832*Законод!$C$9/4*Законод!$J$16,IF(B821="Лікар-терапевт",L832*Законод!$C$9/4*Законод!$J$16,0)))</f>
        <v>0</v>
      </c>
      <c r="AO832" s="216">
        <f ca="1">IF(B821="Лікар загальної практики - сімейний лікар",S832*Законод!$C$9/4*Законод!$J$16,IF(B821="Лікар-педіатр",S832*Законод!$C$9/4*Законод!$J$16,IF(B821="Лікар-терапевт",S832*Законод!$C$9/4*Законод!$J$16,0)))</f>
        <v>0</v>
      </c>
      <c r="AP832" s="216">
        <f ca="1">IF(B821="Лікар загальної практики - сімейний лікар",S832*Законод!$C$9/4*Законод!$J$16,IF(B821="Лікар-педіатр",S832*Законод!$C$9/4*Законод!$J$16,IF(B821="Лікар-терапевт",S832*Законод!$C$9/4*Законод!$J$16,0)))</f>
        <v>0</v>
      </c>
      <c r="AQ832" s="216">
        <f ca="1">IF(B821="Лікар загальної практики - сімейний лікар",AG832*Законод!$C$9/4*Законод!$J$16,IF(B821="Лікар-педіатр",AG832*Законод!$C$9/4*Законод!$J$16,IF(B821="Лікар-терапевт",AG832*Законод!$C$9/4*Законод!$J$16,0)))</f>
        <v>0</v>
      </c>
      <c r="AR832" s="217">
        <f t="shared" si="103"/>
        <v>0</v>
      </c>
    </row>
    <row r="833" spans="1:44" s="247" customFormat="1" ht="23.45" hidden="1" customHeight="1" thickBot="1">
      <c r="A833" s="243"/>
      <c r="B833" s="244"/>
      <c r="C833" s="244"/>
      <c r="D833" s="244"/>
      <c r="E833" s="244"/>
      <c r="F833" s="245"/>
      <c r="G833" s="246"/>
      <c r="H833" s="246"/>
      <c r="L833" s="248"/>
      <c r="S833" s="248"/>
      <c r="Z833" s="248"/>
      <c r="AG833" s="248"/>
      <c r="AM833" s="249"/>
      <c r="AR833" s="250"/>
    </row>
    <row r="834" spans="1:44" s="191" customFormat="1" ht="24.6" hidden="1" customHeight="1">
      <c r="A834" s="194">
        <f>A821+1</f>
        <v>62</v>
      </c>
      <c r="B834" s="950"/>
      <c r="C834" s="953"/>
      <c r="D834" s="956"/>
      <c r="E834" s="938"/>
      <c r="F834" s="234" t="s">
        <v>659</v>
      </c>
      <c r="G834" s="196">
        <f>IF($B$834="Лікар-педіатр",G837*L834,IF($B$834="Лікар-терапевт","х",IF($B$834="Лікар загальної практики - сімейний лікар",G837*L834,0)))</f>
        <v>0</v>
      </c>
      <c r="H834" s="196">
        <f>IF($B$834="Лікар-педіатр",H837*L834,IF($B$834="Лікар-терапевт","х",IF($B$834="Лікар загальної практики - сімейний лікар",H837*L834,0)))</f>
        <v>0</v>
      </c>
      <c r="I834" s="196">
        <f>IF($B$834="Лікар-педіатр","x",IF($B$834="Лікар-терапевт",I837*L834,IF($B$834="Лікар загальної практики - сімейний лікар",I837*L834,0)))</f>
        <v>0</v>
      </c>
      <c r="J834" s="196">
        <f>IF($B$834="Лікар-педіатр","x",IF($B$834="Лікар-терапевт",J837*L834,IF($B$834="Лікар загальної практики - сімейний лікар",J837*L834,0)))</f>
        <v>0</v>
      </c>
      <c r="K834" s="196">
        <f>IF($B$834="Лікар-педіатр","x",IF($B$834="Лікар-терапевт",K837*L834,IF($B$834="Лікар загальної практики - сімейний лікар",K837*L834,0)))</f>
        <v>0</v>
      </c>
      <c r="L834" s="557"/>
      <c r="M834" s="941"/>
      <c r="N834" s="196">
        <f>IF($B$834="Лікар-педіатр",N837*S834,IF($B$834="Лікар-терапевт","х",IF($B$834="Лікар загальної практики - сімейний лікар",N837*S834,0)))</f>
        <v>0</v>
      </c>
      <c r="O834" s="196">
        <f>IF($B$834="Лікар-педіатр",O837*S834,IF($B$834="Лікар-терапевт","х",IF($B$834="Лікар загальної практики - сімейний лікар",O837*S834,0)))</f>
        <v>0</v>
      </c>
      <c r="P834" s="196">
        <f>IF($B$834="Лікар-педіатр","x",IF($B$834="Лікар-терапевт",P837*S834,IF($B$834="Лікар загальної практики - сімейний лікар",P837*S834,0)))</f>
        <v>0</v>
      </c>
      <c r="Q834" s="196">
        <f>IF($B$834="Лікар-педіатр","x",IF($B$834="Лікар-терапевт",Q837*S834,IF($B$834="Лікар загальної практики - сімейний лікар",Q837*S834,0)))</f>
        <v>0</v>
      </c>
      <c r="R834" s="196">
        <f>IF($B$834="Лікар-педіатр","x",IF($B$834="Лікар-терапевт",R837*S834,IF($B$834="Лікар загальної практики - сімейний лікар",R837*S834,0)))</f>
        <v>0</v>
      </c>
      <c r="S834" s="557"/>
      <c r="T834" s="941"/>
      <c r="U834" s="196">
        <f>IF($B$834="Лікар-педіатр",U837*Z834,IF($B$834="Лікар-терапевт","х",IF($B$834="Лікар загальної практики - сімейний лікар",U837*Z834,0)))</f>
        <v>0</v>
      </c>
      <c r="V834" s="196">
        <f>IF($B$834="Лікар-педіатр",V837*Z834,IF($B$834="Лікар-терапевт","х",IF($B$834="Лікар загальної практики - сімейний лікар",V837*Z834,0)))</f>
        <v>0</v>
      </c>
      <c r="W834" s="196">
        <f>IF($B$834="Лікар-педіатр","x",IF($B$834="Лікар-терапевт",W837*Z834,IF($B$834="Лікар загальної практики - сімейний лікар",W837*Z834,0)))</f>
        <v>0</v>
      </c>
      <c r="X834" s="196">
        <f>IF($B$834="Лікар-педіатр","x",IF($B$834="Лікар-терапевт",X837*Z834,IF($B$834="Лікар загальної практики - сімейний лікар",X837*Z834,0)))</f>
        <v>0</v>
      </c>
      <c r="Y834" s="196">
        <f>IF($B$834="Лікар-педіатр","x",IF($B$834="Лікар-терапевт",Y837*Z834,IF($B$834="Лікар загальної практики - сімейний лікар",Y837*Z834,0)))</f>
        <v>0</v>
      </c>
      <c r="Z834" s="557"/>
      <c r="AA834" s="941"/>
      <c r="AB834" s="196">
        <f>IF($B$834="Лікар-педіатр",AB837*AG834,IF($B$834="Лікар-терапевт","х",IF($B$834="Лікар загальної практики - сімейний лікар",AB837*AG834,0)))</f>
        <v>0</v>
      </c>
      <c r="AC834" s="196">
        <f>IF($B$834="Лікар-педіатр",AC837*AG834,IF($B$834="Лікар-терапевт","х",IF($B$834="Лікар загальної практики - сімейний лікар",AC837*AG834,0)))</f>
        <v>0</v>
      </c>
      <c r="AD834" s="196">
        <f>IF($B$834="Лікар-педіатр","x",IF($B$834="Лікар-терапевт",AD837*AG834,IF($B$834="Лікар загальної практики - сімейний лікар",AD837*AG834,0)))</f>
        <v>0</v>
      </c>
      <c r="AE834" s="196">
        <f>IF($B$834="Лікар-педіатр","x",IF($B$834="Лікар-терапевт",AE837*AG834,IF($B$834="Лікар загальної практики - сімейний лікар",AE837*AG834,0)))</f>
        <v>0</v>
      </c>
      <c r="AF834" s="196">
        <f>IF($B$834="Лікар-педіатр","x",IF($B$834="Лікар-терапевт",AF837*AG834,IF($B$834="Лікар загальної практики - сімейний лікар",AF837*AG834,0)))</f>
        <v>0</v>
      </c>
      <c r="AG834" s="557"/>
      <c r="AH834" s="941"/>
      <c r="AI834" s="540">
        <f>A834</f>
        <v>62</v>
      </c>
      <c r="AJ834" s="944">
        <f>B834</f>
        <v>0</v>
      </c>
      <c r="AK834" s="959">
        <f>C834</f>
        <v>0</v>
      </c>
      <c r="AL834" s="959">
        <f>D834</f>
        <v>0</v>
      </c>
      <c r="AM834" s="929" t="s">
        <v>79</v>
      </c>
      <c r="AN834" s="947">
        <f>SUM(AN839:AN845)</f>
        <v>0</v>
      </c>
      <c r="AO834" s="947">
        <f>SUM(AO839:AO845)</f>
        <v>0</v>
      </c>
      <c r="AP834" s="947">
        <f>SUM(AP839:AP845)</f>
        <v>0</v>
      </c>
      <c r="AQ834" s="947">
        <f>SUM(AQ839:AQ845)</f>
        <v>0</v>
      </c>
      <c r="AR834" s="962">
        <f>SUM(AN834:AQ838)</f>
        <v>0</v>
      </c>
    </row>
    <row r="835" spans="1:44" s="50" customFormat="1" ht="28.15" hidden="1" customHeight="1">
      <c r="A835" s="197"/>
      <c r="B835" s="951"/>
      <c r="C835" s="954"/>
      <c r="D835" s="957"/>
      <c r="E835" s="939"/>
      <c r="F835" s="234" t="s">
        <v>660</v>
      </c>
      <c r="G835" s="196">
        <f>IF($B$834="Лікар-педіатр",G837*L835,IF($B$834="Лікар-терапевт","х",IF($B$834="Лікар загальної практики - сімейний лікар",G837*L835,0)))</f>
        <v>0</v>
      </c>
      <c r="H835" s="196">
        <f>IF($B$834="Лікар-педіатр",H837*L835,IF($B$834="Лікар-терапевт","х",IF($B$834="Лікар загальної практики - сімейний лікар",H837*L835,0)))</f>
        <v>0</v>
      </c>
      <c r="I835" s="196">
        <f>IF($B$834="Лікар-педіатр","x",IF($B$834="Лікар-терапевт",I837*L835,IF($B$834="Лікар загальної практики - сімейний лікар",I837*L835,0)))</f>
        <v>0</v>
      </c>
      <c r="J835" s="196">
        <f>IF($B$834="Лікар-педіатр","x",IF($B$834="Лікар-терапевт",J837*L835,IF($B$834="Лікар загальної практики - сімейний лікар",J837*L835,0)))</f>
        <v>0</v>
      </c>
      <c r="K835" s="196">
        <f>IF($B$834="Лікар-педіатр","x",IF($B$834="Лікар-терапевт",K837*L835,IF($B$834="Лікар загальної практики - сімейний лікар",K837*L835,0)))</f>
        <v>0</v>
      </c>
      <c r="L835" s="557"/>
      <c r="M835" s="942"/>
      <c r="N835" s="196">
        <f>IF($B$834="Лікар-педіатр",N837*S835,IF($B$834="Лікар-терапевт","х",IF($B$834="Лікар загальної практики - сімейний лікар",N837*S835,0)))</f>
        <v>0</v>
      </c>
      <c r="O835" s="196">
        <f>IF($B$834="Лікар-педіатр",O837*S835,IF($B$834="Лікар-терапевт","х",IF($B$834="Лікар загальної практики - сімейний лікар",O837*S835,0)))</f>
        <v>0</v>
      </c>
      <c r="P835" s="196">
        <f>IF($B$834="Лікар-педіатр","x",IF($B$834="Лікар-терапевт",P837*S835,IF($B$834="Лікар загальної практики - сімейний лікар",P837*S835,0)))</f>
        <v>0</v>
      </c>
      <c r="Q835" s="196">
        <f>IF($B$834="Лікар-педіатр","x",IF($B$834="Лікар-терапевт",Q837*S835,IF($B$834="Лікар загальної практики - сімейний лікар",Q837*S835,0)))</f>
        <v>0</v>
      </c>
      <c r="R835" s="196">
        <f>IF($B$834="Лікар-педіатр","x",IF($B$834="Лікар-терапевт",R837*S835,IF($B$834="Лікар загальної практики - сімейний лікар",R837*S835,0)))</f>
        <v>0</v>
      </c>
      <c r="S835" s="557"/>
      <c r="T835" s="942"/>
      <c r="U835" s="196">
        <f>IF($B$834="Лікар-педіатр",U837*Z835,IF($B$834="Лікар-терапевт","х",IF($B$834="Лікар загальної практики - сімейний лікар",U837*Z835,0)))</f>
        <v>0</v>
      </c>
      <c r="V835" s="196">
        <f>IF($B$834="Лікар-педіатр",V837*Z835,IF($B$834="Лікар-терапевт","х",IF($B$834="Лікар загальної практики - сімейний лікар",V837*Z835,0)))</f>
        <v>0</v>
      </c>
      <c r="W835" s="196">
        <f>IF($B$834="Лікар-педіатр","x",IF($B$834="Лікар-терапевт",W837*Z835,IF($B$834="Лікар загальної практики - сімейний лікар",W837*Z835,0)))</f>
        <v>0</v>
      </c>
      <c r="X835" s="196">
        <f>IF($B$834="Лікар-педіатр","x",IF($B$834="Лікар-терапевт",X837*Z835,IF($B$834="Лікар загальної практики - сімейний лікар",X837*Z835,0)))</f>
        <v>0</v>
      </c>
      <c r="Y835" s="196">
        <f>IF($B$834="Лікар-педіатр","x",IF($B$834="Лікар-терапевт",Y837*Z835,IF($B$834="Лікар загальної практики - сімейний лікар",Y837*Z835,0)))</f>
        <v>0</v>
      </c>
      <c r="Z835" s="557"/>
      <c r="AA835" s="942"/>
      <c r="AB835" s="196">
        <f>IF($B$834="Лікар-педіатр",AB837*AG835,IF($B$834="Лікар-терапевт","х",IF($B$834="Лікар загальної практики - сімейний лікар",AB837*AG835,0)))</f>
        <v>0</v>
      </c>
      <c r="AC835" s="196">
        <f>IF($B$834="Лікар-педіатр",AC837*AG835,IF($B$834="Лікар-терапевт","х",IF($B$834="Лікар загальної практики - сімейний лікар",AC837*AG835,0)))</f>
        <v>0</v>
      </c>
      <c r="AD835" s="196">
        <f>IF($B$834="Лікар-педіатр","x",IF($B$834="Лікар-терапевт",AD837*AG835,IF($B$834="Лікар загальної практики - сімейний лікар",AD837*AG835,0)))</f>
        <v>0</v>
      </c>
      <c r="AE835" s="196">
        <f>IF($B$834="Лікар-педіатр","x",IF($B$834="Лікар-терапевт",AE837*AG835,IF($B$834="Лікар загальної практики - сімейний лікар",AE837*AG835,0)))</f>
        <v>0</v>
      </c>
      <c r="AF835" s="196">
        <f>IF($B$834="Лікар-педіатр","x",IF($B$834="Лікар-терапевт",AF837*AG835,IF($B$834="Лікар загальної практики - сімейний лікар",AF837*AG835,0)))</f>
        <v>0</v>
      </c>
      <c r="AG835" s="557"/>
      <c r="AH835" s="942"/>
      <c r="AI835" s="198"/>
      <c r="AJ835" s="945"/>
      <c r="AK835" s="960"/>
      <c r="AL835" s="960"/>
      <c r="AM835" s="930"/>
      <c r="AN835" s="948"/>
      <c r="AO835" s="948"/>
      <c r="AP835" s="948"/>
      <c r="AQ835" s="948"/>
      <c r="AR835" s="963"/>
    </row>
    <row r="836" spans="1:44" s="90" customFormat="1" ht="31.15" hidden="1" customHeight="1">
      <c r="A836" s="240"/>
      <c r="B836" s="951"/>
      <c r="C836" s="954"/>
      <c r="D836" s="957"/>
      <c r="E836" s="939"/>
      <c r="F836" s="241" t="s">
        <v>661</v>
      </c>
      <c r="G836" s="199">
        <f>IF(B834="Лікар загальної практики - сімейний лікар"," ",IF(B834="Лікар-педіатр"," ",IF(B834="Лікар-терапевт","х",0)))</f>
        <v>0</v>
      </c>
      <c r="H836" s="199">
        <f>IF(B834="Лікар загальної практики - сімейний лікар"," ",IF(B834="Лікар-педіатр"," ",IF(B834="Лікар-терапевт","х",0)))</f>
        <v>0</v>
      </c>
      <c r="I836" s="199">
        <f>IF(B834="Лікар загальної практики - сімейний лікар"," ",IF(B834="Лікар-педіатр","х",IF(B834="Лікар-терапевт"," ",0)))</f>
        <v>0</v>
      </c>
      <c r="J836" s="199">
        <f>IF(B834="Лікар загальної практики - сімейний лікар"," ",IF(B834="Лікар-педіатр","х",IF(B834="Лікар-терапевт"," ",0)))</f>
        <v>0</v>
      </c>
      <c r="K836" s="199">
        <f>IF(B834="Лікар загальної практики - сімейний лікар"," ",IF(B834="Лікар-педіатр","х",IF(B834="Лікар-терапевт"," ",0)))</f>
        <v>0</v>
      </c>
      <c r="L836" s="200">
        <f>SUM(G836:K836)</f>
        <v>0</v>
      </c>
      <c r="M836" s="942"/>
      <c r="N836" s="199">
        <f>IF(B834="Лікар загальної практики - сімейний лікар"," ",IF(B834="Лікар-педіатр"," ",IF(B834="Лікар-терапевт","х",0)))</f>
        <v>0</v>
      </c>
      <c r="O836" s="199">
        <f>IF(B834="Лікар загальної практики - сімейний лікар"," ",IF(B834="Лікар-педіатр"," ",IF(B834="Лікар-терапевт","х",0)))</f>
        <v>0</v>
      </c>
      <c r="P836" s="199">
        <f>IF(B834="Лікар загальної практики - сімейний лікар"," ",IF(B834="Лікар-педіатр","х",IF(B834="Лікар-терапевт"," ",0)))</f>
        <v>0</v>
      </c>
      <c r="Q836" s="199">
        <f>IF(B834="Лікар загальної практики - сімейний лікар"," ",IF(B834="Лікар-педіатр","х",IF(B834="Лікар-терапевт"," ",0)))</f>
        <v>0</v>
      </c>
      <c r="R836" s="199">
        <f>IF(B834="Лікар загальної практики - сімейний лікар"," ",IF(B834="Лікар-педіатр","х",IF(B834="Лікар-терапевт"," ",0)))</f>
        <v>0</v>
      </c>
      <c r="S836" s="200">
        <f>SUM(N836:R836)</f>
        <v>0</v>
      </c>
      <c r="T836" s="942"/>
      <c r="U836" s="199">
        <f>IF(B834="Лікар загальної практики - сімейний лікар"," ",IF(B834="Лікар-педіатр"," ",IF(B834="Лікар-терапевт","х",0)))</f>
        <v>0</v>
      </c>
      <c r="V836" s="199">
        <f>IF(B834="Лікар загальної практики - сімейний лікар"," ",IF(B834="Лікар-педіатр"," ",IF(B834="Лікар-терапевт","х",0)))</f>
        <v>0</v>
      </c>
      <c r="W836" s="199">
        <f>IF(B834="Лікар загальної практики - сімейний лікар"," ",IF(B834="Лікар-педіатр","х",IF(B834="Лікар-терапевт"," ",0)))</f>
        <v>0</v>
      </c>
      <c r="X836" s="199">
        <f>IF(B834="Лікар загальної практики - сімейний лікар"," ",IF(B834="Лікар-педіатр","х",IF(B834="Лікар-терапевт"," ",0)))</f>
        <v>0</v>
      </c>
      <c r="Y836" s="199">
        <f>IF(B834="Лікар загальної практики - сімейний лікар"," ",IF(B834="Лікар-педіатр","х",IF(B834="Лікар-терапевт"," ",0)))</f>
        <v>0</v>
      </c>
      <c r="Z836" s="200">
        <f>SUM(U836:Y836)</f>
        <v>0</v>
      </c>
      <c r="AA836" s="942"/>
      <c r="AB836" s="199">
        <f>IF(B834="Лікар загальної практики - сімейний лікар"," ",IF(B834="Лікар-педіатр"," ",IF(B834="Лікар-терапевт","х",0)))</f>
        <v>0</v>
      </c>
      <c r="AC836" s="199">
        <f>IF(B834="Лікар загальної практики - сімейний лікар"," ",IF(B834="Лікар-педіатр"," ",IF(B834="Лікар-терапевт","х",0)))</f>
        <v>0</v>
      </c>
      <c r="AD836" s="199">
        <f>IF(B834="Лікар загальної практики - сімейний лікар"," ",IF(B834="Лікар-педіатр","х",IF(B834="Лікар-терапевт"," ",0)))</f>
        <v>0</v>
      </c>
      <c r="AE836" s="199">
        <f>IF(B834="Лікар загальної практики - сімейний лікар"," ",IF(B834="Лікар-педіатр","х",IF(B834="Лікар-терапевт"," ",0)))</f>
        <v>0</v>
      </c>
      <c r="AF836" s="199">
        <f>IF(B834="Лікар загальної практики - сімейний лікар"," ",IF(B834="Лікар-педіатр","х",IF(B834="Лікар-терапевт"," ",0)))</f>
        <v>0</v>
      </c>
      <c r="AG836" s="200">
        <f>SUM(AB836:AF836)</f>
        <v>0</v>
      </c>
      <c r="AH836" s="942"/>
      <c r="AI836" s="242"/>
      <c r="AJ836" s="945"/>
      <c r="AK836" s="960"/>
      <c r="AL836" s="960"/>
      <c r="AM836" s="930"/>
      <c r="AN836" s="948"/>
      <c r="AO836" s="948"/>
      <c r="AP836" s="948"/>
      <c r="AQ836" s="948"/>
      <c r="AR836" s="963"/>
    </row>
    <row r="837" spans="1:44" s="50" customFormat="1" ht="31.9" hidden="1" customHeight="1" thickBot="1">
      <c r="A837" s="197"/>
      <c r="B837" s="951"/>
      <c r="C837" s="954"/>
      <c r="D837" s="957"/>
      <c r="E837" s="939"/>
      <c r="F837" s="236" t="s">
        <v>426</v>
      </c>
      <c r="G837" s="203">
        <f>IF($B$834="Лікар-педіатр",G836/L836,IF($B$834="Лікар-терапевт","х",IF($B$834="Лікар загальної практики - сімейний лікар",G836/L836,0)))</f>
        <v>0</v>
      </c>
      <c r="H837" s="203">
        <f>IF($B$834="Лікар-педіатр",H836/L836,IF($B$834="Лікар-терапевт","х",IF($B$834="Лікар загальної практики - сімейний лікар",H836/L836,0)))</f>
        <v>0</v>
      </c>
      <c r="I837" s="203">
        <f>IF($B$834="Лікар-педіатр","x",IF($B$834="Лікар-терапевт",I836/L836,IF($B$834="Лікар загальної практики - сімейний лікар",I836/L836,0)))</f>
        <v>0</v>
      </c>
      <c r="J837" s="203">
        <f>IF($B$834="Лікар-педіатр","x",IF($B$834="Лікар-терапевт",J836/L836,IF($B$834="Лікар загальної практики - сімейний лікар",J836/L836,0)))</f>
        <v>0</v>
      </c>
      <c r="K837" s="203">
        <f>IF($B$834="Лікар-педіатр","x",IF($B$834="Лікар-терапевт",K836/L836,IF($B$834="Лікар загальної практики - сімейний лікар",K836/L836,0)))</f>
        <v>0</v>
      </c>
      <c r="L837" s="203">
        <f>SUM(G837:K837)</f>
        <v>0</v>
      </c>
      <c r="M837" s="942"/>
      <c r="N837" s="203">
        <f>IF($B$834="Лікар-педіатр",N836/S836,IF($B$834="Лікар-терапевт","х",IF($B$834="Лікар загальної практики - сімейний лікар",N836/S836,0)))</f>
        <v>0</v>
      </c>
      <c r="O837" s="203">
        <f>IF($B$834="Лікар-педіатр",O836/S836,IF($B$834="Лікар-терапевт","х",IF($B$834="Лікар загальної практики - сімейний лікар",O836/S836,0)))</f>
        <v>0</v>
      </c>
      <c r="P837" s="203">
        <f>IF($B$834="Лікар-педіатр","x",IF($B$834="Лікар-терапевт",P836/S836,IF($B$834="Лікар загальної практики - сімейний лікар",P836/S836,0)))</f>
        <v>0</v>
      </c>
      <c r="Q837" s="203">
        <f>IF($B$834="Лікар-педіатр","x",IF($B$834="Лікар-терапевт",Q836/S836,IF($B$834="Лікар загальної практики - сімейний лікар",Q836/S836,0)))</f>
        <v>0</v>
      </c>
      <c r="R837" s="203">
        <f>IF($B$834="Лікар-педіатр","x",IF($B$834="Лікар-терапевт",R836/S836,IF($B$834="Лікар загальної практики - сімейний лікар",R836/S836,0)))</f>
        <v>0</v>
      </c>
      <c r="S837" s="203">
        <f>SUM(N837:R837)</f>
        <v>0</v>
      </c>
      <c r="T837" s="942"/>
      <c r="U837" s="203">
        <f>IF($B$834="Лікар-педіатр",U836/Z836,IF($B$834="Лікар-терапевт","х",IF($B$834="Лікар загальної практики - сімейний лікар",U836/Z836,0)))</f>
        <v>0</v>
      </c>
      <c r="V837" s="203">
        <f>IF($B$834="Лікар-педіатр",V836/Z836,IF($B$834="Лікар-терапевт","х",IF($B$834="Лікар загальної практики - сімейний лікар",V836/Z836,0)))</f>
        <v>0</v>
      </c>
      <c r="W837" s="203">
        <f>IF($B$834="Лікар-педіатр","x",IF($B$834="Лікар-терапевт",W836/Z836,IF($B$834="Лікар загальної практики - сімейний лікар",W836/Z836,0)))</f>
        <v>0</v>
      </c>
      <c r="X837" s="203">
        <f>IF($B$834="Лікар-педіатр","x",IF($B$834="Лікар-терапевт",X836/Z836,IF($B$834="Лікар загальної практики - сімейний лікар",X836/Z836,0)))</f>
        <v>0</v>
      </c>
      <c r="Y837" s="203">
        <f>IF($B$834="Лікар-педіатр","x",IF($B$834="Лікар-терапевт",Y836/Z836,IF($B$834="Лікар загальної практики - сімейний лікар",Y836/Z836,0)))</f>
        <v>0</v>
      </c>
      <c r="Z837" s="203">
        <f>SUM(U837:Y837)</f>
        <v>0</v>
      </c>
      <c r="AA837" s="942"/>
      <c r="AB837" s="203">
        <f>IF($B$834="Лікар-педіатр",AB836/AG836,IF($B$834="Лікар-терапевт","х",IF($B$834="Лікар загальної практики - сімейний лікар",AB836/AG836,0)))</f>
        <v>0</v>
      </c>
      <c r="AC837" s="203">
        <f>IF($B$834="Лікар-педіатр",AC836/AG836,IF($B$834="Лікар-терапевт","х",IF($B$834="Лікар загальної практики - сімейний лікар",AC836/AG836,0)))</f>
        <v>0</v>
      </c>
      <c r="AD837" s="203">
        <f>IF($B$834="Лікар-педіатр","x",IF($B$834="Лікар-терапевт",AD836/AG836,IF($B$834="Лікар загальної практики - сімейний лікар",AD836/AG836,0)))</f>
        <v>0</v>
      </c>
      <c r="AE837" s="203">
        <f>IF($B$834="Лікар-педіатр","x",IF($B$834="Лікар-терапевт",AE836/AG836,IF($B$834="Лікар загальної практики - сімейний лікар",AE836/AG836,0)))</f>
        <v>0</v>
      </c>
      <c r="AF837" s="203">
        <f>IF($B$834="Лікар-педіатр","x",IF($B$834="Лікар-терапевт",AF836/AG836,IF($B$834="Лікар загальної практики - сімейний лікар",AF836/AG836,0)))</f>
        <v>0</v>
      </c>
      <c r="AG837" s="203">
        <f>SUM(AB837:AF837)</f>
        <v>0</v>
      </c>
      <c r="AH837" s="942"/>
      <c r="AI837" s="201"/>
      <c r="AJ837" s="945"/>
      <c r="AK837" s="960"/>
      <c r="AL837" s="960"/>
      <c r="AM837" s="930"/>
      <c r="AN837" s="948"/>
      <c r="AO837" s="948"/>
      <c r="AP837" s="948"/>
      <c r="AQ837" s="948"/>
      <c r="AR837" s="963"/>
    </row>
    <row r="838" spans="1:44" s="50" customFormat="1" ht="45" hidden="1" customHeight="1" thickBot="1">
      <c r="A838" s="197"/>
      <c r="B838" s="951"/>
      <c r="C838" s="954"/>
      <c r="D838" s="957"/>
      <c r="E838" s="939"/>
      <c r="F838" s="204" t="s">
        <v>662</v>
      </c>
      <c r="G838" s="205">
        <f>IF($B$834="Лікар загальної практики - сімейний лікар",AVERAGE(G834:G836),IF($B$834="Лікар-педіатр",AVERAGE(G834:G836),IF($B$834="Лікар-терапевт","х",0)))</f>
        <v>0</v>
      </c>
      <c r="H838" s="205">
        <f>IF($B$834="Лікар загальної практики - сімейний лікар",AVERAGE(H834:H836),IF($B$834="Лікар-педіатр",AVERAGE(H834:H836),IF($B$834="Лікар-терапевт","х",0)))</f>
        <v>0</v>
      </c>
      <c r="I838" s="205">
        <f>IF($B$834="Лікар загальної практики - сімейний лікар",AVERAGE(I834:I836),IF($B$834="Лікар-педіатр","x",IF($B$834="Лікар-терапевт",AVERAGE(I834:I836),0)))</f>
        <v>0</v>
      </c>
      <c r="J838" s="205">
        <f>IF($B$834="Лікар загальної практики - сімейний лікар",AVERAGE(J834:J836),IF($B$834="Лікар-педіатр","x",IF($B$834="Лікар-терапевт",AVERAGE(J834:J836),0)))</f>
        <v>0</v>
      </c>
      <c r="K838" s="205">
        <f>IF($B$834="Лікар загальної практики - сімейний лікар",AVERAGE(K834:K836),IF($B$834="Лікар-педіатр","x",IF($B$834="Лікар-терапевт",AVERAGE(K834:K836),0)))</f>
        <v>0</v>
      </c>
      <c r="L838" s="206">
        <f>SUM(G838:K838)</f>
        <v>0</v>
      </c>
      <c r="M838" s="942"/>
      <c r="N838" s="205">
        <f>IF($B$834="Лікар загальної практики - сімейний лікар",AVERAGE(N834:N836),IF($B$834="Лікар-педіатр",AVERAGE(N834:N836),IF($B$834="Лікар-терапевт","х",0)))</f>
        <v>0</v>
      </c>
      <c r="O838" s="205">
        <f>IF($B$834="Лікар загальної практики - сімейний лікар",AVERAGE(O834:O836),IF($B$834="Лікар-педіатр",AVERAGE(O834:O836),IF($B$834="Лікар-терапевт","х",0)))</f>
        <v>0</v>
      </c>
      <c r="P838" s="205">
        <f>IF($B$834="Лікар загальної практики - сімейний лікар",AVERAGE(P834:P836),IF($B$834="Лікар-педіатр","x",IF($B$834="Лікар-терапевт",AVERAGE(P834:P836),0)))</f>
        <v>0</v>
      </c>
      <c r="Q838" s="205">
        <f>IF($B$834="Лікар загальної практики - сімейний лікар",AVERAGE(Q834:Q836),IF($B$834="Лікар-педіатр","x",IF($B$834="Лікар-терапевт",AVERAGE(Q834:Q836),0)))</f>
        <v>0</v>
      </c>
      <c r="R838" s="205">
        <f>IF($B$834="Лікар загальної практики - сімейний лікар",AVERAGE(R834:R836),IF($B$834="Лікар-педіатр","x",IF($B$834="Лікар-терапевт",AVERAGE(R834:R836),0)))</f>
        <v>0</v>
      </c>
      <c r="S838" s="206">
        <f>SUM(N838:R838)</f>
        <v>0</v>
      </c>
      <c r="T838" s="942"/>
      <c r="U838" s="205">
        <f>IF($B$834="Лікар загальної практики - сімейний лікар",AVERAGE(U834:U836),IF($B$834="Лікар-педіатр",AVERAGE(U834:U836),IF($B$834="Лікар-терапевт","х",0)))</f>
        <v>0</v>
      </c>
      <c r="V838" s="205">
        <f>IF($B$834="Лікар загальної практики - сімейний лікар",AVERAGE(V834:V836),IF($B$834="Лікар-педіатр",AVERAGE(V834:V836),IF($B$834="Лікар-терапевт","х",0)))</f>
        <v>0</v>
      </c>
      <c r="W838" s="205">
        <f>IF($B$834="Лікар загальної практики - сімейний лікар",AVERAGE(W834:W836),IF($B$834="Лікар-педіатр","x",IF($B$834="Лікар-терапевт",AVERAGE(W834:W836),0)))</f>
        <v>0</v>
      </c>
      <c r="X838" s="205">
        <f>IF($B$834="Лікар загальної практики - сімейний лікар",AVERAGE(X834:X836),IF($B$834="Лікар-педіатр","x",IF($B$834="Лікар-терапевт",AVERAGE(X834:X836),0)))</f>
        <v>0</v>
      </c>
      <c r="Y838" s="205">
        <f>IF($B$834="Лікар загальної практики - сімейний лікар",AVERAGE(Y834:Y836),IF($B$834="Лікар-педіатр","x",IF($B$834="Лікар-терапевт",AVERAGE(Y834:Y836),0)))</f>
        <v>0</v>
      </c>
      <c r="Z838" s="206">
        <f>SUM(U838:Y838)</f>
        <v>0</v>
      </c>
      <c r="AA838" s="942"/>
      <c r="AB838" s="205">
        <f>IF($B$834="Лікар загальної практики - сімейний лікар",AVERAGE(AB834:AB836),IF($B$834="Лікар-педіатр",AVERAGE(AB834:AB836),IF($B$834="Лікар-терапевт","х",0)))</f>
        <v>0</v>
      </c>
      <c r="AC838" s="205">
        <f>IF($B$834="Лікар загальної практики - сімейний лікар",AVERAGE(AC834:AC836),IF($B$834="Лікар-педіатр",AVERAGE(AC834:AC836),IF($B$834="Лікар-терапевт","х",0)))</f>
        <v>0</v>
      </c>
      <c r="AD838" s="205">
        <f>IF($B$834="Лікар загальної практики - сімейний лікар",AVERAGE(AD834:AD836),IF($B$834="Лікар-педіатр","x",IF($B$834="Лікар-терапевт",AVERAGE(AD834:AD836),0)))</f>
        <v>0</v>
      </c>
      <c r="AE838" s="205">
        <f>IF($B$834="Лікар загальної практики - сімейний лікар",AVERAGE(AE834:AE836),IF($B$834="Лікар-педіатр","x",IF($B$834="Лікар-терапевт",AVERAGE(AE834:AE836),0)))</f>
        <v>0</v>
      </c>
      <c r="AF838" s="205">
        <f>IF($B$834="Лікар загальної практики - сімейний лікар",AVERAGE(AF834:AF836),IF($B$834="Лікар-педіатр","x",IF($B$834="Лікар-терапевт",AVERAGE(AF834:AF836),0)))</f>
        <v>0</v>
      </c>
      <c r="AG838" s="206">
        <f>SUM(AB838:AF838)</f>
        <v>0</v>
      </c>
      <c r="AH838" s="942"/>
      <c r="AI838" s="201"/>
      <c r="AJ838" s="945"/>
      <c r="AK838" s="960"/>
      <c r="AL838" s="960"/>
      <c r="AM838" s="931"/>
      <c r="AN838" s="949"/>
      <c r="AO838" s="949"/>
      <c r="AP838" s="949"/>
      <c r="AQ838" s="949"/>
      <c r="AR838" s="964"/>
    </row>
    <row r="839" spans="1:44" s="50" customFormat="1" ht="40.5" hidden="1">
      <c r="A839" s="197"/>
      <c r="B839" s="951"/>
      <c r="C839" s="954"/>
      <c r="D839" s="957"/>
      <c r="E839" s="939"/>
      <c r="F839" s="237" t="str">
        <f ca="1">IF(B834="Лікар-педіатр",Законод!$C$17,IF(B834="Лікар загальної практики - сімейний лікар",Законод!$C$21,IF(B834="Лікар-терапевт",Законод!$C$25,"х")))</f>
        <v>х</v>
      </c>
      <c r="G839" s="208">
        <f ca="1">IF($B$834="Лікар загальної практики - сімейний лікар",IF(L838&lt;=Законод!$C$22,G838,Законод!$C$22*'01_Доходи'!G837),IF($B$834="Лікар-педіатр",IF(L838&lt;=Законод!$C$18,G838,Законод!$C$18*'01_Доходи'!G837),IF($B$834="Лікар-терапевт","x",0)))</f>
        <v>0</v>
      </c>
      <c r="H839" s="208">
        <f ca="1">IF($B$834="Лікар загальної практики - сімейний лікар",IF(L838&lt;=Законод!$C$22,H838,Законод!$C$22*'01_Доходи'!H837),IF($B$834="Лікар-педіатр",IF(L838&lt;=Законод!$C$18,H838,Законод!$C$18*'01_Доходи'!H837),IF($B$834="Лікар-терапевт","x",0)))</f>
        <v>0</v>
      </c>
      <c r="I839" s="208">
        <f ca="1">IF($B$834="Лікар загальної практики - сімейний лікар",IF(L838&lt;=Законод!$C$22,I838,Законод!$C$22*'01_Доходи'!I837),IF($B$834="Лікар-педіатр","x",IF($B$834="Лікар-терапевт",IF(L838&lt;=Законод!$C$26,I838,Законод!$C$26*'01_Доходи'!I837),0)))</f>
        <v>0</v>
      </c>
      <c r="J839" s="208">
        <f ca="1">IF($B$834="Лікар загальної практики - сімейний лікар",IF(L838&lt;=Законод!$C$22,J838,Законод!$C$22*'01_Доходи'!J837),IF($B$834="Лікар-педіатр","x",IF($B$834="Лікар-терапевт",IF(L838&lt;=Законод!$C$26,J838,Законод!$C$26*'01_Доходи'!J837),0)))</f>
        <v>0</v>
      </c>
      <c r="K839" s="208">
        <f ca="1">IF($B$834="Лікар загальної практики - сімейний лікар",IF(L838&lt;=Законод!$C$22,K838,Законод!$C$22*'01_Доходи'!K837),IF($B$834="Лікар-педіатр","x",IF($B$834="Лікар-терапевт",IF(L838&lt;=Законод!$C$26,K838,Законод!$C$26*'01_Доходи'!K837),0)))</f>
        <v>0</v>
      </c>
      <c r="L839" s="209">
        <f ca="1">SUM(G839:K839)</f>
        <v>0</v>
      </c>
      <c r="M839" s="942"/>
      <c r="N839" s="208">
        <f ca="1">IF($B$834="Лікар загальної практики - сімейний лікар",IF(S838&lt;=Законод!$C$22,N838,Законод!$C$22*'01_Доходи'!N837),IF($B$834="Лікар-педіатр",IF(S838&lt;=Законод!$C$18,N838,Законод!$C$18*'01_Доходи'!N837),IF($B$834="Лікар-терапевт","x",0)))</f>
        <v>0</v>
      </c>
      <c r="O839" s="208">
        <f ca="1">IF($B$834="Лікар загальної практики - сімейний лікар",IF(S838&lt;=Законод!$C$22,O838,Законод!$C$22*'01_Доходи'!O837),IF($B$834="Лікар-педіатр",IF(S838&lt;=Законод!$C$18,O838,Законод!$C$18*'01_Доходи'!O837),IF($B$834="Лікар-терапевт","x",0)))</f>
        <v>0</v>
      </c>
      <c r="P839" s="208">
        <f ca="1">IF($B$834="Лікар загальної практики - сімейний лікар",IF(S838&lt;=Законод!$C$22,P838,Законод!$C$22*'01_Доходи'!P837),IF($B$834="Лікар-педіатр","x",IF($B$834="Лікар-терапевт",IF(S838&lt;=Законод!$C$26,P838,Законод!$C$26*'01_Доходи'!P837),0)))</f>
        <v>0</v>
      </c>
      <c r="Q839" s="208">
        <f ca="1">IF($B$834="Лікар загальної практики - сімейний лікар",IF(S838&lt;=Законод!$C$22,Q838,Законод!$C$22*'01_Доходи'!Q837),IF($B$834="Лікар-педіатр","x",IF($B$834="Лікар-терапевт",IF(S838&lt;=Законод!$C$26,Q838,Законод!$C$26*'01_Доходи'!Q837),0)))</f>
        <v>0</v>
      </c>
      <c r="R839" s="208">
        <f ca="1">IF($B$834="Лікар загальної практики - сімейний лікар",IF(S838&lt;=Законод!$C$22,R838,Законод!$C$22*'01_Доходи'!R837),IF($B$834="Лікар-педіатр","x",IF($B$834="Лікар-терапевт",IF(S838&lt;=Законод!$C$26,R838,Законод!$C$26*'01_Доходи'!R837),0)))</f>
        <v>0</v>
      </c>
      <c r="S839" s="209">
        <f ca="1">SUM(N839:R839)</f>
        <v>0</v>
      </c>
      <c r="T839" s="942"/>
      <c r="U839" s="208">
        <f ca="1">IF($B$834="Лікар загальної практики - сімейний лікар",IF(Z838&lt;=Законод!$C$22,U838,Законод!$C$22*'01_Доходи'!U837),IF($B$834="Лікар-педіатр",IF(Z838&lt;=Законод!$C$18,U838,Законод!$C$18*'01_Доходи'!U837),IF($B$834="Лікар-терапевт","x",0)))</f>
        <v>0</v>
      </c>
      <c r="V839" s="208">
        <f ca="1">IF($B$834="Лікар загальної практики - сімейний лікар",IF(Z838&lt;=Законод!$C$22,V838,Законод!$C$22*'01_Доходи'!V837),IF($B$834="Лікар-педіатр",IF(Z838&lt;=Законод!$C$18,V838,Законод!$C$18*'01_Доходи'!V837),IF($B$834="Лікар-терапевт","x",0)))</f>
        <v>0</v>
      </c>
      <c r="W839" s="208">
        <f ca="1">IF($B$834="Лікар загальної практики - сімейний лікар",IF(Z838&lt;=Законод!$C$22,W838,Законод!$C$22*'01_Доходи'!W837),IF($B$834="Лікар-педіатр","x",IF($B$834="Лікар-терапевт",IF(Z838&lt;=Законод!$C$26,W838,Законод!$C$26*'01_Доходи'!W837),0)))</f>
        <v>0</v>
      </c>
      <c r="X839" s="208">
        <f ca="1">IF($B$834="Лікар загальної практики - сімейний лікар",IF(Z838&lt;=Законод!$C$22,X838,Законод!$C$22*'01_Доходи'!X837),IF($B$834="Лікар-педіатр","x",IF($B$834="Лікар-терапевт",IF(Z838&lt;=Законод!$C$26,X838,Законод!$C$26*'01_Доходи'!X837),0)))</f>
        <v>0</v>
      </c>
      <c r="Y839" s="208">
        <f ca="1">IF($B$834="Лікар загальної практики - сімейний лікар",IF(Z838&lt;=Законод!$C$22,Y838,Законод!$C$22*'01_Доходи'!Y837),IF($B$834="Лікар-педіатр","x",IF($B$834="Лікар-терапевт",IF(Z838&lt;=Законод!$C$26,Y838,Законод!$C$26*'01_Доходи'!Y837),0)))</f>
        <v>0</v>
      </c>
      <c r="Z839" s="209">
        <f ca="1">SUM(U839:Y839)</f>
        <v>0</v>
      </c>
      <c r="AA839" s="942"/>
      <c r="AB839" s="208">
        <f ca="1">IF($B$834="Лікар загальної практики - сімейний лікар",IF(AG838&lt;=Законод!$C$22,AB838,Законод!$C$22*'01_Доходи'!AB837),IF($B$834="Лікар-педіатр",IF(AG838&lt;=Законод!$C$18,AB838,Законод!$C$18*'01_Доходи'!AB837),IF($B$834="Лікар-терапевт","x",0)))</f>
        <v>0</v>
      </c>
      <c r="AC839" s="208">
        <f ca="1">IF($B$834="Лікар загальної практики - сімейний лікар",IF(AG838&lt;=Законод!$C$22,AC838,Законод!$C$22*'01_Доходи'!AC837),IF($B$834="Лікар-педіатр",IF(AG838&lt;=Законод!$C$18,AC838,Законод!$C$18*'01_Доходи'!AC837),IF($B$834="Лікар-терапевт","x",0)))</f>
        <v>0</v>
      </c>
      <c r="AD839" s="208">
        <f ca="1">IF($B$834="Лікар загальної практики - сімейний лікар",IF(AG838&lt;=Законод!$C$22,AD838,Законод!$C$22*'01_Доходи'!AD837),IF($B$834="Лікар-педіатр","x",IF($B$834="Лікар-терапевт",IF(AG838&lt;=Законод!$C$26,AD838,Законод!$C$26*'01_Доходи'!AD837),0)))</f>
        <v>0</v>
      </c>
      <c r="AE839" s="208">
        <f ca="1">IF($B$834="Лікар загальної практики - сімейний лікар",IF(AG838&lt;=Законод!$C$22,AE838,Законод!$C$22*'01_Доходи'!AE837),IF($B$834="Лікар-педіатр","x",IF($B$834="Лікар-терапевт",IF(AG838&lt;=Законод!$C$26,AE838,Законод!$C$26*'01_Доходи'!AE837),0)))</f>
        <v>0</v>
      </c>
      <c r="AF839" s="208">
        <f ca="1">IF($B$834="Лікар загальної практики - сімейний лікар",IF(AG838&lt;=Законод!$C$22,AF838,Законод!$C$22*'01_Доходи'!AF837),IF($B$834="Лікар-педіатр","x",IF($B$834="Лікар-терапевт",IF(AG838&lt;=Законод!$C$26,AF838,Законод!$C$26*'01_Доходи'!AF837),0)))</f>
        <v>0</v>
      </c>
      <c r="AG839" s="209">
        <f ca="1">SUM(AB839:AF839)</f>
        <v>0</v>
      </c>
      <c r="AH839" s="942"/>
      <c r="AI839" s="201"/>
      <c r="AJ839" s="945"/>
      <c r="AK839" s="960"/>
      <c r="AL839" s="960"/>
      <c r="AM839" s="348" t="s">
        <v>451</v>
      </c>
      <c r="AN839" s="210">
        <f ca="1">IF(B834="Лікар загальної практики - сімейний лікар",G839*Законод!$C$11+'01_Доходи'!H839*Законод!$D$11+'01_Доходи'!I839*Законод!$E$11+'01_Доходи'!J839*Законод!$F$11+'01_Доходи'!K839*Законод!$G$11,IF(B834="Лікар-педіатр",G839*Законод!$C$11+'01_Доходи'!H839*Законод!$D$11,IF(B834="Лікар-терапевт",'01_Доходи'!I839*Законод!$E$11+'01_Доходи'!J839*Законод!$F$11+'01_Доходи'!K839*Законод!$G$11,0)))</f>
        <v>0</v>
      </c>
      <c r="AO839" s="210">
        <f ca="1">IF(B834="Лікар загальної практики - сімейний лікар",N839*Законод!$C$11+'01_Доходи'!O839*Законод!$D$11+'01_Доходи'!P839*Законод!$E$11+'01_Доходи'!Q839*Законод!$F$11+'01_Доходи'!R839*Законод!$G$11,IF(B834="Лікар-педіатр",N839*Законод!$C$11+'01_Доходи'!O839*Законод!$D$11,IF(B834="Лікар-терапевт",'01_Доходи'!P839*Законод!$E$11+'01_Доходи'!Q839*Законод!$F$11+'01_Доходи'!R839*Законод!$G$11,0)))</f>
        <v>0</v>
      </c>
      <c r="AP839" s="210">
        <f ca="1">IF(B834="Лікар загальної практики - сімейний лікар",U839*Законод!$C$11+'01_Доходи'!V839*Законод!$D$11+'01_Доходи'!W839*Законод!$E$11+'01_Доходи'!X839*Законод!$F$11+'01_Доходи'!Y839*Законод!$G$11,IF(B834="Лікар-педіатр",U839*Законод!$C$11+'01_Доходи'!V839*Законод!$D$11,IF(B834="Лікар-терапевт",'01_Доходи'!W839*Законод!$E$11+'01_Доходи'!X839*Законод!$F$11+'01_Доходи'!Y839*Законод!$G$11,0)))</f>
        <v>0</v>
      </c>
      <c r="AQ839" s="210">
        <f ca="1">IF(B834="Лікар загальної практики - сімейний лікар",AB839*Законод!$C$11+'01_Доходи'!AC839*Законод!$D$11+'01_Доходи'!AD839*Законод!$E$11+'01_Доходи'!AE839*Законод!$F$11+'01_Доходи'!AF839*Законод!$G$11,IF(B834="Лікар-педіатр",AB839*Законод!$C$11+'01_Доходи'!AC839*Законод!$D$11,IF(B834="Лікар-терапевт",'01_Доходи'!AD839*Законод!$E$11+'01_Доходи'!AE839*Законод!$F$11+'01_Доходи'!AF839*Законод!$G$11,0)))</f>
        <v>0</v>
      </c>
      <c r="AR839" s="211">
        <f t="shared" ref="AR839:AR845" si="104">SUM(AN839:AQ839)</f>
        <v>0</v>
      </c>
    </row>
    <row r="840" spans="1:44" s="50" customFormat="1" ht="31.9" hidden="1" customHeight="1">
      <c r="A840" s="197"/>
      <c r="B840" s="951"/>
      <c r="C840" s="954"/>
      <c r="D840" s="957"/>
      <c r="E840" s="939"/>
      <c r="F840" s="238" t="str">
        <f ca="1">IF(B834="Лікар-педіатр",Законод!$E$17,IF(B834="Лікар загальної практики - сімейний лікар",Законод!$E$21,IF(B834="Лікар-терапевт",Законод!$E$25,"х")))</f>
        <v>х</v>
      </c>
      <c r="G840" s="935" t="s">
        <v>423</v>
      </c>
      <c r="H840" s="936"/>
      <c r="I840" s="936"/>
      <c r="J840" s="936"/>
      <c r="K840" s="937"/>
      <c r="L840" s="196">
        <f ca="1">IF($B$834="Лікар загальної практики - сімейний лікар",IF(L838&lt;Законод!$C$22,0,(IF(AND(L838&gt;=Законод!$E$22,L838&lt;=Законод!$E$23),L838-Законод!$C$22,IF('01_Доходи'!L838&gt;=Законод!$F$22,Законод!$E$24,0)))),IF($B$834="Лікар-педіатр",IF(L838&lt;Законод!$C$18,0,(IF(AND(L838&gt;=Законод!$E$18,L838&lt;=Законод!$E$19),L838-Законод!$C$18,IF('01_Доходи'!L838&gt;=Законод!$F$18,Законод!$E$20,0)))),IF($B$834="Лікар-терапевт",IF(L838&lt;Законод!$C$26,0,(IF(AND(L838&gt;=Законод!$E$26,L838&lt;=Законод!$E$27),L838-Законод!$C$26,IF('01_Доходи'!L838&gt;=Законод!$F$26,Законод!$E$28,0)))),0)))</f>
        <v>0</v>
      </c>
      <c r="M840" s="942"/>
      <c r="N840" s="935" t="s">
        <v>423</v>
      </c>
      <c r="O840" s="936"/>
      <c r="P840" s="936"/>
      <c r="Q840" s="936"/>
      <c r="R840" s="937"/>
      <c r="S840" s="196">
        <f ca="1">IF($B$834="Лікар загальної практики - сімейний лікар",IF(S838&lt;Законод!$C$22,0,(IF(AND(S838&gt;=Законод!$E$22,S838&lt;=Законод!$E$23),S838-Законод!$C$22,IF('01_Доходи'!S838&gt;=Законод!$F$22,Законод!$E$24,0)))),IF($B$834="Лікар-педіатр",IF(S838&lt;Законод!$C$18,0,(IF(AND(S838&gt;=Законод!$E$18,S838&lt;=Законод!$E$19),S838-Законод!$C$18,IF('01_Доходи'!S838&gt;=Законод!$F$18,Законод!$E$20,0)))),IF($B$834="Лікар-терапевт",IF(S838&lt;Законод!$C$26,0,(IF(AND(S838&gt;=Законод!$E$26,S838&lt;=Законод!$E$27),S838-Законод!$C$26,IF('01_Доходи'!S838&gt;=Законод!$F$26,Законод!$E$28,0)))),0)))</f>
        <v>0</v>
      </c>
      <c r="T840" s="942"/>
      <c r="U840" s="935" t="s">
        <v>423</v>
      </c>
      <c r="V840" s="936"/>
      <c r="W840" s="936"/>
      <c r="X840" s="936"/>
      <c r="Y840" s="937"/>
      <c r="Z840" s="196">
        <f ca="1">IF($B$834="Лікар загальної практики - сімейний лікар",IF(Z838&lt;Законод!$C$22,0,(IF(AND(Z838&gt;=Законод!$E$22,Z838&lt;=Законод!$E$23),Z838-Законод!$C$22,IF('01_Доходи'!Z838&gt;=Законод!$F$22,Законод!$E$24,0)))),IF($B$834="Лікар-педіатр",IF(Z838&lt;Законод!$C$18,0,(IF(AND(Z838&gt;=Законод!$E$18,Z838&lt;=Законод!$E$19),Z838-Законод!$C$18,IF('01_Доходи'!Z838&gt;=Законод!$F$18,Законод!$E$20,0)))),IF($B$834="Лікар-терапевт",IF(Z838&lt;Законод!$C$26,0,(IF(AND(Z838&gt;=Законод!$E$26,Z838&lt;=Законод!$E$27),Z838-Законод!$C$26,IF('01_Доходи'!Z838&gt;=Законод!$F$26,Законод!$E$28,0)))),0)))</f>
        <v>0</v>
      </c>
      <c r="AA840" s="942"/>
      <c r="AB840" s="935" t="s">
        <v>423</v>
      </c>
      <c r="AC840" s="936"/>
      <c r="AD840" s="936"/>
      <c r="AE840" s="936"/>
      <c r="AF840" s="937"/>
      <c r="AG840" s="196">
        <f ca="1">IF($B$834="Лікар загальної практики - сімейний лікар",IF(AG838&lt;Законод!$C$22,0,(IF(AND(AG838&gt;=Законод!$E$22,AG838&lt;=Законод!$E$23),AG838-Законод!$C$22,IF('01_Доходи'!AG838&gt;=Законод!$F$22,Законод!$E$24,0)))),IF($B$834="Лікар-педіатр",IF(AG838&lt;Законод!$C$18,0,(IF(AND(AG838&gt;=Законод!$E$18,AG838&lt;=Законод!$E$19),AG838-Законод!$C$18,IF('01_Доходи'!AG838&gt;=Законод!$F$18,Законод!$E$20,0)))),IF($B$834="Лікар-терапевт",IF(AG838&lt;Законод!$C$26,0,(IF(AND(AG838&gt;=Законод!$E$26,AG838&lt;=Законод!$E$27),AG838-Законод!$C$26,IF('01_Доходи'!AG838&gt;=Законод!$F$26,Законод!$E$28,0)))),0)))</f>
        <v>0</v>
      </c>
      <c r="AH840" s="942"/>
      <c r="AI840" s="201"/>
      <c r="AJ840" s="945"/>
      <c r="AK840" s="960"/>
      <c r="AL840" s="960"/>
      <c r="AM840" s="926" t="s">
        <v>452</v>
      </c>
      <c r="AN840" s="210">
        <f ca="1">IF(B834="Лікар загальної практики - сімейний лікар",L840*Законод!$C$9/4*Законод!$E$16,IF(B834="Лікар-педіатр",L840*Законод!$C$9/4*Законод!$E$16,IF(B834="Лікар-терапевт",L840*Законод!$C$9/4*Законод!$E$16,0)))</f>
        <v>0</v>
      </c>
      <c r="AO840" s="210">
        <f ca="1">IF(B834="Лікар загальної практики - сімейний лікар",S840*Законод!$C$9/4*Законод!$E$16,IF(B834="Лікар-педіатр",S840*Законод!$C$9/4*Законод!$E$16,IF(B834="Лікар-терапевт",S840*Законод!$C$9/4*Законод!$E$16,0)))</f>
        <v>0</v>
      </c>
      <c r="AP840" s="210">
        <f ca="1">IF(B834="Лікар загальної практики - сімейний лікар",Z840*Законод!$C$9/4*Законод!$E$16,IF(B834="Лікар-педіатр",Z840*Законод!$C$9/4*Законод!$E$16,IF(B834="Лікар-терапевт",Z840*Законод!$C$9/4*Законод!$E$16,0)))</f>
        <v>0</v>
      </c>
      <c r="AQ840" s="210">
        <f ca="1">IF(B834="Лікар загальної практики - сімейний лікар",AG840*Законод!$C$9/4*Законод!$E$16,IF(B834="Лікар-педіатр",AG840*Законод!$C$9/4*Законод!$E$16,IF(B834="Лікар-терапевт",AG840*Законод!$C$9/4*Законод!$E$16,0)))</f>
        <v>0</v>
      </c>
      <c r="AR840" s="211">
        <f t="shared" si="104"/>
        <v>0</v>
      </c>
    </row>
    <row r="841" spans="1:44" s="50" customFormat="1" ht="31.9" hidden="1" customHeight="1">
      <c r="A841" s="197"/>
      <c r="B841" s="951"/>
      <c r="C841" s="954"/>
      <c r="D841" s="957"/>
      <c r="E841" s="939"/>
      <c r="F841" s="238" t="str">
        <f ca="1">IF(B834="Лікар-педіатр",Законод!$F$17,IF(B834="Лікар загальної практики - сімейний лікар",Законод!$F$21,IF(B834="Лікар-терапевт",Законод!$F$25,"х")))</f>
        <v>х</v>
      </c>
      <c r="G841" s="935" t="s">
        <v>423</v>
      </c>
      <c r="H841" s="936"/>
      <c r="I841" s="936"/>
      <c r="J841" s="936"/>
      <c r="K841" s="937"/>
      <c r="L841" s="196">
        <f ca="1">IF($B$834="Лікар загальної практики - сімейний лікар",IF(L838&lt;Законод!$C$22,0,(IF(AND(L838&gt;=Законод!$F$22,L838&lt;=Законод!$F$23),L838-Законод!$E$23,IF('01_Доходи'!L838&gt;=Законод!$G$22,Законод!$F$24,0)))),IF($B$834="Лікар-педіатр",IF(L838&lt;Законод!$C$18,0,(IF(AND(L838&gt;=Законод!$F$18,L838&lt;=Законод!$F$19),L838-Законод!$E$19,IF('01_Доходи'!L838&gt;=Законод!$G$18,Законод!$F$20,0)))),IF($B$834="Лікар-терапевт",IF(L838&lt;Законод!$C$26,0,(IF(AND(L838&gt;=Законод!$F$26,L838&lt;=Законод!$F$27),L838-Законод!$E$27,IF('01_Доходи'!L838&gt;=Законод!$G$26,Законод!$F$28,0)))),0)))</f>
        <v>0</v>
      </c>
      <c r="M841" s="942"/>
      <c r="N841" s="935" t="s">
        <v>423</v>
      </c>
      <c r="O841" s="936"/>
      <c r="P841" s="936"/>
      <c r="Q841" s="936"/>
      <c r="R841" s="937"/>
      <c r="S841" s="196">
        <f ca="1">IF($B$834="Лікар загальної практики - сімейний лікар",IF(S838&lt;Законод!$C$22,0,(IF(AND(S838&gt;=Законод!$F$22,S838&lt;=Законод!$F$23),S838-Законод!$E$23,IF('01_Доходи'!S838&gt;=Законод!$G$22,Законод!$F$24,0)))),IF($B$834="Лікар-педіатр",IF(S838&lt;Законод!$C$18,0,(IF(AND(S838&gt;=Законод!$F$18,S838&lt;=Законод!$F$19),S838-Законод!$E$19,IF('01_Доходи'!S838&gt;=Законод!$G$18,Законод!$F$20,0)))),IF($B$834="Лікар-терапевт",IF(S838&lt;Законод!$C$26,0,(IF(AND(S838&gt;=Законод!$F$26,S838&lt;=Законод!$F$27),S838-Законод!$E$27,IF('01_Доходи'!S838&gt;=Законод!$G$26,Законод!$F$28,0)))),0)))</f>
        <v>0</v>
      </c>
      <c r="T841" s="942"/>
      <c r="U841" s="935" t="s">
        <v>423</v>
      </c>
      <c r="V841" s="936"/>
      <c r="W841" s="936"/>
      <c r="X841" s="936"/>
      <c r="Y841" s="937"/>
      <c r="Z841" s="196">
        <f ca="1">IF($B$834="Лікар загальної практики - сімейний лікар",IF(Z838&lt;Законод!$C$22,0,(IF(AND(Z838&gt;=Законод!$F$22,Z838&lt;=Законод!$F$23),Z838-Законод!$E$23,IF('01_Доходи'!Z838&gt;=Законод!$G$22,Законод!$F$24,0)))),IF($B$834="Лікар-педіатр",IF(Z838&lt;Законод!$C$18,0,(IF(AND(Z838&gt;=Законод!$F$18,Z838&lt;=Законод!$F$19),Z838-Законод!$E$19,IF('01_Доходи'!Z838&gt;=Законод!$G$18,Законод!$F$20,0)))),IF($B$834="Лікар-терапевт",IF(Z838&lt;Законод!$C$26,0,(IF(AND(Z838&gt;=Законод!$F$26,Z838&lt;=Законод!$F$27),Z838-Законод!$E$27,IF('01_Доходи'!Z838&gt;=Законод!$G$26,Законод!$F$28,0)))),0)))</f>
        <v>0</v>
      </c>
      <c r="AA841" s="942"/>
      <c r="AB841" s="935" t="s">
        <v>423</v>
      </c>
      <c r="AC841" s="936"/>
      <c r="AD841" s="936"/>
      <c r="AE841" s="936"/>
      <c r="AF841" s="937"/>
      <c r="AG841" s="196">
        <f ca="1">IF($B$834="Лікар загальної практики - сімейний лікар",IF(AG838&lt;Законод!$C$22,0,(IF(AND(AG838&gt;=Законод!$F$22,AG838&lt;=Законод!$F$23),AG838-Законод!$E$23,IF('01_Доходи'!AG838&gt;=Законод!$G$22,Законод!$F$24,0)))),IF($B$834="Лікар-педіатр",IF(AG838&lt;Законод!$C$18,0,(IF(AND(AG838&gt;=Законод!$F$18,AG838&lt;=Законод!$F$19),AG838-Законод!$E$19,IF('01_Доходи'!AG838&gt;=Законод!$G$18,Законод!$F$20,0)))),IF($B$834="Лікар-терапевт",IF(AG838&lt;Законод!$C$26,0,(IF(AND(AG838&gt;=Законод!$F$26,AG838&lt;=Законод!$F$27),AG838-Законод!$E$27,IF('01_Доходи'!AG838&gt;=Законод!$G$26,Законод!$F$28,0)))),0)))</f>
        <v>0</v>
      </c>
      <c r="AH841" s="942"/>
      <c r="AI841" s="201"/>
      <c r="AJ841" s="945"/>
      <c r="AK841" s="960"/>
      <c r="AL841" s="960"/>
      <c r="AM841" s="927"/>
      <c r="AN841" s="210">
        <f ca="1">IF(B834="Лікар загальної практики - сімейний лікар",L841*Законод!$C$9/4*Законод!$F$16,IF(B834="Лікар-педіатр",L841*Законод!$C$9/4*Законод!$F$16,IF(B834="Лікар-терапевт",L841*Законод!$C$9/4*Законод!$F$16,0)))</f>
        <v>0</v>
      </c>
      <c r="AO841" s="210">
        <f ca="1">IF(B834="Лікар загальної практики - сімейний лікар",S841*Законод!$C$9/4*Законод!$F$16,IF(B834="Лікар-педіатр",S841*Законод!$C$9/4*Законод!$F$16,IF(B834="Лікар-терапевт",S841*Законод!$C$9/4*Законод!$F$16,0)))</f>
        <v>0</v>
      </c>
      <c r="AP841" s="210">
        <f ca="1">IF(B834="Лікар загальної практики - сімейний лікар",Z841*Законод!$C$9/4*Законод!$F$16,IF(B834="Лікар-педіатр",Z841*Законод!$C$9/4*Законод!$F$16,IF(B834="Лікар-терапевт",Z841*Законод!$C$9/4*Законод!$F$16,0)))</f>
        <v>0</v>
      </c>
      <c r="AQ841" s="210">
        <f ca="1">IF(B834="Лікар загальної практики - сімейний лікар",AG841*Законод!$C$9/4*Законод!$F$16,IF(B834="Лікар-педіатр",AG841*Законод!$C$9/4*Законод!$F$16,IF(B834="Лікар-терапевт",AG841*Законод!$C$9/4*Законод!$F$16,0)))</f>
        <v>0</v>
      </c>
      <c r="AR841" s="211">
        <f t="shared" si="104"/>
        <v>0</v>
      </c>
    </row>
    <row r="842" spans="1:44" s="50" customFormat="1" ht="31.9" hidden="1" customHeight="1">
      <c r="A842" s="197"/>
      <c r="B842" s="951"/>
      <c r="C842" s="954"/>
      <c r="D842" s="957"/>
      <c r="E842" s="939"/>
      <c r="F842" s="238" t="str">
        <f ca="1">IF(B834="Лікар-педіатр",Законод!$G$17,IF(B834="Лікар загальної практики - сімейний лікар",Законод!$G$21,IF(B834="Лікар-терапевт",Законод!$G$25,"х")))</f>
        <v>х</v>
      </c>
      <c r="G842" s="935" t="s">
        <v>423</v>
      </c>
      <c r="H842" s="936"/>
      <c r="I842" s="936"/>
      <c r="J842" s="936"/>
      <c r="K842" s="937"/>
      <c r="L842" s="196">
        <f ca="1">IF($B$834="Лікар загальної практики - сімейний лікар",IF(L838&lt;Законод!$C$22,0,(IF(AND(L838&gt;=Законод!$G$22,L838&lt;=Законод!$G$23),L838-Законод!$F$23,IF('01_Доходи'!L838&gt;=Законод!$H$22,Законод!$G$24,0)))),IF($B$834="Лікар-педіатр",IF(L838&lt;Законод!$C$18,0,(IF(AND(L838&gt;=Законод!$G$18,L838&lt;=Законод!$G$19),L838-Законод!$F$19,IF('01_Доходи'!L838&gt;=Законод!$H$18,Законод!$G$20,0)))),IF($B$834="Лікар-терапевт",IF(L838&lt;Законод!$C$26,0,(IF(AND(L838&gt;=Законод!$G$26,L838&lt;=Законод!$G$27),L838-Законод!$F$27,IF('01_Доходи'!L838&gt;=Законод!$H$26,Законод!$G$28,0)))),0)))</f>
        <v>0</v>
      </c>
      <c r="M842" s="942"/>
      <c r="N842" s="935" t="s">
        <v>423</v>
      </c>
      <c r="O842" s="936"/>
      <c r="P842" s="936"/>
      <c r="Q842" s="936"/>
      <c r="R842" s="937"/>
      <c r="S842" s="196">
        <f ca="1">IF($B$834="Лікар загальної практики - сімейний лікар",IF(S838&lt;Законод!$C$22,0,(IF(AND(S838&gt;=Законод!$G$22,S838&lt;=Законод!$G$23),S838-Законод!$F$23,IF('01_Доходи'!S838&gt;=Законод!$H$22,Законод!$G$24,0)))),IF($B$834="Лікар-педіатр",IF(S838&lt;Законод!$C$18,0,(IF(AND(S838&gt;=Законод!$G$18,S838&lt;=Законод!$G$19),S838-Законод!$F$19,IF('01_Доходи'!S838&gt;=Законод!$H$18,Законод!$G$20,0)))),IF($B$834="Лікар-терапевт",IF(S838&lt;Законод!$C$26,0,(IF(AND(S838&gt;=Законод!$G$26,S838&lt;=Законод!$G$27),S838-Законод!$F$27,IF('01_Доходи'!S838&gt;=Законод!$H$26,Законод!$G$28,0)))),0)))</f>
        <v>0</v>
      </c>
      <c r="T842" s="942"/>
      <c r="U842" s="935" t="s">
        <v>423</v>
      </c>
      <c r="V842" s="936"/>
      <c r="W842" s="936"/>
      <c r="X842" s="936"/>
      <c r="Y842" s="937"/>
      <c r="Z842" s="196">
        <f ca="1">IF($B$834="Лікар загальної практики - сімейний лікар",IF(Z838&lt;Законод!$C$22,0,(IF(AND(Z838&gt;=Законод!$G$22,Z838&lt;=Законод!$G$23),Z838-Законод!$F$23,IF('01_Доходи'!Z838&gt;=Законод!$H$22,Законод!$G$24,0)))),IF($B$834="Лікар-педіатр",IF(Z838&lt;Законод!$C$18,0,(IF(AND(Z838&gt;=Законод!$G$18,Z838&lt;=Законод!$G$19),Z838-Законод!$F$19,IF('01_Доходи'!Z838&gt;=Законод!$H$18,Законод!$G$20,0)))),IF($B$834="Лікар-терапевт",IF(Z838&lt;Законод!$C$26,0,(IF(AND(Z838&gt;=Законод!$G$26,Z838&lt;=Законод!$G$27),Z838-Законод!$F$27,IF('01_Доходи'!Z838&gt;=Законод!$H$26,Законод!$G$28,0)))),0)))</f>
        <v>0</v>
      </c>
      <c r="AA842" s="942"/>
      <c r="AB842" s="935" t="s">
        <v>423</v>
      </c>
      <c r="AC842" s="936"/>
      <c r="AD842" s="936"/>
      <c r="AE842" s="936"/>
      <c r="AF842" s="937"/>
      <c r="AG842" s="196">
        <f ca="1">IF($B$834="Лікар загальної практики - сімейний лікар",IF(AG838&lt;Законод!$C$22,0,(IF(AND(AG838&gt;=Законод!$G$22,AG838&lt;=Законод!$G$23),AG838-Законод!$F$23,IF('01_Доходи'!AG838&gt;=Законод!$H$22,Законод!$G$24,0)))),IF($B$834="Лікар-педіатр",IF(AG838&lt;Законод!$C$18,0,(IF(AND(AG838&gt;=Законод!$G$18,AG838&lt;=Законод!$G$19),AG838-Законод!$F$19,IF('01_Доходи'!AG838&gt;=Законод!$H$18,Законод!$G$20,0)))),IF($B$834="Лікар-терапевт",IF(AG838&lt;Законод!$C$26,0,(IF(AND(AG838&gt;=Законод!$G$26,AG838&lt;=Законод!$G$27),AG838-Законод!$F$27,IF('01_Доходи'!AG838&gt;=Законод!$H$26,Законод!$G$28,0)))),0)))</f>
        <v>0</v>
      </c>
      <c r="AH842" s="942"/>
      <c r="AI842" s="201"/>
      <c r="AJ842" s="945"/>
      <c r="AK842" s="960"/>
      <c r="AL842" s="960"/>
      <c r="AM842" s="927"/>
      <c r="AN842" s="210">
        <f ca="1">IF(B834="Лікар загальної практики - сімейний лікар",L842*Законод!$C$9/4*Законод!$G$16,IF(B834="Лікар-педіатр",L842*Законод!$C$9/4*Законод!$G$16,IF(B834="Лікар-терапевт",L842*Законод!$C$9/4*Законод!$G$16,0)))</f>
        <v>0</v>
      </c>
      <c r="AO842" s="210">
        <f ca="1">IF(B834="Лікар загальної практики - сімейний лікар",S842*Законод!$C$9/4*Законод!$G$16,IF(B834="Лікар-педіатр",S842*Законод!$C$9/4*Законод!$G$16,IF(B834="Лікар-терапевт",S842*Законод!$C$9/4*Законод!$G$16,0)))</f>
        <v>0</v>
      </c>
      <c r="AP842" s="210">
        <f ca="1">IF(B834="Лікар загальної практики - сімейний лікар",Z842*Законод!$C$9/4*Законод!$G$16,IF(B834="Лікар-педіатр",Z842*Законод!$C$9/4*Законод!$G$16,IF(B834="Лікар-терапевт",Z842*Законод!$C$9/4*Законод!$G$16,0)))</f>
        <v>0</v>
      </c>
      <c r="AQ842" s="210">
        <f ca="1">IF(B834="Лікар загальної практики - сімейний лікар",AG842*Законод!$C$9/4*Законод!$G$16,IF(B834="Лікар-педіатр",AG842*Законод!$C$9/4*Законод!$G$16,IF(B834="Лікар-терапевт",AG842*Законод!$C$9/4*Законод!$G$16,0)))</f>
        <v>0</v>
      </c>
      <c r="AR842" s="211">
        <f t="shared" si="104"/>
        <v>0</v>
      </c>
    </row>
    <row r="843" spans="1:44" s="50" customFormat="1" ht="31.9" hidden="1" customHeight="1">
      <c r="A843" s="197"/>
      <c r="B843" s="951"/>
      <c r="C843" s="954"/>
      <c r="D843" s="957"/>
      <c r="E843" s="939"/>
      <c r="F843" s="238" t="str">
        <f ca="1">IF(B834="Лікар-педіатр",Законод!$H$17,IF(B834="Лікар загальної практики - сімейний лікар",Законод!$H$21,IF(B834="Лікар-терапевт",Законод!$H$25,"х")))</f>
        <v>х</v>
      </c>
      <c r="G843" s="935" t="s">
        <v>423</v>
      </c>
      <c r="H843" s="936"/>
      <c r="I843" s="936"/>
      <c r="J843" s="936"/>
      <c r="K843" s="937"/>
      <c r="L843" s="196">
        <f ca="1">IF($B$834="Лікар загальної практики - сімейний лікар",IF(L838&lt;Законод!$C$22,0,(IF(AND(L838&gt;=Законод!$H$22,L838&lt;=Законод!$H$23),L838-Законод!$G$23,IF('01_Доходи'!L838&gt;=Законод!$I$22,Законод!$H$24,0)))),IF($B$834="Лікар-педіатр",IF(L838&lt;Законод!$C$18,0,(IF(AND(L838&gt;=Законод!$H$18,L838&lt;=Законод!$H$19),L838-Законод!$G$19,IF('01_Доходи'!L838&gt;=Законод!$I$18,Законод!$H$20,0)))),IF($B$834="Лікар-терапевт",IF(L838&lt;Законод!$C$26,0,(IF(AND(L838&gt;=Законод!$H$26,L838&lt;=Законод!$H$27),L838-Законод!$G$27,IF(L838&gt;=Законод!$I$26,Законод!$H$28,0)))),0)))</f>
        <v>0</v>
      </c>
      <c r="M843" s="942"/>
      <c r="N843" s="935" t="s">
        <v>423</v>
      </c>
      <c r="O843" s="936"/>
      <c r="P843" s="936"/>
      <c r="Q843" s="936"/>
      <c r="R843" s="937"/>
      <c r="S843" s="196">
        <f ca="1">IF($B$834="Лікар загальної практики - сімейний лікар",IF(S838&lt;Законод!$C$22,0,(IF(AND(S838&gt;=Законод!$H$22,S838&lt;=Законод!$H$23),S838-Законод!$G$23,IF('01_Доходи'!S838&gt;=Законод!$I$22,Законод!$H$24,0)))),IF($B$834="Лікар-педіатр",IF(S838&lt;Законод!$C$18,0,(IF(AND(S838&gt;=Законод!$H$18,S838&lt;=Законод!$H$19),S838-Законод!$G$19,IF('01_Доходи'!S838&gt;=Законод!$I$18,Законод!$H$20,0)))),IF($B$834="Лікар-терапевт",IF(S838&lt;Законод!$C$26,0,(IF(AND(S838&gt;=Законод!$H$26,S838&lt;=Законод!$H$27),S838-Законод!$G$27,IF(S838&gt;=Законод!$I$26,Законод!$H$28,0)))),0)))</f>
        <v>0</v>
      </c>
      <c r="T843" s="942"/>
      <c r="U843" s="935" t="s">
        <v>423</v>
      </c>
      <c r="V843" s="936"/>
      <c r="W843" s="936"/>
      <c r="X843" s="936"/>
      <c r="Y843" s="937"/>
      <c r="Z843" s="196">
        <f ca="1">IF($B$834="Лікар загальної практики - сімейний лікар",IF(Z838&lt;Законод!$C$22,0,(IF(AND(Z838&gt;=Законод!$H$22,Z838&lt;=Законод!$H$23),Z838-Законод!$G$23,IF('01_Доходи'!Z838&gt;=Законод!$I$22,Законод!$H$24,0)))),IF($B$834="Лікар-педіатр",IF(Z838&lt;Законод!$C$18,0,(IF(AND(Z838&gt;=Законод!$H$18,Z838&lt;=Законод!$H$19),Z838-Законод!$G$19,IF('01_Доходи'!Z838&gt;=Законод!$I$18,Законод!$H$20,0)))),IF($B$834="Лікар-терапевт",IF(Z838&lt;Законод!$C$26,0,(IF(AND(Z838&gt;=Законод!$H$26,Z838&lt;=Законод!$H$27),Z838-Законод!$G$27,IF(Z838&gt;=Законод!$I$26,Законод!$H$28,0)))),0)))</f>
        <v>0</v>
      </c>
      <c r="AA843" s="942"/>
      <c r="AB843" s="935" t="s">
        <v>423</v>
      </c>
      <c r="AC843" s="936"/>
      <c r="AD843" s="936"/>
      <c r="AE843" s="936"/>
      <c r="AF843" s="937"/>
      <c r="AG843" s="196">
        <f ca="1">IF($B$834="Лікар загальної практики - сімейний лікар",IF(AG838&lt;Законод!$C$22,0,(IF(AND(AG838&gt;=Законод!$H$22,AG838&lt;=Законод!$H$23),AG838-Законод!$G$23,IF('01_Доходи'!AG838&gt;=Законод!$I$22,Законод!$H$24,0)))),IF($B$834="Лікар-педіатр",IF(AG838&lt;Законод!$C$18,0,(IF(AND(AG838&gt;=Законод!$H$18,AG838&lt;=Законод!$H$19),AG838-Законод!$G$19,IF('01_Доходи'!AG838&gt;=Законод!$I$18,Законод!$H$20,0)))),IF($B$834="Лікар-терапевт",IF(AG838&lt;Законод!$C$26,0,(IF(AND(AG838&gt;=Законод!$H$26,AG838&lt;=Законод!$H$27),AG838-Законод!$G$27,IF(AG838&gt;=Законод!$I$26,Законод!$H$28,0)))),0)))</f>
        <v>0</v>
      </c>
      <c r="AH843" s="942"/>
      <c r="AI843" s="201"/>
      <c r="AJ843" s="945"/>
      <c r="AK843" s="960"/>
      <c r="AL843" s="960"/>
      <c r="AM843" s="927"/>
      <c r="AN843" s="210">
        <f ca="1">IF(B834="Лікар загальної практики - сімейний лікар",L843*Законод!$C$9/4*Законод!$H$16,IF(B834="Лікар-педіатр",L843*Законод!$C$9/4*Законод!$H$16,IF(B834="Лікар-терапевт",L843*Законод!$C$9/4*Законод!$H$16,0)))</f>
        <v>0</v>
      </c>
      <c r="AO843" s="210">
        <f ca="1">IF(B834="Лікар загальної практики - сімейний лікар",S843*Законод!$C$9/4*Законод!$H$16,IF(B834="Лікар-педіатр",S843*Законод!$C$9/4*Законод!$H$16,IF(B834="Лікар-терапевт",S843*Законод!$C$9/4*Законод!$H$16,0)))</f>
        <v>0</v>
      </c>
      <c r="AP843" s="210">
        <f ca="1">IF(B834="Лікар загальної практики - сімейний лікар",Z843*Законод!$C$9/4*Законод!$H$16,IF(B834="Лікар-педіатр",Z843*Законод!$C$9/4*Законод!$H$16,IF(B834="Лікар-терапевт",Z843*Законод!$C$9/4*Законод!$H$16,0)))</f>
        <v>0</v>
      </c>
      <c r="AQ843" s="210">
        <f ca="1">IF(B834="Лікар загальної практики - сімейний лікар",AG843*Законод!$C$9/4*Законод!$H$16,IF(B834="Лікар-педіатр",AG843*Законод!$C$9/4*Законод!$H$16,IF(B834="Лікар-терапевт",AG843*Законод!$C$9/4*Законод!$H$16,0)))</f>
        <v>0</v>
      </c>
      <c r="AR843" s="211">
        <f t="shared" si="104"/>
        <v>0</v>
      </c>
    </row>
    <row r="844" spans="1:44" s="50" customFormat="1" ht="31.9" hidden="1" customHeight="1">
      <c r="A844" s="197"/>
      <c r="B844" s="951"/>
      <c r="C844" s="954"/>
      <c r="D844" s="957"/>
      <c r="E844" s="939"/>
      <c r="F844" s="238" t="str">
        <f ca="1">IF(B834="Лікар-педіатр",Законод!$I$17,IF(B834="Лікар загальної практики - сімейний лікар",Законод!$I$21,IF(B834="Лікар-терапевт",Законод!$I$25,"х")))</f>
        <v>х</v>
      </c>
      <c r="G844" s="935" t="s">
        <v>423</v>
      </c>
      <c r="H844" s="936"/>
      <c r="I844" s="936"/>
      <c r="J844" s="936"/>
      <c r="K844" s="937"/>
      <c r="L844" s="196">
        <f ca="1">IF($B$834="Лікар загальної практики - сімейний лікар",IF(L838&lt;Законод!$C$22,0,(IF(AND(L838&gt;=Законод!$I$22,L838&lt;=Законод!$I$23),L838-Законод!$H$23,IF('01_Доходи'!L838&gt;=Законод!$I$22,Законод!$I$24,0)))),IF($B$834="Лікар-педіатр",IF(L838&lt;Законод!$C$18,0,(IF(AND(L838&gt;=Законод!$I$18,L838&lt;=Законод!$I$19),L838-Законод!$H$19,IF('01_Доходи'!L838&gt;=Законод!$I$18,Законод!$H$20,0)))),IF($B$834="Лікар-терапевт",IF(L838&lt;Законод!$C$26,0,(IF(AND(L838&gt;=Законод!$I$26,L838&lt;=Законод!$I$27),L838-Законод!$H$27,IF('01_Доходи'!L838&gt;=Законод!$I$26,Законод!$H$28,0)))),0)))</f>
        <v>0</v>
      </c>
      <c r="M844" s="942"/>
      <c r="N844" s="935" t="s">
        <v>423</v>
      </c>
      <c r="O844" s="936"/>
      <c r="P844" s="936"/>
      <c r="Q844" s="936"/>
      <c r="R844" s="937"/>
      <c r="S844" s="196">
        <f ca="1">IF($B$834="Лікар загальної практики - сімейний лікар",IF(S838&lt;Законод!$C$22,0,(IF(AND(S838&gt;=Законод!$I$22,S838&lt;=Законод!$I$23),S838-Законод!$H$23,IF('01_Доходи'!S838&gt;=Законод!$I$22,Законод!$I$24,0)))),IF($B$834="Лікар-педіатр",IF(S838&lt;Законод!$C$18,0,(IF(AND(S838&gt;=Законод!$I$18,S838&lt;=Законод!$I$19),S838-Законод!$H$19,IF('01_Доходи'!S838&gt;=Законод!$I$18,Законод!$H$20,0)))),IF($B$834="Лікар-терапевт",IF(S838&lt;Законод!$C$26,0,(IF(AND(S838&gt;=Законод!$I$26,S838&lt;=Законод!$I$27),S838-Законод!$H$27,IF('01_Доходи'!S838&gt;=Законод!$I$26,Законод!$H$28,0)))),0)))</f>
        <v>0</v>
      </c>
      <c r="T844" s="942"/>
      <c r="U844" s="935" t="s">
        <v>423</v>
      </c>
      <c r="V844" s="936"/>
      <c r="W844" s="936"/>
      <c r="X844" s="936"/>
      <c r="Y844" s="937"/>
      <c r="Z844" s="196">
        <f ca="1">IF($B$834="Лікар загальної практики - сімейний лікар",IF(Z838&lt;Законод!$C$22,0,(IF(AND(Z838&gt;=Законод!$I$22,Z838&lt;=Законод!$I$23),Z838-Законод!$H$23,IF('01_Доходи'!Z838&gt;=Законод!$I$22,Законод!$I$24,0)))),IF($B$834="Лікар-педіатр",IF(Z838&lt;Законод!$C$18,0,(IF(AND(Z838&gt;=Законод!$I$18,Z838&lt;=Законод!$I$19),Z838-Законод!$H$19,IF('01_Доходи'!Z838&gt;=Законод!$I$18,Законод!$H$20,0)))),IF($B$834="Лікар-терапевт",IF(Z838&lt;Законод!$C$26,0,(IF(AND(Z838&gt;=Законод!$I$26,Z838&lt;=Законод!$I$27),Z838-Законод!$H$27,IF('01_Доходи'!Z838&gt;=Законод!$I$26,Законод!$H$28,0)))),0)))</f>
        <v>0</v>
      </c>
      <c r="AA844" s="942"/>
      <c r="AB844" s="935" t="s">
        <v>423</v>
      </c>
      <c r="AC844" s="936"/>
      <c r="AD844" s="936"/>
      <c r="AE844" s="936"/>
      <c r="AF844" s="937"/>
      <c r="AG844" s="196">
        <f ca="1">IF($B$834="Лікар загальної практики - сімейний лікар",IF(AG838&lt;Законод!$C$22,0,(IF(AND(AG838&gt;=Законод!$I$22,AG838&lt;=Законод!$I$23),AG838-Законод!$H$23,IF('01_Доходи'!AG838&gt;=Законод!$I$22,Законод!$I$24,0)))),IF($B$834="Лікар-педіатр",IF(AG838&lt;Законод!$C$18,0,(IF(AND(AG838&gt;=Законод!$I$18,AG838&lt;=Законод!$I$19),AG838-Законод!$H$19,IF('01_Доходи'!AG838&gt;=Законод!$I$18,Законод!$H$20,0)))),IF($B$834="Лікар-терапевт",IF(AG838&lt;Законод!$C$26,0,(IF(AND(AG838&gt;=Законод!$I$26,AG838&lt;=Законод!$I$27),AG838-Законод!$H$27,IF('01_Доходи'!AG838&gt;=Законод!$I$26,Законод!$H$28,0)))),0)))</f>
        <v>0</v>
      </c>
      <c r="AH844" s="942"/>
      <c r="AI844" s="201"/>
      <c r="AJ844" s="945"/>
      <c r="AK844" s="960"/>
      <c r="AL844" s="960"/>
      <c r="AM844" s="927"/>
      <c r="AN844" s="210">
        <f ca="1">IF(B834="Лікар загальної практики - сімейний лікар",L844*Законод!$C$9/4*Законод!$I$16,IF(B834="Лікар-педіатр",L844*Законод!$C$9/4*Законод!$I$16,IF(B834="Лікар-терапевт",L844*Законод!$C$9/4*Законод!$I$16,0)))</f>
        <v>0</v>
      </c>
      <c r="AO844" s="210">
        <f ca="1">IF(B834="Лікар загальної практики - сімейний лікар",S844*Законод!$C$9/4*Законод!$I$16,IF(B834="Лікар-педіатр",S844*Законод!$C$9/4*Законод!$I$16,IF(B834="Лікар-терапевт",S844*Законод!$C$9/4*Законод!$I$16,0)))</f>
        <v>0</v>
      </c>
      <c r="AP844" s="210">
        <f ca="1">IF(B834="Лікар загальної практики - сімейний лікар",Z844*Законод!$C$9/4*Законод!$I$16,IF(B834="Лікар-педіатр",Z844*Законод!$C$9/4*Законод!$I$16,IF(B834="Лікар-терапевт",Z844*Законод!$C$9/4*Законод!$I$16,0)))</f>
        <v>0</v>
      </c>
      <c r="AQ844" s="210">
        <f ca="1">IF(B834="Лікар загальної практики - сімейний лікар",AG844*Законод!$C$9/4*Законод!$I$16,IF(B834="Лікар-педіатр",AG844*Законод!$C$9/4*Законод!$I$16,IF(B834="Лікар-терапевт",AG844*Законод!$C$9/4*Законод!$I$16,0)))</f>
        <v>0</v>
      </c>
      <c r="AR844" s="211">
        <f t="shared" si="104"/>
        <v>0</v>
      </c>
    </row>
    <row r="845" spans="1:44" s="218" customFormat="1" ht="31.9" hidden="1" customHeight="1" thickBot="1">
      <c r="A845" s="213"/>
      <c r="B845" s="952"/>
      <c r="C845" s="955"/>
      <c r="D845" s="958"/>
      <c r="E845" s="940"/>
      <c r="F845" s="239" t="str">
        <f ca="1">IF(B834="Лікар-педіатр",Законод!$J$17,IF(B834="Лікар загальної практики - сімейний лікар",Законод!$J$21,IF(B834="Лікар-терапевт",Законод!$J$25,"х")))</f>
        <v>х</v>
      </c>
      <c r="G845" s="932" t="s">
        <v>423</v>
      </c>
      <c r="H845" s="933"/>
      <c r="I845" s="933"/>
      <c r="J845" s="933"/>
      <c r="K845" s="934"/>
      <c r="L845" s="196">
        <f ca="1">IF($B$834="Лікар загальної практики - сімейний лікар",IF(L838&gt;=Законод!$J$22,'01_Доходи'!L838-('01_Доходи'!L839+'01_Доходи'!L840+'01_Доходи'!L841+'01_Доходи'!L842+'01_Доходи'!L843+'01_Доходи'!L844),0),IF($B$834="Лікар-педіатр",IF(L838&gt;=Законод!$J$18,'01_Доходи'!L838-('01_Доходи'!L839+'01_Доходи'!L840+'01_Доходи'!L841+'01_Доходи'!L842+'01_Доходи'!L843+'01_Доходи'!L844),0),IF($B$834="Лікар-терапевт",IF('01_Доходи'!L838&gt;=Законод!$J$26,L838-Законод!$I$27,0),0)))</f>
        <v>0</v>
      </c>
      <c r="M845" s="943"/>
      <c r="N845" s="932" t="s">
        <v>423</v>
      </c>
      <c r="O845" s="933"/>
      <c r="P845" s="933"/>
      <c r="Q845" s="933"/>
      <c r="R845" s="934"/>
      <c r="S845" s="196">
        <f ca="1">IF($B$834="Лікар загальної практики - сімейний лікар",IF(S838&gt;=Законод!$J$22,'01_Доходи'!S838-('01_Доходи'!S839+'01_Доходи'!S840+'01_Доходи'!S841+'01_Доходи'!S842+'01_Доходи'!S843+'01_Доходи'!S844),0),IF($B$834="Лікар-педіатр",IF(S838&gt;=Законод!$J$18,'01_Доходи'!S838-('01_Доходи'!S839+'01_Доходи'!S840+'01_Доходи'!S841+'01_Доходи'!S842+'01_Доходи'!S843+'01_Доходи'!S844),0),IF($B$834="Лікар-терапевт",IF('01_Доходи'!S838&gt;=Законод!$J$26,S838-Законод!$I$27,0),0)))</f>
        <v>0</v>
      </c>
      <c r="T845" s="943"/>
      <c r="U845" s="932" t="s">
        <v>423</v>
      </c>
      <c r="V845" s="933"/>
      <c r="W845" s="933"/>
      <c r="X845" s="933"/>
      <c r="Y845" s="934"/>
      <c r="Z845" s="196">
        <f ca="1">IF($B$834="Лікар загальної практики - сімейний лікар",IF(Z838&gt;=Законод!$J$22,'01_Доходи'!Z838-('01_Доходи'!Z839+'01_Доходи'!Z840+'01_Доходи'!Z841+'01_Доходи'!Z842+'01_Доходи'!Z843+'01_Доходи'!Z844),0),IF($B$834="Лікар-педіатр",IF(Z838&gt;=Законод!$J$18,'01_Доходи'!Z838-('01_Доходи'!Z839+'01_Доходи'!Z840+'01_Доходи'!Z841+'01_Доходи'!Z842+'01_Доходи'!Z843+'01_Доходи'!Z844),0),IF($B$834="Лікар-терапевт",IF('01_Доходи'!Z838&gt;=Законод!$J$26,Z838-Законод!$I$27,0),0)))</f>
        <v>0</v>
      </c>
      <c r="AA845" s="943"/>
      <c r="AB845" s="932" t="s">
        <v>423</v>
      </c>
      <c r="AC845" s="933"/>
      <c r="AD845" s="933"/>
      <c r="AE845" s="933"/>
      <c r="AF845" s="934"/>
      <c r="AG845" s="196">
        <f ca="1">IF($B$834="Лікар загальної практики - сімейний лікар",IF(AG838&gt;=Законод!$J$22,'01_Доходи'!AG838-('01_Доходи'!AG839+'01_Доходи'!AG840+'01_Доходи'!AG841+'01_Доходи'!AG842+'01_Доходи'!AG843+'01_Доходи'!AG844),0),IF($B$834="Лікар-педіатр",IF(AG838&gt;=Законод!$J$18,'01_Доходи'!AG838-('01_Доходи'!AG839+'01_Доходи'!AG840+'01_Доходи'!AG841+'01_Доходи'!AG842+'01_Доходи'!AG843+'01_Доходи'!AG844),0),IF($B$834="Лікар-терапевт",IF('01_Доходи'!AG838&gt;=Законод!$J$26,AG838-Законод!$I$27,0),0)))</f>
        <v>0</v>
      </c>
      <c r="AH845" s="943"/>
      <c r="AI845" s="215"/>
      <c r="AJ845" s="946"/>
      <c r="AK845" s="961"/>
      <c r="AL845" s="961"/>
      <c r="AM845" s="928"/>
      <c r="AN845" s="216">
        <f ca="1">IF(B834="Лікар загальної практики - сімейний лікар",L845*Законод!$C$9/4*Законод!$J$16,IF(B834="Лікар-педіатр",L845*Законод!$C$9/4*Законод!$J$16,IF(B834="Лікар-терапевт",L845*Законод!$C$9/4*Законод!$J$16,0)))</f>
        <v>0</v>
      </c>
      <c r="AO845" s="216">
        <f ca="1">IF(B834="Лікар загальної практики - сімейний лікар",S845*Законод!$C$9/4*Законод!$J$16,IF(B834="Лікар-педіатр",S845*Законод!$C$9/4*Законод!$J$16,IF(B834="Лікар-терапевт",S845*Законод!$C$9/4*Законод!$J$16,0)))</f>
        <v>0</v>
      </c>
      <c r="AP845" s="216">
        <f ca="1">IF(B834="Лікар загальної практики - сімейний лікар",S845*Законод!$C$9/4*Законод!$J$16,IF(B834="Лікар-педіатр",S845*Законод!$C$9/4*Законод!$J$16,IF(B834="Лікар-терапевт",S845*Законод!$C$9/4*Законод!$J$16,0)))</f>
        <v>0</v>
      </c>
      <c r="AQ845" s="216">
        <f ca="1">IF(B834="Лікар загальної практики - сімейний лікар",AG845*Законод!$C$9/4*Законод!$J$16,IF(B834="Лікар-педіатр",AG845*Законод!$C$9/4*Законод!$J$16,IF(B834="Лікар-терапевт",AG845*Законод!$C$9/4*Законод!$J$16,0)))</f>
        <v>0</v>
      </c>
      <c r="AR845" s="217">
        <f t="shared" si="104"/>
        <v>0</v>
      </c>
    </row>
    <row r="846" spans="1:44" s="247" customFormat="1" ht="23.45" hidden="1" customHeight="1" thickBot="1">
      <c r="A846" s="243"/>
      <c r="B846" s="244"/>
      <c r="C846" s="244"/>
      <c r="D846" s="244"/>
      <c r="E846" s="244"/>
      <c r="F846" s="245"/>
      <c r="G846" s="246"/>
      <c r="H846" s="246"/>
      <c r="L846" s="248"/>
      <c r="S846" s="248"/>
      <c r="Z846" s="248"/>
      <c r="AG846" s="248"/>
      <c r="AM846" s="249"/>
      <c r="AR846" s="250"/>
    </row>
    <row r="847" spans="1:44" s="191" customFormat="1" ht="24.6" hidden="1" customHeight="1">
      <c r="A847" s="194">
        <f>A834+1</f>
        <v>63</v>
      </c>
      <c r="B847" s="950"/>
      <c r="C847" s="953"/>
      <c r="D847" s="956"/>
      <c r="E847" s="938"/>
      <c r="F847" s="234" t="s">
        <v>659</v>
      </c>
      <c r="G847" s="196">
        <f>IF($B$847="Лікар-педіатр",G850*L847,IF($B$847="Лікар-терапевт","х",IF($B$847="Лікар загальної практики - сімейний лікар",G850*L847,0)))</f>
        <v>0</v>
      </c>
      <c r="H847" s="196">
        <f>IF($B$847="Лікар-педіатр",H850*L847,IF($B$847="Лікар-терапевт","х",IF($B$847="Лікар загальної практики - сімейний лікар",H850*L847,0)))</f>
        <v>0</v>
      </c>
      <c r="I847" s="196">
        <f>IF($B$847="Лікар-педіатр","x",IF($B$847="Лікар-терапевт",I850*L847,IF($B$847="Лікар загальної практики - сімейний лікар",I850*L847,0)))</f>
        <v>0</v>
      </c>
      <c r="J847" s="196">
        <f>IF($B$847="Лікар-педіатр","x",IF($B$847="Лікар-терапевт",J850*L847,IF($B$847="Лікар загальної практики - сімейний лікар",J850*L847,0)))</f>
        <v>0</v>
      </c>
      <c r="K847" s="196">
        <f>IF($B$847="Лікар-педіатр","x",IF($B$847="Лікар-терапевт",K850*L847,IF($B$847="Лікар загальної практики - сімейний лікар",K850*L847,0)))</f>
        <v>0</v>
      </c>
      <c r="L847" s="557"/>
      <c r="M847" s="941"/>
      <c r="N847" s="196">
        <f>IF($B$847="Лікар-педіатр",N850*S847,IF($B$847="Лікар-терапевт","х",IF($B$847="Лікар загальної практики - сімейний лікар",N850*S847,0)))</f>
        <v>0</v>
      </c>
      <c r="O847" s="196">
        <f>IF($B$847="Лікар-педіатр",O850*S847,IF($B$847="Лікар-терапевт","х",IF($B$847="Лікар загальної практики - сімейний лікар",O850*S847,0)))</f>
        <v>0</v>
      </c>
      <c r="P847" s="196">
        <f>IF($B$847="Лікар-педіатр","x",IF($B$847="Лікар-терапевт",P850*S847,IF($B$847="Лікар загальної практики - сімейний лікар",P850*S847,0)))</f>
        <v>0</v>
      </c>
      <c r="Q847" s="196">
        <f>IF($B$847="Лікар-педіатр","x",IF($B$847="Лікар-терапевт",Q850*S847,IF($B$847="Лікар загальної практики - сімейний лікар",Q850*S847,0)))</f>
        <v>0</v>
      </c>
      <c r="R847" s="196">
        <f>IF($B$847="Лікар-педіатр","x",IF($B$847="Лікар-терапевт",R850*S847,IF($B$847="Лікар загальної практики - сімейний лікар",R850*S847,0)))</f>
        <v>0</v>
      </c>
      <c r="S847" s="557"/>
      <c r="T847" s="941"/>
      <c r="U847" s="196">
        <f>IF($B$847="Лікар-педіатр",U850*Z847,IF($B$847="Лікар-терапевт","х",IF($B$847="Лікар загальної практики - сімейний лікар",U850*Z847,0)))</f>
        <v>0</v>
      </c>
      <c r="V847" s="196">
        <f>IF($B$847="Лікар-педіатр",V850*Z847,IF($B$847="Лікар-терапевт","х",IF($B$847="Лікар загальної практики - сімейний лікар",V850*Z847,0)))</f>
        <v>0</v>
      </c>
      <c r="W847" s="196">
        <f>IF($B$847="Лікар-педіатр","x",IF($B$847="Лікар-терапевт",W850*Z847,IF($B$847="Лікар загальної практики - сімейний лікар",W850*Z847,0)))</f>
        <v>0</v>
      </c>
      <c r="X847" s="196">
        <f>IF($B$847="Лікар-педіатр","x",IF($B$847="Лікар-терапевт",X850*Z847,IF($B$847="Лікар загальної практики - сімейний лікар",X850*Z847,0)))</f>
        <v>0</v>
      </c>
      <c r="Y847" s="196">
        <f>IF($B$847="Лікар-педіатр","x",IF($B$847="Лікар-терапевт",Y850*Z847,IF($B$847="Лікар загальної практики - сімейний лікар",Y850*Z847,0)))</f>
        <v>0</v>
      </c>
      <c r="Z847" s="557"/>
      <c r="AA847" s="941"/>
      <c r="AB847" s="196">
        <f>IF($B$847="Лікар-педіатр",AB850*AG847,IF($B$847="Лікар-терапевт","х",IF($B$847="Лікар загальної практики - сімейний лікар",AB850*AG847,0)))</f>
        <v>0</v>
      </c>
      <c r="AC847" s="196">
        <f>IF($B$847="Лікар-педіатр",AC850*AG847,IF($B$847="Лікар-терапевт","х",IF($B$847="Лікар загальної практики - сімейний лікар",AC850*AG847,0)))</f>
        <v>0</v>
      </c>
      <c r="AD847" s="196">
        <f>IF($B$847="Лікар-педіатр","x",IF($B$847="Лікар-терапевт",AD850*AG847,IF($B$847="Лікар загальної практики - сімейний лікар",AD850*AG847,0)))</f>
        <v>0</v>
      </c>
      <c r="AE847" s="196">
        <f>IF($B$847="Лікар-педіатр","x",IF($B$847="Лікар-терапевт",AE850*AG847,IF($B$847="Лікар загальної практики - сімейний лікар",AE850*AG847,0)))</f>
        <v>0</v>
      </c>
      <c r="AF847" s="196">
        <f>IF($B$847="Лікар-педіатр","x",IF($B$847="Лікар-терапевт",AF850*AG847,IF($B$847="Лікар загальної практики - сімейний лікар",AF850*AG847,0)))</f>
        <v>0</v>
      </c>
      <c r="AG847" s="557"/>
      <c r="AH847" s="941"/>
      <c r="AI847" s="540">
        <f>A847</f>
        <v>63</v>
      </c>
      <c r="AJ847" s="944">
        <f>B847</f>
        <v>0</v>
      </c>
      <c r="AK847" s="959">
        <f>C847</f>
        <v>0</v>
      </c>
      <c r="AL847" s="959">
        <f>D847</f>
        <v>0</v>
      </c>
      <c r="AM847" s="929" t="s">
        <v>79</v>
      </c>
      <c r="AN847" s="947">
        <f>SUM(AN852:AN858)</f>
        <v>0</v>
      </c>
      <c r="AO847" s="947">
        <f>SUM(AO852:AO858)</f>
        <v>0</v>
      </c>
      <c r="AP847" s="947">
        <f>SUM(AP852:AP858)</f>
        <v>0</v>
      </c>
      <c r="AQ847" s="947">
        <f>SUM(AQ852:AQ858)</f>
        <v>0</v>
      </c>
      <c r="AR847" s="962">
        <f>SUM(AN847:AQ851)</f>
        <v>0</v>
      </c>
    </row>
    <row r="848" spans="1:44" s="50" customFormat="1" ht="28.15" hidden="1" customHeight="1">
      <c r="A848" s="197"/>
      <c r="B848" s="951"/>
      <c r="C848" s="954"/>
      <c r="D848" s="957"/>
      <c r="E848" s="939"/>
      <c r="F848" s="234" t="s">
        <v>660</v>
      </c>
      <c r="G848" s="196">
        <f>IF($B$847="Лікар-педіатр",G850*L848,IF($B$847="Лікар-терапевт","х",IF($B$847="Лікар загальної практики - сімейний лікар",G850*L848,0)))</f>
        <v>0</v>
      </c>
      <c r="H848" s="196">
        <f>IF($B$847="Лікар-педіатр",H850*L848,IF($B$847="Лікар-терапевт","х",IF($B$847="Лікар загальної практики - сімейний лікар",H850*L848,0)))</f>
        <v>0</v>
      </c>
      <c r="I848" s="196">
        <f>IF($B$847="Лікар-педіатр","x",IF($B$847="Лікар-терапевт",I850*L848,IF($B$847="Лікар загальної практики - сімейний лікар",I850*L848,0)))</f>
        <v>0</v>
      </c>
      <c r="J848" s="196">
        <f>IF($B$847="Лікар-педіатр","x",IF($B$847="Лікар-терапевт",J850*L848,IF($B$847="Лікар загальної практики - сімейний лікар",J850*L848,0)))</f>
        <v>0</v>
      </c>
      <c r="K848" s="196">
        <f>IF($B$847="Лікар-педіатр","x",IF($B$847="Лікар-терапевт",K850*L848,IF($B$847="Лікар загальної практики - сімейний лікар",K850*L848,0)))</f>
        <v>0</v>
      </c>
      <c r="L848" s="557"/>
      <c r="M848" s="942"/>
      <c r="N848" s="196">
        <f>IF($B$847="Лікар-педіатр",N850*S848,IF($B$847="Лікар-терапевт","х",IF($B$847="Лікар загальної практики - сімейний лікар",N850*S848,0)))</f>
        <v>0</v>
      </c>
      <c r="O848" s="196">
        <f>IF($B$847="Лікар-педіатр",O850*S848,IF($B$847="Лікар-терапевт","х",IF($B$847="Лікар загальної практики - сімейний лікар",O850*S848,0)))</f>
        <v>0</v>
      </c>
      <c r="P848" s="196">
        <f>IF($B$847="Лікар-педіатр","x",IF($B$847="Лікар-терапевт",P850*S848,IF($B$847="Лікар загальної практики - сімейний лікар",P850*S848,0)))</f>
        <v>0</v>
      </c>
      <c r="Q848" s="196">
        <f>IF($B$847="Лікар-педіатр","x",IF($B$847="Лікар-терапевт",Q850*S848,IF($B$847="Лікар загальної практики - сімейний лікар",Q850*S848,0)))</f>
        <v>0</v>
      </c>
      <c r="R848" s="196">
        <f>IF($B$847="Лікар-педіатр","x",IF($B$847="Лікар-терапевт",R850*S848,IF($B$847="Лікар загальної практики - сімейний лікар",R850*S848,0)))</f>
        <v>0</v>
      </c>
      <c r="S848" s="557"/>
      <c r="T848" s="942"/>
      <c r="U848" s="196">
        <f>IF($B$847="Лікар-педіатр",U850*Z848,IF($B$847="Лікар-терапевт","х",IF($B$847="Лікар загальної практики - сімейний лікар",U850*Z848,0)))</f>
        <v>0</v>
      </c>
      <c r="V848" s="196">
        <f>IF($B$847="Лікар-педіатр",V850*Z848,IF($B$847="Лікар-терапевт","х",IF($B$847="Лікар загальної практики - сімейний лікар",V850*Z848,0)))</f>
        <v>0</v>
      </c>
      <c r="W848" s="196">
        <f>IF($B$847="Лікар-педіатр","x",IF($B$847="Лікар-терапевт",W850*Z848,IF($B$847="Лікар загальної практики - сімейний лікар",W850*Z848,0)))</f>
        <v>0</v>
      </c>
      <c r="X848" s="196">
        <f>IF($B$847="Лікар-педіатр","x",IF($B$847="Лікар-терапевт",X850*Z848,IF($B$847="Лікар загальної практики - сімейний лікар",X850*Z848,0)))</f>
        <v>0</v>
      </c>
      <c r="Y848" s="196">
        <f>IF($B$847="Лікар-педіатр","x",IF($B$847="Лікар-терапевт",Y850*Z848,IF($B$847="Лікар загальної практики - сімейний лікар",Y850*Z848,0)))</f>
        <v>0</v>
      </c>
      <c r="Z848" s="557"/>
      <c r="AA848" s="942"/>
      <c r="AB848" s="196">
        <f>IF($B$847="Лікар-педіатр",AB850*AG848,IF($B$847="Лікар-терапевт","х",IF($B$847="Лікар загальної практики - сімейний лікар",AB850*AG848,0)))</f>
        <v>0</v>
      </c>
      <c r="AC848" s="196">
        <f>IF($B$847="Лікар-педіатр",AC850*AG848,IF($B$847="Лікар-терапевт","х",IF($B$847="Лікар загальної практики - сімейний лікар",AC850*AG848,0)))</f>
        <v>0</v>
      </c>
      <c r="AD848" s="196">
        <f>IF($B$847="Лікар-педіатр","x",IF($B$847="Лікар-терапевт",AD850*AG848,IF($B$847="Лікар загальної практики - сімейний лікар",AD850*AG848,0)))</f>
        <v>0</v>
      </c>
      <c r="AE848" s="196">
        <f>IF($B$847="Лікар-педіатр","x",IF($B$847="Лікар-терапевт",AE850*AG848,IF($B$847="Лікар загальної практики - сімейний лікар",AE850*AG848,0)))</f>
        <v>0</v>
      </c>
      <c r="AF848" s="196">
        <f>IF($B$847="Лікар-педіатр","x",IF($B$847="Лікар-терапевт",AF850*AG848,IF($B$847="Лікар загальної практики - сімейний лікар",AF850*AG848,0)))</f>
        <v>0</v>
      </c>
      <c r="AG848" s="557"/>
      <c r="AH848" s="942"/>
      <c r="AI848" s="198"/>
      <c r="AJ848" s="945"/>
      <c r="AK848" s="960"/>
      <c r="AL848" s="960"/>
      <c r="AM848" s="930"/>
      <c r="AN848" s="948"/>
      <c r="AO848" s="948"/>
      <c r="AP848" s="948"/>
      <c r="AQ848" s="948"/>
      <c r="AR848" s="963"/>
    </row>
    <row r="849" spans="1:44" s="90" customFormat="1" ht="31.15" hidden="1" customHeight="1">
      <c r="A849" s="240"/>
      <c r="B849" s="951"/>
      <c r="C849" s="954"/>
      <c r="D849" s="957"/>
      <c r="E849" s="939"/>
      <c r="F849" s="241" t="s">
        <v>661</v>
      </c>
      <c r="G849" s="199">
        <f>IF(B847="Лікар загальної практики - сімейний лікар"," ",IF(B847="Лікар-педіатр"," ",IF(B847="Лікар-терапевт","х",0)))</f>
        <v>0</v>
      </c>
      <c r="H849" s="199">
        <f>IF(B847="Лікар загальної практики - сімейний лікар"," ",IF(B847="Лікар-педіатр"," ",IF(B847="Лікар-терапевт","х",0)))</f>
        <v>0</v>
      </c>
      <c r="I849" s="199">
        <f>IF(B847="Лікар загальної практики - сімейний лікар"," ",IF(B847="Лікар-педіатр","х",IF(B847="Лікар-терапевт"," ",0)))</f>
        <v>0</v>
      </c>
      <c r="J849" s="199">
        <f>IF(B847="Лікар загальної практики - сімейний лікар"," ",IF(B847="Лікар-педіатр","х",IF(B847="Лікар-терапевт"," ",0)))</f>
        <v>0</v>
      </c>
      <c r="K849" s="199">
        <f>IF(B847="Лікар загальної практики - сімейний лікар"," ",IF(B847="Лікар-педіатр","х",IF(B847="Лікар-терапевт"," ",0)))</f>
        <v>0</v>
      </c>
      <c r="L849" s="200">
        <f>SUM(G849:K849)</f>
        <v>0</v>
      </c>
      <c r="M849" s="942"/>
      <c r="N849" s="199">
        <f>IF(B847="Лікар загальної практики - сімейний лікар"," ",IF(B847="Лікар-педіатр"," ",IF(B847="Лікар-терапевт","х",0)))</f>
        <v>0</v>
      </c>
      <c r="O849" s="199">
        <f>IF(B847="Лікар загальної практики - сімейний лікар"," ",IF(B847="Лікар-педіатр"," ",IF(B847="Лікар-терапевт","х",0)))</f>
        <v>0</v>
      </c>
      <c r="P849" s="199">
        <f>IF(B847="Лікар загальної практики - сімейний лікар"," ",IF(B847="Лікар-педіатр","х",IF(B847="Лікар-терапевт"," ",0)))</f>
        <v>0</v>
      </c>
      <c r="Q849" s="199">
        <f>IF(B847="Лікар загальної практики - сімейний лікар"," ",IF(B847="Лікар-педіатр","х",IF(B847="Лікар-терапевт"," ",0)))</f>
        <v>0</v>
      </c>
      <c r="R849" s="199">
        <f>IF(B847="Лікар загальної практики - сімейний лікар"," ",IF(B847="Лікар-педіатр","х",IF(B847="Лікар-терапевт"," ",0)))</f>
        <v>0</v>
      </c>
      <c r="S849" s="200">
        <f>SUM(N849:R849)</f>
        <v>0</v>
      </c>
      <c r="T849" s="942"/>
      <c r="U849" s="199">
        <f>IF(B847="Лікар загальної практики - сімейний лікар"," ",IF(B847="Лікар-педіатр"," ",IF(B847="Лікар-терапевт","х",0)))</f>
        <v>0</v>
      </c>
      <c r="V849" s="199">
        <f>IF(B847="Лікар загальної практики - сімейний лікар"," ",IF(B847="Лікар-педіатр"," ",IF(B847="Лікар-терапевт","х",0)))</f>
        <v>0</v>
      </c>
      <c r="W849" s="199">
        <f>IF(B847="Лікар загальної практики - сімейний лікар"," ",IF(B847="Лікар-педіатр","х",IF(B847="Лікар-терапевт"," ",0)))</f>
        <v>0</v>
      </c>
      <c r="X849" s="199">
        <f>IF(B847="Лікар загальної практики - сімейний лікар"," ",IF(B847="Лікар-педіатр","х",IF(B847="Лікар-терапевт"," ",0)))</f>
        <v>0</v>
      </c>
      <c r="Y849" s="199">
        <f>IF(B847="Лікар загальної практики - сімейний лікар"," ",IF(B847="Лікар-педіатр","х",IF(B847="Лікар-терапевт"," ",0)))</f>
        <v>0</v>
      </c>
      <c r="Z849" s="200">
        <f>SUM(U849:Y849)</f>
        <v>0</v>
      </c>
      <c r="AA849" s="942"/>
      <c r="AB849" s="199">
        <f>IF(B847="Лікар загальної практики - сімейний лікар"," ",IF(B847="Лікар-педіатр"," ",IF(B847="Лікар-терапевт","х",0)))</f>
        <v>0</v>
      </c>
      <c r="AC849" s="199">
        <f>IF(B847="Лікар загальної практики - сімейний лікар"," ",IF(B847="Лікар-педіатр"," ",IF(B847="Лікар-терапевт","х",0)))</f>
        <v>0</v>
      </c>
      <c r="AD849" s="199">
        <f>IF(B847="Лікар загальної практики - сімейний лікар"," ",IF(B847="Лікар-педіатр","х",IF(B847="Лікар-терапевт"," ",0)))</f>
        <v>0</v>
      </c>
      <c r="AE849" s="199">
        <f>IF(B847="Лікар загальної практики - сімейний лікар"," ",IF(B847="Лікар-педіатр","х",IF(B847="Лікар-терапевт"," ",0)))</f>
        <v>0</v>
      </c>
      <c r="AF849" s="199">
        <f>IF(B847="Лікар загальної практики - сімейний лікар"," ",IF(B847="Лікар-педіатр","х",IF(B847="Лікар-терапевт"," ",0)))</f>
        <v>0</v>
      </c>
      <c r="AG849" s="200">
        <f>SUM(AB849:AF849)</f>
        <v>0</v>
      </c>
      <c r="AH849" s="942"/>
      <c r="AI849" s="242"/>
      <c r="AJ849" s="945"/>
      <c r="AK849" s="960"/>
      <c r="AL849" s="960"/>
      <c r="AM849" s="930"/>
      <c r="AN849" s="948"/>
      <c r="AO849" s="948"/>
      <c r="AP849" s="948"/>
      <c r="AQ849" s="948"/>
      <c r="AR849" s="963"/>
    </row>
    <row r="850" spans="1:44" s="50" customFormat="1" ht="31.9" hidden="1" customHeight="1" thickBot="1">
      <c r="A850" s="197"/>
      <c r="B850" s="951"/>
      <c r="C850" s="954"/>
      <c r="D850" s="957"/>
      <c r="E850" s="939"/>
      <c r="F850" s="236" t="s">
        <v>426</v>
      </c>
      <c r="G850" s="203">
        <f>IF($B$847="Лікар-педіатр",G849/L849,IF($B$847="Лікар-терапевт","х",IF($B$847="Лікар загальної практики - сімейний лікар",G849/L849,0)))</f>
        <v>0</v>
      </c>
      <c r="H850" s="203">
        <f>IF($B$847="Лікар-педіатр",H849/L849,IF($B$847="Лікар-терапевт","х",IF($B$847="Лікар загальної практики - сімейний лікар",H849/L849,0)))</f>
        <v>0</v>
      </c>
      <c r="I850" s="203">
        <f>IF($B$847="Лікар-педіатр","x",IF($B$847="Лікар-терапевт",I849/L849,IF($B$847="Лікар загальної практики - сімейний лікар",I849/L849,0)))</f>
        <v>0</v>
      </c>
      <c r="J850" s="203">
        <f>IF($B$847="Лікар-педіатр","x",IF($B$847="Лікар-терапевт",J849/L849,IF($B$847="Лікар загальної практики - сімейний лікар",J849/L849,0)))</f>
        <v>0</v>
      </c>
      <c r="K850" s="203">
        <f>IF($B$847="Лікар-педіатр","x",IF($B$847="Лікар-терапевт",K849/L849,IF($B$847="Лікар загальної практики - сімейний лікар",K849/L849,0)))</f>
        <v>0</v>
      </c>
      <c r="L850" s="203">
        <f>SUM(G850:K850)</f>
        <v>0</v>
      </c>
      <c r="M850" s="942"/>
      <c r="N850" s="203">
        <f>IF($B$847="Лікар-педіатр",N849/S849,IF($B$847="Лікар-терапевт","х",IF($B$847="Лікар загальної практики - сімейний лікар",N849/S849,0)))</f>
        <v>0</v>
      </c>
      <c r="O850" s="203">
        <f>IF($B$847="Лікар-педіатр",O849/S849,IF($B$847="Лікар-терапевт","х",IF($B$847="Лікар загальної практики - сімейний лікар",O849/S849,0)))</f>
        <v>0</v>
      </c>
      <c r="P850" s="203">
        <f>IF($B$847="Лікар-педіатр","x",IF($B$847="Лікар-терапевт",P849/S849,IF($B$847="Лікар загальної практики - сімейний лікар",P849/S849,0)))</f>
        <v>0</v>
      </c>
      <c r="Q850" s="203">
        <f>IF($B$847="Лікар-педіатр","x",IF($B$847="Лікар-терапевт",Q849/S849,IF($B$847="Лікар загальної практики - сімейний лікар",Q849/S849,0)))</f>
        <v>0</v>
      </c>
      <c r="R850" s="203">
        <f>IF($B$847="Лікар-педіатр","x",IF($B$847="Лікар-терапевт",R849/S849,IF($B$847="Лікар загальної практики - сімейний лікар",R849/S849,0)))</f>
        <v>0</v>
      </c>
      <c r="S850" s="203">
        <f>SUM(N850:R850)</f>
        <v>0</v>
      </c>
      <c r="T850" s="942"/>
      <c r="U850" s="203">
        <f>IF($B$847="Лікар-педіатр",U849/Z849,IF($B$847="Лікар-терапевт","х",IF($B$847="Лікар загальної практики - сімейний лікар",U849/Z849,0)))</f>
        <v>0</v>
      </c>
      <c r="V850" s="203">
        <f>IF($B$847="Лікар-педіатр",V849/Z849,IF($B$847="Лікар-терапевт","х",IF($B$847="Лікар загальної практики - сімейний лікар",V849/Z849,0)))</f>
        <v>0</v>
      </c>
      <c r="W850" s="203">
        <f>IF($B$847="Лікар-педіатр","x",IF($B$847="Лікар-терапевт",W849/Z849,IF($B$847="Лікар загальної практики - сімейний лікар",W849/Z849,0)))</f>
        <v>0</v>
      </c>
      <c r="X850" s="203">
        <f>IF($B$847="Лікар-педіатр","x",IF($B$847="Лікар-терапевт",X849/Z849,IF($B$847="Лікар загальної практики - сімейний лікар",X849/Z849,0)))</f>
        <v>0</v>
      </c>
      <c r="Y850" s="203">
        <f>IF($B$847="Лікар-педіатр","x",IF($B$847="Лікар-терапевт",Y849/Z849,IF($B$847="Лікар загальної практики - сімейний лікар",Y849/Z849,0)))</f>
        <v>0</v>
      </c>
      <c r="Z850" s="203">
        <f>SUM(U850:Y850)</f>
        <v>0</v>
      </c>
      <c r="AA850" s="942"/>
      <c r="AB850" s="203">
        <f>IF($B$847="Лікар-педіатр",AB849/AG849,IF($B$847="Лікар-терапевт","х",IF($B$847="Лікар загальної практики - сімейний лікар",AB849/AG849,0)))</f>
        <v>0</v>
      </c>
      <c r="AC850" s="203">
        <f>IF($B$847="Лікар-педіатр",AC849/AG849,IF($B$847="Лікар-терапевт","х",IF($B$847="Лікар загальної практики - сімейний лікар",AC849/AG849,0)))</f>
        <v>0</v>
      </c>
      <c r="AD850" s="203">
        <f>IF($B$847="Лікар-педіатр","x",IF($B$847="Лікар-терапевт",AD849/AG849,IF($B$847="Лікар загальної практики - сімейний лікар",AD849/AG849,0)))</f>
        <v>0</v>
      </c>
      <c r="AE850" s="203">
        <f>IF($B$847="Лікар-педіатр","x",IF($B$847="Лікар-терапевт",AE849/AG849,IF($B$847="Лікар загальної практики - сімейний лікар",AE849/AG849,0)))</f>
        <v>0</v>
      </c>
      <c r="AF850" s="203">
        <f>IF($B$847="Лікар-педіатр","x",IF($B$847="Лікар-терапевт",AF849/AG849,IF($B$847="Лікар загальної практики - сімейний лікар",AF849/AG849,0)))</f>
        <v>0</v>
      </c>
      <c r="AG850" s="203">
        <f>SUM(AB850:AF850)</f>
        <v>0</v>
      </c>
      <c r="AH850" s="942"/>
      <c r="AI850" s="201"/>
      <c r="AJ850" s="945"/>
      <c r="AK850" s="960"/>
      <c r="AL850" s="960"/>
      <c r="AM850" s="930"/>
      <c r="AN850" s="948"/>
      <c r="AO850" s="948"/>
      <c r="AP850" s="948"/>
      <c r="AQ850" s="948"/>
      <c r="AR850" s="963"/>
    </row>
    <row r="851" spans="1:44" s="50" customFormat="1" ht="45" hidden="1" customHeight="1" thickBot="1">
      <c r="A851" s="197"/>
      <c r="B851" s="951"/>
      <c r="C851" s="954"/>
      <c r="D851" s="957"/>
      <c r="E851" s="939"/>
      <c r="F851" s="204" t="s">
        <v>662</v>
      </c>
      <c r="G851" s="205">
        <f>IF($B$847="Лікар загальної практики - сімейний лікар",AVERAGE(G847:G849),IF($B$847="Лікар-педіатр",AVERAGE(G847:G849),IF($B$847="Лікар-терапевт","х",0)))</f>
        <v>0</v>
      </c>
      <c r="H851" s="205">
        <f>IF($B$847="Лікар загальної практики - сімейний лікар",AVERAGE(H847:H849),IF($B$847="Лікар-педіатр",AVERAGE(H847:H849),IF($B$847="Лікар-терапевт","х",0)))</f>
        <v>0</v>
      </c>
      <c r="I851" s="205">
        <f>IF($B$847="Лікар загальної практики - сімейний лікар",AVERAGE(I847:I849),IF($B$847="Лікар-педіатр","x",IF($B$847="Лікар-терапевт",AVERAGE(I847:I849),0)))</f>
        <v>0</v>
      </c>
      <c r="J851" s="205">
        <f>IF($B$847="Лікар загальної практики - сімейний лікар",AVERAGE(J847:J849),IF($B$847="Лікар-педіатр","x",IF($B$847="Лікар-терапевт",AVERAGE(J847:J849),0)))</f>
        <v>0</v>
      </c>
      <c r="K851" s="205">
        <f>IF($B$847="Лікар загальної практики - сімейний лікар",AVERAGE(K847:K849),IF($B$847="Лікар-педіатр","x",IF($B$847="Лікар-терапевт",AVERAGE(K847:K849),0)))</f>
        <v>0</v>
      </c>
      <c r="L851" s="206">
        <f>SUM(G851:K851)</f>
        <v>0</v>
      </c>
      <c r="M851" s="942"/>
      <c r="N851" s="205">
        <f>IF($B$847="Лікар загальної практики - сімейний лікар",AVERAGE(N847:N849),IF($B$847="Лікар-педіатр",AVERAGE(N847:N849),IF($B$847="Лікар-терапевт","х",0)))</f>
        <v>0</v>
      </c>
      <c r="O851" s="205">
        <f>IF($B$847="Лікар загальної практики - сімейний лікар",AVERAGE(O847:O849),IF($B$847="Лікар-педіатр",AVERAGE(O847:O849),IF($B$847="Лікар-терапевт","х",0)))</f>
        <v>0</v>
      </c>
      <c r="P851" s="205">
        <f>IF($B$847="Лікар загальної практики - сімейний лікар",AVERAGE(P847:P849),IF($B$847="Лікар-педіатр","x",IF($B$847="Лікар-терапевт",AVERAGE(P847:P849),0)))</f>
        <v>0</v>
      </c>
      <c r="Q851" s="205">
        <f>IF($B$847="Лікар загальної практики - сімейний лікар",AVERAGE(Q847:Q849),IF($B$847="Лікар-педіатр","x",IF($B$847="Лікар-терапевт",AVERAGE(Q847:Q849),0)))</f>
        <v>0</v>
      </c>
      <c r="R851" s="205">
        <f>IF($B$847="Лікар загальної практики - сімейний лікар",AVERAGE(R847:R849),IF($B$847="Лікар-педіатр","x",IF($B$847="Лікар-терапевт",AVERAGE(R847:R849),0)))</f>
        <v>0</v>
      </c>
      <c r="S851" s="206">
        <f>SUM(N851:R851)</f>
        <v>0</v>
      </c>
      <c r="T851" s="942"/>
      <c r="U851" s="205">
        <f>IF($B$847="Лікар загальної практики - сімейний лікар",AVERAGE(U847:U849),IF($B$847="Лікар-педіатр",AVERAGE(U847:U849),IF($B$847="Лікар-терапевт","х",0)))</f>
        <v>0</v>
      </c>
      <c r="V851" s="205">
        <f>IF($B$847="Лікар загальної практики - сімейний лікар",AVERAGE(V847:V849),IF($B$847="Лікар-педіатр",AVERAGE(V847:V849),IF($B$847="Лікар-терапевт","х",0)))</f>
        <v>0</v>
      </c>
      <c r="W851" s="205">
        <f>IF($B$847="Лікар загальної практики - сімейний лікар",AVERAGE(W847:W849),IF($B$847="Лікар-педіатр","x",IF($B$847="Лікар-терапевт",AVERAGE(W847:W849),0)))</f>
        <v>0</v>
      </c>
      <c r="X851" s="205">
        <f>IF($B$847="Лікар загальної практики - сімейний лікар",AVERAGE(X847:X849),IF($B$847="Лікар-педіатр","x",IF($B$847="Лікар-терапевт",AVERAGE(X847:X849),0)))</f>
        <v>0</v>
      </c>
      <c r="Y851" s="205">
        <f>IF($B$847="Лікар загальної практики - сімейний лікар",AVERAGE(Y847:Y849),IF($B$847="Лікар-педіатр","x",IF($B$847="Лікар-терапевт",AVERAGE(Y847:Y849),0)))</f>
        <v>0</v>
      </c>
      <c r="Z851" s="206">
        <f>SUM(U851:Y851)</f>
        <v>0</v>
      </c>
      <c r="AA851" s="942"/>
      <c r="AB851" s="205">
        <f>IF($B$847="Лікар загальної практики - сімейний лікар",AVERAGE(AB847:AB849),IF($B$847="Лікар-педіатр",AVERAGE(AB847:AB849),IF($B$847="Лікар-терапевт","х",0)))</f>
        <v>0</v>
      </c>
      <c r="AC851" s="205">
        <f>IF($B$847="Лікар загальної практики - сімейний лікар",AVERAGE(AC847:AC849),IF($B$847="Лікар-педіатр",AVERAGE(AC847:AC849),IF($B$847="Лікар-терапевт","х",0)))</f>
        <v>0</v>
      </c>
      <c r="AD851" s="205">
        <f>IF($B$847="Лікар загальної практики - сімейний лікар",AVERAGE(AD847:AD849),IF($B$847="Лікар-педіатр","x",IF($B$847="Лікар-терапевт",AVERAGE(AD847:AD849),0)))</f>
        <v>0</v>
      </c>
      <c r="AE851" s="205">
        <f>IF($B$847="Лікар загальної практики - сімейний лікар",AVERAGE(AE847:AE849),IF($B$847="Лікар-педіатр","x",IF($B$847="Лікар-терапевт",AVERAGE(AE847:AE849),0)))</f>
        <v>0</v>
      </c>
      <c r="AF851" s="205">
        <f>IF($B$847="Лікар загальної практики - сімейний лікар",AVERAGE(AF847:AF849),IF($B$847="Лікар-педіатр","x",IF($B$847="Лікар-терапевт",AVERAGE(AF847:AF849),0)))</f>
        <v>0</v>
      </c>
      <c r="AG851" s="206">
        <f>SUM(AB851:AF851)</f>
        <v>0</v>
      </c>
      <c r="AH851" s="942"/>
      <c r="AI851" s="201"/>
      <c r="AJ851" s="945"/>
      <c r="AK851" s="960"/>
      <c r="AL851" s="960"/>
      <c r="AM851" s="931"/>
      <c r="AN851" s="949"/>
      <c r="AO851" s="949"/>
      <c r="AP851" s="949"/>
      <c r="AQ851" s="949"/>
      <c r="AR851" s="964"/>
    </row>
    <row r="852" spans="1:44" s="50" customFormat="1" ht="40.5" hidden="1">
      <c r="A852" s="197"/>
      <c r="B852" s="951"/>
      <c r="C852" s="954"/>
      <c r="D852" s="957"/>
      <c r="E852" s="939"/>
      <c r="F852" s="237" t="str">
        <f ca="1">IF(B847="Лікар-педіатр",Законод!$C$17,IF(B847="Лікар загальної практики - сімейний лікар",Законод!$C$21,IF(B847="Лікар-терапевт",Законод!$C$25,"х")))</f>
        <v>х</v>
      </c>
      <c r="G852" s="208">
        <f ca="1">IF($B$847="Лікар загальної практики - сімейний лікар",IF(L851&lt;=Законод!$C$22,G851,Законод!$C$22*'01_Доходи'!G850),IF($B$847="Лікар-педіатр",IF(L851&lt;=Законод!$C$18,G851,Законод!$C$18*'01_Доходи'!G850),IF($B$847="Лікар-терапевт","x",0)))</f>
        <v>0</v>
      </c>
      <c r="H852" s="208">
        <f ca="1">IF($B$847="Лікар загальної практики - сімейний лікар",IF(L851&lt;=Законод!$C$22,H851,Законод!$C$22*'01_Доходи'!H850),IF($B$847="Лікар-педіатр",IF(L851&lt;=Законод!$C$18,H851,Законод!$C$18*'01_Доходи'!H850),IF($B$847="Лікар-терапевт","x",0)))</f>
        <v>0</v>
      </c>
      <c r="I852" s="208">
        <f ca="1">IF($B$847="Лікар загальної практики - сімейний лікар",IF(L851&lt;=Законод!$C$22,I851,Законод!$C$22*'01_Доходи'!I850),IF($B$847="Лікар-педіатр","x",IF($B$847="Лікар-терапевт",IF(L851&lt;=Законод!$C$26,I851,Законод!$C$26*'01_Доходи'!I850),0)))</f>
        <v>0</v>
      </c>
      <c r="J852" s="208">
        <f ca="1">IF($B$847="Лікар загальної практики - сімейний лікар",IF(L851&lt;=Законод!$C$22,J851,Законод!$C$22*'01_Доходи'!J850),IF($B$847="Лікар-педіатр","x",IF($B$847="Лікар-терапевт",IF(L851&lt;=Законод!$C$26,J851,Законод!$C$26*'01_Доходи'!J850),0)))</f>
        <v>0</v>
      </c>
      <c r="K852" s="208">
        <f ca="1">IF($B$847="Лікар загальної практики - сімейний лікар",IF(L851&lt;=Законод!$C$22,K851,Законод!$C$22*'01_Доходи'!K850),IF($B$847="Лікар-педіатр","x",IF($B$847="Лікар-терапевт",IF(L851&lt;=Законод!$C$26,K851,Законод!$C$26*'01_Доходи'!K850),0)))</f>
        <v>0</v>
      </c>
      <c r="L852" s="209">
        <f ca="1">SUM(G852:K852)</f>
        <v>0</v>
      </c>
      <c r="M852" s="942"/>
      <c r="N852" s="208">
        <f ca="1">IF($B$847="Лікар загальної практики - сімейний лікар",IF(S851&lt;=Законод!$C$22,N851,Законод!$C$22*'01_Доходи'!N850),IF($B$847="Лікар-педіатр",IF(S851&lt;=Законод!$C$18,N851,Законод!$C$18*'01_Доходи'!N850),IF($B$847="Лікар-терапевт","x",0)))</f>
        <v>0</v>
      </c>
      <c r="O852" s="208">
        <f ca="1">IF($B$847="Лікар загальної практики - сімейний лікар",IF(S851&lt;=Законод!$C$22,O851,Законод!$C$22*'01_Доходи'!O850),IF($B$847="Лікар-педіатр",IF(S851&lt;=Законод!$C$18,O851,Законод!$C$18*'01_Доходи'!O850),IF($B$847="Лікар-терапевт","x",0)))</f>
        <v>0</v>
      </c>
      <c r="P852" s="208">
        <f ca="1">IF($B$847="Лікар загальної практики - сімейний лікар",IF(S851&lt;=Законод!$C$22,P851,Законод!$C$22*'01_Доходи'!P850),IF($B$847="Лікар-педіатр","x",IF($B$847="Лікар-терапевт",IF(S851&lt;=Законод!$C$26,P851,Законод!$C$26*'01_Доходи'!P850),0)))</f>
        <v>0</v>
      </c>
      <c r="Q852" s="208">
        <f ca="1">IF($B$847="Лікар загальної практики - сімейний лікар",IF(S851&lt;=Законод!$C$22,Q851,Законод!$C$22*'01_Доходи'!Q850),IF($B$847="Лікар-педіатр","x",IF($B$847="Лікар-терапевт",IF(S851&lt;=Законод!$C$26,Q851,Законод!$C$26*'01_Доходи'!Q850),0)))</f>
        <v>0</v>
      </c>
      <c r="R852" s="208">
        <f ca="1">IF($B$847="Лікар загальної практики - сімейний лікар",IF(S851&lt;=Законод!$C$22,R851,Законод!$C$22*'01_Доходи'!R850),IF($B$847="Лікар-педіатр","x",IF($B$847="Лікар-терапевт",IF(S851&lt;=Законод!$C$26,R851,Законод!$C$26*'01_Доходи'!R850),0)))</f>
        <v>0</v>
      </c>
      <c r="S852" s="209">
        <f ca="1">SUM(N852:R852)</f>
        <v>0</v>
      </c>
      <c r="T852" s="942"/>
      <c r="U852" s="208">
        <f ca="1">IF($B$847="Лікар загальної практики - сімейний лікар",IF(Z851&lt;=Законод!$C$22,U851,Законод!$C$22*'01_Доходи'!U850),IF($B$847="Лікар-педіатр",IF(Z851&lt;=Законод!$C$18,U851,Законод!$C$18*'01_Доходи'!U850),IF($B$847="Лікар-терапевт","x",0)))</f>
        <v>0</v>
      </c>
      <c r="V852" s="208">
        <f ca="1">IF($B$847="Лікар загальної практики - сімейний лікар",IF(Z851&lt;=Законод!$C$22,V851,Законод!$C$22*'01_Доходи'!V850),IF($B$847="Лікар-педіатр",IF(Z851&lt;=Законод!$C$18,V851,Законод!$C$18*'01_Доходи'!V850),IF($B$847="Лікар-терапевт","x",0)))</f>
        <v>0</v>
      </c>
      <c r="W852" s="208">
        <f ca="1">IF($B$847="Лікар загальної практики - сімейний лікар",IF(Z851&lt;=Законод!$C$22,W851,Законод!$C$22*'01_Доходи'!W850),IF($B$847="Лікар-педіатр","x",IF($B$847="Лікар-терапевт",IF(Z851&lt;=Законод!$C$26,W851,Законод!$C$26*'01_Доходи'!W850),0)))</f>
        <v>0</v>
      </c>
      <c r="X852" s="208">
        <f ca="1">IF($B$847="Лікар загальної практики - сімейний лікар",IF(Z851&lt;=Законод!$C$22,X851,Законод!$C$22*'01_Доходи'!X850),IF($B$847="Лікар-педіатр","x",IF($B$847="Лікар-терапевт",IF(Z851&lt;=Законод!$C$26,X851,Законод!$C$26*'01_Доходи'!X850),0)))</f>
        <v>0</v>
      </c>
      <c r="Y852" s="208">
        <f ca="1">IF($B$847="Лікар загальної практики - сімейний лікар",IF(Z851&lt;=Законод!$C$22,Y851,Законод!$C$22*'01_Доходи'!Y850),IF($B$847="Лікар-педіатр","x",IF($B$847="Лікар-терапевт",IF(Z851&lt;=Законод!$C$26,Y851,Законод!$C$26*'01_Доходи'!Y850),0)))</f>
        <v>0</v>
      </c>
      <c r="Z852" s="209">
        <f ca="1">SUM(U852:Y852)</f>
        <v>0</v>
      </c>
      <c r="AA852" s="942"/>
      <c r="AB852" s="208">
        <f ca="1">IF($B$847="Лікар загальної практики - сімейний лікар",IF(AG851&lt;=Законод!$C$22,AB851,Законод!$C$22*'01_Доходи'!AB850),IF($B$847="Лікар-педіатр",IF(AG851&lt;=Законод!$C$18,AB851,Законод!$C$18*'01_Доходи'!AB850),IF($B$847="Лікар-терапевт","x",0)))</f>
        <v>0</v>
      </c>
      <c r="AC852" s="208">
        <f ca="1">IF($B$847="Лікар загальної практики - сімейний лікар",IF(AG851&lt;=Законод!$C$22,AC851,Законод!$C$22*'01_Доходи'!AC850),IF($B$847="Лікар-педіатр",IF(AG851&lt;=Законод!$C$18,AC851,Законод!$C$18*'01_Доходи'!AC850),IF($B$847="Лікар-терапевт","x",0)))</f>
        <v>0</v>
      </c>
      <c r="AD852" s="208">
        <f ca="1">IF($B$847="Лікар загальної практики - сімейний лікар",IF(AG851&lt;=Законод!$C$22,AD851,Законод!$C$22*'01_Доходи'!AD850),IF($B$847="Лікар-педіатр","x",IF($B$847="Лікар-терапевт",IF(AG851&lt;=Законод!$C$26,AD851,Законод!$C$26*'01_Доходи'!AD850),0)))</f>
        <v>0</v>
      </c>
      <c r="AE852" s="208">
        <f ca="1">IF($B$847="Лікар загальної практики - сімейний лікар",IF(AG851&lt;=Законод!$C$22,AE851,Законод!$C$22*'01_Доходи'!AE850),IF($B$847="Лікар-педіатр","x",IF($B$847="Лікар-терапевт",IF(AG851&lt;=Законод!$C$26,AE851,Законод!$C$26*'01_Доходи'!AE850),0)))</f>
        <v>0</v>
      </c>
      <c r="AF852" s="208">
        <f ca="1">IF($B$847="Лікар загальної практики - сімейний лікар",IF(AG851&lt;=Законод!$C$22,AF851,Законод!$C$22*'01_Доходи'!AF850),IF($B$847="Лікар-педіатр","x",IF($B$847="Лікар-терапевт",IF(AG851&lt;=Законод!$C$26,AF851,Законод!$C$26*'01_Доходи'!AF850),0)))</f>
        <v>0</v>
      </c>
      <c r="AG852" s="209">
        <f ca="1">SUM(AB852:AF852)</f>
        <v>0</v>
      </c>
      <c r="AH852" s="942"/>
      <c r="AI852" s="201"/>
      <c r="AJ852" s="945"/>
      <c r="AK852" s="960"/>
      <c r="AL852" s="960"/>
      <c r="AM852" s="348" t="s">
        <v>451</v>
      </c>
      <c r="AN852" s="210">
        <f ca="1">IF(B847="Лікар загальної практики - сімейний лікар",G852*Законод!$C$11+'01_Доходи'!H852*Законод!$D$11+'01_Доходи'!I852*Законод!$E$11+'01_Доходи'!J852*Законод!$F$11+'01_Доходи'!K852*Законод!$G$11,IF(B847="Лікар-педіатр",G852*Законод!$C$11+'01_Доходи'!H852*Законод!$D$11,IF(B847="Лікар-терапевт",'01_Доходи'!I852*Законод!$E$11+'01_Доходи'!J852*Законод!$F$11+'01_Доходи'!K852*Законод!$G$11,0)))</f>
        <v>0</v>
      </c>
      <c r="AO852" s="210">
        <f ca="1">IF(B847="Лікар загальної практики - сімейний лікар",N852*Законод!$C$11+'01_Доходи'!O852*Законод!$D$11+'01_Доходи'!P852*Законод!$E$11+'01_Доходи'!Q852*Законод!$F$11+'01_Доходи'!R852*Законод!$G$11,IF(B847="Лікар-педіатр",N852*Законод!$C$11+'01_Доходи'!O852*Законод!$D$11,IF(B847="Лікар-терапевт",'01_Доходи'!P852*Законод!$E$11+'01_Доходи'!Q852*Законод!$F$11+'01_Доходи'!R852*Законод!$G$11,0)))</f>
        <v>0</v>
      </c>
      <c r="AP852" s="210">
        <f ca="1">IF(B847="Лікар загальної практики - сімейний лікар",U852*Законод!$C$11+'01_Доходи'!V852*Законод!$D$11+'01_Доходи'!W852*Законод!$E$11+'01_Доходи'!X852*Законод!$F$11+'01_Доходи'!Y852*Законод!$G$11,IF(B847="Лікар-педіатр",U852*Законод!$C$11+'01_Доходи'!V852*Законод!$D$11,IF(B847="Лікар-терапевт",'01_Доходи'!W852*Законод!$E$11+'01_Доходи'!X852*Законод!$F$11+'01_Доходи'!Y852*Законод!$G$11,0)))</f>
        <v>0</v>
      </c>
      <c r="AQ852" s="210">
        <f ca="1">IF(B847="Лікар загальної практики - сімейний лікар",AB852*Законод!$C$11+'01_Доходи'!AC852*Законод!$D$11+'01_Доходи'!AD852*Законод!$E$11+'01_Доходи'!AE852*Законод!$F$11+'01_Доходи'!AF852*Законод!$G$11,IF(B847="Лікар-педіатр",AB852*Законод!$C$11+'01_Доходи'!AC852*Законод!$D$11,IF(B847="Лікар-терапевт",'01_Доходи'!AD852*Законод!$E$11+'01_Доходи'!AE852*Законод!$F$11+'01_Доходи'!AF852*Законод!$G$11,0)))</f>
        <v>0</v>
      </c>
      <c r="AR852" s="211">
        <f t="shared" ref="AR852:AR858" si="105">SUM(AN852:AQ852)</f>
        <v>0</v>
      </c>
    </row>
    <row r="853" spans="1:44" s="50" customFormat="1" ht="31.9" hidden="1" customHeight="1">
      <c r="A853" s="197"/>
      <c r="B853" s="951"/>
      <c r="C853" s="954"/>
      <c r="D853" s="957"/>
      <c r="E853" s="939"/>
      <c r="F853" s="238" t="str">
        <f ca="1">IF(B847="Лікар-педіатр",Законод!$E$17,IF(B847="Лікар загальної практики - сімейний лікар",Законод!$E$21,IF(B847="Лікар-терапевт",Законод!$E$25,"х")))</f>
        <v>х</v>
      </c>
      <c r="G853" s="935" t="s">
        <v>423</v>
      </c>
      <c r="H853" s="936"/>
      <c r="I853" s="936"/>
      <c r="J853" s="936"/>
      <c r="K853" s="937"/>
      <c r="L853" s="196">
        <f ca="1">IF($B$847="Лікар загальної практики - сімейний лікар",IF(L851&lt;Законод!$C$22,0,(IF(AND(L851&gt;=Законод!$E$22,L851&lt;=Законод!$E$23),L851-Законод!$C$22,IF('01_Доходи'!L851&gt;=Законод!$F$22,Законод!$E$24,0)))),IF($B$847="Лікар-педіатр",IF(L851&lt;Законод!$C$18,0,(IF(AND(L851&gt;=Законод!$E$18,L851&lt;=Законод!$E$19),L851-Законод!$C$18,IF('01_Доходи'!L851&gt;=Законод!$F$18,Законод!$E$20,0)))),IF($B$847="Лікар-терапевт",IF(L851&lt;Законод!$C$26,0,(IF(AND(L851&gt;=Законод!$E$26,L851&lt;=Законод!$E$27),L851-Законод!$C$26,IF('01_Доходи'!L851&gt;=Законод!$F$26,Законод!$E$28,0)))),0)))</f>
        <v>0</v>
      </c>
      <c r="M853" s="942"/>
      <c r="N853" s="935" t="s">
        <v>423</v>
      </c>
      <c r="O853" s="936"/>
      <c r="P853" s="936"/>
      <c r="Q853" s="936"/>
      <c r="R853" s="937"/>
      <c r="S853" s="196">
        <f ca="1">IF($B$847="Лікар загальної практики - сімейний лікар",IF(S851&lt;Законод!$C$22,0,(IF(AND(S851&gt;=Законод!$E$22,S851&lt;=Законод!$E$23),S851-Законод!$C$22,IF('01_Доходи'!S851&gt;=Законод!$F$22,Законод!$E$24,0)))),IF($B$847="Лікар-педіатр",IF(S851&lt;Законод!$C$18,0,(IF(AND(S851&gt;=Законод!$E$18,S851&lt;=Законод!$E$19),S851-Законод!$C$18,IF('01_Доходи'!S851&gt;=Законод!$F$18,Законод!$E$20,0)))),IF($B$847="Лікар-терапевт",IF(S851&lt;Законод!$C$26,0,(IF(AND(S851&gt;=Законод!$E$26,S851&lt;=Законод!$E$27),S851-Законод!$C$26,IF('01_Доходи'!S851&gt;=Законод!$F$26,Законод!$E$28,0)))),0)))</f>
        <v>0</v>
      </c>
      <c r="T853" s="942"/>
      <c r="U853" s="935" t="s">
        <v>423</v>
      </c>
      <c r="V853" s="936"/>
      <c r="W853" s="936"/>
      <c r="X853" s="936"/>
      <c r="Y853" s="937"/>
      <c r="Z853" s="196">
        <f ca="1">IF($B$847="Лікар загальної практики - сімейний лікар",IF(Z851&lt;Законод!$C$22,0,(IF(AND(Z851&gt;=Законод!$E$22,Z851&lt;=Законод!$E$23),Z851-Законод!$C$22,IF('01_Доходи'!Z851&gt;=Законод!$F$22,Законод!$E$24,0)))),IF($B$847="Лікар-педіатр",IF(Z851&lt;Законод!$C$18,0,(IF(AND(Z851&gt;=Законод!$E$18,Z851&lt;=Законод!$E$19),Z851-Законод!$C$18,IF('01_Доходи'!Z851&gt;=Законод!$F$18,Законод!$E$20,0)))),IF($B$847="Лікар-терапевт",IF(Z851&lt;Законод!$C$26,0,(IF(AND(Z851&gt;=Законод!$E$26,Z851&lt;=Законод!$E$27),Z851-Законод!$C$26,IF('01_Доходи'!Z851&gt;=Законод!$F$26,Законод!$E$28,0)))),0)))</f>
        <v>0</v>
      </c>
      <c r="AA853" s="942"/>
      <c r="AB853" s="935" t="s">
        <v>423</v>
      </c>
      <c r="AC853" s="936"/>
      <c r="AD853" s="936"/>
      <c r="AE853" s="936"/>
      <c r="AF853" s="937"/>
      <c r="AG853" s="196">
        <f ca="1">IF($B$847="Лікар загальної практики - сімейний лікар",IF(AG851&lt;Законод!$C$22,0,(IF(AND(AG851&gt;=Законод!$E$22,AG851&lt;=Законод!$E$23),AG851-Законод!$C$22,IF('01_Доходи'!AG851&gt;=Законод!$F$22,Законод!$E$24,0)))),IF($B$847="Лікар-педіатр",IF(AG851&lt;Законод!$C$18,0,(IF(AND(AG851&gt;=Законод!$E$18,AG851&lt;=Законод!$E$19),AG851-Законод!$C$18,IF('01_Доходи'!AG851&gt;=Законод!$F$18,Законод!$E$20,0)))),IF($B$847="Лікар-терапевт",IF(AG851&lt;Законод!$C$26,0,(IF(AND(AG851&gt;=Законод!$E$26,AG851&lt;=Законод!$E$27),AG851-Законод!$C$26,IF('01_Доходи'!AG851&gt;=Законод!$F$26,Законод!$E$28,0)))),0)))</f>
        <v>0</v>
      </c>
      <c r="AH853" s="942"/>
      <c r="AI853" s="201"/>
      <c r="AJ853" s="945"/>
      <c r="AK853" s="960"/>
      <c r="AL853" s="960"/>
      <c r="AM853" s="926" t="s">
        <v>452</v>
      </c>
      <c r="AN853" s="210">
        <f ca="1">IF(B847="Лікар загальної практики - сімейний лікар",L853*Законод!$C$9/4*Законод!$E$16,IF(B847="Лікар-педіатр",L853*Законод!$C$9/4*Законод!$E$16,IF(B847="Лікар-терапевт",L853*Законод!$C$9/4*Законод!$E$16,0)))</f>
        <v>0</v>
      </c>
      <c r="AO853" s="210">
        <f ca="1">IF(B847="Лікар загальної практики - сімейний лікар",S853*Законод!$C$9/4*Законод!$E$16,IF(B847="Лікар-педіатр",S853*Законод!$C$9/4*Законод!$E$16,IF(B847="Лікар-терапевт",S853*Законод!$C$9/4*Законод!$E$16,0)))</f>
        <v>0</v>
      </c>
      <c r="AP853" s="210">
        <f ca="1">IF(B847="Лікар загальної практики - сімейний лікар",Z853*Законод!$C$9/4*Законод!$E$16,IF(B847="Лікар-педіатр",Z853*Законод!$C$9/4*Законод!$E$16,IF(B847="Лікар-терапевт",Z853*Законод!$C$9/4*Законод!$E$16,0)))</f>
        <v>0</v>
      </c>
      <c r="AQ853" s="210">
        <f ca="1">IF(B847="Лікар загальної практики - сімейний лікар",AG853*Законод!$C$9/4*Законод!$E$16,IF(B847="Лікар-педіатр",AG853*Законод!$C$9/4*Законод!$E$16,IF(B847="Лікар-терапевт",AG853*Законод!$C$9/4*Законод!$E$16,0)))</f>
        <v>0</v>
      </c>
      <c r="AR853" s="211">
        <f t="shared" si="105"/>
        <v>0</v>
      </c>
    </row>
    <row r="854" spans="1:44" s="50" customFormat="1" ht="31.9" hidden="1" customHeight="1">
      <c r="A854" s="197"/>
      <c r="B854" s="951"/>
      <c r="C854" s="954"/>
      <c r="D854" s="957"/>
      <c r="E854" s="939"/>
      <c r="F854" s="238" t="str">
        <f ca="1">IF(B847="Лікар-педіатр",Законод!$F$17,IF(B847="Лікар загальної практики - сімейний лікар",Законод!$F$21,IF(B847="Лікар-терапевт",Законод!$F$25,"х")))</f>
        <v>х</v>
      </c>
      <c r="G854" s="935" t="s">
        <v>423</v>
      </c>
      <c r="H854" s="936"/>
      <c r="I854" s="936"/>
      <c r="J854" s="936"/>
      <c r="K854" s="937"/>
      <c r="L854" s="196">
        <f ca="1">IF($B$847="Лікар загальної практики - сімейний лікар",IF(L851&lt;Законод!$C$22,0,(IF(AND(L851&gt;=Законод!$F$22,L851&lt;=Законод!$F$23),L851-Законод!$E$23,IF('01_Доходи'!L851&gt;=Законод!$G$22,Законод!$F$24,0)))),IF($B$847="Лікар-педіатр",IF(L851&lt;Законод!$C$18,0,(IF(AND(L851&gt;=Законод!$F$18,L851&lt;=Законод!$F$19),L851-Законод!$E$19,IF('01_Доходи'!L851&gt;=Законод!$G$18,Законод!$F$20,0)))),IF($B$847="Лікар-терапевт",IF(L851&lt;Законод!$C$26,0,(IF(AND(L851&gt;=Законод!$F$26,L851&lt;=Законод!$F$27),L851-Законод!$E$27,IF('01_Доходи'!L851&gt;=Законод!$G$26,Законод!$F$28,0)))),0)))</f>
        <v>0</v>
      </c>
      <c r="M854" s="942"/>
      <c r="N854" s="935" t="s">
        <v>423</v>
      </c>
      <c r="O854" s="936"/>
      <c r="P854" s="936"/>
      <c r="Q854" s="936"/>
      <c r="R854" s="937"/>
      <c r="S854" s="196">
        <f ca="1">IF($B$847="Лікар загальної практики - сімейний лікар",IF(S851&lt;Законод!$C$22,0,(IF(AND(S851&gt;=Законод!$F$22,S851&lt;=Законод!$F$23),S851-Законод!$E$23,IF('01_Доходи'!S851&gt;=Законод!$G$22,Законод!$F$24,0)))),IF($B$847="Лікар-педіатр",IF(S851&lt;Законод!$C$18,0,(IF(AND(S851&gt;=Законод!$F$18,S851&lt;=Законод!$F$19),S851-Законод!$E$19,IF('01_Доходи'!S851&gt;=Законод!$G$18,Законод!$F$20,0)))),IF($B$847="Лікар-терапевт",IF(S851&lt;Законод!$C$26,0,(IF(AND(S851&gt;=Законод!$F$26,S851&lt;=Законод!$F$27),S851-Законод!$E$27,IF('01_Доходи'!S851&gt;=Законод!$G$26,Законод!$F$28,0)))),0)))</f>
        <v>0</v>
      </c>
      <c r="T854" s="942"/>
      <c r="U854" s="935" t="s">
        <v>423</v>
      </c>
      <c r="V854" s="936"/>
      <c r="W854" s="936"/>
      <c r="X854" s="936"/>
      <c r="Y854" s="937"/>
      <c r="Z854" s="196">
        <f ca="1">IF($B$847="Лікар загальної практики - сімейний лікар",IF(Z851&lt;Законод!$C$22,0,(IF(AND(Z851&gt;=Законод!$F$22,Z851&lt;=Законод!$F$23),Z851-Законод!$E$23,IF('01_Доходи'!Z851&gt;=Законод!$G$22,Законод!$F$24,0)))),IF($B$847="Лікар-педіатр",IF(Z851&lt;Законод!$C$18,0,(IF(AND(Z851&gt;=Законод!$F$18,Z851&lt;=Законод!$F$19),Z851-Законод!$E$19,IF('01_Доходи'!Z851&gt;=Законод!$G$18,Законод!$F$20,0)))),IF($B$847="Лікар-терапевт",IF(Z851&lt;Законод!$C$26,0,(IF(AND(Z851&gt;=Законод!$F$26,Z851&lt;=Законод!$F$27),Z851-Законод!$E$27,IF('01_Доходи'!Z851&gt;=Законод!$G$26,Законод!$F$28,0)))),0)))</f>
        <v>0</v>
      </c>
      <c r="AA854" s="942"/>
      <c r="AB854" s="935" t="s">
        <v>423</v>
      </c>
      <c r="AC854" s="936"/>
      <c r="AD854" s="936"/>
      <c r="AE854" s="936"/>
      <c r="AF854" s="937"/>
      <c r="AG854" s="196">
        <f ca="1">IF($B$847="Лікар загальної практики - сімейний лікар",IF(AG851&lt;Законод!$C$22,0,(IF(AND(AG851&gt;=Законод!$F$22,AG851&lt;=Законод!$F$23),AG851-Законод!$E$23,IF('01_Доходи'!AG851&gt;=Законод!$G$22,Законод!$F$24,0)))),IF($B$847="Лікар-педіатр",IF(AG851&lt;Законод!$C$18,0,(IF(AND(AG851&gt;=Законод!$F$18,AG851&lt;=Законод!$F$19),AG851-Законод!$E$19,IF('01_Доходи'!AG851&gt;=Законод!$G$18,Законод!$F$20,0)))),IF($B$847="Лікар-терапевт",IF(AG851&lt;Законод!$C$26,0,(IF(AND(AG851&gt;=Законод!$F$26,AG851&lt;=Законод!$F$27),AG851-Законод!$E$27,IF('01_Доходи'!AG851&gt;=Законод!$G$26,Законод!$F$28,0)))),0)))</f>
        <v>0</v>
      </c>
      <c r="AH854" s="942"/>
      <c r="AI854" s="201"/>
      <c r="AJ854" s="945"/>
      <c r="AK854" s="960"/>
      <c r="AL854" s="960"/>
      <c r="AM854" s="927"/>
      <c r="AN854" s="210">
        <f ca="1">IF(B847="Лікар загальної практики - сімейний лікар",L854*Законод!$C$9/4*Законод!$F$16,IF(B847="Лікар-педіатр",L854*Законод!$C$9/4*Законод!$F$16,IF(B847="Лікар-терапевт",L854*Законод!$C$9/4*Законод!$F$16,0)))</f>
        <v>0</v>
      </c>
      <c r="AO854" s="210">
        <f ca="1">IF(B847="Лікар загальної практики - сімейний лікар",S854*Законод!$C$9/4*Законод!$F$16,IF(B847="Лікар-педіатр",S854*Законод!$C$9/4*Законод!$F$16,IF(B847="Лікар-терапевт",S854*Законод!$C$9/4*Законод!$F$16,0)))</f>
        <v>0</v>
      </c>
      <c r="AP854" s="210">
        <f ca="1">IF(B847="Лікар загальної практики - сімейний лікар",Z854*Законод!$C$9/4*Законод!$F$16,IF(B847="Лікар-педіатр",Z854*Законод!$C$9/4*Законод!$F$16,IF(B847="Лікар-терапевт",Z854*Законод!$C$9/4*Законод!$F$16,0)))</f>
        <v>0</v>
      </c>
      <c r="AQ854" s="210">
        <f ca="1">IF(B847="Лікар загальної практики - сімейний лікар",AG854*Законод!$C$9/4*Законод!$F$16,IF(B847="Лікар-педіатр",AG854*Законод!$C$9/4*Законод!$F$16,IF(B847="Лікар-терапевт",AG854*Законод!$C$9/4*Законод!$F$16,0)))</f>
        <v>0</v>
      </c>
      <c r="AR854" s="211">
        <f t="shared" si="105"/>
        <v>0</v>
      </c>
    </row>
    <row r="855" spans="1:44" s="50" customFormat="1" ht="31.9" hidden="1" customHeight="1">
      <c r="A855" s="197"/>
      <c r="B855" s="951"/>
      <c r="C855" s="954"/>
      <c r="D855" s="957"/>
      <c r="E855" s="939"/>
      <c r="F855" s="238" t="str">
        <f ca="1">IF(B847="Лікар-педіатр",Законод!$G$17,IF(B847="Лікар загальної практики - сімейний лікар",Законод!$G$21,IF(B847="Лікар-терапевт",Законод!$G$25,"х")))</f>
        <v>х</v>
      </c>
      <c r="G855" s="935" t="s">
        <v>423</v>
      </c>
      <c r="H855" s="936"/>
      <c r="I855" s="936"/>
      <c r="J855" s="936"/>
      <c r="K855" s="937"/>
      <c r="L855" s="196">
        <f ca="1">IF($B$847="Лікар загальної практики - сімейний лікар",IF(L851&lt;Законод!$C$22,0,(IF(AND(L851&gt;=Законод!$G$22,L851&lt;=Законод!$G$23),L851-Законод!$F$23,IF('01_Доходи'!L851&gt;=Законод!$H$22,Законод!$G$24,0)))),IF($B$847="Лікар-педіатр",IF(L851&lt;Законод!$C$18,0,(IF(AND(L851&gt;=Законод!$G$18,L851&lt;=Законод!$G$19),L851-Законод!$F$19,IF('01_Доходи'!L851&gt;=Законод!$H$18,Законод!$G$20,0)))),IF($B$847="Лікар-терапевт",IF(L851&lt;Законод!$C$26,0,(IF(AND(L851&gt;=Законод!$G$26,L851&lt;=Законод!$G$27),L851-Законод!$F$27,IF('01_Доходи'!L851&gt;=Законод!$H$26,Законод!$G$28,0)))),0)))</f>
        <v>0</v>
      </c>
      <c r="M855" s="942"/>
      <c r="N855" s="935" t="s">
        <v>423</v>
      </c>
      <c r="O855" s="936"/>
      <c r="P855" s="936"/>
      <c r="Q855" s="936"/>
      <c r="R855" s="937"/>
      <c r="S855" s="196">
        <f ca="1">IF($B$847="Лікар загальної практики - сімейний лікар",IF(S851&lt;Законод!$C$22,0,(IF(AND(S851&gt;=Законод!$G$22,S851&lt;=Законод!$G$23),S851-Законод!$F$23,IF('01_Доходи'!S851&gt;=Законод!$H$22,Законод!$G$24,0)))),IF($B$847="Лікар-педіатр",IF(S851&lt;Законод!$C$18,0,(IF(AND(S851&gt;=Законод!$G$18,S851&lt;=Законод!$G$19),S851-Законод!$F$19,IF('01_Доходи'!S851&gt;=Законод!$H$18,Законод!$G$20,0)))),IF($B$847="Лікар-терапевт",IF(S851&lt;Законод!$C$26,0,(IF(AND(S851&gt;=Законод!$G$26,S851&lt;=Законод!$G$27),S851-Законод!$F$27,IF('01_Доходи'!S851&gt;=Законод!$H$26,Законод!$G$28,0)))),0)))</f>
        <v>0</v>
      </c>
      <c r="T855" s="942"/>
      <c r="U855" s="935" t="s">
        <v>423</v>
      </c>
      <c r="V855" s="936"/>
      <c r="W855" s="936"/>
      <c r="X855" s="936"/>
      <c r="Y855" s="937"/>
      <c r="Z855" s="196">
        <f ca="1">IF($B$847="Лікар загальної практики - сімейний лікар",IF(Z851&lt;Законод!$C$22,0,(IF(AND(Z851&gt;=Законод!$G$22,Z851&lt;=Законод!$G$23),Z851-Законод!$F$23,IF('01_Доходи'!Z851&gt;=Законод!$H$22,Законод!$G$24,0)))),IF($B$847="Лікар-педіатр",IF(Z851&lt;Законод!$C$18,0,(IF(AND(Z851&gt;=Законод!$G$18,Z851&lt;=Законод!$G$19),Z851-Законод!$F$19,IF('01_Доходи'!Z851&gt;=Законод!$H$18,Законод!$G$20,0)))),IF($B$847="Лікар-терапевт",IF(Z851&lt;Законод!$C$26,0,(IF(AND(Z851&gt;=Законод!$G$26,Z851&lt;=Законод!$G$27),Z851-Законод!$F$27,IF('01_Доходи'!Z851&gt;=Законод!$H$26,Законод!$G$28,0)))),0)))</f>
        <v>0</v>
      </c>
      <c r="AA855" s="942"/>
      <c r="AB855" s="935" t="s">
        <v>423</v>
      </c>
      <c r="AC855" s="936"/>
      <c r="AD855" s="936"/>
      <c r="AE855" s="936"/>
      <c r="AF855" s="937"/>
      <c r="AG855" s="196">
        <f ca="1">IF($B$847="Лікар загальної практики - сімейний лікар",IF(AG851&lt;Законод!$C$22,0,(IF(AND(AG851&gt;=Законод!$G$22,AG851&lt;=Законод!$G$23),AG851-Законод!$F$23,IF('01_Доходи'!AG851&gt;=Законод!$H$22,Законод!$G$24,0)))),IF($B$847="Лікар-педіатр",IF(AG851&lt;Законод!$C$18,0,(IF(AND(AG851&gt;=Законод!$G$18,AG851&lt;=Законод!$G$19),AG851-Законод!$F$19,IF('01_Доходи'!AG851&gt;=Законод!$H$18,Законод!$G$20,0)))),IF($B$847="Лікар-терапевт",IF(AG851&lt;Законод!$C$26,0,(IF(AND(AG851&gt;=Законод!$G$26,AG851&lt;=Законод!$G$27),AG851-Законод!$F$27,IF('01_Доходи'!AG851&gt;=Законод!$H$26,Законод!$G$28,0)))),0)))</f>
        <v>0</v>
      </c>
      <c r="AH855" s="942"/>
      <c r="AI855" s="201"/>
      <c r="AJ855" s="945"/>
      <c r="AK855" s="960"/>
      <c r="AL855" s="960"/>
      <c r="AM855" s="927"/>
      <c r="AN855" s="210">
        <f ca="1">IF(B847="Лікар загальної практики - сімейний лікар",L855*Законод!$C$9/4*Законод!$G$16,IF(B847="Лікар-педіатр",L855*Законод!$C$9/4*Законод!$G$16,IF(B847="Лікар-терапевт",L855*Законод!$C$9/4*Законод!$G$16,0)))</f>
        <v>0</v>
      </c>
      <c r="AO855" s="210">
        <f ca="1">IF(B847="Лікар загальної практики - сімейний лікар",S855*Законод!$C$9/4*Законод!$G$16,IF(B847="Лікар-педіатр",S855*Законод!$C$9/4*Законод!$G$16,IF(B847="Лікар-терапевт",S855*Законод!$C$9/4*Законод!$G$16,0)))</f>
        <v>0</v>
      </c>
      <c r="AP855" s="210">
        <f ca="1">IF(B847="Лікар загальної практики - сімейний лікар",Z855*Законод!$C$9/4*Законод!$G$16,IF(B847="Лікар-педіатр",Z855*Законод!$C$9/4*Законод!$G$16,IF(B847="Лікар-терапевт",Z855*Законод!$C$9/4*Законод!$G$16,0)))</f>
        <v>0</v>
      </c>
      <c r="AQ855" s="210">
        <f ca="1">IF(B847="Лікар загальної практики - сімейний лікар",AG855*Законод!$C$9/4*Законод!$G$16,IF(B847="Лікар-педіатр",AG855*Законод!$C$9/4*Законод!$G$16,IF(B847="Лікар-терапевт",AG855*Законод!$C$9/4*Законод!$G$16,0)))</f>
        <v>0</v>
      </c>
      <c r="AR855" s="211">
        <f t="shared" si="105"/>
        <v>0</v>
      </c>
    </row>
    <row r="856" spans="1:44" s="50" customFormat="1" ht="31.9" hidden="1" customHeight="1">
      <c r="A856" s="197"/>
      <c r="B856" s="951"/>
      <c r="C856" s="954"/>
      <c r="D856" s="957"/>
      <c r="E856" s="939"/>
      <c r="F856" s="238" t="str">
        <f ca="1">IF(B847="Лікар-педіатр",Законод!$H$17,IF(B847="Лікар загальної практики - сімейний лікар",Законод!$H$21,IF(B847="Лікар-терапевт",Законод!$H$25,"х")))</f>
        <v>х</v>
      </c>
      <c r="G856" s="935" t="s">
        <v>423</v>
      </c>
      <c r="H856" s="936"/>
      <c r="I856" s="936"/>
      <c r="J856" s="936"/>
      <c r="K856" s="937"/>
      <c r="L856" s="196">
        <f ca="1">IF($B$847="Лікар загальної практики - сімейний лікар",IF(L851&lt;Законод!$C$22,0,(IF(AND(L851&gt;=Законод!$H$22,L851&lt;=Законод!$H$23),L851-Законод!$G$23,IF('01_Доходи'!L851&gt;=Законод!$I$22,Законод!$H$24,0)))),IF($B$847="Лікар-педіатр",IF(L851&lt;Законод!$C$18,0,(IF(AND(L851&gt;=Законод!$H$18,L851&lt;=Законод!$H$19),L851-Законод!$G$19,IF('01_Доходи'!L851&gt;=Законод!$I$18,Законод!$H$20,0)))),IF($B$847="Лікар-терапевт",IF(L851&lt;Законод!$C$26,0,(IF(AND(L851&gt;=Законод!$H$26,L851&lt;=Законод!$H$27),L851-Законод!$G$27,IF(L851&gt;=Законод!$I$26,Законод!$H$28,0)))),0)))</f>
        <v>0</v>
      </c>
      <c r="M856" s="942"/>
      <c r="N856" s="935" t="s">
        <v>423</v>
      </c>
      <c r="O856" s="936"/>
      <c r="P856" s="936"/>
      <c r="Q856" s="936"/>
      <c r="R856" s="937"/>
      <c r="S856" s="196">
        <f ca="1">IF($B$847="Лікар загальної практики - сімейний лікар",IF(S851&lt;Законод!$C$22,0,(IF(AND(S851&gt;=Законод!$H$22,S851&lt;=Законод!$H$23),S851-Законод!$G$23,IF('01_Доходи'!S851&gt;=Законод!$I$22,Законод!$H$24,0)))),IF($B$847="Лікар-педіатр",IF(S851&lt;Законод!$C$18,0,(IF(AND(S851&gt;=Законод!$H$18,S851&lt;=Законод!$H$19),S851-Законод!$G$19,IF('01_Доходи'!S851&gt;=Законод!$I$18,Законод!$H$20,0)))),IF($B$847="Лікар-терапевт",IF(S851&lt;Законод!$C$26,0,(IF(AND(S851&gt;=Законод!$H$26,S851&lt;=Законод!$H$27),S851-Законод!$G$27,IF(S851&gt;=Законод!$I$26,Законод!$H$28,0)))),0)))</f>
        <v>0</v>
      </c>
      <c r="T856" s="942"/>
      <c r="U856" s="935" t="s">
        <v>423</v>
      </c>
      <c r="V856" s="936"/>
      <c r="W856" s="936"/>
      <c r="X856" s="936"/>
      <c r="Y856" s="937"/>
      <c r="Z856" s="196">
        <f ca="1">IF($B$847="Лікар загальної практики - сімейний лікар",IF(Z851&lt;Законод!$C$22,0,(IF(AND(Z851&gt;=Законод!$H$22,Z851&lt;=Законод!$H$23),Z851-Законод!$G$23,IF('01_Доходи'!Z851&gt;=Законод!$I$22,Законод!$H$24,0)))),IF($B$847="Лікар-педіатр",IF(Z851&lt;Законод!$C$18,0,(IF(AND(Z851&gt;=Законод!$H$18,Z851&lt;=Законод!$H$19),Z851-Законод!$G$19,IF('01_Доходи'!Z851&gt;=Законод!$I$18,Законод!$H$20,0)))),IF($B$847="Лікар-терапевт",IF(Z851&lt;Законод!$C$26,0,(IF(AND(Z851&gt;=Законод!$H$26,Z851&lt;=Законод!$H$27),Z851-Законод!$G$27,IF(Z851&gt;=Законод!$I$26,Законод!$H$28,0)))),0)))</f>
        <v>0</v>
      </c>
      <c r="AA856" s="942"/>
      <c r="AB856" s="935" t="s">
        <v>423</v>
      </c>
      <c r="AC856" s="936"/>
      <c r="AD856" s="936"/>
      <c r="AE856" s="936"/>
      <c r="AF856" s="937"/>
      <c r="AG856" s="196">
        <f ca="1">IF($B$847="Лікар загальної практики - сімейний лікар",IF(AG851&lt;Законод!$C$22,0,(IF(AND(AG851&gt;=Законод!$H$22,AG851&lt;=Законод!$H$23),AG851-Законод!$G$23,IF('01_Доходи'!AG851&gt;=Законод!$I$22,Законод!$H$24,0)))),IF($B$847="Лікар-педіатр",IF(AG851&lt;Законод!$C$18,0,(IF(AND(AG851&gt;=Законод!$H$18,AG851&lt;=Законод!$H$19),AG851-Законод!$G$19,IF('01_Доходи'!AG851&gt;=Законод!$I$18,Законод!$H$20,0)))),IF($B$847="Лікар-терапевт",IF(AG851&lt;Законод!$C$26,0,(IF(AND(AG851&gt;=Законод!$H$26,AG851&lt;=Законод!$H$27),AG851-Законод!$G$27,IF(AG851&gt;=Законод!$I$26,Законод!$H$28,0)))),0)))</f>
        <v>0</v>
      </c>
      <c r="AH856" s="942"/>
      <c r="AI856" s="201"/>
      <c r="AJ856" s="945"/>
      <c r="AK856" s="960"/>
      <c r="AL856" s="960"/>
      <c r="AM856" s="927"/>
      <c r="AN856" s="210">
        <f ca="1">IF(B847="Лікар загальної практики - сімейний лікар",L856*Законод!$C$9/4*Законод!$H$16,IF(B847="Лікар-педіатр",L856*Законод!$C$9/4*Законод!$H$16,IF(B847="Лікар-терапевт",L856*Законод!$C$9/4*Законод!$H$16,0)))</f>
        <v>0</v>
      </c>
      <c r="AO856" s="210">
        <f ca="1">IF(B847="Лікар загальної практики - сімейний лікар",S856*Законод!$C$9/4*Законод!$H$16,IF(B847="Лікар-педіатр",S856*Законод!$C$9/4*Законод!$H$16,IF(B847="Лікар-терапевт",S856*Законод!$C$9/4*Законод!$H$16,0)))</f>
        <v>0</v>
      </c>
      <c r="AP856" s="210">
        <f ca="1">IF(B847="Лікар загальної практики - сімейний лікар",Z856*Законод!$C$9/4*Законод!$H$16,IF(B847="Лікар-педіатр",Z856*Законод!$C$9/4*Законод!$H$16,IF(B847="Лікар-терапевт",Z856*Законод!$C$9/4*Законод!$H$16,0)))</f>
        <v>0</v>
      </c>
      <c r="AQ856" s="210">
        <f ca="1">IF(B847="Лікар загальної практики - сімейний лікар",AG856*Законод!$C$9/4*Законод!$H$16,IF(B847="Лікар-педіатр",AG856*Законод!$C$9/4*Законод!$H$16,IF(B847="Лікар-терапевт",AG856*Законод!$C$9/4*Законод!$H$16,0)))</f>
        <v>0</v>
      </c>
      <c r="AR856" s="211">
        <f t="shared" si="105"/>
        <v>0</v>
      </c>
    </row>
    <row r="857" spans="1:44" s="50" customFormat="1" ht="31.9" hidden="1" customHeight="1">
      <c r="A857" s="197"/>
      <c r="B857" s="951"/>
      <c r="C857" s="954"/>
      <c r="D857" s="957"/>
      <c r="E857" s="939"/>
      <c r="F857" s="238" t="str">
        <f ca="1">IF(B847="Лікар-педіатр",Законод!$I$17,IF(B847="Лікар загальної практики - сімейний лікар",Законод!$I$21,IF(B847="Лікар-терапевт",Законод!$I$25,"х")))</f>
        <v>х</v>
      </c>
      <c r="G857" s="935" t="s">
        <v>423</v>
      </c>
      <c r="H857" s="936"/>
      <c r="I857" s="936"/>
      <c r="J857" s="936"/>
      <c r="K857" s="937"/>
      <c r="L857" s="196">
        <f ca="1">IF($B$847="Лікар загальної практики - сімейний лікар",IF(L851&lt;Законод!$C$22,0,(IF(AND(L851&gt;=Законод!$I$22,L851&lt;=Законод!$I$23),L851-Законод!$H$23,IF('01_Доходи'!L851&gt;=Законод!$I$22,Законод!$I$24,0)))),IF($B$847="Лікар-педіатр",IF(L851&lt;Законод!$C$18,0,(IF(AND(L851&gt;=Законод!$I$18,L851&lt;=Законод!$I$19),L851-Законод!$H$19,IF('01_Доходи'!L851&gt;=Законод!$I$18,Законод!$H$20,0)))),IF($B$847="Лікар-терапевт",IF(L851&lt;Законод!$C$26,0,(IF(AND(L851&gt;=Законод!$I$26,L851&lt;=Законод!$I$27),L851-Законод!$H$27,IF('01_Доходи'!L851&gt;=Законод!$I$26,Законод!$H$28,0)))),0)))</f>
        <v>0</v>
      </c>
      <c r="M857" s="942"/>
      <c r="N857" s="935" t="s">
        <v>423</v>
      </c>
      <c r="O857" s="936"/>
      <c r="P857" s="936"/>
      <c r="Q857" s="936"/>
      <c r="R857" s="937"/>
      <c r="S857" s="196">
        <f ca="1">IF($B$847="Лікар загальної практики - сімейний лікар",IF(S851&lt;Законод!$C$22,0,(IF(AND(S851&gt;=Законод!$I$22,S851&lt;=Законод!$I$23),S851-Законод!$H$23,IF('01_Доходи'!S851&gt;=Законод!$I$22,Законод!$I$24,0)))),IF($B$847="Лікар-педіатр",IF(S851&lt;Законод!$C$18,0,(IF(AND(S851&gt;=Законод!$I$18,S851&lt;=Законод!$I$19),S851-Законод!$H$19,IF('01_Доходи'!S851&gt;=Законод!$I$18,Законод!$H$20,0)))),IF($B$847="Лікар-терапевт",IF(S851&lt;Законод!$C$26,0,(IF(AND(S851&gt;=Законод!$I$26,S851&lt;=Законод!$I$27),S851-Законод!$H$27,IF('01_Доходи'!S851&gt;=Законод!$I$26,Законод!$H$28,0)))),0)))</f>
        <v>0</v>
      </c>
      <c r="T857" s="942"/>
      <c r="U857" s="935" t="s">
        <v>423</v>
      </c>
      <c r="V857" s="936"/>
      <c r="W857" s="936"/>
      <c r="X857" s="936"/>
      <c r="Y857" s="937"/>
      <c r="Z857" s="196">
        <f ca="1">IF($B$847="Лікар загальної практики - сімейний лікар",IF(Z851&lt;Законод!$C$22,0,(IF(AND(Z851&gt;=Законод!$I$22,Z851&lt;=Законод!$I$23),Z851-Законод!$H$23,IF('01_Доходи'!Z851&gt;=Законод!$I$22,Законод!$I$24,0)))),IF($B$847="Лікар-педіатр",IF(Z851&lt;Законод!$C$18,0,(IF(AND(Z851&gt;=Законод!$I$18,Z851&lt;=Законод!$I$19),Z851-Законод!$H$19,IF('01_Доходи'!Z851&gt;=Законод!$I$18,Законод!$H$20,0)))),IF($B$847="Лікар-терапевт",IF(Z851&lt;Законод!$C$26,0,(IF(AND(Z851&gt;=Законод!$I$26,Z851&lt;=Законод!$I$27),Z851-Законод!$H$27,IF('01_Доходи'!Z851&gt;=Законод!$I$26,Законод!$H$28,0)))),0)))</f>
        <v>0</v>
      </c>
      <c r="AA857" s="942"/>
      <c r="AB857" s="935" t="s">
        <v>423</v>
      </c>
      <c r="AC857" s="936"/>
      <c r="AD857" s="936"/>
      <c r="AE857" s="936"/>
      <c r="AF857" s="937"/>
      <c r="AG857" s="196">
        <f ca="1">IF($B$847="Лікар загальної практики - сімейний лікар",IF(AG851&lt;Законод!$C$22,0,(IF(AND(AG851&gt;=Законод!$I$22,AG851&lt;=Законод!$I$23),AG851-Законод!$H$23,IF('01_Доходи'!AG851&gt;=Законод!$I$22,Законод!$I$24,0)))),IF($B$847="Лікар-педіатр",IF(AG851&lt;Законод!$C$18,0,(IF(AND(AG851&gt;=Законод!$I$18,AG851&lt;=Законод!$I$19),AG851-Законод!$H$19,IF('01_Доходи'!AG851&gt;=Законод!$I$18,Законод!$H$20,0)))),IF($B$847="Лікар-терапевт",IF(AG851&lt;Законод!$C$26,0,(IF(AND(AG851&gt;=Законод!$I$26,AG851&lt;=Законод!$I$27),AG851-Законод!$H$27,IF('01_Доходи'!AG851&gt;=Законод!$I$26,Законод!$H$28,0)))),0)))</f>
        <v>0</v>
      </c>
      <c r="AH857" s="942"/>
      <c r="AI857" s="201"/>
      <c r="AJ857" s="945"/>
      <c r="AK857" s="960"/>
      <c r="AL857" s="960"/>
      <c r="AM857" s="927"/>
      <c r="AN857" s="210">
        <f ca="1">IF(B847="Лікар загальної практики - сімейний лікар",L857*Законод!$C$9/4*Законод!$I$16,IF(B847="Лікар-педіатр",L857*Законод!$C$9/4*Законод!$I$16,IF(B847="Лікар-терапевт",L857*Законод!$C$9/4*Законод!$I$16,0)))</f>
        <v>0</v>
      </c>
      <c r="AO857" s="210">
        <f ca="1">IF(B847="Лікар загальної практики - сімейний лікар",S857*Законод!$C$9/4*Законод!$I$16,IF(B847="Лікар-педіатр",S857*Законод!$C$9/4*Законод!$I$16,IF(B847="Лікар-терапевт",S857*Законод!$C$9/4*Законод!$I$16,0)))</f>
        <v>0</v>
      </c>
      <c r="AP857" s="210">
        <f ca="1">IF(B847="Лікар загальної практики - сімейний лікар",Z857*Законод!$C$9/4*Законод!$I$16,IF(B847="Лікар-педіатр",Z857*Законод!$C$9/4*Законод!$I$16,IF(B847="Лікар-терапевт",Z857*Законод!$C$9/4*Законод!$I$16,0)))</f>
        <v>0</v>
      </c>
      <c r="AQ857" s="210">
        <f ca="1">IF(B847="Лікар загальної практики - сімейний лікар",AG857*Законод!$C$9/4*Законод!$I$16,IF(B847="Лікар-педіатр",AG857*Законод!$C$9/4*Законод!$I$16,IF(B847="Лікар-терапевт",AG857*Законод!$C$9/4*Законод!$I$16,0)))</f>
        <v>0</v>
      </c>
      <c r="AR857" s="211">
        <f t="shared" si="105"/>
        <v>0</v>
      </c>
    </row>
    <row r="858" spans="1:44" s="218" customFormat="1" ht="31.9" hidden="1" customHeight="1" thickBot="1">
      <c r="A858" s="213"/>
      <c r="B858" s="952"/>
      <c r="C858" s="955"/>
      <c r="D858" s="958"/>
      <c r="E858" s="940"/>
      <c r="F858" s="239" t="str">
        <f ca="1">IF(B847="Лікар-педіатр",Законод!$J$17,IF(B847="Лікар загальної практики - сімейний лікар",Законод!$J$21,IF(B847="Лікар-терапевт",Законод!$J$25,"х")))</f>
        <v>х</v>
      </c>
      <c r="G858" s="932" t="s">
        <v>423</v>
      </c>
      <c r="H858" s="933"/>
      <c r="I858" s="933"/>
      <c r="J858" s="933"/>
      <c r="K858" s="934"/>
      <c r="L858" s="196">
        <f ca="1">IF($B$847="Лікар загальної практики - сімейний лікар",IF(L851&gt;=Законод!$J$22,'01_Доходи'!L851-('01_Доходи'!L852+'01_Доходи'!L853+'01_Доходи'!L854+'01_Доходи'!L855+'01_Доходи'!L856+'01_Доходи'!L857),0),IF($B$847="Лікар-педіатр",IF(L851&gt;=Законод!$J$18,'01_Доходи'!L851-('01_Доходи'!L852+'01_Доходи'!L853+'01_Доходи'!L854+'01_Доходи'!L855+'01_Доходи'!L856+'01_Доходи'!L857),0),IF($B$847="Лікар-терапевт",IF('01_Доходи'!L851&gt;=Законод!$J$26,L851-Законод!$I$27,0),0)))</f>
        <v>0</v>
      </c>
      <c r="M858" s="943"/>
      <c r="N858" s="932" t="s">
        <v>423</v>
      </c>
      <c r="O858" s="933"/>
      <c r="P858" s="933"/>
      <c r="Q858" s="933"/>
      <c r="R858" s="934"/>
      <c r="S858" s="196">
        <f ca="1">IF($B$847="Лікар загальної практики - сімейний лікар",IF(S851&gt;=Законод!$J$22,'01_Доходи'!S851-('01_Доходи'!S852+'01_Доходи'!S853+'01_Доходи'!S854+'01_Доходи'!S855+'01_Доходи'!S856+'01_Доходи'!S857),0),IF($B$847="Лікар-педіатр",IF(S851&gt;=Законод!$J$18,'01_Доходи'!S851-('01_Доходи'!S852+'01_Доходи'!S853+'01_Доходи'!S854+'01_Доходи'!S855+'01_Доходи'!S856+'01_Доходи'!S857),0),IF($B$847="Лікар-терапевт",IF('01_Доходи'!S851&gt;=Законод!$J$26,S851-Законод!$I$27,0),0)))</f>
        <v>0</v>
      </c>
      <c r="T858" s="943"/>
      <c r="U858" s="932" t="s">
        <v>423</v>
      </c>
      <c r="V858" s="933"/>
      <c r="W858" s="933"/>
      <c r="X858" s="933"/>
      <c r="Y858" s="934"/>
      <c r="Z858" s="196">
        <f ca="1">IF($B$847="Лікар загальної практики - сімейний лікар",IF(Z851&gt;=Законод!$J$22,'01_Доходи'!Z851-('01_Доходи'!Z852+'01_Доходи'!Z853+'01_Доходи'!Z854+'01_Доходи'!Z855+'01_Доходи'!Z856+'01_Доходи'!Z857),0),IF($B$847="Лікар-педіатр",IF(Z851&gt;=Законод!$J$18,'01_Доходи'!Z851-('01_Доходи'!Z852+'01_Доходи'!Z853+'01_Доходи'!Z854+'01_Доходи'!Z855+'01_Доходи'!Z856+'01_Доходи'!Z857),0),IF($B$847="Лікар-терапевт",IF('01_Доходи'!Z851&gt;=Законод!$J$26,Z851-Законод!$I$27,0),0)))</f>
        <v>0</v>
      </c>
      <c r="AA858" s="943"/>
      <c r="AB858" s="932" t="s">
        <v>423</v>
      </c>
      <c r="AC858" s="933"/>
      <c r="AD858" s="933"/>
      <c r="AE858" s="933"/>
      <c r="AF858" s="934"/>
      <c r="AG858" s="196">
        <f ca="1">IF($B$847="Лікар загальної практики - сімейний лікар",IF(AG851&gt;=Законод!$J$22,'01_Доходи'!AG851-('01_Доходи'!AG852+'01_Доходи'!AG853+'01_Доходи'!AG854+'01_Доходи'!AG855+'01_Доходи'!AG856+'01_Доходи'!AG857),0),IF($B$847="Лікар-педіатр",IF(AG851&gt;=Законод!$J$18,'01_Доходи'!AG851-('01_Доходи'!AG852+'01_Доходи'!AG853+'01_Доходи'!AG854+'01_Доходи'!AG855+'01_Доходи'!AG856+'01_Доходи'!AG857),0),IF($B$847="Лікар-терапевт",IF('01_Доходи'!AG851&gt;=Законод!$J$26,AG851-Законод!$I$27,0),0)))</f>
        <v>0</v>
      </c>
      <c r="AH858" s="943"/>
      <c r="AI858" s="215"/>
      <c r="AJ858" s="946"/>
      <c r="AK858" s="961"/>
      <c r="AL858" s="961"/>
      <c r="AM858" s="928"/>
      <c r="AN858" s="216">
        <f ca="1">IF(B847="Лікар загальної практики - сімейний лікар",L858*Законод!$C$9/4*Законод!$J$16,IF(B847="Лікар-педіатр",L858*Законод!$C$9/4*Законод!$J$16,IF(B847="Лікар-терапевт",L858*Законод!$C$9/4*Законод!$J$16,0)))</f>
        <v>0</v>
      </c>
      <c r="AO858" s="216">
        <f ca="1">IF(B847="Лікар загальної практики - сімейний лікар",S858*Законод!$C$9/4*Законод!$J$16,IF(B847="Лікар-педіатр",S858*Законод!$C$9/4*Законод!$J$16,IF(B847="Лікар-терапевт",S858*Законод!$C$9/4*Законод!$J$16,0)))</f>
        <v>0</v>
      </c>
      <c r="AP858" s="216">
        <f ca="1">IF(B847="Лікар загальної практики - сімейний лікар",S858*Законод!$C$9/4*Законод!$J$16,IF(B847="Лікар-педіатр",S858*Законод!$C$9/4*Законод!$J$16,IF(B847="Лікар-терапевт",S858*Законод!$C$9/4*Законод!$J$16,0)))</f>
        <v>0</v>
      </c>
      <c r="AQ858" s="216">
        <f ca="1">IF(B847="Лікар загальної практики - сімейний лікар",AG858*Законод!$C$9/4*Законод!$J$16,IF(B847="Лікар-педіатр",AG858*Законод!$C$9/4*Законод!$J$16,IF(B847="Лікар-терапевт",AG858*Законод!$C$9/4*Законод!$J$16,0)))</f>
        <v>0</v>
      </c>
      <c r="AR858" s="217">
        <f t="shared" si="105"/>
        <v>0</v>
      </c>
    </row>
    <row r="859" spans="1:44" s="247" customFormat="1" ht="23.45" hidden="1" customHeight="1" thickBot="1">
      <c r="A859" s="243"/>
      <c r="B859" s="244"/>
      <c r="C859" s="244"/>
      <c r="D859" s="244"/>
      <c r="E859" s="244"/>
      <c r="F859" s="245"/>
      <c r="G859" s="246"/>
      <c r="H859" s="246"/>
      <c r="L859" s="248"/>
      <c r="S859" s="248"/>
      <c r="Z859" s="248"/>
      <c r="AG859" s="248"/>
      <c r="AM859" s="249"/>
      <c r="AR859" s="250"/>
    </row>
    <row r="860" spans="1:44" s="191" customFormat="1" ht="24.6" hidden="1" customHeight="1">
      <c r="A860" s="194">
        <f>A847+1</f>
        <v>64</v>
      </c>
      <c r="B860" s="950"/>
      <c r="C860" s="953"/>
      <c r="D860" s="956"/>
      <c r="E860" s="938"/>
      <c r="F860" s="234" t="s">
        <v>659</v>
      </c>
      <c r="G860" s="196">
        <f>IF($B$860="Лікар-педіатр",G863*L860,IF($B$860="Лікар-терапевт","х",IF($B$860="Лікар загальної практики - сімейний лікар",G863*L860,0)))</f>
        <v>0</v>
      </c>
      <c r="H860" s="196">
        <f>IF($B$860="Лікар-педіатр",H863*L860,IF($B$860="Лікар-терапевт","х",IF($B$860="Лікар загальної практики - сімейний лікар",H863*L860,0)))</f>
        <v>0</v>
      </c>
      <c r="I860" s="196">
        <f>IF($B$860="Лікар-педіатр","x",IF($B$860="Лікар-терапевт",I863*L860,IF($B$860="Лікар загальної практики - сімейний лікар",I863*L860,0)))</f>
        <v>0</v>
      </c>
      <c r="J860" s="196">
        <f>IF($B$860="Лікар-педіатр","x",IF($B$860="Лікар-терапевт",J863*L860,IF($B$860="Лікар загальної практики - сімейний лікар",J863*L860,0)))</f>
        <v>0</v>
      </c>
      <c r="K860" s="196">
        <f>IF($B$860="Лікар-педіатр","x",IF($B$860="Лікар-терапевт",K863*L860,IF($B$860="Лікар загальної практики - сімейний лікар",K863*L860,0)))</f>
        <v>0</v>
      </c>
      <c r="L860" s="557"/>
      <c r="M860" s="941"/>
      <c r="N860" s="196">
        <f>IF($B$860="Лікар-педіатр",N863*S860,IF($B$860="Лікар-терапевт","х",IF($B$860="Лікар загальної практики - сімейний лікар",N863*S860,0)))</f>
        <v>0</v>
      </c>
      <c r="O860" s="196">
        <f>IF($B$860="Лікар-педіатр",O863*S860,IF($B$860="Лікар-терапевт","х",IF($B$860="Лікар загальної практики - сімейний лікар",O863*S860,0)))</f>
        <v>0</v>
      </c>
      <c r="P860" s="196">
        <f>IF($B$860="Лікар-педіатр","x",IF($B$860="Лікар-терапевт",P863*S860,IF($B$860="Лікар загальної практики - сімейний лікар",P863*S860,0)))</f>
        <v>0</v>
      </c>
      <c r="Q860" s="196">
        <f>IF($B$860="Лікар-педіатр","x",IF($B$860="Лікар-терапевт",Q863*S860,IF($B$860="Лікар загальної практики - сімейний лікар",Q863*S860,0)))</f>
        <v>0</v>
      </c>
      <c r="R860" s="196">
        <f>IF($B$860="Лікар-педіатр","x",IF($B$860="Лікар-терапевт",R863*S860,IF($B$860="Лікар загальної практики - сімейний лікар",R863*S860,0)))</f>
        <v>0</v>
      </c>
      <c r="S860" s="557"/>
      <c r="T860" s="941"/>
      <c r="U860" s="196">
        <f>IF($B$860="Лікар-педіатр",U863*Z860,IF($B$860="Лікар-терапевт","х",IF($B$860="Лікар загальної практики - сімейний лікар",U863*Z860,0)))</f>
        <v>0</v>
      </c>
      <c r="V860" s="196">
        <f>IF($B$860="Лікар-педіатр",V863*Z860,IF($B$860="Лікар-терапевт","х",IF($B$860="Лікар загальної практики - сімейний лікар",V863*Z860,0)))</f>
        <v>0</v>
      </c>
      <c r="W860" s="196">
        <f>IF($B$860="Лікар-педіатр","x",IF($B$860="Лікар-терапевт",W863*Z860,IF($B$860="Лікар загальної практики - сімейний лікар",W863*Z860,0)))</f>
        <v>0</v>
      </c>
      <c r="X860" s="196">
        <f>IF($B$860="Лікар-педіатр","x",IF($B$860="Лікар-терапевт",X863*Z860,IF($B$860="Лікар загальної практики - сімейний лікар",X863*Z860,0)))</f>
        <v>0</v>
      </c>
      <c r="Y860" s="196">
        <f>IF($B$860="Лікар-педіатр","x",IF($B$860="Лікар-терапевт",Y863*Z860,IF($B$860="Лікар загальної практики - сімейний лікар",Y863*Z860,0)))</f>
        <v>0</v>
      </c>
      <c r="Z860" s="557"/>
      <c r="AA860" s="941"/>
      <c r="AB860" s="196">
        <f>IF($B$860="Лікар-педіатр",AB863*AG860,IF($B$860="Лікар-терапевт","х",IF($B$860="Лікар загальної практики - сімейний лікар",AB863*AG860,0)))</f>
        <v>0</v>
      </c>
      <c r="AC860" s="196">
        <f>IF($B$860="Лікар-педіатр",AC863*AG860,IF($B$860="Лікар-терапевт","х",IF($B$860="Лікар загальної практики - сімейний лікар",AC863*AG860,0)))</f>
        <v>0</v>
      </c>
      <c r="AD860" s="196">
        <f>IF($B$860="Лікар-педіатр","x",IF($B$860="Лікар-терапевт",AD863*AG860,IF($B$860="Лікар загальної практики - сімейний лікар",AD863*AG860,0)))</f>
        <v>0</v>
      </c>
      <c r="AE860" s="196">
        <f>IF($B$860="Лікар-педіатр","x",IF($B$860="Лікар-терапевт",AE863*AG860,IF($B$860="Лікар загальної практики - сімейний лікар",AE863*AG860,0)))</f>
        <v>0</v>
      </c>
      <c r="AF860" s="196">
        <f>IF($B$860="Лікар-педіатр","x",IF($B$860="Лікар-терапевт",AF863*AG860,IF($B$860="Лікар загальної практики - сімейний лікар",AF863*AG860,0)))</f>
        <v>0</v>
      </c>
      <c r="AG860" s="557"/>
      <c r="AH860" s="941"/>
      <c r="AI860" s="540">
        <f>A860</f>
        <v>64</v>
      </c>
      <c r="AJ860" s="944">
        <f>B860</f>
        <v>0</v>
      </c>
      <c r="AK860" s="959">
        <f>C860</f>
        <v>0</v>
      </c>
      <c r="AL860" s="959">
        <f>D860</f>
        <v>0</v>
      </c>
      <c r="AM860" s="929" t="s">
        <v>79</v>
      </c>
      <c r="AN860" s="947">
        <f>SUM(AN865:AN871)</f>
        <v>0</v>
      </c>
      <c r="AO860" s="947">
        <f>SUM(AO865:AO871)</f>
        <v>0</v>
      </c>
      <c r="AP860" s="947">
        <f>SUM(AP865:AP871)</f>
        <v>0</v>
      </c>
      <c r="AQ860" s="947">
        <f>SUM(AQ865:AQ871)</f>
        <v>0</v>
      </c>
      <c r="AR860" s="962">
        <f>SUM(AN860:AQ864)</f>
        <v>0</v>
      </c>
    </row>
    <row r="861" spans="1:44" s="50" customFormat="1" ht="28.15" hidden="1" customHeight="1">
      <c r="A861" s="197"/>
      <c r="B861" s="951"/>
      <c r="C861" s="954"/>
      <c r="D861" s="957"/>
      <c r="E861" s="939"/>
      <c r="F861" s="234" t="s">
        <v>660</v>
      </c>
      <c r="G861" s="196">
        <f>IF($B$860="Лікар-педіатр",G863*L861,IF($B$860="Лікар-терапевт","х",IF($B$860="Лікар загальної практики - сімейний лікар",G863*L861,0)))</f>
        <v>0</v>
      </c>
      <c r="H861" s="196">
        <f>IF($B$860="Лікар-педіатр",H863*L861,IF($B$860="Лікар-терапевт","х",IF($B$860="Лікар загальної практики - сімейний лікар",H863*L861,0)))</f>
        <v>0</v>
      </c>
      <c r="I861" s="196">
        <f>IF($B$860="Лікар-педіатр","x",IF($B$860="Лікар-терапевт",I863*L861,IF($B$860="Лікар загальної практики - сімейний лікар",I863*L861,0)))</f>
        <v>0</v>
      </c>
      <c r="J861" s="196">
        <f>IF($B$860="Лікар-педіатр","x",IF($B$860="Лікар-терапевт",J863*L861,IF($B$860="Лікар загальної практики - сімейний лікар",J863*L861,0)))</f>
        <v>0</v>
      </c>
      <c r="K861" s="196">
        <f>IF($B$860="Лікар-педіатр","x",IF($B$860="Лікар-терапевт",K863*L861,IF($B$860="Лікар загальної практики - сімейний лікар",K863*L861,0)))</f>
        <v>0</v>
      </c>
      <c r="L861" s="557"/>
      <c r="M861" s="942"/>
      <c r="N861" s="196">
        <f>IF($B$860="Лікар-педіатр",N863*S861,IF($B$860="Лікар-терапевт","х",IF($B$860="Лікар загальної практики - сімейний лікар",N863*S861,0)))</f>
        <v>0</v>
      </c>
      <c r="O861" s="196">
        <f>IF($B$860="Лікар-педіатр",O863*S861,IF($B$860="Лікар-терапевт","х",IF($B$860="Лікар загальної практики - сімейний лікар",O863*S861,0)))</f>
        <v>0</v>
      </c>
      <c r="P861" s="196">
        <f>IF($B$860="Лікар-педіатр","x",IF($B$860="Лікар-терапевт",P863*S861,IF($B$860="Лікар загальної практики - сімейний лікар",P863*S861,0)))</f>
        <v>0</v>
      </c>
      <c r="Q861" s="196">
        <f>IF($B$860="Лікар-педіатр","x",IF($B$860="Лікар-терапевт",Q863*S861,IF($B$860="Лікар загальної практики - сімейний лікар",Q863*S861,0)))</f>
        <v>0</v>
      </c>
      <c r="R861" s="196">
        <f>IF($B$860="Лікар-педіатр","x",IF($B$860="Лікар-терапевт",R863*S861,IF($B$860="Лікар загальної практики - сімейний лікар",R863*S861,0)))</f>
        <v>0</v>
      </c>
      <c r="S861" s="557"/>
      <c r="T861" s="942"/>
      <c r="U861" s="196">
        <f>IF($B$860="Лікар-педіатр",U863*Z861,IF($B$860="Лікар-терапевт","х",IF($B$860="Лікар загальної практики - сімейний лікар",U863*Z861,0)))</f>
        <v>0</v>
      </c>
      <c r="V861" s="196">
        <f>IF($B$860="Лікар-педіатр",V863*Z861,IF($B$860="Лікар-терапевт","х",IF($B$860="Лікар загальної практики - сімейний лікар",V863*Z861,0)))</f>
        <v>0</v>
      </c>
      <c r="W861" s="196">
        <f>IF($B$860="Лікар-педіатр","x",IF($B$860="Лікар-терапевт",W863*Z861,IF($B$860="Лікар загальної практики - сімейний лікар",W863*Z861,0)))</f>
        <v>0</v>
      </c>
      <c r="X861" s="196">
        <f>IF($B$860="Лікар-педіатр","x",IF($B$860="Лікар-терапевт",X863*Z861,IF($B$860="Лікар загальної практики - сімейний лікар",X863*Z861,0)))</f>
        <v>0</v>
      </c>
      <c r="Y861" s="196">
        <f>IF($B$860="Лікар-педіатр","x",IF($B$860="Лікар-терапевт",Y863*Z861,IF($B$860="Лікар загальної практики - сімейний лікар",Y863*Z861,0)))</f>
        <v>0</v>
      </c>
      <c r="Z861" s="557"/>
      <c r="AA861" s="942"/>
      <c r="AB861" s="196">
        <f>IF($B$860="Лікар-педіатр",AB863*AG861,IF($B$860="Лікар-терапевт","х",IF($B$860="Лікар загальної практики - сімейний лікар",AB863*AG861,0)))</f>
        <v>0</v>
      </c>
      <c r="AC861" s="196">
        <f>IF($B$860="Лікар-педіатр",AC863*AG861,IF($B$860="Лікар-терапевт","х",IF($B$860="Лікар загальної практики - сімейний лікар",AC863*AG861,0)))</f>
        <v>0</v>
      </c>
      <c r="AD861" s="196">
        <f>IF($B$860="Лікар-педіатр","x",IF($B$860="Лікар-терапевт",AD863*AG861,IF($B$860="Лікар загальної практики - сімейний лікар",AD863*AG861,0)))</f>
        <v>0</v>
      </c>
      <c r="AE861" s="196">
        <f>IF($B$860="Лікар-педіатр","x",IF($B$860="Лікар-терапевт",AE863*AG861,IF($B$860="Лікар загальної практики - сімейний лікар",AE863*AG861,0)))</f>
        <v>0</v>
      </c>
      <c r="AF861" s="196">
        <f>IF($B$860="Лікар-педіатр","x",IF($B$860="Лікар-терапевт",AF863*AG861,IF($B$860="Лікар загальної практики - сімейний лікар",AF863*AG861,0)))</f>
        <v>0</v>
      </c>
      <c r="AG861" s="557"/>
      <c r="AH861" s="942"/>
      <c r="AI861" s="198"/>
      <c r="AJ861" s="945"/>
      <c r="AK861" s="960"/>
      <c r="AL861" s="960"/>
      <c r="AM861" s="930"/>
      <c r="AN861" s="948"/>
      <c r="AO861" s="948"/>
      <c r="AP861" s="948"/>
      <c r="AQ861" s="948"/>
      <c r="AR861" s="963"/>
    </row>
    <row r="862" spans="1:44" s="90" customFormat="1" ht="31.15" hidden="1" customHeight="1">
      <c r="A862" s="240"/>
      <c r="B862" s="951"/>
      <c r="C862" s="954"/>
      <c r="D862" s="957"/>
      <c r="E862" s="939"/>
      <c r="F862" s="241" t="s">
        <v>661</v>
      </c>
      <c r="G862" s="199">
        <f>IF(B860="Лікар загальної практики - сімейний лікар"," ",IF(B860="Лікар-педіатр"," ",IF(B860="Лікар-терапевт","х",0)))</f>
        <v>0</v>
      </c>
      <c r="H862" s="199">
        <f>IF(B860="Лікар загальної практики - сімейний лікар"," ",IF(B860="Лікар-педіатр"," ",IF(B860="Лікар-терапевт","х",0)))</f>
        <v>0</v>
      </c>
      <c r="I862" s="199">
        <f>IF(B860="Лікар загальної практики - сімейний лікар"," ",IF(B860="Лікар-педіатр","х",IF(B860="Лікар-терапевт"," ",0)))</f>
        <v>0</v>
      </c>
      <c r="J862" s="199">
        <f>IF(B860="Лікар загальної практики - сімейний лікар"," ",IF(B860="Лікар-педіатр","х",IF(B860="Лікар-терапевт"," ",0)))</f>
        <v>0</v>
      </c>
      <c r="K862" s="199">
        <f>IF(B860="Лікар загальної практики - сімейний лікар"," ",IF(B860="Лікар-педіатр","х",IF(B860="Лікар-терапевт"," ",0)))</f>
        <v>0</v>
      </c>
      <c r="L862" s="200">
        <f>SUM(G862:K862)</f>
        <v>0</v>
      </c>
      <c r="M862" s="942"/>
      <c r="N862" s="199">
        <f>IF(B860="Лікар загальної практики - сімейний лікар"," ",IF(B860="Лікар-педіатр"," ",IF(B860="Лікар-терапевт","х",0)))</f>
        <v>0</v>
      </c>
      <c r="O862" s="199">
        <f>IF(B860="Лікар загальної практики - сімейний лікар"," ",IF(B860="Лікар-педіатр"," ",IF(B860="Лікар-терапевт","х",0)))</f>
        <v>0</v>
      </c>
      <c r="P862" s="199">
        <f>IF(B860="Лікар загальної практики - сімейний лікар"," ",IF(B860="Лікар-педіатр","х",IF(B860="Лікар-терапевт"," ",0)))</f>
        <v>0</v>
      </c>
      <c r="Q862" s="199">
        <f>IF(B860="Лікар загальної практики - сімейний лікар"," ",IF(B860="Лікар-педіатр","х",IF(B860="Лікар-терапевт"," ",0)))</f>
        <v>0</v>
      </c>
      <c r="R862" s="199">
        <f>IF(B860="Лікар загальної практики - сімейний лікар"," ",IF(B860="Лікар-педіатр","х",IF(B860="Лікар-терапевт"," ",0)))</f>
        <v>0</v>
      </c>
      <c r="S862" s="200">
        <f>SUM(N862:R862)</f>
        <v>0</v>
      </c>
      <c r="T862" s="942"/>
      <c r="U862" s="199">
        <f>IF(B860="Лікар загальної практики - сімейний лікар"," ",IF(B860="Лікар-педіатр"," ",IF(B860="Лікар-терапевт","х",0)))</f>
        <v>0</v>
      </c>
      <c r="V862" s="199">
        <f>IF(B860="Лікар загальної практики - сімейний лікар"," ",IF(B860="Лікар-педіатр"," ",IF(B860="Лікар-терапевт","х",0)))</f>
        <v>0</v>
      </c>
      <c r="W862" s="199">
        <f>IF(B860="Лікар загальної практики - сімейний лікар"," ",IF(B860="Лікар-педіатр","х",IF(B860="Лікар-терапевт"," ",0)))</f>
        <v>0</v>
      </c>
      <c r="X862" s="199">
        <f>IF(B860="Лікар загальної практики - сімейний лікар"," ",IF(B860="Лікар-педіатр","х",IF(B860="Лікар-терапевт"," ",0)))</f>
        <v>0</v>
      </c>
      <c r="Y862" s="199">
        <f>IF(B860="Лікар загальної практики - сімейний лікар"," ",IF(B860="Лікар-педіатр","х",IF(B860="Лікар-терапевт"," ",0)))</f>
        <v>0</v>
      </c>
      <c r="Z862" s="200">
        <f>SUM(U862:Y862)</f>
        <v>0</v>
      </c>
      <c r="AA862" s="942"/>
      <c r="AB862" s="199">
        <f>IF(B860="Лікар загальної практики - сімейний лікар"," ",IF(B860="Лікар-педіатр"," ",IF(B860="Лікар-терапевт","х",0)))</f>
        <v>0</v>
      </c>
      <c r="AC862" s="199">
        <f>IF(B860="Лікар загальної практики - сімейний лікар"," ",IF(B860="Лікар-педіатр"," ",IF(B860="Лікар-терапевт","х",0)))</f>
        <v>0</v>
      </c>
      <c r="AD862" s="199">
        <f>IF(B860="Лікар загальної практики - сімейний лікар"," ",IF(B860="Лікар-педіатр","х",IF(B860="Лікар-терапевт"," ",0)))</f>
        <v>0</v>
      </c>
      <c r="AE862" s="199">
        <f>IF(B860="Лікар загальної практики - сімейний лікар"," ",IF(B860="Лікар-педіатр","х",IF(B860="Лікар-терапевт"," ",0)))</f>
        <v>0</v>
      </c>
      <c r="AF862" s="199">
        <f>IF(B860="Лікар загальної практики - сімейний лікар"," ",IF(B860="Лікар-педіатр","х",IF(B860="Лікар-терапевт"," ",0)))</f>
        <v>0</v>
      </c>
      <c r="AG862" s="200">
        <f>SUM(AB862:AF862)</f>
        <v>0</v>
      </c>
      <c r="AH862" s="942"/>
      <c r="AI862" s="242"/>
      <c r="AJ862" s="945"/>
      <c r="AK862" s="960"/>
      <c r="AL862" s="960"/>
      <c r="AM862" s="930"/>
      <c r="AN862" s="948"/>
      <c r="AO862" s="948"/>
      <c r="AP862" s="948"/>
      <c r="AQ862" s="948"/>
      <c r="AR862" s="963"/>
    </row>
    <row r="863" spans="1:44" s="50" customFormat="1" ht="31.9" hidden="1" customHeight="1" thickBot="1">
      <c r="A863" s="197"/>
      <c r="B863" s="951"/>
      <c r="C863" s="954"/>
      <c r="D863" s="957"/>
      <c r="E863" s="939"/>
      <c r="F863" s="236" t="s">
        <v>426</v>
      </c>
      <c r="G863" s="203">
        <f>IF($B$860="Лікар-педіатр",G862/L862,IF($B$860="Лікар-терапевт","х",IF($B$860="Лікар загальної практики - сімейний лікар",G862/L862,0)))</f>
        <v>0</v>
      </c>
      <c r="H863" s="203">
        <f>IF($B$860="Лікар-педіатр",H862/L862,IF($B$860="Лікар-терапевт","х",IF($B$860="Лікар загальної практики - сімейний лікар",H862/L862,0)))</f>
        <v>0</v>
      </c>
      <c r="I863" s="203">
        <f>IF($B$860="Лікар-педіатр","x",IF($B$860="Лікар-терапевт",I862/L862,IF($B$860="Лікар загальної практики - сімейний лікар",I862/L862,0)))</f>
        <v>0</v>
      </c>
      <c r="J863" s="203">
        <f>IF($B$860="Лікар-педіатр","x",IF($B$860="Лікар-терапевт",J862/L862,IF($B$860="Лікар загальної практики - сімейний лікар",J862/L862,0)))</f>
        <v>0</v>
      </c>
      <c r="K863" s="203">
        <f>IF($B$860="Лікар-педіатр","x",IF($B$860="Лікар-терапевт",K862/L862,IF($B$860="Лікар загальної практики - сімейний лікар",K862/L862,0)))</f>
        <v>0</v>
      </c>
      <c r="L863" s="203">
        <f>SUM(G863:K863)</f>
        <v>0</v>
      </c>
      <c r="M863" s="942"/>
      <c r="N863" s="203">
        <f>IF($B$860="Лікар-педіатр",N862/S862,IF($B$860="Лікар-терапевт","х",IF($B$860="Лікар загальної практики - сімейний лікар",N862/S862,0)))</f>
        <v>0</v>
      </c>
      <c r="O863" s="203">
        <f>IF($B$860="Лікар-педіатр",O862/S862,IF($B$860="Лікар-терапевт","х",IF($B$860="Лікар загальної практики - сімейний лікар",O862/S862,0)))</f>
        <v>0</v>
      </c>
      <c r="P863" s="203">
        <f>IF($B$860="Лікар-педіатр","x",IF($B$860="Лікар-терапевт",P862/S862,IF($B$860="Лікар загальної практики - сімейний лікар",P862/S862,0)))</f>
        <v>0</v>
      </c>
      <c r="Q863" s="203">
        <f>IF($B$860="Лікар-педіатр","x",IF($B$860="Лікар-терапевт",Q862/S862,IF($B$860="Лікар загальної практики - сімейний лікар",Q862/S862,0)))</f>
        <v>0</v>
      </c>
      <c r="R863" s="203">
        <f>IF($B$860="Лікар-педіатр","x",IF($B$860="Лікар-терапевт",R862/S862,IF($B$860="Лікар загальної практики - сімейний лікар",R862/S862,0)))</f>
        <v>0</v>
      </c>
      <c r="S863" s="203">
        <f>SUM(N863:R863)</f>
        <v>0</v>
      </c>
      <c r="T863" s="942"/>
      <c r="U863" s="203">
        <f>IF($B$860="Лікар-педіатр",U862/Z862,IF($B$860="Лікар-терапевт","х",IF($B$860="Лікар загальної практики - сімейний лікар",U862/Z862,0)))</f>
        <v>0</v>
      </c>
      <c r="V863" s="203">
        <f>IF($B$860="Лікар-педіатр",V862/Z862,IF($B$860="Лікар-терапевт","х",IF($B$860="Лікар загальної практики - сімейний лікар",V862/Z862,0)))</f>
        <v>0</v>
      </c>
      <c r="W863" s="203">
        <f>IF($B$860="Лікар-педіатр","x",IF($B$860="Лікар-терапевт",W862/Z862,IF($B$860="Лікар загальної практики - сімейний лікар",W862/Z862,0)))</f>
        <v>0</v>
      </c>
      <c r="X863" s="203">
        <f>IF($B$860="Лікар-педіатр","x",IF($B$860="Лікар-терапевт",X862/Z862,IF($B$860="Лікар загальної практики - сімейний лікар",X862/Z862,0)))</f>
        <v>0</v>
      </c>
      <c r="Y863" s="203">
        <f>IF($B$860="Лікар-педіатр","x",IF($B$860="Лікар-терапевт",Y862/Z862,IF($B$860="Лікар загальної практики - сімейний лікар",Y862/Z862,0)))</f>
        <v>0</v>
      </c>
      <c r="Z863" s="203">
        <f>SUM(U863:Y863)</f>
        <v>0</v>
      </c>
      <c r="AA863" s="942"/>
      <c r="AB863" s="203">
        <f>IF($B$860="Лікар-педіатр",AB862/AG862,IF($B$860="Лікар-терапевт","х",IF($B$860="Лікар загальної практики - сімейний лікар",AB862/AG862,0)))</f>
        <v>0</v>
      </c>
      <c r="AC863" s="203">
        <f>IF($B$860="Лікар-педіатр",AC862/AG862,IF($B$860="Лікар-терапевт","х",IF($B$860="Лікар загальної практики - сімейний лікар",AC862/AG862,0)))</f>
        <v>0</v>
      </c>
      <c r="AD863" s="203">
        <f>IF($B$860="Лікар-педіатр","x",IF($B$860="Лікар-терапевт",AD862/AG862,IF($B$860="Лікар загальної практики - сімейний лікар",AD862/AG862,0)))</f>
        <v>0</v>
      </c>
      <c r="AE863" s="203">
        <f>IF($B$860="Лікар-педіатр","x",IF($B$860="Лікар-терапевт",AE862/AG862,IF($B$860="Лікар загальної практики - сімейний лікар",AE862/AG862,0)))</f>
        <v>0</v>
      </c>
      <c r="AF863" s="203">
        <f>IF($B$860="Лікар-педіатр","x",IF($B$860="Лікар-терапевт",AF862/AG862,IF($B$860="Лікар загальної практики - сімейний лікар",AF862/AG862,0)))</f>
        <v>0</v>
      </c>
      <c r="AG863" s="203">
        <f>SUM(AB863:AF863)</f>
        <v>0</v>
      </c>
      <c r="AH863" s="942"/>
      <c r="AI863" s="201"/>
      <c r="AJ863" s="945"/>
      <c r="AK863" s="960"/>
      <c r="AL863" s="960"/>
      <c r="AM863" s="930"/>
      <c r="AN863" s="948"/>
      <c r="AO863" s="948"/>
      <c r="AP863" s="948"/>
      <c r="AQ863" s="948"/>
      <c r="AR863" s="963"/>
    </row>
    <row r="864" spans="1:44" s="50" customFormat="1" ht="45" hidden="1" customHeight="1" thickBot="1">
      <c r="A864" s="197"/>
      <c r="B864" s="951"/>
      <c r="C864" s="954"/>
      <c r="D864" s="957"/>
      <c r="E864" s="939"/>
      <c r="F864" s="204" t="s">
        <v>662</v>
      </c>
      <c r="G864" s="205">
        <f>IF($B$860="Лікар загальної практики - сімейний лікар",AVERAGE(G860:G862),IF($B$860="Лікар-педіатр",AVERAGE(G860:G862),IF($B$860="Лікар-терапевт","х",0)))</f>
        <v>0</v>
      </c>
      <c r="H864" s="205">
        <f>IF($B$860="Лікар загальної практики - сімейний лікар",AVERAGE(H860:H862),IF($B$860="Лікар-педіатр",AVERAGE(H860:H862),IF($B$860="Лікар-терапевт","х",0)))</f>
        <v>0</v>
      </c>
      <c r="I864" s="205">
        <f>IF($B$860="Лікар загальної практики - сімейний лікар",AVERAGE(I860:I862),IF($B$860="Лікар-педіатр","x",IF($B$860="Лікар-терапевт",AVERAGE(I860:I862),0)))</f>
        <v>0</v>
      </c>
      <c r="J864" s="205">
        <f>IF($B$860="Лікар загальної практики - сімейний лікар",AVERAGE(J860:J862),IF($B$860="Лікар-педіатр","x",IF($B$860="Лікар-терапевт",AVERAGE(J860:J862),0)))</f>
        <v>0</v>
      </c>
      <c r="K864" s="205">
        <f>IF($B$860="Лікар загальної практики - сімейний лікар",AVERAGE(K860:K862),IF($B$860="Лікар-педіатр","x",IF($B$860="Лікар-терапевт",AVERAGE(K860:K862),0)))</f>
        <v>0</v>
      </c>
      <c r="L864" s="206">
        <f>SUM(G864:K864)</f>
        <v>0</v>
      </c>
      <c r="M864" s="942"/>
      <c r="N864" s="205">
        <f>IF($B$860="Лікар загальної практики - сімейний лікар",AVERAGE(N860:N862),IF($B$860="Лікар-педіатр",AVERAGE(N860:N862),IF($B$860="Лікар-терапевт","х",0)))</f>
        <v>0</v>
      </c>
      <c r="O864" s="205">
        <f>IF($B$860="Лікар загальної практики - сімейний лікар",AVERAGE(O860:O862),IF($B$860="Лікар-педіатр",AVERAGE(O860:O862),IF($B$860="Лікар-терапевт","х",0)))</f>
        <v>0</v>
      </c>
      <c r="P864" s="205">
        <f>IF($B$860="Лікар загальної практики - сімейний лікар",AVERAGE(P860:P862),IF($B$860="Лікар-педіатр","x",IF($B$860="Лікар-терапевт",AVERAGE(P860:P862),0)))</f>
        <v>0</v>
      </c>
      <c r="Q864" s="205">
        <f>IF($B$860="Лікар загальної практики - сімейний лікар",AVERAGE(Q860:Q862),IF($B$860="Лікар-педіатр","x",IF($B$860="Лікар-терапевт",AVERAGE(Q860:Q862),0)))</f>
        <v>0</v>
      </c>
      <c r="R864" s="205">
        <f>IF($B$860="Лікар загальної практики - сімейний лікар",AVERAGE(R860:R862),IF($B$860="Лікар-педіатр","x",IF($B$860="Лікар-терапевт",AVERAGE(R860:R862),0)))</f>
        <v>0</v>
      </c>
      <c r="S864" s="206">
        <f>SUM(N864:R864)</f>
        <v>0</v>
      </c>
      <c r="T864" s="942"/>
      <c r="U864" s="205">
        <f>IF($B$860="Лікар загальної практики - сімейний лікар",AVERAGE(U860:U862),IF($B$860="Лікар-педіатр",AVERAGE(U860:U862),IF($B$860="Лікар-терапевт","х",0)))</f>
        <v>0</v>
      </c>
      <c r="V864" s="205">
        <f>IF($B$860="Лікар загальної практики - сімейний лікар",AVERAGE(V860:V862),IF($B$860="Лікар-педіатр",AVERAGE(V860:V862),IF($B$860="Лікар-терапевт","х",0)))</f>
        <v>0</v>
      </c>
      <c r="W864" s="205">
        <f>IF($B$860="Лікар загальної практики - сімейний лікар",AVERAGE(W860:W862),IF($B$860="Лікар-педіатр","x",IF($B$860="Лікар-терапевт",AVERAGE(W860:W862),0)))</f>
        <v>0</v>
      </c>
      <c r="X864" s="205">
        <f>IF($B$860="Лікар загальної практики - сімейний лікар",AVERAGE(X860:X862),IF($B$860="Лікар-педіатр","x",IF($B$860="Лікар-терапевт",AVERAGE(X860:X862),0)))</f>
        <v>0</v>
      </c>
      <c r="Y864" s="205">
        <f>IF($B$860="Лікар загальної практики - сімейний лікар",AVERAGE(Y860:Y862),IF($B$860="Лікар-педіатр","x",IF($B$860="Лікар-терапевт",AVERAGE(Y860:Y862),0)))</f>
        <v>0</v>
      </c>
      <c r="Z864" s="206">
        <f>SUM(U864:Y864)</f>
        <v>0</v>
      </c>
      <c r="AA864" s="942"/>
      <c r="AB864" s="205">
        <f>IF($B$860="Лікар загальної практики - сімейний лікар",AVERAGE(AB860:AB862),IF($B$860="Лікар-педіатр",AVERAGE(AB860:AB862),IF($B$860="Лікар-терапевт","х",0)))</f>
        <v>0</v>
      </c>
      <c r="AC864" s="205">
        <f>IF($B$860="Лікар загальної практики - сімейний лікар",AVERAGE(AC860:AC862),IF($B$860="Лікар-педіатр",AVERAGE(AC860:AC862),IF($B$860="Лікар-терапевт","х",0)))</f>
        <v>0</v>
      </c>
      <c r="AD864" s="205">
        <f>IF($B$860="Лікар загальної практики - сімейний лікар",AVERAGE(AD860:AD862),IF($B$860="Лікар-педіатр","x",IF($B$860="Лікар-терапевт",AVERAGE(AD860:AD862),0)))</f>
        <v>0</v>
      </c>
      <c r="AE864" s="205">
        <f>IF($B$860="Лікар загальної практики - сімейний лікар",AVERAGE(AE860:AE862),IF($B$860="Лікар-педіатр","x",IF($B$860="Лікар-терапевт",AVERAGE(AE860:AE862),0)))</f>
        <v>0</v>
      </c>
      <c r="AF864" s="205">
        <f>IF($B$860="Лікар загальної практики - сімейний лікар",AVERAGE(AF860:AF862),IF($B$860="Лікар-педіатр","x",IF($B$860="Лікар-терапевт",AVERAGE(AF860:AF862),0)))</f>
        <v>0</v>
      </c>
      <c r="AG864" s="206">
        <f>SUM(AB864:AF864)</f>
        <v>0</v>
      </c>
      <c r="AH864" s="942"/>
      <c r="AI864" s="201"/>
      <c r="AJ864" s="945"/>
      <c r="AK864" s="960"/>
      <c r="AL864" s="960"/>
      <c r="AM864" s="931"/>
      <c r="AN864" s="949"/>
      <c r="AO864" s="949"/>
      <c r="AP864" s="949"/>
      <c r="AQ864" s="949"/>
      <c r="AR864" s="964"/>
    </row>
    <row r="865" spans="1:44" s="50" customFormat="1" ht="40.5" hidden="1">
      <c r="A865" s="197"/>
      <c r="B865" s="951"/>
      <c r="C865" s="954"/>
      <c r="D865" s="957"/>
      <c r="E865" s="939"/>
      <c r="F865" s="237" t="str">
        <f ca="1">IF(B860="Лікар-педіатр",Законод!$C$17,IF(B860="Лікар загальної практики - сімейний лікар",Законод!$C$21,IF(B860="Лікар-терапевт",Законод!$C$25,"х")))</f>
        <v>х</v>
      </c>
      <c r="G865" s="208">
        <f ca="1">IF($B$860="Лікар загальної практики - сімейний лікар",IF(L864&lt;=Законод!$C$22,G864,Законод!$C$22*'01_Доходи'!G863),IF($B$860="Лікар-педіатр",IF(L864&lt;=Законод!$C$18,G864,Законод!$C$18*'01_Доходи'!G863),IF($B$860="Лікар-терапевт","x",0)))</f>
        <v>0</v>
      </c>
      <c r="H865" s="208">
        <f ca="1">IF($B$860="Лікар загальної практики - сімейний лікар",IF(L864&lt;=Законод!$C$22,H864,Законод!$C$22*'01_Доходи'!H863),IF($B$860="Лікар-педіатр",IF(L864&lt;=Законод!$C$18,H864,Законод!$C$18*'01_Доходи'!H863),IF($B$860="Лікар-терапевт","x",0)))</f>
        <v>0</v>
      </c>
      <c r="I865" s="208">
        <f ca="1">IF($B$860="Лікар загальної практики - сімейний лікар",IF(L864&lt;=Законод!$C$22,I864,Законод!$C$22*'01_Доходи'!I863),IF($B$860="Лікар-педіатр","x",IF($B$860="Лікар-терапевт",IF(L864&lt;=Законод!$C$26,I864,Законод!$C$26*'01_Доходи'!I863),0)))</f>
        <v>0</v>
      </c>
      <c r="J865" s="208">
        <f ca="1">IF($B$860="Лікар загальної практики - сімейний лікар",IF(L864&lt;=Законод!$C$22,J864,Законод!$C$22*'01_Доходи'!J863),IF($B$860="Лікар-педіатр","x",IF($B$860="Лікар-терапевт",IF(L864&lt;=Законод!$C$26,J864,Законод!$C$26*'01_Доходи'!J863),0)))</f>
        <v>0</v>
      </c>
      <c r="K865" s="208">
        <f ca="1">IF($B$860="Лікар загальної практики - сімейний лікар",IF(L864&lt;=Законод!$C$22,K864,Законод!$C$22*'01_Доходи'!K863),IF($B$860="Лікар-педіатр","x",IF($B$860="Лікар-терапевт",IF(L864&lt;=Законод!$C$26,K864,Законод!$C$26*'01_Доходи'!K863),0)))</f>
        <v>0</v>
      </c>
      <c r="L865" s="209">
        <f ca="1">SUM(G865:K865)</f>
        <v>0</v>
      </c>
      <c r="M865" s="942"/>
      <c r="N865" s="208">
        <f ca="1">IF($B$860="Лікар загальної практики - сімейний лікар",IF(S864&lt;=Законод!$C$22,N864,Законод!$C$22*'01_Доходи'!N863),IF($B$860="Лікар-педіатр",IF(S864&lt;=Законод!$C$18,N864,Законод!$C$18*'01_Доходи'!N863),IF($B$860="Лікар-терапевт","x",0)))</f>
        <v>0</v>
      </c>
      <c r="O865" s="208">
        <f ca="1">IF($B$860="Лікар загальної практики - сімейний лікар",IF(S864&lt;=Законод!$C$22,O864,Законод!$C$22*'01_Доходи'!O863),IF($B$860="Лікар-педіатр",IF(S864&lt;=Законод!$C$18,O864,Законод!$C$18*'01_Доходи'!O863),IF($B$860="Лікар-терапевт","x",0)))</f>
        <v>0</v>
      </c>
      <c r="P865" s="208">
        <f ca="1">IF($B$860="Лікар загальної практики - сімейний лікар",IF(S864&lt;=Законод!$C$22,P864,Законод!$C$22*'01_Доходи'!P863),IF($B$860="Лікар-педіатр","x",IF($B$860="Лікар-терапевт",IF(S864&lt;=Законод!$C$26,P864,Законод!$C$26*'01_Доходи'!P863),0)))</f>
        <v>0</v>
      </c>
      <c r="Q865" s="208">
        <f ca="1">IF($B$860="Лікар загальної практики - сімейний лікар",IF(S864&lt;=Законод!$C$22,Q864,Законод!$C$22*'01_Доходи'!Q863),IF($B$860="Лікар-педіатр","x",IF($B$860="Лікар-терапевт",IF(S864&lt;=Законод!$C$26,Q864,Законод!$C$26*'01_Доходи'!Q863),0)))</f>
        <v>0</v>
      </c>
      <c r="R865" s="208">
        <f ca="1">IF($B$860="Лікар загальної практики - сімейний лікар",IF(S864&lt;=Законод!$C$22,R864,Законод!$C$22*'01_Доходи'!R863),IF($B$860="Лікар-педіатр","x",IF($B$860="Лікар-терапевт",IF(S864&lt;=Законод!$C$26,R864,Законод!$C$26*'01_Доходи'!R863),0)))</f>
        <v>0</v>
      </c>
      <c r="S865" s="209">
        <f ca="1">SUM(N865:R865)</f>
        <v>0</v>
      </c>
      <c r="T865" s="942"/>
      <c r="U865" s="208">
        <f ca="1">IF($B$860="Лікар загальної практики - сімейний лікар",IF(Z864&lt;=Законод!$C$22,U864,Законод!$C$22*'01_Доходи'!U863),IF($B$860="Лікар-педіатр",IF(Z864&lt;=Законод!$C$18,U864,Законод!$C$18*'01_Доходи'!U863),IF($B$860="Лікар-терапевт","x",0)))</f>
        <v>0</v>
      </c>
      <c r="V865" s="208">
        <f ca="1">IF($B$860="Лікар загальної практики - сімейний лікар",IF(Z864&lt;=Законод!$C$22,V864,Законод!$C$22*'01_Доходи'!V863),IF($B$860="Лікар-педіатр",IF(Z864&lt;=Законод!$C$18,V864,Законод!$C$18*'01_Доходи'!V863),IF($B$860="Лікар-терапевт","x",0)))</f>
        <v>0</v>
      </c>
      <c r="W865" s="208">
        <f ca="1">IF($B$860="Лікар загальної практики - сімейний лікар",IF(Z864&lt;=Законод!$C$22,W864,Законод!$C$22*'01_Доходи'!W863),IF($B$860="Лікар-педіатр","x",IF($B$860="Лікар-терапевт",IF(Z864&lt;=Законод!$C$26,W864,Законод!$C$26*'01_Доходи'!W863),0)))</f>
        <v>0</v>
      </c>
      <c r="X865" s="208">
        <f ca="1">IF($B$860="Лікар загальної практики - сімейний лікар",IF(Z864&lt;=Законод!$C$22,X864,Законод!$C$22*'01_Доходи'!X863),IF($B$860="Лікар-педіатр","x",IF($B$860="Лікар-терапевт",IF(Z864&lt;=Законод!$C$26,X864,Законод!$C$26*'01_Доходи'!X863),0)))</f>
        <v>0</v>
      </c>
      <c r="Y865" s="208">
        <f ca="1">IF($B$860="Лікар загальної практики - сімейний лікар",IF(Z864&lt;=Законод!$C$22,Y864,Законод!$C$22*'01_Доходи'!Y863),IF($B$860="Лікар-педіатр","x",IF($B$860="Лікар-терапевт",IF(Z864&lt;=Законод!$C$26,Y864,Законод!$C$26*'01_Доходи'!Y863),0)))</f>
        <v>0</v>
      </c>
      <c r="Z865" s="209">
        <f ca="1">SUM(U865:Y865)</f>
        <v>0</v>
      </c>
      <c r="AA865" s="942"/>
      <c r="AB865" s="208">
        <f ca="1">IF($B$860="Лікар загальної практики - сімейний лікар",IF(AG864&lt;=Законод!$C$22,AB864,Законод!$C$22*'01_Доходи'!AB863),IF($B$860="Лікар-педіатр",IF(AG864&lt;=Законод!$C$18,AB864,Законод!$C$18*'01_Доходи'!AB863),IF($B$860="Лікар-терапевт","x",0)))</f>
        <v>0</v>
      </c>
      <c r="AC865" s="208">
        <f ca="1">IF($B$860="Лікар загальної практики - сімейний лікар",IF(AG864&lt;=Законод!$C$22,AC864,Законод!$C$22*'01_Доходи'!AC863),IF($B$860="Лікар-педіатр",IF(AG864&lt;=Законод!$C$18,AC864,Законод!$C$18*'01_Доходи'!AC863),IF($B$860="Лікар-терапевт","x",0)))</f>
        <v>0</v>
      </c>
      <c r="AD865" s="208">
        <f ca="1">IF($B$860="Лікар загальної практики - сімейний лікар",IF(AG864&lt;=Законод!$C$22,AD864,Законод!$C$22*'01_Доходи'!AD863),IF($B$860="Лікар-педіатр","x",IF($B$860="Лікар-терапевт",IF(AG864&lt;=Законод!$C$26,AD864,Законод!$C$26*'01_Доходи'!AD863),0)))</f>
        <v>0</v>
      </c>
      <c r="AE865" s="208">
        <f ca="1">IF($B$860="Лікар загальної практики - сімейний лікар",IF(AG864&lt;=Законод!$C$22,AE864,Законод!$C$22*'01_Доходи'!AE863),IF($B$860="Лікар-педіатр","x",IF($B$860="Лікар-терапевт",IF(AG864&lt;=Законод!$C$26,AE864,Законод!$C$26*'01_Доходи'!AE863),0)))</f>
        <v>0</v>
      </c>
      <c r="AF865" s="208">
        <f ca="1">IF($B$860="Лікар загальної практики - сімейний лікар",IF(AG864&lt;=Законод!$C$22,AF864,Законод!$C$22*'01_Доходи'!AF863),IF($B$860="Лікар-педіатр","x",IF($B$860="Лікар-терапевт",IF(AG864&lt;=Законод!$C$26,AF864,Законод!$C$26*'01_Доходи'!AF863),0)))</f>
        <v>0</v>
      </c>
      <c r="AG865" s="209">
        <f ca="1">SUM(AB865:AF865)</f>
        <v>0</v>
      </c>
      <c r="AH865" s="942"/>
      <c r="AI865" s="201"/>
      <c r="AJ865" s="945"/>
      <c r="AK865" s="960"/>
      <c r="AL865" s="960"/>
      <c r="AM865" s="348" t="s">
        <v>451</v>
      </c>
      <c r="AN865" s="210">
        <f ca="1">IF(B860="Лікар загальної практики - сімейний лікар",G865*Законод!$C$11+'01_Доходи'!H865*Законод!$D$11+'01_Доходи'!I865*Законод!$E$11+'01_Доходи'!J865*Законод!$F$11+'01_Доходи'!K865*Законод!$G$11,IF(B860="Лікар-педіатр",G865*Законод!$C$11+'01_Доходи'!H865*Законод!$D$11,IF(B860="Лікар-терапевт",'01_Доходи'!I865*Законод!$E$11+'01_Доходи'!J865*Законод!$F$11+'01_Доходи'!K865*Законод!$G$11,0)))</f>
        <v>0</v>
      </c>
      <c r="AO865" s="210">
        <f ca="1">IF(B860="Лікар загальної практики - сімейний лікар",N865*Законод!$C$11+'01_Доходи'!O865*Законод!$D$11+'01_Доходи'!P865*Законод!$E$11+'01_Доходи'!Q865*Законод!$F$11+'01_Доходи'!R865*Законод!$G$11,IF(B860="Лікар-педіатр",N865*Законод!$C$11+'01_Доходи'!O865*Законод!$D$11,IF(B860="Лікар-терапевт",'01_Доходи'!P865*Законод!$E$11+'01_Доходи'!Q865*Законод!$F$11+'01_Доходи'!R865*Законод!$G$11,0)))</f>
        <v>0</v>
      </c>
      <c r="AP865" s="210">
        <f ca="1">IF(B860="Лікар загальної практики - сімейний лікар",U865*Законод!$C$11+'01_Доходи'!V865*Законод!$D$11+'01_Доходи'!W865*Законод!$E$11+'01_Доходи'!X865*Законод!$F$11+'01_Доходи'!Y865*Законод!$G$11,IF(B860="Лікар-педіатр",U865*Законод!$C$11+'01_Доходи'!V865*Законод!$D$11,IF(B860="Лікар-терапевт",'01_Доходи'!W865*Законод!$E$11+'01_Доходи'!X865*Законод!$F$11+'01_Доходи'!Y865*Законод!$G$11,0)))</f>
        <v>0</v>
      </c>
      <c r="AQ865" s="210">
        <f ca="1">IF(B860="Лікар загальної практики - сімейний лікар",AB865*Законод!$C$11+'01_Доходи'!AC865*Законод!$D$11+'01_Доходи'!AD865*Законод!$E$11+'01_Доходи'!AE865*Законод!$F$11+'01_Доходи'!AF865*Законод!$G$11,IF(B860="Лікар-педіатр",AB865*Законод!$C$11+'01_Доходи'!AC865*Законод!$D$11,IF(B860="Лікар-терапевт",'01_Доходи'!AD865*Законод!$E$11+'01_Доходи'!AE865*Законод!$F$11+'01_Доходи'!AF865*Законод!$G$11,0)))</f>
        <v>0</v>
      </c>
      <c r="AR865" s="211">
        <f t="shared" ref="AR865:AR871" si="106">SUM(AN865:AQ865)</f>
        <v>0</v>
      </c>
    </row>
    <row r="866" spans="1:44" s="50" customFormat="1" ht="31.9" hidden="1" customHeight="1">
      <c r="A866" s="197"/>
      <c r="B866" s="951"/>
      <c r="C866" s="954"/>
      <c r="D866" s="957"/>
      <c r="E866" s="939"/>
      <c r="F866" s="238" t="str">
        <f ca="1">IF(B860="Лікар-педіатр",Законод!$E$17,IF(B860="Лікар загальної практики - сімейний лікар",Законод!$E$21,IF(B860="Лікар-терапевт",Законод!$E$25,"х")))</f>
        <v>х</v>
      </c>
      <c r="G866" s="935" t="s">
        <v>423</v>
      </c>
      <c r="H866" s="936"/>
      <c r="I866" s="936"/>
      <c r="J866" s="936"/>
      <c r="K866" s="937"/>
      <c r="L866" s="196">
        <f ca="1">IF($B$860="Лікар загальної практики - сімейний лікар",IF(L864&lt;Законод!$C$22,0,(IF(AND(L864&gt;=Законод!$E$22,L864&lt;=Законод!$E$23),L864-Законод!$C$22,IF('01_Доходи'!L864&gt;=Законод!$F$22,Законод!$E$24,0)))),IF($B$860="Лікар-педіатр",IF(L864&lt;Законод!$C$18,0,(IF(AND(L864&gt;=Законод!$E$18,L864&lt;=Законод!$E$19),L864-Законод!$C$18,IF('01_Доходи'!L864&gt;=Законод!$F$18,Законод!$E$20,0)))),IF($B$860="Лікар-терапевт",IF(L864&lt;Законод!$C$26,0,(IF(AND(L864&gt;=Законод!$E$26,L864&lt;=Законод!$E$27),L864-Законод!$C$26,IF('01_Доходи'!L864&gt;=Законод!$F$26,Законод!$E$28,0)))),0)))</f>
        <v>0</v>
      </c>
      <c r="M866" s="942"/>
      <c r="N866" s="935" t="s">
        <v>423</v>
      </c>
      <c r="O866" s="936"/>
      <c r="P866" s="936"/>
      <c r="Q866" s="936"/>
      <c r="R866" s="937"/>
      <c r="S866" s="196">
        <f ca="1">IF($B$860="Лікар загальної практики - сімейний лікар",IF(S864&lt;Законод!$C$22,0,(IF(AND(S864&gt;=Законод!$E$22,S864&lt;=Законод!$E$23),S864-Законод!$C$22,IF('01_Доходи'!S864&gt;=Законод!$F$22,Законод!$E$24,0)))),IF($B$860="Лікар-педіатр",IF(S864&lt;Законод!$C$18,0,(IF(AND(S864&gt;=Законод!$E$18,S864&lt;=Законод!$E$19),S864-Законод!$C$18,IF('01_Доходи'!S864&gt;=Законод!$F$18,Законод!$E$20,0)))),IF($B$860="Лікар-терапевт",IF(S864&lt;Законод!$C$26,0,(IF(AND(S864&gt;=Законод!$E$26,S864&lt;=Законод!$E$27),S864-Законод!$C$26,IF('01_Доходи'!S864&gt;=Законод!$F$26,Законод!$E$28,0)))),0)))</f>
        <v>0</v>
      </c>
      <c r="T866" s="942"/>
      <c r="U866" s="935" t="s">
        <v>423</v>
      </c>
      <c r="V866" s="936"/>
      <c r="W866" s="936"/>
      <c r="X866" s="936"/>
      <c r="Y866" s="937"/>
      <c r="Z866" s="196">
        <f ca="1">IF($B$860="Лікар загальної практики - сімейний лікар",IF(Z864&lt;Законод!$C$22,0,(IF(AND(Z864&gt;=Законод!$E$22,Z864&lt;=Законод!$E$23),Z864-Законод!$C$22,IF('01_Доходи'!Z864&gt;=Законод!$F$22,Законод!$E$24,0)))),IF($B$860="Лікар-педіатр",IF(Z864&lt;Законод!$C$18,0,(IF(AND(Z864&gt;=Законод!$E$18,Z864&lt;=Законод!$E$19),Z864-Законод!$C$18,IF('01_Доходи'!Z864&gt;=Законод!$F$18,Законод!$E$20,0)))),IF($B$860="Лікар-терапевт",IF(Z864&lt;Законод!$C$26,0,(IF(AND(Z864&gt;=Законод!$E$26,Z864&lt;=Законод!$E$27),Z864-Законод!$C$26,IF('01_Доходи'!Z864&gt;=Законод!$F$26,Законод!$E$28,0)))),0)))</f>
        <v>0</v>
      </c>
      <c r="AA866" s="942"/>
      <c r="AB866" s="935" t="s">
        <v>423</v>
      </c>
      <c r="AC866" s="936"/>
      <c r="AD866" s="936"/>
      <c r="AE866" s="936"/>
      <c r="AF866" s="937"/>
      <c r="AG866" s="196">
        <f ca="1">IF($B$860="Лікар загальної практики - сімейний лікар",IF(AG864&lt;Законод!$C$22,0,(IF(AND(AG864&gt;=Законод!$E$22,AG864&lt;=Законод!$E$23),AG864-Законод!$C$22,IF('01_Доходи'!AG864&gt;=Законод!$F$22,Законод!$E$24,0)))),IF($B$860="Лікар-педіатр",IF(AG864&lt;Законод!$C$18,0,(IF(AND(AG864&gt;=Законод!$E$18,AG864&lt;=Законод!$E$19),AG864-Законод!$C$18,IF('01_Доходи'!AG864&gt;=Законод!$F$18,Законод!$E$20,0)))),IF($B$860="Лікар-терапевт",IF(AG864&lt;Законод!$C$26,0,(IF(AND(AG864&gt;=Законод!$E$26,AG864&lt;=Законод!$E$27),AG864-Законод!$C$26,IF('01_Доходи'!AG864&gt;=Законод!$F$26,Законод!$E$28,0)))),0)))</f>
        <v>0</v>
      </c>
      <c r="AH866" s="942"/>
      <c r="AI866" s="201"/>
      <c r="AJ866" s="945"/>
      <c r="AK866" s="960"/>
      <c r="AL866" s="960"/>
      <c r="AM866" s="926" t="s">
        <v>452</v>
      </c>
      <c r="AN866" s="210">
        <f ca="1">IF(B860="Лікар загальної практики - сімейний лікар",L866*Законод!$C$9/4*Законод!$E$16,IF(B860="Лікар-педіатр",L866*Законод!$C$9/4*Законод!$E$16,IF(B860="Лікар-терапевт",L866*Законод!$C$9/4*Законод!$E$16,0)))</f>
        <v>0</v>
      </c>
      <c r="AO866" s="210">
        <f ca="1">IF(B860="Лікар загальної практики - сімейний лікар",S866*Законод!$C$9/4*Законод!$E$16,IF(B860="Лікар-педіатр",S866*Законод!$C$9/4*Законод!$E$16,IF(B860="Лікар-терапевт",S866*Законод!$C$9/4*Законод!$E$16,0)))</f>
        <v>0</v>
      </c>
      <c r="AP866" s="210">
        <f ca="1">IF(B860="Лікар загальної практики - сімейний лікар",Z866*Законод!$C$9/4*Законод!$E$16,IF(B860="Лікар-педіатр",Z866*Законод!$C$9/4*Законод!$E$16,IF(B860="Лікар-терапевт",Z866*Законод!$C$9/4*Законод!$E$16,0)))</f>
        <v>0</v>
      </c>
      <c r="AQ866" s="210">
        <f ca="1">IF(B860="Лікар загальної практики - сімейний лікар",AG866*Законод!$C$9/4*Законод!$E$16,IF(B860="Лікар-педіатр",AG866*Законод!$C$9/4*Законод!$E$16,IF(B860="Лікар-терапевт",AG866*Законод!$C$9/4*Законод!$E$16,0)))</f>
        <v>0</v>
      </c>
      <c r="AR866" s="211">
        <f t="shared" si="106"/>
        <v>0</v>
      </c>
    </row>
    <row r="867" spans="1:44" s="50" customFormat="1" ht="31.9" hidden="1" customHeight="1">
      <c r="A867" s="197"/>
      <c r="B867" s="951"/>
      <c r="C867" s="954"/>
      <c r="D867" s="957"/>
      <c r="E867" s="939"/>
      <c r="F867" s="238" t="str">
        <f ca="1">IF(B860="Лікар-педіатр",Законод!$F$17,IF(B860="Лікар загальної практики - сімейний лікар",Законод!$F$21,IF(B860="Лікар-терапевт",Законод!$F$25,"х")))</f>
        <v>х</v>
      </c>
      <c r="G867" s="935" t="s">
        <v>423</v>
      </c>
      <c r="H867" s="936"/>
      <c r="I867" s="936"/>
      <c r="J867" s="936"/>
      <c r="K867" s="937"/>
      <c r="L867" s="196">
        <f ca="1">IF($B$860="Лікар загальної практики - сімейний лікар",IF(L864&lt;Законод!$C$22,0,(IF(AND(L864&gt;=Законод!$F$22,L864&lt;=Законод!$F$23),L864-Законод!$E$23,IF('01_Доходи'!L864&gt;=Законод!$G$22,Законод!$F$24,0)))),IF($B$860="Лікар-педіатр",IF(L864&lt;Законод!$C$18,0,(IF(AND(L864&gt;=Законод!$F$18,L864&lt;=Законод!$F$19),L864-Законод!$E$19,IF('01_Доходи'!L864&gt;=Законод!$G$18,Законод!$F$20,0)))),IF($B$860="Лікар-терапевт",IF(L864&lt;Законод!$C$26,0,(IF(AND(L864&gt;=Законод!$F$26,L864&lt;=Законод!$F$27),L864-Законод!$E$27,IF('01_Доходи'!L864&gt;=Законод!$G$26,Законод!$F$28,0)))),0)))</f>
        <v>0</v>
      </c>
      <c r="M867" s="942"/>
      <c r="N867" s="935" t="s">
        <v>423</v>
      </c>
      <c r="O867" s="936"/>
      <c r="P867" s="936"/>
      <c r="Q867" s="936"/>
      <c r="R867" s="937"/>
      <c r="S867" s="196">
        <f ca="1">IF($B$860="Лікар загальної практики - сімейний лікар",IF(S864&lt;Законод!$C$22,0,(IF(AND(S864&gt;=Законод!$F$22,S864&lt;=Законод!$F$23),S864-Законод!$E$23,IF('01_Доходи'!S864&gt;=Законод!$G$22,Законод!$F$24,0)))),IF($B$860="Лікар-педіатр",IF(S864&lt;Законод!$C$18,0,(IF(AND(S864&gt;=Законод!$F$18,S864&lt;=Законод!$F$19),S864-Законод!$E$19,IF('01_Доходи'!S864&gt;=Законод!$G$18,Законод!$F$20,0)))),IF($B$860="Лікар-терапевт",IF(S864&lt;Законод!$C$26,0,(IF(AND(S864&gt;=Законод!$F$26,S864&lt;=Законод!$F$27),S864-Законод!$E$27,IF('01_Доходи'!S864&gt;=Законод!$G$26,Законод!$F$28,0)))),0)))</f>
        <v>0</v>
      </c>
      <c r="T867" s="942"/>
      <c r="U867" s="935" t="s">
        <v>423</v>
      </c>
      <c r="V867" s="936"/>
      <c r="W867" s="936"/>
      <c r="X867" s="936"/>
      <c r="Y867" s="937"/>
      <c r="Z867" s="196">
        <f ca="1">IF($B$860="Лікар загальної практики - сімейний лікар",IF(Z864&lt;Законод!$C$22,0,(IF(AND(Z864&gt;=Законод!$F$22,Z864&lt;=Законод!$F$23),Z864-Законод!$E$23,IF('01_Доходи'!Z864&gt;=Законод!$G$22,Законод!$F$24,0)))),IF($B$860="Лікар-педіатр",IF(Z864&lt;Законод!$C$18,0,(IF(AND(Z864&gt;=Законод!$F$18,Z864&lt;=Законод!$F$19),Z864-Законод!$E$19,IF('01_Доходи'!Z864&gt;=Законод!$G$18,Законод!$F$20,0)))),IF($B$860="Лікар-терапевт",IF(Z864&lt;Законод!$C$26,0,(IF(AND(Z864&gt;=Законод!$F$26,Z864&lt;=Законод!$F$27),Z864-Законод!$E$27,IF('01_Доходи'!Z864&gt;=Законод!$G$26,Законод!$F$28,0)))),0)))</f>
        <v>0</v>
      </c>
      <c r="AA867" s="942"/>
      <c r="AB867" s="935" t="s">
        <v>423</v>
      </c>
      <c r="AC867" s="936"/>
      <c r="AD867" s="936"/>
      <c r="AE867" s="936"/>
      <c r="AF867" s="937"/>
      <c r="AG867" s="196">
        <f ca="1">IF($B$860="Лікар загальної практики - сімейний лікар",IF(AG864&lt;Законод!$C$22,0,(IF(AND(AG864&gt;=Законод!$F$22,AG864&lt;=Законод!$F$23),AG864-Законод!$E$23,IF('01_Доходи'!AG864&gt;=Законод!$G$22,Законод!$F$24,0)))),IF($B$860="Лікар-педіатр",IF(AG864&lt;Законод!$C$18,0,(IF(AND(AG864&gt;=Законод!$F$18,AG864&lt;=Законод!$F$19),AG864-Законод!$E$19,IF('01_Доходи'!AG864&gt;=Законод!$G$18,Законод!$F$20,0)))),IF($B$860="Лікар-терапевт",IF(AG864&lt;Законод!$C$26,0,(IF(AND(AG864&gt;=Законод!$F$26,AG864&lt;=Законод!$F$27),AG864-Законод!$E$27,IF('01_Доходи'!AG864&gt;=Законод!$G$26,Законод!$F$28,0)))),0)))</f>
        <v>0</v>
      </c>
      <c r="AH867" s="942"/>
      <c r="AI867" s="201"/>
      <c r="AJ867" s="945"/>
      <c r="AK867" s="960"/>
      <c r="AL867" s="960"/>
      <c r="AM867" s="927"/>
      <c r="AN867" s="210">
        <f ca="1">IF(B860="Лікар загальної практики - сімейний лікар",L867*Законод!$C$9/4*Законод!$F$16,IF(B860="Лікар-педіатр",L867*Законод!$C$9/4*Законод!$F$16,IF(B860="Лікар-терапевт",L867*Законод!$C$9/4*Законод!$F$16,0)))</f>
        <v>0</v>
      </c>
      <c r="AO867" s="210">
        <f ca="1">IF(B860="Лікар загальної практики - сімейний лікар",S867*Законод!$C$9/4*Законод!$F$16,IF(B860="Лікар-педіатр",S867*Законод!$C$9/4*Законод!$F$16,IF(B860="Лікар-терапевт",S867*Законод!$C$9/4*Законод!$F$16,0)))</f>
        <v>0</v>
      </c>
      <c r="AP867" s="210">
        <f ca="1">IF(B860="Лікар загальної практики - сімейний лікар",Z867*Законод!$C$9/4*Законод!$F$16,IF(B860="Лікар-педіатр",Z867*Законод!$C$9/4*Законод!$F$16,IF(B860="Лікар-терапевт",Z867*Законод!$C$9/4*Законод!$F$16,0)))</f>
        <v>0</v>
      </c>
      <c r="AQ867" s="210">
        <f ca="1">IF(B860="Лікар загальної практики - сімейний лікар",AG867*Законод!$C$9/4*Законод!$F$16,IF(B860="Лікар-педіатр",AG867*Законод!$C$9/4*Законод!$F$16,IF(B860="Лікар-терапевт",AG867*Законод!$C$9/4*Законод!$F$16,0)))</f>
        <v>0</v>
      </c>
      <c r="AR867" s="211">
        <f t="shared" si="106"/>
        <v>0</v>
      </c>
    </row>
    <row r="868" spans="1:44" s="50" customFormat="1" ht="31.9" hidden="1" customHeight="1">
      <c r="A868" s="197"/>
      <c r="B868" s="951"/>
      <c r="C868" s="954"/>
      <c r="D868" s="957"/>
      <c r="E868" s="939"/>
      <c r="F868" s="238" t="str">
        <f ca="1">IF(B860="Лікар-педіатр",Законод!$G$17,IF(B860="Лікар загальної практики - сімейний лікар",Законод!$G$21,IF(B860="Лікар-терапевт",Законод!$G$25,"х")))</f>
        <v>х</v>
      </c>
      <c r="G868" s="935" t="s">
        <v>423</v>
      </c>
      <c r="H868" s="936"/>
      <c r="I868" s="936"/>
      <c r="J868" s="936"/>
      <c r="K868" s="937"/>
      <c r="L868" s="196">
        <f ca="1">IF($B$860="Лікар загальної практики - сімейний лікар",IF(L864&lt;Законод!$C$22,0,(IF(AND(L864&gt;=Законод!$G$22,L864&lt;=Законод!$G$23),L864-Законод!$F$23,IF('01_Доходи'!L864&gt;=Законод!$H$22,Законод!$G$24,0)))),IF($B$860="Лікар-педіатр",IF(L864&lt;Законод!$C$18,0,(IF(AND(L864&gt;=Законод!$G$18,L864&lt;=Законод!$G$19),L864-Законод!$F$19,IF('01_Доходи'!L864&gt;=Законод!$H$18,Законод!$G$20,0)))),IF($B$860="Лікар-терапевт",IF(L864&lt;Законод!$C$26,0,(IF(AND(L864&gt;=Законод!$G$26,L864&lt;=Законод!$G$27),L864-Законод!$F$27,IF('01_Доходи'!L864&gt;=Законод!$H$26,Законод!$G$28,0)))),0)))</f>
        <v>0</v>
      </c>
      <c r="M868" s="942"/>
      <c r="N868" s="935" t="s">
        <v>423</v>
      </c>
      <c r="O868" s="936"/>
      <c r="P868" s="936"/>
      <c r="Q868" s="936"/>
      <c r="R868" s="937"/>
      <c r="S868" s="196">
        <f ca="1">IF($B$860="Лікар загальної практики - сімейний лікар",IF(S864&lt;Законод!$C$22,0,(IF(AND(S864&gt;=Законод!$G$22,S864&lt;=Законод!$G$23),S864-Законод!$F$23,IF('01_Доходи'!S864&gt;=Законод!$H$22,Законод!$G$24,0)))),IF($B$860="Лікар-педіатр",IF(S864&lt;Законод!$C$18,0,(IF(AND(S864&gt;=Законод!$G$18,S864&lt;=Законод!$G$19),S864-Законод!$F$19,IF('01_Доходи'!S864&gt;=Законод!$H$18,Законод!$G$20,0)))),IF($B$860="Лікар-терапевт",IF(S864&lt;Законод!$C$26,0,(IF(AND(S864&gt;=Законод!$G$26,S864&lt;=Законод!$G$27),S864-Законод!$F$27,IF('01_Доходи'!S864&gt;=Законод!$H$26,Законод!$G$28,0)))),0)))</f>
        <v>0</v>
      </c>
      <c r="T868" s="942"/>
      <c r="U868" s="935" t="s">
        <v>423</v>
      </c>
      <c r="V868" s="936"/>
      <c r="W868" s="936"/>
      <c r="X868" s="936"/>
      <c r="Y868" s="937"/>
      <c r="Z868" s="196">
        <f ca="1">IF($B$860="Лікар загальної практики - сімейний лікар",IF(Z864&lt;Законод!$C$22,0,(IF(AND(Z864&gt;=Законод!$G$22,Z864&lt;=Законод!$G$23),Z864-Законод!$F$23,IF('01_Доходи'!Z864&gt;=Законод!$H$22,Законод!$G$24,0)))),IF($B$860="Лікар-педіатр",IF(Z864&lt;Законод!$C$18,0,(IF(AND(Z864&gt;=Законод!$G$18,Z864&lt;=Законод!$G$19),Z864-Законод!$F$19,IF('01_Доходи'!Z864&gt;=Законод!$H$18,Законод!$G$20,0)))),IF($B$860="Лікар-терапевт",IF(Z864&lt;Законод!$C$26,0,(IF(AND(Z864&gt;=Законод!$G$26,Z864&lt;=Законод!$G$27),Z864-Законод!$F$27,IF('01_Доходи'!Z864&gt;=Законод!$H$26,Законод!$G$28,0)))),0)))</f>
        <v>0</v>
      </c>
      <c r="AA868" s="942"/>
      <c r="AB868" s="935" t="s">
        <v>423</v>
      </c>
      <c r="AC868" s="936"/>
      <c r="AD868" s="936"/>
      <c r="AE868" s="936"/>
      <c r="AF868" s="937"/>
      <c r="AG868" s="196">
        <f ca="1">IF($B$860="Лікар загальної практики - сімейний лікар",IF(AG864&lt;Законод!$C$22,0,(IF(AND(AG864&gt;=Законод!$G$22,AG864&lt;=Законод!$G$23),AG864-Законод!$F$23,IF('01_Доходи'!AG864&gt;=Законод!$H$22,Законод!$G$24,0)))),IF($B$860="Лікар-педіатр",IF(AG864&lt;Законод!$C$18,0,(IF(AND(AG864&gt;=Законод!$G$18,AG864&lt;=Законод!$G$19),AG864-Законод!$F$19,IF('01_Доходи'!AG864&gt;=Законод!$H$18,Законод!$G$20,0)))),IF($B$860="Лікар-терапевт",IF(AG864&lt;Законод!$C$26,0,(IF(AND(AG864&gt;=Законод!$G$26,AG864&lt;=Законод!$G$27),AG864-Законод!$F$27,IF('01_Доходи'!AG864&gt;=Законод!$H$26,Законод!$G$28,0)))),0)))</f>
        <v>0</v>
      </c>
      <c r="AH868" s="942"/>
      <c r="AI868" s="201"/>
      <c r="AJ868" s="945"/>
      <c r="AK868" s="960"/>
      <c r="AL868" s="960"/>
      <c r="AM868" s="927"/>
      <c r="AN868" s="210">
        <f ca="1">IF(B860="Лікар загальної практики - сімейний лікар",L868*Законод!$C$9/4*Законод!$G$16,IF(B860="Лікар-педіатр",L868*Законод!$C$9/4*Законод!$G$16,IF(B860="Лікар-терапевт",L868*Законод!$C$9/4*Законод!$G$16,0)))</f>
        <v>0</v>
      </c>
      <c r="AO868" s="210">
        <f ca="1">IF(B860="Лікар загальної практики - сімейний лікар",S868*Законод!$C$9/4*Законод!$G$16,IF(B860="Лікар-педіатр",S868*Законод!$C$9/4*Законод!$G$16,IF(B860="Лікар-терапевт",S868*Законод!$C$9/4*Законод!$G$16,0)))</f>
        <v>0</v>
      </c>
      <c r="AP868" s="210">
        <f ca="1">IF(B860="Лікар загальної практики - сімейний лікар",Z868*Законод!$C$9/4*Законод!$G$16,IF(B860="Лікар-педіатр",Z868*Законод!$C$9/4*Законод!$G$16,IF(B860="Лікар-терапевт",Z868*Законод!$C$9/4*Законод!$G$16,0)))</f>
        <v>0</v>
      </c>
      <c r="AQ868" s="210">
        <f ca="1">IF(B860="Лікар загальної практики - сімейний лікар",AG868*Законод!$C$9/4*Законод!$G$16,IF(B860="Лікар-педіатр",AG868*Законод!$C$9/4*Законод!$G$16,IF(B860="Лікар-терапевт",AG868*Законод!$C$9/4*Законод!$G$16,0)))</f>
        <v>0</v>
      </c>
      <c r="AR868" s="211">
        <f t="shared" si="106"/>
        <v>0</v>
      </c>
    </row>
    <row r="869" spans="1:44" s="50" customFormat="1" ht="31.9" hidden="1" customHeight="1">
      <c r="A869" s="197"/>
      <c r="B869" s="951"/>
      <c r="C869" s="954"/>
      <c r="D869" s="957"/>
      <c r="E869" s="939"/>
      <c r="F869" s="238" t="str">
        <f ca="1">IF(B860="Лікар-педіатр",Законод!$H$17,IF(B860="Лікар загальної практики - сімейний лікар",Законод!$H$21,IF(B860="Лікар-терапевт",Законод!$H$25,"х")))</f>
        <v>х</v>
      </c>
      <c r="G869" s="935" t="s">
        <v>423</v>
      </c>
      <c r="H869" s="936"/>
      <c r="I869" s="936"/>
      <c r="J869" s="936"/>
      <c r="K869" s="937"/>
      <c r="L869" s="196">
        <f ca="1">IF($B$860="Лікар загальної практики - сімейний лікар",IF(L864&lt;Законод!$C$22,0,(IF(AND(L864&gt;=Законод!$H$22,L864&lt;=Законод!$H$23),L864-Законод!$G$23,IF('01_Доходи'!L864&gt;=Законод!$I$22,Законод!$H$24,0)))),IF($B$860="Лікар-педіатр",IF(L864&lt;Законод!$C$18,0,(IF(AND(L864&gt;=Законод!$H$18,L864&lt;=Законод!$H$19),L864-Законод!$G$19,IF('01_Доходи'!L864&gt;=Законод!$I$18,Законод!$H$20,0)))),IF($B$860="Лікар-терапевт",IF(L864&lt;Законод!$C$26,0,(IF(AND(L864&gt;=Законод!$H$26,L864&lt;=Законод!$H$27),L864-Законод!$G$27,IF(L864&gt;=Законод!$I$26,Законод!$H$28,0)))),0)))</f>
        <v>0</v>
      </c>
      <c r="M869" s="942"/>
      <c r="N869" s="935" t="s">
        <v>423</v>
      </c>
      <c r="O869" s="936"/>
      <c r="P869" s="936"/>
      <c r="Q869" s="936"/>
      <c r="R869" s="937"/>
      <c r="S869" s="196">
        <f ca="1">IF($B$860="Лікар загальної практики - сімейний лікар",IF(S864&lt;Законод!$C$22,0,(IF(AND(S864&gt;=Законод!$H$22,S864&lt;=Законод!$H$23),S864-Законод!$G$23,IF('01_Доходи'!S864&gt;=Законод!$I$22,Законод!$H$24,0)))),IF($B$860="Лікар-педіатр",IF(S864&lt;Законод!$C$18,0,(IF(AND(S864&gt;=Законод!$H$18,S864&lt;=Законод!$H$19),S864-Законод!$G$19,IF('01_Доходи'!S864&gt;=Законод!$I$18,Законод!$H$20,0)))),IF($B$860="Лікар-терапевт",IF(S864&lt;Законод!$C$26,0,(IF(AND(S864&gt;=Законод!$H$26,S864&lt;=Законод!$H$27),S864-Законод!$G$27,IF(S864&gt;=Законод!$I$26,Законод!$H$28,0)))),0)))</f>
        <v>0</v>
      </c>
      <c r="T869" s="942"/>
      <c r="U869" s="935" t="s">
        <v>423</v>
      </c>
      <c r="V869" s="936"/>
      <c r="W869" s="936"/>
      <c r="X869" s="936"/>
      <c r="Y869" s="937"/>
      <c r="Z869" s="196">
        <f ca="1">IF($B$860="Лікар загальної практики - сімейний лікар",IF(Z864&lt;Законод!$C$22,0,(IF(AND(Z864&gt;=Законод!$H$22,Z864&lt;=Законод!$H$23),Z864-Законод!$G$23,IF('01_Доходи'!Z864&gt;=Законод!$I$22,Законод!$H$24,0)))),IF($B$860="Лікар-педіатр",IF(Z864&lt;Законод!$C$18,0,(IF(AND(Z864&gt;=Законод!$H$18,Z864&lt;=Законод!$H$19),Z864-Законод!$G$19,IF('01_Доходи'!Z864&gt;=Законод!$I$18,Законод!$H$20,0)))),IF($B$860="Лікар-терапевт",IF(Z864&lt;Законод!$C$26,0,(IF(AND(Z864&gt;=Законод!$H$26,Z864&lt;=Законод!$H$27),Z864-Законод!$G$27,IF(Z864&gt;=Законод!$I$26,Законод!$H$28,0)))),0)))</f>
        <v>0</v>
      </c>
      <c r="AA869" s="942"/>
      <c r="AB869" s="935" t="s">
        <v>423</v>
      </c>
      <c r="AC869" s="936"/>
      <c r="AD869" s="936"/>
      <c r="AE869" s="936"/>
      <c r="AF869" s="937"/>
      <c r="AG869" s="196">
        <f ca="1">IF($B$860="Лікар загальної практики - сімейний лікар",IF(AG864&lt;Законод!$C$22,0,(IF(AND(AG864&gt;=Законод!$H$22,AG864&lt;=Законод!$H$23),AG864-Законод!$G$23,IF('01_Доходи'!AG864&gt;=Законод!$I$22,Законод!$H$24,0)))),IF($B$860="Лікар-педіатр",IF(AG864&lt;Законод!$C$18,0,(IF(AND(AG864&gt;=Законод!$H$18,AG864&lt;=Законод!$H$19),AG864-Законод!$G$19,IF('01_Доходи'!AG864&gt;=Законод!$I$18,Законод!$H$20,0)))),IF($B$860="Лікар-терапевт",IF(AG864&lt;Законод!$C$26,0,(IF(AND(AG864&gt;=Законод!$H$26,AG864&lt;=Законод!$H$27),AG864-Законод!$G$27,IF(AG864&gt;=Законод!$I$26,Законод!$H$28,0)))),0)))</f>
        <v>0</v>
      </c>
      <c r="AH869" s="942"/>
      <c r="AI869" s="201"/>
      <c r="AJ869" s="945"/>
      <c r="AK869" s="960"/>
      <c r="AL869" s="960"/>
      <c r="AM869" s="927"/>
      <c r="AN869" s="210">
        <f ca="1">IF(B860="Лікар загальної практики - сімейний лікар",L869*Законод!$C$9/4*Законод!$H$16,IF(B860="Лікар-педіатр",L869*Законод!$C$9/4*Законод!$H$16,IF(B860="Лікар-терапевт",L869*Законод!$C$9/4*Законод!$H$16,0)))</f>
        <v>0</v>
      </c>
      <c r="AO869" s="210">
        <f ca="1">IF(B860="Лікар загальної практики - сімейний лікар",S869*Законод!$C$9/4*Законод!$H$16,IF(B860="Лікар-педіатр",S869*Законод!$C$9/4*Законод!$H$16,IF(B860="Лікар-терапевт",S869*Законод!$C$9/4*Законод!$H$16,0)))</f>
        <v>0</v>
      </c>
      <c r="AP869" s="210">
        <f ca="1">IF(B860="Лікар загальної практики - сімейний лікар",Z869*Законод!$C$9/4*Законод!$H$16,IF(B860="Лікар-педіатр",Z869*Законод!$C$9/4*Законод!$H$16,IF(B860="Лікар-терапевт",Z869*Законод!$C$9/4*Законод!$H$16,0)))</f>
        <v>0</v>
      </c>
      <c r="AQ869" s="210">
        <f ca="1">IF(B860="Лікар загальної практики - сімейний лікар",AG869*Законод!$C$9/4*Законод!$H$16,IF(B860="Лікар-педіатр",AG869*Законод!$C$9/4*Законод!$H$16,IF(B860="Лікар-терапевт",AG869*Законод!$C$9/4*Законод!$H$16,0)))</f>
        <v>0</v>
      </c>
      <c r="AR869" s="211">
        <f t="shared" si="106"/>
        <v>0</v>
      </c>
    </row>
    <row r="870" spans="1:44" s="50" customFormat="1" ht="31.9" hidden="1" customHeight="1">
      <c r="A870" s="197"/>
      <c r="B870" s="951"/>
      <c r="C870" s="954"/>
      <c r="D870" s="957"/>
      <c r="E870" s="939"/>
      <c r="F870" s="238" t="str">
        <f ca="1">IF(B860="Лікар-педіатр",Законод!$I$17,IF(B860="Лікар загальної практики - сімейний лікар",Законод!$I$21,IF(B860="Лікар-терапевт",Законод!$I$25,"х")))</f>
        <v>х</v>
      </c>
      <c r="G870" s="935" t="s">
        <v>423</v>
      </c>
      <c r="H870" s="936"/>
      <c r="I870" s="936"/>
      <c r="J870" s="936"/>
      <c r="K870" s="937"/>
      <c r="L870" s="196">
        <f ca="1">IF($B$860="Лікар загальної практики - сімейний лікар",IF(L864&lt;Законод!$C$22,0,(IF(AND(L864&gt;=Законод!$I$22,L864&lt;=Законод!$I$23),L864-Законод!$H$23,IF('01_Доходи'!L864&gt;=Законод!$I$22,Законод!$I$24,0)))),IF($B$860="Лікар-педіатр",IF(L864&lt;Законод!$C$18,0,(IF(AND(L864&gt;=Законод!$I$18,L864&lt;=Законод!$I$19),L864-Законод!$H$19,IF('01_Доходи'!L864&gt;=Законод!$I$18,Законод!$H$20,0)))),IF($B$860="Лікар-терапевт",IF(L864&lt;Законод!$C$26,0,(IF(AND(L864&gt;=Законод!$I$26,L864&lt;=Законод!$I$27),L864-Законод!$H$27,IF('01_Доходи'!L864&gt;=Законод!$I$26,Законод!$H$28,0)))),0)))</f>
        <v>0</v>
      </c>
      <c r="M870" s="942"/>
      <c r="N870" s="935" t="s">
        <v>423</v>
      </c>
      <c r="O870" s="936"/>
      <c r="P870" s="936"/>
      <c r="Q870" s="936"/>
      <c r="R870" s="937"/>
      <c r="S870" s="196">
        <f ca="1">IF($B$860="Лікар загальної практики - сімейний лікар",IF(S864&lt;Законод!$C$22,0,(IF(AND(S864&gt;=Законод!$I$22,S864&lt;=Законод!$I$23),S864-Законод!$H$23,IF('01_Доходи'!S864&gt;=Законод!$I$22,Законод!$I$24,0)))),IF($B$860="Лікар-педіатр",IF(S864&lt;Законод!$C$18,0,(IF(AND(S864&gt;=Законод!$I$18,S864&lt;=Законод!$I$19),S864-Законод!$H$19,IF('01_Доходи'!S864&gt;=Законод!$I$18,Законод!$H$20,0)))),IF($B$860="Лікар-терапевт",IF(S864&lt;Законод!$C$26,0,(IF(AND(S864&gt;=Законод!$I$26,S864&lt;=Законод!$I$27),S864-Законод!$H$27,IF('01_Доходи'!S864&gt;=Законод!$I$26,Законод!$H$28,0)))),0)))</f>
        <v>0</v>
      </c>
      <c r="T870" s="942"/>
      <c r="U870" s="935" t="s">
        <v>423</v>
      </c>
      <c r="V870" s="936"/>
      <c r="W870" s="936"/>
      <c r="X870" s="936"/>
      <c r="Y870" s="937"/>
      <c r="Z870" s="196">
        <f ca="1">IF($B$860="Лікар загальної практики - сімейний лікар",IF(Z864&lt;Законод!$C$22,0,(IF(AND(Z864&gt;=Законод!$I$22,Z864&lt;=Законод!$I$23),Z864-Законод!$H$23,IF('01_Доходи'!Z864&gt;=Законод!$I$22,Законод!$I$24,0)))),IF($B$860="Лікар-педіатр",IF(Z864&lt;Законод!$C$18,0,(IF(AND(Z864&gt;=Законод!$I$18,Z864&lt;=Законод!$I$19),Z864-Законод!$H$19,IF('01_Доходи'!Z864&gt;=Законод!$I$18,Законод!$H$20,0)))),IF($B$860="Лікар-терапевт",IF(Z864&lt;Законод!$C$26,0,(IF(AND(Z864&gt;=Законод!$I$26,Z864&lt;=Законод!$I$27),Z864-Законод!$H$27,IF('01_Доходи'!Z864&gt;=Законод!$I$26,Законод!$H$28,0)))),0)))</f>
        <v>0</v>
      </c>
      <c r="AA870" s="942"/>
      <c r="AB870" s="935" t="s">
        <v>423</v>
      </c>
      <c r="AC870" s="936"/>
      <c r="AD870" s="936"/>
      <c r="AE870" s="936"/>
      <c r="AF870" s="937"/>
      <c r="AG870" s="196">
        <f ca="1">IF($B$860="Лікар загальної практики - сімейний лікар",IF(AG864&lt;Законод!$C$22,0,(IF(AND(AG864&gt;=Законод!$I$22,AG864&lt;=Законод!$I$23),AG864-Законод!$H$23,IF('01_Доходи'!AG864&gt;=Законод!$I$22,Законод!$I$24,0)))),IF($B$860="Лікар-педіатр",IF(AG864&lt;Законод!$C$18,0,(IF(AND(AG864&gt;=Законод!$I$18,AG864&lt;=Законод!$I$19),AG864-Законод!$H$19,IF('01_Доходи'!AG864&gt;=Законод!$I$18,Законод!$H$20,0)))),IF($B$860="Лікар-терапевт",IF(AG864&lt;Законод!$C$26,0,(IF(AND(AG864&gt;=Законод!$I$26,AG864&lt;=Законод!$I$27),AG864-Законод!$H$27,IF('01_Доходи'!AG864&gt;=Законод!$I$26,Законод!$H$28,0)))),0)))</f>
        <v>0</v>
      </c>
      <c r="AH870" s="942"/>
      <c r="AI870" s="201"/>
      <c r="AJ870" s="945"/>
      <c r="AK870" s="960"/>
      <c r="AL870" s="960"/>
      <c r="AM870" s="927"/>
      <c r="AN870" s="210">
        <f ca="1">IF(B860="Лікар загальної практики - сімейний лікар",L870*Законод!$C$9/4*Законод!$I$16,IF(B860="Лікар-педіатр",L870*Законод!$C$9/4*Законод!$I$16,IF(B860="Лікар-терапевт",L870*Законод!$C$9/4*Законод!$I$16,0)))</f>
        <v>0</v>
      </c>
      <c r="AO870" s="210">
        <f ca="1">IF(B860="Лікар загальної практики - сімейний лікар",S870*Законод!$C$9/4*Законод!$I$16,IF(B860="Лікар-педіатр",S870*Законод!$C$9/4*Законод!$I$16,IF(B860="Лікар-терапевт",S870*Законод!$C$9/4*Законод!$I$16,0)))</f>
        <v>0</v>
      </c>
      <c r="AP870" s="210">
        <f ca="1">IF(B860="Лікар загальної практики - сімейний лікар",Z870*Законод!$C$9/4*Законод!$I$16,IF(B860="Лікар-педіатр",Z870*Законод!$C$9/4*Законод!$I$16,IF(B860="Лікар-терапевт",Z870*Законод!$C$9/4*Законод!$I$16,0)))</f>
        <v>0</v>
      </c>
      <c r="AQ870" s="210">
        <f ca="1">IF(B860="Лікар загальної практики - сімейний лікар",AG870*Законод!$C$9/4*Законод!$I$16,IF(B860="Лікар-педіатр",AG870*Законод!$C$9/4*Законод!$I$16,IF(B860="Лікар-терапевт",AG870*Законод!$C$9/4*Законод!$I$16,0)))</f>
        <v>0</v>
      </c>
      <c r="AR870" s="211">
        <f t="shared" si="106"/>
        <v>0</v>
      </c>
    </row>
    <row r="871" spans="1:44" s="218" customFormat="1" ht="31.9" hidden="1" customHeight="1" thickBot="1">
      <c r="A871" s="213"/>
      <c r="B871" s="952"/>
      <c r="C871" s="955"/>
      <c r="D871" s="958"/>
      <c r="E871" s="940"/>
      <c r="F871" s="239" t="str">
        <f ca="1">IF(B860="Лікар-педіатр",Законод!$J$17,IF(B860="Лікар загальної практики - сімейний лікар",Законод!$J$21,IF(B860="Лікар-терапевт",Законод!$J$25,"х")))</f>
        <v>х</v>
      </c>
      <c r="G871" s="932" t="s">
        <v>423</v>
      </c>
      <c r="H871" s="933"/>
      <c r="I871" s="933"/>
      <c r="J871" s="933"/>
      <c r="K871" s="934"/>
      <c r="L871" s="196">
        <f ca="1">IF($B$860="Лікар загальної практики - сімейний лікар",IF(L864&gt;=Законод!$J$22,'01_Доходи'!L864-('01_Доходи'!L865+'01_Доходи'!L866+'01_Доходи'!L867+'01_Доходи'!L868+'01_Доходи'!L869+'01_Доходи'!L870),0),IF($B$860="Лікар-педіатр",IF(L864&gt;=Законод!$J$18,'01_Доходи'!L864-('01_Доходи'!L865+'01_Доходи'!L866+'01_Доходи'!L867+'01_Доходи'!L868+'01_Доходи'!L869+'01_Доходи'!L870),0),IF($B$860="Лікар-терапевт",IF('01_Доходи'!L864&gt;=Законод!$J$26,L864-Законод!$I$27,0),0)))</f>
        <v>0</v>
      </c>
      <c r="M871" s="943"/>
      <c r="N871" s="932" t="s">
        <v>423</v>
      </c>
      <c r="O871" s="933"/>
      <c r="P871" s="933"/>
      <c r="Q871" s="933"/>
      <c r="R871" s="934"/>
      <c r="S871" s="196">
        <f ca="1">IF($B$860="Лікар загальної практики - сімейний лікар",IF(S864&gt;=Законод!$J$22,'01_Доходи'!S864-('01_Доходи'!S865+'01_Доходи'!S866+'01_Доходи'!S867+'01_Доходи'!S868+'01_Доходи'!S869+'01_Доходи'!S870),0),IF($B$860="Лікар-педіатр",IF(S864&gt;=Законод!$J$18,'01_Доходи'!S864-('01_Доходи'!S865+'01_Доходи'!S866+'01_Доходи'!S867+'01_Доходи'!S868+'01_Доходи'!S869+'01_Доходи'!S870),0),IF($B$860="Лікар-терапевт",IF('01_Доходи'!S864&gt;=Законод!$J$26,S864-Законод!$I$27,0),0)))</f>
        <v>0</v>
      </c>
      <c r="T871" s="943"/>
      <c r="U871" s="932" t="s">
        <v>423</v>
      </c>
      <c r="V871" s="933"/>
      <c r="W871" s="933"/>
      <c r="X871" s="933"/>
      <c r="Y871" s="934"/>
      <c r="Z871" s="196">
        <f ca="1">IF($B$860="Лікар загальної практики - сімейний лікар",IF(Z864&gt;=Законод!$J$22,'01_Доходи'!Z864-('01_Доходи'!Z865+'01_Доходи'!Z866+'01_Доходи'!Z867+'01_Доходи'!Z868+'01_Доходи'!Z869+'01_Доходи'!Z870),0),IF($B$860="Лікар-педіатр",IF(Z864&gt;=Законод!$J$18,'01_Доходи'!Z864-('01_Доходи'!Z865+'01_Доходи'!Z866+'01_Доходи'!Z867+'01_Доходи'!Z868+'01_Доходи'!Z869+'01_Доходи'!Z870),0),IF($B$860="Лікар-терапевт",IF('01_Доходи'!Z864&gt;=Законод!$J$26,Z864-Законод!$I$27,0),0)))</f>
        <v>0</v>
      </c>
      <c r="AA871" s="943"/>
      <c r="AB871" s="932" t="s">
        <v>423</v>
      </c>
      <c r="AC871" s="933"/>
      <c r="AD871" s="933"/>
      <c r="AE871" s="933"/>
      <c r="AF871" s="934"/>
      <c r="AG871" s="196">
        <f ca="1">IF($B$860="Лікар загальної практики - сімейний лікар",IF(AG864&gt;=Законод!$J$22,'01_Доходи'!AG864-('01_Доходи'!AG865+'01_Доходи'!AG866+'01_Доходи'!AG867+'01_Доходи'!AG868+'01_Доходи'!AG869+'01_Доходи'!AG870),0),IF($B$860="Лікар-педіатр",IF(AG864&gt;=Законод!$J$18,'01_Доходи'!AG864-('01_Доходи'!AG865+'01_Доходи'!AG866+'01_Доходи'!AG867+'01_Доходи'!AG868+'01_Доходи'!AG869+'01_Доходи'!AG870),0),IF($B$860="Лікар-терапевт",IF('01_Доходи'!AG864&gt;=Законод!$J$26,AG864-Законод!$I$27,0),0)))</f>
        <v>0</v>
      </c>
      <c r="AH871" s="943"/>
      <c r="AI871" s="215"/>
      <c r="AJ871" s="946"/>
      <c r="AK871" s="961"/>
      <c r="AL871" s="961"/>
      <c r="AM871" s="928"/>
      <c r="AN871" s="216">
        <f ca="1">IF(B860="Лікар загальної практики - сімейний лікар",L871*Законод!$C$9/4*Законод!$J$16,IF(B860="Лікар-педіатр",L871*Законод!$C$9/4*Законод!$J$16,IF(B860="Лікар-терапевт",L871*Законод!$C$9/4*Законод!$J$16,0)))</f>
        <v>0</v>
      </c>
      <c r="AO871" s="216">
        <f ca="1">IF(B860="Лікар загальної практики - сімейний лікар",S871*Законод!$C$9/4*Законод!$J$16,IF(B860="Лікар-педіатр",S871*Законод!$C$9/4*Законод!$J$16,IF(B860="Лікар-терапевт",S871*Законод!$C$9/4*Законод!$J$16,0)))</f>
        <v>0</v>
      </c>
      <c r="AP871" s="216">
        <f ca="1">IF(B860="Лікар загальної практики - сімейний лікар",S871*Законод!$C$9/4*Законод!$J$16,IF(B860="Лікар-педіатр",S871*Законод!$C$9/4*Законод!$J$16,IF(B860="Лікар-терапевт",S871*Законод!$C$9/4*Законод!$J$16,0)))</f>
        <v>0</v>
      </c>
      <c r="AQ871" s="216">
        <f ca="1">IF(B860="Лікар загальної практики - сімейний лікар",AG871*Законод!$C$9/4*Законод!$J$16,IF(B860="Лікар-педіатр",AG871*Законод!$C$9/4*Законод!$J$16,IF(B860="Лікар-терапевт",AG871*Законод!$C$9/4*Законод!$J$16,0)))</f>
        <v>0</v>
      </c>
      <c r="AR871" s="217">
        <f t="shared" si="106"/>
        <v>0</v>
      </c>
    </row>
    <row r="872" spans="1:44" s="247" customFormat="1" ht="23.45" hidden="1" customHeight="1" thickBot="1">
      <c r="A872" s="243"/>
      <c r="B872" s="244"/>
      <c r="C872" s="244"/>
      <c r="D872" s="244"/>
      <c r="E872" s="244"/>
      <c r="F872" s="245"/>
      <c r="G872" s="246"/>
      <c r="H872" s="246"/>
      <c r="L872" s="248"/>
      <c r="S872" s="248"/>
      <c r="Z872" s="248"/>
      <c r="AG872" s="248"/>
      <c r="AM872" s="249"/>
      <c r="AR872" s="250"/>
    </row>
    <row r="873" spans="1:44" s="191" customFormat="1" ht="24.6" hidden="1" customHeight="1">
      <c r="A873" s="194">
        <f>A860+1</f>
        <v>65</v>
      </c>
      <c r="B873" s="950"/>
      <c r="C873" s="953"/>
      <c r="D873" s="956"/>
      <c r="E873" s="938"/>
      <c r="F873" s="234" t="s">
        <v>659</v>
      </c>
      <c r="G873" s="196">
        <f>IF($B$873="Лікар-педіатр",G876*L873,IF($B$873="Лікар-терапевт","х",IF($B$873="Лікар загальної практики - сімейний лікар",G876*L873,0)))</f>
        <v>0</v>
      </c>
      <c r="H873" s="196">
        <f>IF($B$873="Лікар-педіатр",H876*L873,IF($B$873="Лікар-терапевт","х",IF($B$873="Лікар загальної практики - сімейний лікар",H876*L873,0)))</f>
        <v>0</v>
      </c>
      <c r="I873" s="196">
        <f>IF($B$873="Лікар-педіатр","x",IF($B$873="Лікар-терапевт",I876*L873,IF($B$873="Лікар загальної практики - сімейний лікар",I876*L873,0)))</f>
        <v>0</v>
      </c>
      <c r="J873" s="196">
        <f>IF($B$873="Лікар-педіатр","x",IF($B$873="Лікар-терапевт",J876*L873,IF($B$873="Лікар загальної практики - сімейний лікар",J876*L873,0)))</f>
        <v>0</v>
      </c>
      <c r="K873" s="196">
        <f>IF($B$873="Лікар-педіатр","x",IF($B$873="Лікар-терапевт",K876*L873,IF($B$873="Лікар загальної практики - сімейний лікар",K876*L873,0)))</f>
        <v>0</v>
      </c>
      <c r="L873" s="557"/>
      <c r="M873" s="941"/>
      <c r="N873" s="196">
        <f>IF($B$873="Лікар-педіатр",N876*S873,IF($B$873="Лікар-терапевт","х",IF($B$873="Лікар загальної практики - сімейний лікар",N876*S873,0)))</f>
        <v>0</v>
      </c>
      <c r="O873" s="196">
        <f>IF($B$873="Лікар-педіатр",O876*S873,IF($B$873="Лікар-терапевт","х",IF($B$873="Лікар загальної практики - сімейний лікар",O876*S873,0)))</f>
        <v>0</v>
      </c>
      <c r="P873" s="196">
        <f>IF($B$873="Лікар-педіатр","x",IF($B$873="Лікар-терапевт",P876*S873,IF($B$873="Лікар загальної практики - сімейний лікар",P876*S873,0)))</f>
        <v>0</v>
      </c>
      <c r="Q873" s="196">
        <f>IF($B$873="Лікар-педіатр","x",IF($B$873="Лікар-терапевт",Q876*S873,IF($B$873="Лікар загальної практики - сімейний лікар",Q876*S873,0)))</f>
        <v>0</v>
      </c>
      <c r="R873" s="196">
        <f>IF($B$873="Лікар-педіатр","x",IF($B$873="Лікар-терапевт",R876*S873,IF($B$873="Лікар загальної практики - сімейний лікар",R876*S873,0)))</f>
        <v>0</v>
      </c>
      <c r="S873" s="557"/>
      <c r="T873" s="941"/>
      <c r="U873" s="196">
        <f>IF($B$873="Лікар-педіатр",U876*Z873,IF($B$873="Лікар-терапевт","х",IF($B$873="Лікар загальної практики - сімейний лікар",U876*Z873,0)))</f>
        <v>0</v>
      </c>
      <c r="V873" s="196">
        <f>IF($B$873="Лікар-педіатр",V876*Z873,IF($B$873="Лікар-терапевт","х",IF($B$873="Лікар загальної практики - сімейний лікар",V876*Z873,0)))</f>
        <v>0</v>
      </c>
      <c r="W873" s="196">
        <f>IF($B$873="Лікар-педіатр","x",IF($B$873="Лікар-терапевт",W876*Z873,IF($B$873="Лікар загальної практики - сімейний лікар",W876*Z873,0)))</f>
        <v>0</v>
      </c>
      <c r="X873" s="196">
        <f>IF($B$873="Лікар-педіатр","x",IF($B$873="Лікар-терапевт",X876*Z873,IF($B$873="Лікар загальної практики - сімейний лікар",X876*Z873,0)))</f>
        <v>0</v>
      </c>
      <c r="Y873" s="196">
        <f>IF($B$873="Лікар-педіатр","x",IF($B$873="Лікар-терапевт",Y876*Z873,IF($B$873="Лікар загальної практики - сімейний лікар",Y876*Z873,0)))</f>
        <v>0</v>
      </c>
      <c r="Z873" s="557"/>
      <c r="AA873" s="941"/>
      <c r="AB873" s="196">
        <f>IF($B$873="Лікар-педіатр",AB876*AG873,IF($B$873="Лікар-терапевт","х",IF($B$873="Лікар загальної практики - сімейний лікар",AB876*AG873,0)))</f>
        <v>0</v>
      </c>
      <c r="AC873" s="196">
        <f>IF($B$873="Лікар-педіатр",AC876*AG873,IF($B$873="Лікар-терапевт","х",IF($B$873="Лікар загальної практики - сімейний лікар",AC876*AG873,0)))</f>
        <v>0</v>
      </c>
      <c r="AD873" s="196">
        <f>IF($B$873="Лікар-педіатр","x",IF($B$873="Лікар-терапевт",AD876*AG873,IF($B$873="Лікар загальної практики - сімейний лікар",AD876*AG873,0)))</f>
        <v>0</v>
      </c>
      <c r="AE873" s="196">
        <f>IF($B$873="Лікар-педіатр","x",IF($B$873="Лікар-терапевт",AE876*AG873,IF($B$873="Лікар загальної практики - сімейний лікар",AE876*AG873,0)))</f>
        <v>0</v>
      </c>
      <c r="AF873" s="196">
        <f>IF($B$873="Лікар-педіатр","x",IF($B$873="Лікар-терапевт",AF876*AG873,IF($B$873="Лікар загальної практики - сімейний лікар",AF876*AG873,0)))</f>
        <v>0</v>
      </c>
      <c r="AG873" s="557"/>
      <c r="AH873" s="941"/>
      <c r="AI873" s="540">
        <f>A873</f>
        <v>65</v>
      </c>
      <c r="AJ873" s="944">
        <f>B873</f>
        <v>0</v>
      </c>
      <c r="AK873" s="959">
        <f>C873</f>
        <v>0</v>
      </c>
      <c r="AL873" s="959">
        <f>D873</f>
        <v>0</v>
      </c>
      <c r="AM873" s="929" t="s">
        <v>79</v>
      </c>
      <c r="AN873" s="947">
        <f>SUM(AN878:AN884)</f>
        <v>0</v>
      </c>
      <c r="AO873" s="947">
        <f>SUM(AO878:AO884)</f>
        <v>0</v>
      </c>
      <c r="AP873" s="947">
        <f>SUM(AP878:AP884)</f>
        <v>0</v>
      </c>
      <c r="AQ873" s="947">
        <f>SUM(AQ878:AQ884)</f>
        <v>0</v>
      </c>
      <c r="AR873" s="962">
        <f>SUM(AN873:AQ877)</f>
        <v>0</v>
      </c>
    </row>
    <row r="874" spans="1:44" s="50" customFormat="1" ht="28.15" hidden="1" customHeight="1">
      <c r="A874" s="197"/>
      <c r="B874" s="951"/>
      <c r="C874" s="954"/>
      <c r="D874" s="957"/>
      <c r="E874" s="939"/>
      <c r="F874" s="234" t="s">
        <v>660</v>
      </c>
      <c r="G874" s="196">
        <f>IF($B$873="Лікар-педіатр",G876*L874,IF($B$873="Лікар-терапевт","х",IF($B$873="Лікар загальної практики - сімейний лікар",G876*L874,0)))</f>
        <v>0</v>
      </c>
      <c r="H874" s="196">
        <f>IF($B$873="Лікар-педіатр",H876*L874,IF($B$873="Лікар-терапевт","х",IF($B$873="Лікар загальної практики - сімейний лікар",H876*L874,0)))</f>
        <v>0</v>
      </c>
      <c r="I874" s="196">
        <f>IF($B$873="Лікар-педіатр","x",IF($B$873="Лікар-терапевт",I876*L874,IF($B$873="Лікар загальної практики - сімейний лікар",I876*L874,0)))</f>
        <v>0</v>
      </c>
      <c r="J874" s="196">
        <f>IF($B$873="Лікар-педіатр","x",IF($B$873="Лікар-терапевт",J876*L874,IF($B$873="Лікар загальної практики - сімейний лікар",J876*L874,0)))</f>
        <v>0</v>
      </c>
      <c r="K874" s="196">
        <f>IF($B$873="Лікар-педіатр","x",IF($B$873="Лікар-терапевт",K876*L874,IF($B$873="Лікар загальної практики - сімейний лікар",K876*L874,0)))</f>
        <v>0</v>
      </c>
      <c r="L874" s="557"/>
      <c r="M874" s="942"/>
      <c r="N874" s="196">
        <f>IF($B$873="Лікар-педіатр",N876*S874,IF($B$873="Лікар-терапевт","х",IF($B$873="Лікар загальної практики - сімейний лікар",N876*S874,0)))</f>
        <v>0</v>
      </c>
      <c r="O874" s="196">
        <f>IF($B$873="Лікар-педіатр",O876*S874,IF($B$873="Лікар-терапевт","х",IF($B$873="Лікар загальної практики - сімейний лікар",O876*S874,0)))</f>
        <v>0</v>
      </c>
      <c r="P874" s="196">
        <f>IF($B$873="Лікар-педіатр","x",IF($B$873="Лікар-терапевт",P876*S874,IF($B$873="Лікар загальної практики - сімейний лікар",P876*S874,0)))</f>
        <v>0</v>
      </c>
      <c r="Q874" s="196">
        <f>IF($B$873="Лікар-педіатр","x",IF($B$873="Лікар-терапевт",Q876*S874,IF($B$873="Лікар загальної практики - сімейний лікар",Q876*S874,0)))</f>
        <v>0</v>
      </c>
      <c r="R874" s="196">
        <f>IF($B$873="Лікар-педіатр","x",IF($B$873="Лікар-терапевт",R876*S874,IF($B$873="Лікар загальної практики - сімейний лікар",R876*S874,0)))</f>
        <v>0</v>
      </c>
      <c r="S874" s="557"/>
      <c r="T874" s="942"/>
      <c r="U874" s="196">
        <f>IF($B$873="Лікар-педіатр",U876*Z874,IF($B$873="Лікар-терапевт","х",IF($B$873="Лікар загальної практики - сімейний лікар",U876*Z874,0)))</f>
        <v>0</v>
      </c>
      <c r="V874" s="196">
        <f>IF($B$873="Лікар-педіатр",V876*Z874,IF($B$873="Лікар-терапевт","х",IF($B$873="Лікар загальної практики - сімейний лікар",V876*Z874,0)))</f>
        <v>0</v>
      </c>
      <c r="W874" s="196">
        <f>IF($B$873="Лікар-педіатр","x",IF($B$873="Лікар-терапевт",W876*Z874,IF($B$873="Лікар загальної практики - сімейний лікар",W876*Z874,0)))</f>
        <v>0</v>
      </c>
      <c r="X874" s="196">
        <f>IF($B$873="Лікар-педіатр","x",IF($B$873="Лікар-терапевт",X876*Z874,IF($B$873="Лікар загальної практики - сімейний лікар",X876*Z874,0)))</f>
        <v>0</v>
      </c>
      <c r="Y874" s="196">
        <f>IF($B$873="Лікар-педіатр","x",IF($B$873="Лікар-терапевт",Y876*Z874,IF($B$873="Лікар загальної практики - сімейний лікар",Y876*Z874,0)))</f>
        <v>0</v>
      </c>
      <c r="Z874" s="557"/>
      <c r="AA874" s="942"/>
      <c r="AB874" s="196">
        <f>IF($B$873="Лікар-педіатр",AB876*AG874,IF($B$873="Лікар-терапевт","х",IF($B$873="Лікар загальної практики - сімейний лікар",AB876*AG874,0)))</f>
        <v>0</v>
      </c>
      <c r="AC874" s="196">
        <f>IF($B$873="Лікар-педіатр",AC876*AG874,IF($B$873="Лікар-терапевт","х",IF($B$873="Лікар загальної практики - сімейний лікар",AC876*AG874,0)))</f>
        <v>0</v>
      </c>
      <c r="AD874" s="196">
        <f>IF($B$873="Лікар-педіатр","x",IF($B$873="Лікар-терапевт",AD876*AG874,IF($B$873="Лікар загальної практики - сімейний лікар",AD876*AG874,0)))</f>
        <v>0</v>
      </c>
      <c r="AE874" s="196">
        <f>IF($B$873="Лікар-педіатр","x",IF($B$873="Лікар-терапевт",AE876*AG874,IF($B$873="Лікар загальної практики - сімейний лікар",AE876*AG874,0)))</f>
        <v>0</v>
      </c>
      <c r="AF874" s="196">
        <f>IF($B$873="Лікар-педіатр","x",IF($B$873="Лікар-терапевт",AF876*AG874,IF($B$873="Лікар загальної практики - сімейний лікар",AF876*AG874,0)))</f>
        <v>0</v>
      </c>
      <c r="AG874" s="557"/>
      <c r="AH874" s="942"/>
      <c r="AI874" s="198"/>
      <c r="AJ874" s="945"/>
      <c r="AK874" s="960"/>
      <c r="AL874" s="960"/>
      <c r="AM874" s="930"/>
      <c r="AN874" s="948"/>
      <c r="AO874" s="948"/>
      <c r="AP874" s="948"/>
      <c r="AQ874" s="948"/>
      <c r="AR874" s="963"/>
    </row>
    <row r="875" spans="1:44" s="90" customFormat="1" ht="31.15" hidden="1" customHeight="1">
      <c r="A875" s="240"/>
      <c r="B875" s="951"/>
      <c r="C875" s="954"/>
      <c r="D875" s="957"/>
      <c r="E875" s="939"/>
      <c r="F875" s="241" t="s">
        <v>661</v>
      </c>
      <c r="G875" s="199">
        <f>IF(B873="Лікар загальної практики - сімейний лікар"," ",IF(B873="Лікар-педіатр"," ",IF(B873="Лікар-терапевт","х",0)))</f>
        <v>0</v>
      </c>
      <c r="H875" s="199">
        <f>IF(B873="Лікар загальної практики - сімейний лікар"," ",IF(B873="Лікар-педіатр"," ",IF(B873="Лікар-терапевт","х",0)))</f>
        <v>0</v>
      </c>
      <c r="I875" s="199">
        <f>IF(B873="Лікар загальної практики - сімейний лікар"," ",IF(B873="Лікар-педіатр","х",IF(B873="Лікар-терапевт"," ",0)))</f>
        <v>0</v>
      </c>
      <c r="J875" s="199">
        <f>IF(B873="Лікар загальної практики - сімейний лікар"," ",IF(B873="Лікар-педіатр","х",IF(B873="Лікар-терапевт"," ",0)))</f>
        <v>0</v>
      </c>
      <c r="K875" s="199">
        <f>IF(B873="Лікар загальної практики - сімейний лікар"," ",IF(B873="Лікар-педіатр","х",IF(B873="Лікар-терапевт"," ",0)))</f>
        <v>0</v>
      </c>
      <c r="L875" s="200">
        <f>SUM(G875:K875)</f>
        <v>0</v>
      </c>
      <c r="M875" s="942"/>
      <c r="N875" s="199">
        <f>IF(B873="Лікар загальної практики - сімейний лікар"," ",IF(B873="Лікар-педіатр"," ",IF(B873="Лікар-терапевт","х",0)))</f>
        <v>0</v>
      </c>
      <c r="O875" s="199">
        <f>IF(B873="Лікар загальної практики - сімейний лікар"," ",IF(B873="Лікар-педіатр"," ",IF(B873="Лікар-терапевт","х",0)))</f>
        <v>0</v>
      </c>
      <c r="P875" s="199">
        <f>IF(B873="Лікар загальної практики - сімейний лікар"," ",IF(B873="Лікар-педіатр","х",IF(B873="Лікар-терапевт"," ",0)))</f>
        <v>0</v>
      </c>
      <c r="Q875" s="199">
        <f>IF(B873="Лікар загальної практики - сімейний лікар"," ",IF(B873="Лікар-педіатр","х",IF(B873="Лікар-терапевт"," ",0)))</f>
        <v>0</v>
      </c>
      <c r="R875" s="199">
        <f>IF(B873="Лікар загальної практики - сімейний лікар"," ",IF(B873="Лікар-педіатр","х",IF(B873="Лікар-терапевт"," ",0)))</f>
        <v>0</v>
      </c>
      <c r="S875" s="200">
        <f>SUM(N875:R875)</f>
        <v>0</v>
      </c>
      <c r="T875" s="942"/>
      <c r="U875" s="199">
        <f>IF(B873="Лікар загальної практики - сімейний лікар"," ",IF(B873="Лікар-педіатр"," ",IF(B873="Лікар-терапевт","х",0)))</f>
        <v>0</v>
      </c>
      <c r="V875" s="199">
        <f>IF(B873="Лікар загальної практики - сімейний лікар"," ",IF(B873="Лікар-педіатр"," ",IF(B873="Лікар-терапевт","х",0)))</f>
        <v>0</v>
      </c>
      <c r="W875" s="199">
        <f>IF(B873="Лікар загальної практики - сімейний лікар"," ",IF(B873="Лікар-педіатр","х",IF(B873="Лікар-терапевт"," ",0)))</f>
        <v>0</v>
      </c>
      <c r="X875" s="199">
        <f>IF(B873="Лікар загальної практики - сімейний лікар"," ",IF(B873="Лікар-педіатр","х",IF(B873="Лікар-терапевт"," ",0)))</f>
        <v>0</v>
      </c>
      <c r="Y875" s="199">
        <f>IF(B873="Лікар загальної практики - сімейний лікар"," ",IF(B873="Лікар-педіатр","х",IF(B873="Лікар-терапевт"," ",0)))</f>
        <v>0</v>
      </c>
      <c r="Z875" s="200">
        <f>SUM(U875:Y875)</f>
        <v>0</v>
      </c>
      <c r="AA875" s="942"/>
      <c r="AB875" s="199">
        <f>IF(B873="Лікар загальної практики - сімейний лікар"," ",IF(B873="Лікар-педіатр"," ",IF(B873="Лікар-терапевт","х",0)))</f>
        <v>0</v>
      </c>
      <c r="AC875" s="199">
        <f>IF(B873="Лікар загальної практики - сімейний лікар"," ",IF(B873="Лікар-педіатр"," ",IF(B873="Лікар-терапевт","х",0)))</f>
        <v>0</v>
      </c>
      <c r="AD875" s="199">
        <f>IF(B873="Лікар загальної практики - сімейний лікар"," ",IF(B873="Лікар-педіатр","х",IF(B873="Лікар-терапевт"," ",0)))</f>
        <v>0</v>
      </c>
      <c r="AE875" s="199">
        <f>IF(B873="Лікар загальної практики - сімейний лікар"," ",IF(B873="Лікар-педіатр","х",IF(B873="Лікар-терапевт"," ",0)))</f>
        <v>0</v>
      </c>
      <c r="AF875" s="199">
        <f>IF(B873="Лікар загальної практики - сімейний лікар"," ",IF(B873="Лікар-педіатр","х",IF(B873="Лікар-терапевт"," ",0)))</f>
        <v>0</v>
      </c>
      <c r="AG875" s="200">
        <f>SUM(AB875:AF875)</f>
        <v>0</v>
      </c>
      <c r="AH875" s="942"/>
      <c r="AI875" s="242"/>
      <c r="AJ875" s="945"/>
      <c r="AK875" s="960"/>
      <c r="AL875" s="960"/>
      <c r="AM875" s="930"/>
      <c r="AN875" s="948"/>
      <c r="AO875" s="948"/>
      <c r="AP875" s="948"/>
      <c r="AQ875" s="948"/>
      <c r="AR875" s="963"/>
    </row>
    <row r="876" spans="1:44" s="50" customFormat="1" ht="31.9" hidden="1" customHeight="1" thickBot="1">
      <c r="A876" s="197"/>
      <c r="B876" s="951"/>
      <c r="C876" s="954"/>
      <c r="D876" s="957"/>
      <c r="E876" s="939"/>
      <c r="F876" s="236" t="s">
        <v>426</v>
      </c>
      <c r="G876" s="203">
        <f>IF($B$873="Лікар-педіатр",G875/L875,IF($B$873="Лікар-терапевт","х",IF($B$873="Лікар загальної практики - сімейний лікар",G875/L875,0)))</f>
        <v>0</v>
      </c>
      <c r="H876" s="203">
        <f>IF($B$873="Лікар-педіатр",H875/L875,IF($B$873="Лікар-терапевт","х",IF($B$873="Лікар загальної практики - сімейний лікар",H875/L875,0)))</f>
        <v>0</v>
      </c>
      <c r="I876" s="203">
        <f>IF($B$873="Лікар-педіатр","x",IF($B$873="Лікар-терапевт",I875/L875,IF($B$873="Лікар загальної практики - сімейний лікар",I875/L875,0)))</f>
        <v>0</v>
      </c>
      <c r="J876" s="203">
        <f>IF($B$873="Лікар-педіатр","x",IF($B$873="Лікар-терапевт",J875/L875,IF($B$873="Лікар загальної практики - сімейний лікар",J875/L875,0)))</f>
        <v>0</v>
      </c>
      <c r="K876" s="203">
        <f>IF($B$873="Лікар-педіатр","x",IF($B$873="Лікар-терапевт",K875/L875,IF($B$873="Лікар загальної практики - сімейний лікар",K875/L875,0)))</f>
        <v>0</v>
      </c>
      <c r="L876" s="203">
        <f>SUM(G876:K876)</f>
        <v>0</v>
      </c>
      <c r="M876" s="942"/>
      <c r="N876" s="203">
        <f>IF($B$873="Лікар-педіатр",N875/S875,IF($B$873="Лікар-терапевт","х",IF($B$873="Лікар загальної практики - сімейний лікар",N875/S875,0)))</f>
        <v>0</v>
      </c>
      <c r="O876" s="203">
        <f>IF($B$873="Лікар-педіатр",O875/S875,IF($B$873="Лікар-терапевт","х",IF($B$873="Лікар загальної практики - сімейний лікар",O875/S875,0)))</f>
        <v>0</v>
      </c>
      <c r="P876" s="203">
        <f>IF($B$873="Лікар-педіатр","x",IF($B$873="Лікар-терапевт",P875/S875,IF($B$873="Лікар загальної практики - сімейний лікар",P875/S875,0)))</f>
        <v>0</v>
      </c>
      <c r="Q876" s="203">
        <f>IF($B$873="Лікар-педіатр","x",IF($B$873="Лікар-терапевт",Q875/S875,IF($B$873="Лікар загальної практики - сімейний лікар",Q875/S875,0)))</f>
        <v>0</v>
      </c>
      <c r="R876" s="203">
        <f>IF($B$873="Лікар-педіатр","x",IF($B$873="Лікар-терапевт",R875/S875,IF($B$873="Лікар загальної практики - сімейний лікар",R875/S875,0)))</f>
        <v>0</v>
      </c>
      <c r="S876" s="203">
        <f>SUM(N876:R876)</f>
        <v>0</v>
      </c>
      <c r="T876" s="942"/>
      <c r="U876" s="203">
        <f>IF($B$873="Лікар-педіатр",U875/Z875,IF($B$873="Лікар-терапевт","х",IF($B$873="Лікар загальної практики - сімейний лікар",U875/Z875,0)))</f>
        <v>0</v>
      </c>
      <c r="V876" s="203">
        <f>IF($B$873="Лікар-педіатр",V875/Z875,IF($B$873="Лікар-терапевт","х",IF($B$873="Лікар загальної практики - сімейний лікар",V875/Z875,0)))</f>
        <v>0</v>
      </c>
      <c r="W876" s="203">
        <f>IF($B$873="Лікар-педіатр","x",IF($B$873="Лікар-терапевт",W875/Z875,IF($B$873="Лікар загальної практики - сімейний лікар",W875/Z875,0)))</f>
        <v>0</v>
      </c>
      <c r="X876" s="203">
        <f>IF($B$873="Лікар-педіатр","x",IF($B$873="Лікар-терапевт",X875/Z875,IF($B$873="Лікар загальної практики - сімейний лікар",X875/Z875,0)))</f>
        <v>0</v>
      </c>
      <c r="Y876" s="203">
        <f>IF($B$873="Лікар-педіатр","x",IF($B$873="Лікар-терапевт",Y875/Z875,IF($B$873="Лікар загальної практики - сімейний лікар",Y875/Z875,0)))</f>
        <v>0</v>
      </c>
      <c r="Z876" s="203">
        <f>SUM(U876:Y876)</f>
        <v>0</v>
      </c>
      <c r="AA876" s="942"/>
      <c r="AB876" s="203">
        <f>IF($B$873="Лікар-педіатр",AB875/AG875,IF($B$873="Лікар-терапевт","х",IF($B$873="Лікар загальної практики - сімейний лікар",AB875/AG875,0)))</f>
        <v>0</v>
      </c>
      <c r="AC876" s="203">
        <f>IF($B$873="Лікар-педіатр",AC875/AG875,IF($B$873="Лікар-терапевт","х",IF($B$873="Лікар загальної практики - сімейний лікар",AC875/AG875,0)))</f>
        <v>0</v>
      </c>
      <c r="AD876" s="203">
        <f>IF($B$873="Лікар-педіатр","x",IF($B$873="Лікар-терапевт",AD875/AG875,IF($B$873="Лікар загальної практики - сімейний лікар",AD875/AG875,0)))</f>
        <v>0</v>
      </c>
      <c r="AE876" s="203">
        <f>IF($B$873="Лікар-педіатр","x",IF($B$873="Лікар-терапевт",AE875/AG875,IF($B$873="Лікар загальної практики - сімейний лікар",AE875/AG875,0)))</f>
        <v>0</v>
      </c>
      <c r="AF876" s="203">
        <f>IF($B$873="Лікар-педіатр","x",IF($B$873="Лікар-терапевт",AF875/AG875,IF($B$873="Лікар загальної практики - сімейний лікар",AF875/AG875,0)))</f>
        <v>0</v>
      </c>
      <c r="AG876" s="203">
        <f>SUM(AB876:AF876)</f>
        <v>0</v>
      </c>
      <c r="AH876" s="942"/>
      <c r="AI876" s="201"/>
      <c r="AJ876" s="945"/>
      <c r="AK876" s="960"/>
      <c r="AL876" s="960"/>
      <c r="AM876" s="930"/>
      <c r="AN876" s="948"/>
      <c r="AO876" s="948"/>
      <c r="AP876" s="948"/>
      <c r="AQ876" s="948"/>
      <c r="AR876" s="963"/>
    </row>
    <row r="877" spans="1:44" s="50" customFormat="1" ht="45" hidden="1" customHeight="1" thickBot="1">
      <c r="A877" s="197"/>
      <c r="B877" s="951"/>
      <c r="C877" s="954"/>
      <c r="D877" s="957"/>
      <c r="E877" s="939"/>
      <c r="F877" s="204" t="s">
        <v>662</v>
      </c>
      <c r="G877" s="205">
        <f>IF($B$873="Лікар загальної практики - сімейний лікар",AVERAGE(G873:G875),IF($B$873="Лікар-педіатр",AVERAGE(G873:G875),IF($B$873="Лікар-терапевт","х",0)))</f>
        <v>0</v>
      </c>
      <c r="H877" s="205">
        <f>IF($B$873="Лікар загальної практики - сімейний лікар",AVERAGE(H873:H875),IF($B$873="Лікар-педіатр",AVERAGE(H873:H875),IF($B$873="Лікар-терапевт","х",0)))</f>
        <v>0</v>
      </c>
      <c r="I877" s="205">
        <f>IF($B$873="Лікар загальної практики - сімейний лікар",AVERAGE(I873:I875),IF($B$873="Лікар-педіатр","x",IF($B$873="Лікар-терапевт",AVERAGE(I873:I875),0)))</f>
        <v>0</v>
      </c>
      <c r="J877" s="205">
        <f>IF($B$873="Лікар загальної практики - сімейний лікар",AVERAGE(J873:J875),IF($B$873="Лікар-педіатр","x",IF($B$873="Лікар-терапевт",AVERAGE(J873:J875),0)))</f>
        <v>0</v>
      </c>
      <c r="K877" s="205">
        <f>IF($B$873="Лікар загальної практики - сімейний лікар",AVERAGE(K873:K875),IF($B$873="Лікар-педіатр","x",IF($B$873="Лікар-терапевт",AVERAGE(K873:K875),0)))</f>
        <v>0</v>
      </c>
      <c r="L877" s="206">
        <f>SUM(G877:K877)</f>
        <v>0</v>
      </c>
      <c r="M877" s="942"/>
      <c r="N877" s="205">
        <f>IF($B$873="Лікар загальної практики - сімейний лікар",AVERAGE(N873:N875),IF($B$873="Лікар-педіатр",AVERAGE(N873:N875),IF($B$873="Лікар-терапевт","х",0)))</f>
        <v>0</v>
      </c>
      <c r="O877" s="205">
        <f>IF($B$873="Лікар загальної практики - сімейний лікар",AVERAGE(O873:O875),IF($B$873="Лікар-педіатр",AVERAGE(O873:O875),IF($B$873="Лікар-терапевт","х",0)))</f>
        <v>0</v>
      </c>
      <c r="P877" s="205">
        <f>IF($B$873="Лікар загальної практики - сімейний лікар",AVERAGE(P873:P875),IF($B$873="Лікар-педіатр","x",IF($B$873="Лікар-терапевт",AVERAGE(P873:P875),0)))</f>
        <v>0</v>
      </c>
      <c r="Q877" s="205">
        <f>IF($B$873="Лікар загальної практики - сімейний лікар",AVERAGE(Q873:Q875),IF($B$873="Лікар-педіатр","x",IF($B$873="Лікар-терапевт",AVERAGE(Q873:Q875),0)))</f>
        <v>0</v>
      </c>
      <c r="R877" s="205">
        <f>IF($B$873="Лікар загальної практики - сімейний лікар",AVERAGE(R873:R875),IF($B$873="Лікар-педіатр","x",IF($B$873="Лікар-терапевт",AVERAGE(R873:R875),0)))</f>
        <v>0</v>
      </c>
      <c r="S877" s="206">
        <f>SUM(N877:R877)</f>
        <v>0</v>
      </c>
      <c r="T877" s="942"/>
      <c r="U877" s="205">
        <f>IF($B$873="Лікар загальної практики - сімейний лікар",AVERAGE(U873:U875),IF($B$873="Лікар-педіатр",AVERAGE(U873:U875),IF($B$873="Лікар-терапевт","х",0)))</f>
        <v>0</v>
      </c>
      <c r="V877" s="205">
        <f>IF($B$873="Лікар загальної практики - сімейний лікар",AVERAGE(V873:V875),IF($B$873="Лікар-педіатр",AVERAGE(V873:V875),IF($B$873="Лікар-терапевт","х",0)))</f>
        <v>0</v>
      </c>
      <c r="W877" s="205">
        <f>IF($B$873="Лікар загальної практики - сімейний лікар",AVERAGE(W873:W875),IF($B$873="Лікар-педіатр","x",IF($B$873="Лікар-терапевт",AVERAGE(W873:W875),0)))</f>
        <v>0</v>
      </c>
      <c r="X877" s="205">
        <f>IF($B$873="Лікар загальної практики - сімейний лікар",AVERAGE(X873:X875),IF($B$873="Лікар-педіатр","x",IF($B$873="Лікар-терапевт",AVERAGE(X873:X875),0)))</f>
        <v>0</v>
      </c>
      <c r="Y877" s="205">
        <f>IF($B$873="Лікар загальної практики - сімейний лікар",AVERAGE(Y873:Y875),IF($B$873="Лікар-педіатр","x",IF($B$873="Лікар-терапевт",AVERAGE(Y873:Y875),0)))</f>
        <v>0</v>
      </c>
      <c r="Z877" s="206">
        <f>SUM(U877:Y877)</f>
        <v>0</v>
      </c>
      <c r="AA877" s="942"/>
      <c r="AB877" s="205">
        <f>IF($B$873="Лікар загальної практики - сімейний лікар",AVERAGE(AB873:AB875),IF($B$873="Лікар-педіатр",AVERAGE(AB873:AB875),IF($B$873="Лікар-терапевт","х",0)))</f>
        <v>0</v>
      </c>
      <c r="AC877" s="205">
        <f>IF($B$873="Лікар загальної практики - сімейний лікар",AVERAGE(AC873:AC875),IF($B$873="Лікар-педіатр",AVERAGE(AC873:AC875),IF($B$873="Лікар-терапевт","х",0)))</f>
        <v>0</v>
      </c>
      <c r="AD877" s="205">
        <f>IF($B$873="Лікар загальної практики - сімейний лікар",AVERAGE(AD873:AD875),IF($B$873="Лікар-педіатр","x",IF($B$873="Лікар-терапевт",AVERAGE(AD873:AD875),0)))</f>
        <v>0</v>
      </c>
      <c r="AE877" s="205">
        <f>IF($B$873="Лікар загальної практики - сімейний лікар",AVERAGE(AE873:AE875),IF($B$873="Лікар-педіатр","x",IF($B$873="Лікар-терапевт",AVERAGE(AE873:AE875),0)))</f>
        <v>0</v>
      </c>
      <c r="AF877" s="205">
        <f>IF($B$873="Лікар загальної практики - сімейний лікар",AVERAGE(AF873:AF875),IF($B$873="Лікар-педіатр","x",IF($B$873="Лікар-терапевт",AVERAGE(AF873:AF875),0)))</f>
        <v>0</v>
      </c>
      <c r="AG877" s="206">
        <f>SUM(AB877:AF877)</f>
        <v>0</v>
      </c>
      <c r="AH877" s="942"/>
      <c r="AI877" s="201"/>
      <c r="AJ877" s="945"/>
      <c r="AK877" s="960"/>
      <c r="AL877" s="960"/>
      <c r="AM877" s="931"/>
      <c r="AN877" s="949"/>
      <c r="AO877" s="949"/>
      <c r="AP877" s="949"/>
      <c r="AQ877" s="949"/>
      <c r="AR877" s="964"/>
    </row>
    <row r="878" spans="1:44" s="50" customFormat="1" ht="40.5" hidden="1">
      <c r="A878" s="197"/>
      <c r="B878" s="951"/>
      <c r="C878" s="954"/>
      <c r="D878" s="957"/>
      <c r="E878" s="939"/>
      <c r="F878" s="237" t="str">
        <f ca="1">IF(B873="Лікар-педіатр",Законод!$C$17,IF(B873="Лікар загальної практики - сімейний лікар",Законод!$C$21,IF(B873="Лікар-терапевт",Законод!$C$25,"х")))</f>
        <v>х</v>
      </c>
      <c r="G878" s="208">
        <f ca="1">IF($B$873="Лікар загальної практики - сімейний лікар",IF(L877&lt;=Законод!$C$22,G877,Законод!$C$22*'01_Доходи'!G876),IF($B$873="Лікар-педіатр",IF(L877&lt;=Законод!$C$18,G877,Законод!$C$18*'01_Доходи'!G876),IF($B$873="Лікар-терапевт","x",0)))</f>
        <v>0</v>
      </c>
      <c r="H878" s="208">
        <f ca="1">IF($B$873="Лікар загальної практики - сімейний лікар",IF(L877&lt;=Законод!$C$22,H877,Законод!$C$22*'01_Доходи'!H876),IF($B$873="Лікар-педіатр",IF(L877&lt;=Законод!$C$18,H877,Законод!$C$18*'01_Доходи'!H876),IF($B$873="Лікар-терапевт","x",0)))</f>
        <v>0</v>
      </c>
      <c r="I878" s="208">
        <f ca="1">IF($B$873="Лікар загальної практики - сімейний лікар",IF(L877&lt;=Законод!$C$22,I877,Законод!$C$22*'01_Доходи'!I876),IF($B$873="Лікар-педіатр","x",IF($B$873="Лікар-терапевт",IF(L877&lt;=Законод!$C$26,I877,Законод!$C$26*'01_Доходи'!I876),0)))</f>
        <v>0</v>
      </c>
      <c r="J878" s="208">
        <f ca="1">IF($B$873="Лікар загальної практики - сімейний лікар",IF(L877&lt;=Законод!$C$22,J877,Законод!$C$22*'01_Доходи'!J876),IF($B$873="Лікар-педіатр","x",IF($B$873="Лікар-терапевт",IF(L877&lt;=Законод!$C$26,J877,Законод!$C$26*'01_Доходи'!J876),0)))</f>
        <v>0</v>
      </c>
      <c r="K878" s="208">
        <f ca="1">IF($B$873="Лікар загальної практики - сімейний лікар",IF(L877&lt;=Законод!$C$22,K877,Законод!$C$22*'01_Доходи'!K876),IF($B$873="Лікар-педіатр","x",IF($B$873="Лікар-терапевт",IF(L877&lt;=Законод!$C$26,K877,Законод!$C$26*'01_Доходи'!K876),0)))</f>
        <v>0</v>
      </c>
      <c r="L878" s="209">
        <f ca="1">SUM(G878:K878)</f>
        <v>0</v>
      </c>
      <c r="M878" s="942"/>
      <c r="N878" s="208">
        <f ca="1">IF($B$873="Лікар загальної практики - сімейний лікар",IF(S877&lt;=Законод!$C$22,N877,Законод!$C$22*'01_Доходи'!N876),IF($B$873="Лікар-педіатр",IF(S877&lt;=Законод!$C$18,N877,Законод!$C$18*'01_Доходи'!N876),IF($B$873="Лікар-терапевт","x",0)))</f>
        <v>0</v>
      </c>
      <c r="O878" s="208">
        <f ca="1">IF($B$873="Лікар загальної практики - сімейний лікар",IF(S877&lt;=Законод!$C$22,O877,Законод!$C$22*'01_Доходи'!O876),IF($B$873="Лікар-педіатр",IF(S877&lt;=Законод!$C$18,O877,Законод!$C$18*'01_Доходи'!O876),IF($B$873="Лікар-терапевт","x",0)))</f>
        <v>0</v>
      </c>
      <c r="P878" s="208">
        <f ca="1">IF($B$873="Лікар загальної практики - сімейний лікар",IF(S877&lt;=Законод!$C$22,P877,Законод!$C$22*'01_Доходи'!P876),IF($B$873="Лікар-педіатр","x",IF($B$873="Лікар-терапевт",IF(S877&lt;=Законод!$C$26,P877,Законод!$C$26*'01_Доходи'!P876),0)))</f>
        <v>0</v>
      </c>
      <c r="Q878" s="208">
        <f ca="1">IF($B$873="Лікар загальної практики - сімейний лікар",IF(S877&lt;=Законод!$C$22,Q877,Законод!$C$22*'01_Доходи'!Q876),IF($B$873="Лікар-педіатр","x",IF($B$873="Лікар-терапевт",IF(S877&lt;=Законод!$C$26,Q877,Законод!$C$26*'01_Доходи'!Q876),0)))</f>
        <v>0</v>
      </c>
      <c r="R878" s="208">
        <f ca="1">IF($B$873="Лікар загальної практики - сімейний лікар",IF(S877&lt;=Законод!$C$22,R877,Законод!$C$22*'01_Доходи'!R876),IF($B$873="Лікар-педіатр","x",IF($B$873="Лікар-терапевт",IF(S877&lt;=Законод!$C$26,R877,Законод!$C$26*'01_Доходи'!R876),0)))</f>
        <v>0</v>
      </c>
      <c r="S878" s="209">
        <f ca="1">SUM(N878:R878)</f>
        <v>0</v>
      </c>
      <c r="T878" s="942"/>
      <c r="U878" s="208">
        <f ca="1">IF($B$873="Лікар загальної практики - сімейний лікар",IF(Z877&lt;=Законод!$C$22,U877,Законод!$C$22*'01_Доходи'!U876),IF($B$873="Лікар-педіатр",IF(Z877&lt;=Законод!$C$18,U877,Законод!$C$18*'01_Доходи'!U876),IF($B$873="Лікар-терапевт","x",0)))</f>
        <v>0</v>
      </c>
      <c r="V878" s="208">
        <f ca="1">IF($B$873="Лікар загальної практики - сімейний лікар",IF(Z877&lt;=Законод!$C$22,V877,Законод!$C$22*'01_Доходи'!V876),IF($B$873="Лікар-педіатр",IF(Z877&lt;=Законод!$C$18,V877,Законод!$C$18*'01_Доходи'!V876),IF($B$873="Лікар-терапевт","x",0)))</f>
        <v>0</v>
      </c>
      <c r="W878" s="208">
        <f ca="1">IF($B$873="Лікар загальної практики - сімейний лікар",IF(Z877&lt;=Законод!$C$22,W877,Законод!$C$22*'01_Доходи'!W876),IF($B$873="Лікар-педіатр","x",IF($B$873="Лікар-терапевт",IF(Z877&lt;=Законод!$C$26,W877,Законод!$C$26*'01_Доходи'!W876),0)))</f>
        <v>0</v>
      </c>
      <c r="X878" s="208">
        <f ca="1">IF($B$873="Лікар загальної практики - сімейний лікар",IF(Z877&lt;=Законод!$C$22,X877,Законод!$C$22*'01_Доходи'!X876),IF($B$873="Лікар-педіатр","x",IF($B$873="Лікар-терапевт",IF(Z877&lt;=Законод!$C$26,X877,Законод!$C$26*'01_Доходи'!X876),0)))</f>
        <v>0</v>
      </c>
      <c r="Y878" s="208">
        <f ca="1">IF($B$873="Лікар загальної практики - сімейний лікар",IF(Z877&lt;=Законод!$C$22,Y877,Законод!$C$22*'01_Доходи'!Y876),IF($B$873="Лікар-педіатр","x",IF($B$873="Лікар-терапевт",IF(Z877&lt;=Законод!$C$26,Y877,Законод!$C$26*'01_Доходи'!Y876),0)))</f>
        <v>0</v>
      </c>
      <c r="Z878" s="209">
        <f ca="1">SUM(U878:Y878)</f>
        <v>0</v>
      </c>
      <c r="AA878" s="942"/>
      <c r="AB878" s="208">
        <f ca="1">IF($B$873="Лікар загальної практики - сімейний лікар",IF(AG877&lt;=Законод!$C$22,AB877,Законод!$C$22*'01_Доходи'!AB876),IF($B$873="Лікар-педіатр",IF(AG877&lt;=Законод!$C$18,AB877,Законод!$C$18*'01_Доходи'!AB876),IF($B$873="Лікар-терапевт","x",0)))</f>
        <v>0</v>
      </c>
      <c r="AC878" s="208">
        <f ca="1">IF($B$873="Лікар загальної практики - сімейний лікар",IF(AG877&lt;=Законод!$C$22,AC877,Законод!$C$22*'01_Доходи'!AC876),IF($B$873="Лікар-педіатр",IF(AG877&lt;=Законод!$C$18,AC877,Законод!$C$18*'01_Доходи'!AC876),IF($B$873="Лікар-терапевт","x",0)))</f>
        <v>0</v>
      </c>
      <c r="AD878" s="208">
        <f ca="1">IF($B$873="Лікар загальної практики - сімейний лікар",IF(AG877&lt;=Законод!$C$22,AD877,Законод!$C$22*'01_Доходи'!AD876),IF($B$873="Лікар-педіатр","x",IF($B$873="Лікар-терапевт",IF(AG877&lt;=Законод!$C$26,AD877,Законод!$C$26*'01_Доходи'!AD876),0)))</f>
        <v>0</v>
      </c>
      <c r="AE878" s="208">
        <f ca="1">IF($B$873="Лікар загальної практики - сімейний лікар",IF(AG877&lt;=Законод!$C$22,AE877,Законод!$C$22*'01_Доходи'!AE876),IF($B$873="Лікар-педіатр","x",IF($B$873="Лікар-терапевт",IF(AG877&lt;=Законод!$C$26,AE877,Законод!$C$26*'01_Доходи'!AE876),0)))</f>
        <v>0</v>
      </c>
      <c r="AF878" s="208">
        <f ca="1">IF($B$873="Лікар загальної практики - сімейний лікар",IF(AG877&lt;=Законод!$C$22,AF877,Законод!$C$22*'01_Доходи'!AF876),IF($B$873="Лікар-педіатр","x",IF($B$873="Лікар-терапевт",IF(AG877&lt;=Законод!$C$26,AF877,Законод!$C$26*'01_Доходи'!AF876),0)))</f>
        <v>0</v>
      </c>
      <c r="AG878" s="209">
        <f ca="1">SUM(AB878:AF878)</f>
        <v>0</v>
      </c>
      <c r="AH878" s="942"/>
      <c r="AI878" s="201"/>
      <c r="AJ878" s="945"/>
      <c r="AK878" s="960"/>
      <c r="AL878" s="960"/>
      <c r="AM878" s="348" t="s">
        <v>451</v>
      </c>
      <c r="AN878" s="210">
        <f ca="1">IF(B873="Лікар загальної практики - сімейний лікар",G878*Законод!$C$11+'01_Доходи'!H878*Законод!$D$11+'01_Доходи'!I878*Законод!$E$11+'01_Доходи'!J878*Законод!$F$11+'01_Доходи'!K878*Законод!$G$11,IF(B873="Лікар-педіатр",G878*Законод!$C$11+'01_Доходи'!H878*Законод!$D$11,IF(B873="Лікар-терапевт",'01_Доходи'!I878*Законод!$E$11+'01_Доходи'!J878*Законод!$F$11+'01_Доходи'!K878*Законод!$G$11,0)))</f>
        <v>0</v>
      </c>
      <c r="AO878" s="210">
        <f ca="1">IF(B873="Лікар загальної практики - сімейний лікар",N878*Законод!$C$11+'01_Доходи'!O878*Законод!$D$11+'01_Доходи'!P878*Законод!$E$11+'01_Доходи'!Q878*Законод!$F$11+'01_Доходи'!R878*Законод!$G$11,IF(B873="Лікар-педіатр",N878*Законод!$C$11+'01_Доходи'!O878*Законод!$D$11,IF(B873="Лікар-терапевт",'01_Доходи'!P878*Законод!$E$11+'01_Доходи'!Q878*Законод!$F$11+'01_Доходи'!R878*Законод!$G$11,0)))</f>
        <v>0</v>
      </c>
      <c r="AP878" s="210">
        <f ca="1">IF(B873="Лікар загальної практики - сімейний лікар",U878*Законод!$C$11+'01_Доходи'!V878*Законод!$D$11+'01_Доходи'!W878*Законод!$E$11+'01_Доходи'!X878*Законод!$F$11+'01_Доходи'!Y878*Законод!$G$11,IF(B873="Лікар-педіатр",U878*Законод!$C$11+'01_Доходи'!V878*Законод!$D$11,IF(B873="Лікар-терапевт",'01_Доходи'!W878*Законод!$E$11+'01_Доходи'!X878*Законод!$F$11+'01_Доходи'!Y878*Законод!$G$11,0)))</f>
        <v>0</v>
      </c>
      <c r="AQ878" s="210">
        <f ca="1">IF(B873="Лікар загальної практики - сімейний лікар",AB878*Законод!$C$11+'01_Доходи'!AC878*Законод!$D$11+'01_Доходи'!AD878*Законод!$E$11+'01_Доходи'!AE878*Законод!$F$11+'01_Доходи'!AF878*Законод!$G$11,IF(B873="Лікар-педіатр",AB878*Законод!$C$11+'01_Доходи'!AC878*Законод!$D$11,IF(B873="Лікар-терапевт",'01_Доходи'!AD878*Законод!$E$11+'01_Доходи'!AE878*Законод!$F$11+'01_Доходи'!AF878*Законод!$G$11,0)))</f>
        <v>0</v>
      </c>
      <c r="AR878" s="211">
        <f t="shared" ref="AR878:AR884" si="107">SUM(AN878:AQ878)</f>
        <v>0</v>
      </c>
    </row>
    <row r="879" spans="1:44" s="50" customFormat="1" ht="31.9" hidden="1" customHeight="1">
      <c r="A879" s="197"/>
      <c r="B879" s="951"/>
      <c r="C879" s="954"/>
      <c r="D879" s="957"/>
      <c r="E879" s="939"/>
      <c r="F879" s="238" t="str">
        <f ca="1">IF(B873="Лікар-педіатр",Законод!$E$17,IF(B873="Лікар загальної практики - сімейний лікар",Законод!$E$21,IF(B873="Лікар-терапевт",Законод!$E$25,"х")))</f>
        <v>х</v>
      </c>
      <c r="G879" s="935" t="s">
        <v>423</v>
      </c>
      <c r="H879" s="936"/>
      <c r="I879" s="936"/>
      <c r="J879" s="936"/>
      <c r="K879" s="937"/>
      <c r="L879" s="196">
        <f ca="1">IF($B$873="Лікар загальної практики - сімейний лікар",IF(L877&lt;Законод!$C$22,0,(IF(AND(L877&gt;=Законод!$E$22,L877&lt;=Законод!$E$23),L877-Законод!$C$22,IF('01_Доходи'!L877&gt;=Законод!$F$22,Законод!$E$24,0)))),IF($B$873="Лікар-педіатр",IF(L877&lt;Законод!$C$18,0,(IF(AND(L877&gt;=Законод!$E$18,L877&lt;=Законод!$E$19),L877-Законод!$C$18,IF('01_Доходи'!L877&gt;=Законод!$F$18,Законод!$E$20,0)))),IF($B$873="Лікар-терапевт",IF(L877&lt;Законод!$C$26,0,(IF(AND(L877&gt;=Законод!$E$26,L877&lt;=Законод!$E$27),L877-Законод!$C$26,IF('01_Доходи'!L877&gt;=Законод!$F$26,Законод!$E$28,0)))),0)))</f>
        <v>0</v>
      </c>
      <c r="M879" s="942"/>
      <c r="N879" s="935" t="s">
        <v>423</v>
      </c>
      <c r="O879" s="936"/>
      <c r="P879" s="936"/>
      <c r="Q879" s="936"/>
      <c r="R879" s="937"/>
      <c r="S879" s="196">
        <f ca="1">IF($B$873="Лікар загальної практики - сімейний лікар",IF(S877&lt;Законод!$C$22,0,(IF(AND(S877&gt;=Законод!$E$22,S877&lt;=Законод!$E$23),S877-Законод!$C$22,IF('01_Доходи'!S877&gt;=Законод!$F$22,Законод!$E$24,0)))),IF($B$873="Лікар-педіатр",IF(S877&lt;Законод!$C$18,0,(IF(AND(S877&gt;=Законод!$E$18,S877&lt;=Законод!$E$19),S877-Законод!$C$18,IF('01_Доходи'!S877&gt;=Законод!$F$18,Законод!$E$20,0)))),IF($B$873="Лікар-терапевт",IF(S877&lt;Законод!$C$26,0,(IF(AND(S877&gt;=Законод!$E$26,S877&lt;=Законод!$E$27),S877-Законод!$C$26,IF('01_Доходи'!S877&gt;=Законод!$F$26,Законод!$E$28,0)))),0)))</f>
        <v>0</v>
      </c>
      <c r="T879" s="942"/>
      <c r="U879" s="935" t="s">
        <v>423</v>
      </c>
      <c r="V879" s="936"/>
      <c r="W879" s="936"/>
      <c r="X879" s="936"/>
      <c r="Y879" s="937"/>
      <c r="Z879" s="196">
        <f ca="1">IF($B$873="Лікар загальної практики - сімейний лікар",IF(Z877&lt;Законод!$C$22,0,(IF(AND(Z877&gt;=Законод!$E$22,Z877&lt;=Законод!$E$23),Z877-Законод!$C$22,IF('01_Доходи'!Z877&gt;=Законод!$F$22,Законод!$E$24,0)))),IF($B$873="Лікар-педіатр",IF(Z877&lt;Законод!$C$18,0,(IF(AND(Z877&gt;=Законод!$E$18,Z877&lt;=Законод!$E$19),Z877-Законод!$C$18,IF('01_Доходи'!Z877&gt;=Законод!$F$18,Законод!$E$20,0)))),IF($B$873="Лікар-терапевт",IF(Z877&lt;Законод!$C$26,0,(IF(AND(Z877&gt;=Законод!$E$26,Z877&lt;=Законод!$E$27),Z877-Законод!$C$26,IF('01_Доходи'!Z877&gt;=Законод!$F$26,Законод!$E$28,0)))),0)))</f>
        <v>0</v>
      </c>
      <c r="AA879" s="942"/>
      <c r="AB879" s="935" t="s">
        <v>423</v>
      </c>
      <c r="AC879" s="936"/>
      <c r="AD879" s="936"/>
      <c r="AE879" s="936"/>
      <c r="AF879" s="937"/>
      <c r="AG879" s="196">
        <f ca="1">IF($B$873="Лікар загальної практики - сімейний лікар",IF(AG877&lt;Законод!$C$22,0,(IF(AND(AG877&gt;=Законод!$E$22,AG877&lt;=Законод!$E$23),AG877-Законод!$C$22,IF('01_Доходи'!AG877&gt;=Законод!$F$22,Законод!$E$24,0)))),IF($B$873="Лікар-педіатр",IF(AG877&lt;Законод!$C$18,0,(IF(AND(AG877&gt;=Законод!$E$18,AG877&lt;=Законод!$E$19),AG877-Законод!$C$18,IF('01_Доходи'!AG877&gt;=Законод!$F$18,Законод!$E$20,0)))),IF($B$873="Лікар-терапевт",IF(AG877&lt;Законод!$C$26,0,(IF(AND(AG877&gt;=Законод!$E$26,AG877&lt;=Законод!$E$27),AG877-Законод!$C$26,IF('01_Доходи'!AG877&gt;=Законод!$F$26,Законод!$E$28,0)))),0)))</f>
        <v>0</v>
      </c>
      <c r="AH879" s="942"/>
      <c r="AI879" s="201"/>
      <c r="AJ879" s="945"/>
      <c r="AK879" s="960"/>
      <c r="AL879" s="960"/>
      <c r="AM879" s="926" t="s">
        <v>452</v>
      </c>
      <c r="AN879" s="210">
        <f ca="1">IF(B873="Лікар загальної практики - сімейний лікар",L879*Законод!$C$9/4*Законод!$E$16,IF(B873="Лікар-педіатр",L879*Законод!$C$9/4*Законод!$E$16,IF(B873="Лікар-терапевт",L879*Законод!$C$9/4*Законод!$E$16,0)))</f>
        <v>0</v>
      </c>
      <c r="AO879" s="210">
        <f ca="1">IF(B873="Лікар загальної практики - сімейний лікар",S879*Законод!$C$9/4*Законод!$E$16,IF(B873="Лікар-педіатр",S879*Законод!$C$9/4*Законод!$E$16,IF(B873="Лікар-терапевт",S879*Законод!$C$9/4*Законод!$E$16,0)))</f>
        <v>0</v>
      </c>
      <c r="AP879" s="210">
        <f ca="1">IF(B873="Лікар загальної практики - сімейний лікар",Z879*Законод!$C$9/4*Законод!$E$16,IF(B873="Лікар-педіатр",Z879*Законод!$C$9/4*Законод!$E$16,IF(B873="Лікар-терапевт",Z879*Законод!$C$9/4*Законод!$E$16,0)))</f>
        <v>0</v>
      </c>
      <c r="AQ879" s="210">
        <f ca="1">IF(B873="Лікар загальної практики - сімейний лікар",AG879*Законод!$C$9/4*Законод!$E$16,IF(B873="Лікар-педіатр",AG879*Законод!$C$9/4*Законод!$E$16,IF(B873="Лікар-терапевт",AG879*Законод!$C$9/4*Законод!$E$16,0)))</f>
        <v>0</v>
      </c>
      <c r="AR879" s="211">
        <f t="shared" si="107"/>
        <v>0</v>
      </c>
    </row>
    <row r="880" spans="1:44" s="50" customFormat="1" ht="31.9" hidden="1" customHeight="1">
      <c r="A880" s="197"/>
      <c r="B880" s="951"/>
      <c r="C880" s="954"/>
      <c r="D880" s="957"/>
      <c r="E880" s="939"/>
      <c r="F880" s="238" t="str">
        <f ca="1">IF(B873="Лікар-педіатр",Законод!$F$17,IF(B873="Лікар загальної практики - сімейний лікар",Законод!$F$21,IF(B873="Лікар-терапевт",Законод!$F$25,"х")))</f>
        <v>х</v>
      </c>
      <c r="G880" s="935" t="s">
        <v>423</v>
      </c>
      <c r="H880" s="936"/>
      <c r="I880" s="936"/>
      <c r="J880" s="936"/>
      <c r="K880" s="937"/>
      <c r="L880" s="196">
        <f ca="1">IF($B$873="Лікар загальної практики - сімейний лікар",IF(L877&lt;Законод!$C$22,0,(IF(AND(L877&gt;=Законод!$F$22,L877&lt;=Законод!$F$23),L877-Законод!$E$23,IF('01_Доходи'!L877&gt;=Законод!$G$22,Законод!$F$24,0)))),IF($B$873="Лікар-педіатр",IF(L877&lt;Законод!$C$18,0,(IF(AND(L877&gt;=Законод!$F$18,L877&lt;=Законод!$F$19),L877-Законод!$E$19,IF('01_Доходи'!L877&gt;=Законод!$G$18,Законод!$F$20,0)))),IF($B$873="Лікар-терапевт",IF(L877&lt;Законод!$C$26,0,(IF(AND(L877&gt;=Законод!$F$26,L877&lt;=Законод!$F$27),L877-Законод!$E$27,IF('01_Доходи'!L877&gt;=Законод!$G$26,Законод!$F$28,0)))),0)))</f>
        <v>0</v>
      </c>
      <c r="M880" s="942"/>
      <c r="N880" s="935" t="s">
        <v>423</v>
      </c>
      <c r="O880" s="936"/>
      <c r="P880" s="936"/>
      <c r="Q880" s="936"/>
      <c r="R880" s="937"/>
      <c r="S880" s="196">
        <f ca="1">IF($B$873="Лікар загальної практики - сімейний лікар",IF(S877&lt;Законод!$C$22,0,(IF(AND(S877&gt;=Законод!$F$22,S877&lt;=Законод!$F$23),S877-Законод!$E$23,IF('01_Доходи'!S877&gt;=Законод!$G$22,Законод!$F$24,0)))),IF($B$873="Лікар-педіатр",IF(S877&lt;Законод!$C$18,0,(IF(AND(S877&gt;=Законод!$F$18,S877&lt;=Законод!$F$19),S877-Законод!$E$19,IF('01_Доходи'!S877&gt;=Законод!$G$18,Законод!$F$20,0)))),IF($B$873="Лікар-терапевт",IF(S877&lt;Законод!$C$26,0,(IF(AND(S877&gt;=Законод!$F$26,S877&lt;=Законод!$F$27),S877-Законод!$E$27,IF('01_Доходи'!S877&gt;=Законод!$G$26,Законод!$F$28,0)))),0)))</f>
        <v>0</v>
      </c>
      <c r="T880" s="942"/>
      <c r="U880" s="935" t="s">
        <v>423</v>
      </c>
      <c r="V880" s="936"/>
      <c r="W880" s="936"/>
      <c r="X880" s="936"/>
      <c r="Y880" s="937"/>
      <c r="Z880" s="196">
        <f ca="1">IF($B$873="Лікар загальної практики - сімейний лікар",IF(Z877&lt;Законод!$C$22,0,(IF(AND(Z877&gt;=Законод!$F$22,Z877&lt;=Законод!$F$23),Z877-Законод!$E$23,IF('01_Доходи'!Z877&gt;=Законод!$G$22,Законод!$F$24,0)))),IF($B$873="Лікар-педіатр",IF(Z877&lt;Законод!$C$18,0,(IF(AND(Z877&gt;=Законод!$F$18,Z877&lt;=Законод!$F$19),Z877-Законод!$E$19,IF('01_Доходи'!Z877&gt;=Законод!$G$18,Законод!$F$20,0)))),IF($B$873="Лікар-терапевт",IF(Z877&lt;Законод!$C$26,0,(IF(AND(Z877&gt;=Законод!$F$26,Z877&lt;=Законод!$F$27),Z877-Законод!$E$27,IF('01_Доходи'!Z877&gt;=Законод!$G$26,Законод!$F$28,0)))),0)))</f>
        <v>0</v>
      </c>
      <c r="AA880" s="942"/>
      <c r="AB880" s="935" t="s">
        <v>423</v>
      </c>
      <c r="AC880" s="936"/>
      <c r="AD880" s="936"/>
      <c r="AE880" s="936"/>
      <c r="AF880" s="937"/>
      <c r="AG880" s="196">
        <f ca="1">IF($B$873="Лікар загальної практики - сімейний лікар",IF(AG877&lt;Законод!$C$22,0,(IF(AND(AG877&gt;=Законод!$F$22,AG877&lt;=Законод!$F$23),AG877-Законод!$E$23,IF('01_Доходи'!AG877&gt;=Законод!$G$22,Законод!$F$24,0)))),IF($B$873="Лікар-педіатр",IF(AG877&lt;Законод!$C$18,0,(IF(AND(AG877&gt;=Законод!$F$18,AG877&lt;=Законод!$F$19),AG877-Законод!$E$19,IF('01_Доходи'!AG877&gt;=Законод!$G$18,Законод!$F$20,0)))),IF($B$873="Лікар-терапевт",IF(AG877&lt;Законод!$C$26,0,(IF(AND(AG877&gt;=Законод!$F$26,AG877&lt;=Законод!$F$27),AG877-Законод!$E$27,IF('01_Доходи'!AG877&gt;=Законод!$G$26,Законод!$F$28,0)))),0)))</f>
        <v>0</v>
      </c>
      <c r="AH880" s="942"/>
      <c r="AI880" s="201"/>
      <c r="AJ880" s="945"/>
      <c r="AK880" s="960"/>
      <c r="AL880" s="960"/>
      <c r="AM880" s="927"/>
      <c r="AN880" s="210">
        <f ca="1">IF(B873="Лікар загальної практики - сімейний лікар",L880*Законод!$C$9/4*Законод!$F$16,IF(B873="Лікар-педіатр",L880*Законод!$C$9/4*Законод!$F$16,IF(B873="Лікар-терапевт",L880*Законод!$C$9/4*Законод!$F$16,0)))</f>
        <v>0</v>
      </c>
      <c r="AO880" s="210">
        <f ca="1">IF(B873="Лікар загальної практики - сімейний лікар",S880*Законод!$C$9/4*Законод!$F$16,IF(B873="Лікар-педіатр",S880*Законод!$C$9/4*Законод!$F$16,IF(B873="Лікар-терапевт",S880*Законод!$C$9/4*Законод!$F$16,0)))</f>
        <v>0</v>
      </c>
      <c r="AP880" s="210">
        <f ca="1">IF(B873="Лікар загальної практики - сімейний лікар",Z880*Законод!$C$9/4*Законод!$F$16,IF(B873="Лікар-педіатр",Z880*Законод!$C$9/4*Законод!$F$16,IF(B873="Лікар-терапевт",Z880*Законод!$C$9/4*Законод!$F$16,0)))</f>
        <v>0</v>
      </c>
      <c r="AQ880" s="210">
        <f ca="1">IF(B873="Лікар загальної практики - сімейний лікар",AG880*Законод!$C$9/4*Законод!$F$16,IF(B873="Лікар-педіатр",AG880*Законод!$C$9/4*Законод!$F$16,IF(B873="Лікар-терапевт",AG880*Законод!$C$9/4*Законод!$F$16,0)))</f>
        <v>0</v>
      </c>
      <c r="AR880" s="211">
        <f t="shared" si="107"/>
        <v>0</v>
      </c>
    </row>
    <row r="881" spans="1:44" s="50" customFormat="1" ht="31.9" hidden="1" customHeight="1">
      <c r="A881" s="197"/>
      <c r="B881" s="951"/>
      <c r="C881" s="954"/>
      <c r="D881" s="957"/>
      <c r="E881" s="939"/>
      <c r="F881" s="238" t="str">
        <f ca="1">IF(B873="Лікар-педіатр",Законод!$G$17,IF(B873="Лікар загальної практики - сімейний лікар",Законод!$G$21,IF(B873="Лікар-терапевт",Законод!$G$25,"х")))</f>
        <v>х</v>
      </c>
      <c r="G881" s="935" t="s">
        <v>423</v>
      </c>
      <c r="H881" s="936"/>
      <c r="I881" s="936"/>
      <c r="J881" s="936"/>
      <c r="K881" s="937"/>
      <c r="L881" s="196">
        <f ca="1">IF($B$873="Лікар загальної практики - сімейний лікар",IF(L877&lt;Законод!$C$22,0,(IF(AND(L877&gt;=Законод!$G$22,L877&lt;=Законод!$G$23),L877-Законод!$F$23,IF('01_Доходи'!L877&gt;=Законод!$H$22,Законод!$G$24,0)))),IF($B$873="Лікар-педіатр",IF(L877&lt;Законод!$C$18,0,(IF(AND(L877&gt;=Законод!$G$18,L877&lt;=Законод!$G$19),L877-Законод!$F$19,IF('01_Доходи'!L877&gt;=Законод!$H$18,Законод!$G$20,0)))),IF($B$873="Лікар-терапевт",IF(L877&lt;Законод!$C$26,0,(IF(AND(L877&gt;=Законод!$G$26,L877&lt;=Законод!$G$27),L877-Законод!$F$27,IF('01_Доходи'!L877&gt;=Законод!$H$26,Законод!$G$28,0)))),0)))</f>
        <v>0</v>
      </c>
      <c r="M881" s="942"/>
      <c r="N881" s="935" t="s">
        <v>423</v>
      </c>
      <c r="O881" s="936"/>
      <c r="P881" s="936"/>
      <c r="Q881" s="936"/>
      <c r="R881" s="937"/>
      <c r="S881" s="196">
        <f ca="1">IF($B$873="Лікар загальної практики - сімейний лікар",IF(S877&lt;Законод!$C$22,0,(IF(AND(S877&gt;=Законод!$G$22,S877&lt;=Законод!$G$23),S877-Законод!$F$23,IF('01_Доходи'!S877&gt;=Законод!$H$22,Законод!$G$24,0)))),IF($B$873="Лікар-педіатр",IF(S877&lt;Законод!$C$18,0,(IF(AND(S877&gt;=Законод!$G$18,S877&lt;=Законод!$G$19),S877-Законод!$F$19,IF('01_Доходи'!S877&gt;=Законод!$H$18,Законод!$G$20,0)))),IF($B$873="Лікар-терапевт",IF(S877&lt;Законод!$C$26,0,(IF(AND(S877&gt;=Законод!$G$26,S877&lt;=Законод!$G$27),S877-Законод!$F$27,IF('01_Доходи'!S877&gt;=Законод!$H$26,Законод!$G$28,0)))),0)))</f>
        <v>0</v>
      </c>
      <c r="T881" s="942"/>
      <c r="U881" s="935" t="s">
        <v>423</v>
      </c>
      <c r="V881" s="936"/>
      <c r="W881" s="936"/>
      <c r="X881" s="936"/>
      <c r="Y881" s="937"/>
      <c r="Z881" s="196">
        <f ca="1">IF($B$873="Лікар загальної практики - сімейний лікар",IF(Z877&lt;Законод!$C$22,0,(IF(AND(Z877&gt;=Законод!$G$22,Z877&lt;=Законод!$G$23),Z877-Законод!$F$23,IF('01_Доходи'!Z877&gt;=Законод!$H$22,Законод!$G$24,0)))),IF($B$873="Лікар-педіатр",IF(Z877&lt;Законод!$C$18,0,(IF(AND(Z877&gt;=Законод!$G$18,Z877&lt;=Законод!$G$19),Z877-Законод!$F$19,IF('01_Доходи'!Z877&gt;=Законод!$H$18,Законод!$G$20,0)))),IF($B$873="Лікар-терапевт",IF(Z877&lt;Законод!$C$26,0,(IF(AND(Z877&gt;=Законод!$G$26,Z877&lt;=Законод!$G$27),Z877-Законод!$F$27,IF('01_Доходи'!Z877&gt;=Законод!$H$26,Законод!$G$28,0)))),0)))</f>
        <v>0</v>
      </c>
      <c r="AA881" s="942"/>
      <c r="AB881" s="935" t="s">
        <v>423</v>
      </c>
      <c r="AC881" s="936"/>
      <c r="AD881" s="936"/>
      <c r="AE881" s="936"/>
      <c r="AF881" s="937"/>
      <c r="AG881" s="196">
        <f ca="1">IF($B$873="Лікар загальної практики - сімейний лікар",IF(AG877&lt;Законод!$C$22,0,(IF(AND(AG877&gt;=Законод!$G$22,AG877&lt;=Законод!$G$23),AG877-Законод!$F$23,IF('01_Доходи'!AG877&gt;=Законод!$H$22,Законод!$G$24,0)))),IF($B$873="Лікар-педіатр",IF(AG877&lt;Законод!$C$18,0,(IF(AND(AG877&gt;=Законод!$G$18,AG877&lt;=Законод!$G$19),AG877-Законод!$F$19,IF('01_Доходи'!AG877&gt;=Законод!$H$18,Законод!$G$20,0)))),IF($B$873="Лікар-терапевт",IF(AG877&lt;Законод!$C$26,0,(IF(AND(AG877&gt;=Законод!$G$26,AG877&lt;=Законод!$G$27),AG877-Законод!$F$27,IF('01_Доходи'!AG877&gt;=Законод!$H$26,Законод!$G$28,0)))),0)))</f>
        <v>0</v>
      </c>
      <c r="AH881" s="942"/>
      <c r="AI881" s="201"/>
      <c r="AJ881" s="945"/>
      <c r="AK881" s="960"/>
      <c r="AL881" s="960"/>
      <c r="AM881" s="927"/>
      <c r="AN881" s="210">
        <f ca="1">IF(B873="Лікар загальної практики - сімейний лікар",L881*Законод!$C$9/4*Законод!$G$16,IF(B873="Лікар-педіатр",L881*Законод!$C$9/4*Законод!$G$16,IF(B873="Лікар-терапевт",L881*Законод!$C$9/4*Законод!$G$16,0)))</f>
        <v>0</v>
      </c>
      <c r="AO881" s="210">
        <f ca="1">IF(B873="Лікар загальної практики - сімейний лікар",S881*Законод!$C$9/4*Законод!$G$16,IF(B873="Лікар-педіатр",S881*Законод!$C$9/4*Законод!$G$16,IF(B873="Лікар-терапевт",S881*Законод!$C$9/4*Законод!$G$16,0)))</f>
        <v>0</v>
      </c>
      <c r="AP881" s="210">
        <f ca="1">IF(B873="Лікар загальної практики - сімейний лікар",Z881*Законод!$C$9/4*Законод!$G$16,IF(B873="Лікар-педіатр",Z881*Законод!$C$9/4*Законод!$G$16,IF(B873="Лікар-терапевт",Z881*Законод!$C$9/4*Законод!$G$16,0)))</f>
        <v>0</v>
      </c>
      <c r="AQ881" s="210">
        <f ca="1">IF(B873="Лікар загальної практики - сімейний лікар",AG881*Законод!$C$9/4*Законод!$G$16,IF(B873="Лікар-педіатр",AG881*Законод!$C$9/4*Законод!$G$16,IF(B873="Лікар-терапевт",AG881*Законод!$C$9/4*Законод!$G$16,0)))</f>
        <v>0</v>
      </c>
      <c r="AR881" s="211">
        <f t="shared" si="107"/>
        <v>0</v>
      </c>
    </row>
    <row r="882" spans="1:44" s="50" customFormat="1" ht="31.9" hidden="1" customHeight="1">
      <c r="A882" s="197"/>
      <c r="B882" s="951"/>
      <c r="C882" s="954"/>
      <c r="D882" s="957"/>
      <c r="E882" s="939"/>
      <c r="F882" s="238" t="str">
        <f ca="1">IF(B873="Лікар-педіатр",Законод!$H$17,IF(B873="Лікар загальної практики - сімейний лікар",Законод!$H$21,IF(B873="Лікар-терапевт",Законод!$H$25,"х")))</f>
        <v>х</v>
      </c>
      <c r="G882" s="935" t="s">
        <v>423</v>
      </c>
      <c r="H882" s="936"/>
      <c r="I882" s="936"/>
      <c r="J882" s="936"/>
      <c r="K882" s="937"/>
      <c r="L882" s="196">
        <f ca="1">IF($B$873="Лікар загальної практики - сімейний лікар",IF(L877&lt;Законод!$C$22,0,(IF(AND(L877&gt;=Законод!$H$22,L877&lt;=Законод!$H$23),L877-Законод!$G$23,IF('01_Доходи'!L877&gt;=Законод!$I$22,Законод!$H$24,0)))),IF($B$873="Лікар-педіатр",IF(L877&lt;Законод!$C$18,0,(IF(AND(L877&gt;=Законод!$H$18,L877&lt;=Законод!$H$19),L877-Законод!$G$19,IF('01_Доходи'!L877&gt;=Законод!$I$18,Законод!$H$20,0)))),IF($B$873="Лікар-терапевт",IF(L877&lt;Законод!$C$26,0,(IF(AND(L877&gt;=Законод!$H$26,L877&lt;=Законод!$H$27),L877-Законод!$G$27,IF(L877&gt;=Законод!$I$26,Законод!$H$28,0)))),0)))</f>
        <v>0</v>
      </c>
      <c r="M882" s="942"/>
      <c r="N882" s="935" t="s">
        <v>423</v>
      </c>
      <c r="O882" s="936"/>
      <c r="P882" s="936"/>
      <c r="Q882" s="936"/>
      <c r="R882" s="937"/>
      <c r="S882" s="196">
        <f ca="1">IF($B$873="Лікар загальної практики - сімейний лікар",IF(S877&lt;Законод!$C$22,0,(IF(AND(S877&gt;=Законод!$H$22,S877&lt;=Законод!$H$23),S877-Законод!$G$23,IF('01_Доходи'!S877&gt;=Законод!$I$22,Законод!$H$24,0)))),IF($B$873="Лікар-педіатр",IF(S877&lt;Законод!$C$18,0,(IF(AND(S877&gt;=Законод!$H$18,S877&lt;=Законод!$H$19),S877-Законод!$G$19,IF('01_Доходи'!S877&gt;=Законод!$I$18,Законод!$H$20,0)))),IF($B$873="Лікар-терапевт",IF(S877&lt;Законод!$C$26,0,(IF(AND(S877&gt;=Законод!$H$26,S877&lt;=Законод!$H$27),S877-Законод!$G$27,IF(S877&gt;=Законод!$I$26,Законод!$H$28,0)))),0)))</f>
        <v>0</v>
      </c>
      <c r="T882" s="942"/>
      <c r="U882" s="935" t="s">
        <v>423</v>
      </c>
      <c r="V882" s="936"/>
      <c r="W882" s="936"/>
      <c r="X882" s="936"/>
      <c r="Y882" s="937"/>
      <c r="Z882" s="196">
        <f ca="1">IF($B$873="Лікар загальної практики - сімейний лікар",IF(Z877&lt;Законод!$C$22,0,(IF(AND(Z877&gt;=Законод!$H$22,Z877&lt;=Законод!$H$23),Z877-Законод!$G$23,IF('01_Доходи'!Z877&gt;=Законод!$I$22,Законод!$H$24,0)))),IF($B$873="Лікар-педіатр",IF(Z877&lt;Законод!$C$18,0,(IF(AND(Z877&gt;=Законод!$H$18,Z877&lt;=Законод!$H$19),Z877-Законод!$G$19,IF('01_Доходи'!Z877&gt;=Законод!$I$18,Законод!$H$20,0)))),IF($B$873="Лікар-терапевт",IF(Z877&lt;Законод!$C$26,0,(IF(AND(Z877&gt;=Законод!$H$26,Z877&lt;=Законод!$H$27),Z877-Законод!$G$27,IF(Z877&gt;=Законод!$I$26,Законод!$H$28,0)))),0)))</f>
        <v>0</v>
      </c>
      <c r="AA882" s="942"/>
      <c r="AB882" s="935" t="s">
        <v>423</v>
      </c>
      <c r="AC882" s="936"/>
      <c r="AD882" s="936"/>
      <c r="AE882" s="936"/>
      <c r="AF882" s="937"/>
      <c r="AG882" s="196">
        <f ca="1">IF($B$873="Лікар загальної практики - сімейний лікар",IF(AG877&lt;Законод!$C$22,0,(IF(AND(AG877&gt;=Законод!$H$22,AG877&lt;=Законод!$H$23),AG877-Законод!$G$23,IF('01_Доходи'!AG877&gt;=Законод!$I$22,Законод!$H$24,0)))),IF($B$873="Лікар-педіатр",IF(AG877&lt;Законод!$C$18,0,(IF(AND(AG877&gt;=Законод!$H$18,AG877&lt;=Законод!$H$19),AG877-Законод!$G$19,IF('01_Доходи'!AG877&gt;=Законод!$I$18,Законод!$H$20,0)))),IF($B$873="Лікар-терапевт",IF(AG877&lt;Законод!$C$26,0,(IF(AND(AG877&gt;=Законод!$H$26,AG877&lt;=Законод!$H$27),AG877-Законод!$G$27,IF(AG877&gt;=Законод!$I$26,Законод!$H$28,0)))),0)))</f>
        <v>0</v>
      </c>
      <c r="AH882" s="942"/>
      <c r="AI882" s="201"/>
      <c r="AJ882" s="945"/>
      <c r="AK882" s="960"/>
      <c r="AL882" s="960"/>
      <c r="AM882" s="927"/>
      <c r="AN882" s="210">
        <f ca="1">IF(B873="Лікар загальної практики - сімейний лікар",L882*Законод!$C$9/4*Законод!$H$16,IF(B873="Лікар-педіатр",L882*Законод!$C$9/4*Законод!$H$16,IF(B873="Лікар-терапевт",L882*Законод!$C$9/4*Законод!$H$16,0)))</f>
        <v>0</v>
      </c>
      <c r="AO882" s="210">
        <f ca="1">IF(B873="Лікар загальної практики - сімейний лікар",S882*Законод!$C$9/4*Законод!$H$16,IF(B873="Лікар-педіатр",S882*Законод!$C$9/4*Законод!$H$16,IF(B873="Лікар-терапевт",S882*Законод!$C$9/4*Законод!$H$16,0)))</f>
        <v>0</v>
      </c>
      <c r="AP882" s="210">
        <f ca="1">IF(B873="Лікар загальної практики - сімейний лікар",Z882*Законод!$C$9/4*Законод!$H$16,IF(B873="Лікар-педіатр",Z882*Законод!$C$9/4*Законод!$H$16,IF(B873="Лікар-терапевт",Z882*Законод!$C$9/4*Законод!$H$16,0)))</f>
        <v>0</v>
      </c>
      <c r="AQ882" s="210">
        <f ca="1">IF(B873="Лікар загальної практики - сімейний лікар",AG882*Законод!$C$9/4*Законод!$H$16,IF(B873="Лікар-педіатр",AG882*Законод!$C$9/4*Законод!$H$16,IF(B873="Лікар-терапевт",AG882*Законод!$C$9/4*Законод!$H$16,0)))</f>
        <v>0</v>
      </c>
      <c r="AR882" s="211">
        <f t="shared" si="107"/>
        <v>0</v>
      </c>
    </row>
    <row r="883" spans="1:44" s="50" customFormat="1" ht="31.9" hidden="1" customHeight="1">
      <c r="A883" s="197"/>
      <c r="B883" s="951"/>
      <c r="C883" s="954"/>
      <c r="D883" s="957"/>
      <c r="E883" s="939"/>
      <c r="F883" s="238" t="str">
        <f ca="1">IF(B873="Лікар-педіатр",Законод!$I$17,IF(B873="Лікар загальної практики - сімейний лікар",Законод!$I$21,IF(B873="Лікар-терапевт",Законод!$I$25,"х")))</f>
        <v>х</v>
      </c>
      <c r="G883" s="935" t="s">
        <v>423</v>
      </c>
      <c r="H883" s="936"/>
      <c r="I883" s="936"/>
      <c r="J883" s="936"/>
      <c r="K883" s="937"/>
      <c r="L883" s="196">
        <f ca="1">IF($B$873="Лікар загальної практики - сімейний лікар",IF(L877&lt;Законод!$C$22,0,(IF(AND(L877&gt;=Законод!$I$22,L877&lt;=Законод!$I$23),L877-Законод!$H$23,IF('01_Доходи'!L877&gt;=Законод!$I$22,Законод!$I$24,0)))),IF($B$873="Лікар-педіатр",IF(L877&lt;Законод!$C$18,0,(IF(AND(L877&gt;=Законод!$I$18,L877&lt;=Законод!$I$19),L877-Законод!$H$19,IF('01_Доходи'!L877&gt;=Законод!$I$18,Законод!$H$20,0)))),IF($B$873="Лікар-терапевт",IF(L877&lt;Законод!$C$26,0,(IF(AND(L877&gt;=Законод!$I$26,L877&lt;=Законод!$I$27),L877-Законод!$H$27,IF('01_Доходи'!L877&gt;=Законод!$I$26,Законод!$H$28,0)))),0)))</f>
        <v>0</v>
      </c>
      <c r="M883" s="942"/>
      <c r="N883" s="935" t="s">
        <v>423</v>
      </c>
      <c r="O883" s="936"/>
      <c r="P883" s="936"/>
      <c r="Q883" s="936"/>
      <c r="R883" s="937"/>
      <c r="S883" s="196">
        <f ca="1">IF($B$873="Лікар загальної практики - сімейний лікар",IF(S877&lt;Законод!$C$22,0,(IF(AND(S877&gt;=Законод!$I$22,S877&lt;=Законод!$I$23),S877-Законод!$H$23,IF('01_Доходи'!S877&gt;=Законод!$I$22,Законод!$I$24,0)))),IF($B$873="Лікар-педіатр",IF(S877&lt;Законод!$C$18,0,(IF(AND(S877&gt;=Законод!$I$18,S877&lt;=Законод!$I$19),S877-Законод!$H$19,IF('01_Доходи'!S877&gt;=Законод!$I$18,Законод!$H$20,0)))),IF($B$873="Лікар-терапевт",IF(S877&lt;Законод!$C$26,0,(IF(AND(S877&gt;=Законод!$I$26,S877&lt;=Законод!$I$27),S877-Законод!$H$27,IF('01_Доходи'!S877&gt;=Законод!$I$26,Законод!$H$28,0)))),0)))</f>
        <v>0</v>
      </c>
      <c r="T883" s="942"/>
      <c r="U883" s="935" t="s">
        <v>423</v>
      </c>
      <c r="V883" s="936"/>
      <c r="W883" s="936"/>
      <c r="X883" s="936"/>
      <c r="Y883" s="937"/>
      <c r="Z883" s="196">
        <f ca="1">IF($B$873="Лікар загальної практики - сімейний лікар",IF(Z877&lt;Законод!$C$22,0,(IF(AND(Z877&gt;=Законод!$I$22,Z877&lt;=Законод!$I$23),Z877-Законод!$H$23,IF('01_Доходи'!Z877&gt;=Законод!$I$22,Законод!$I$24,0)))),IF($B$873="Лікар-педіатр",IF(Z877&lt;Законод!$C$18,0,(IF(AND(Z877&gt;=Законод!$I$18,Z877&lt;=Законод!$I$19),Z877-Законод!$H$19,IF('01_Доходи'!Z877&gt;=Законод!$I$18,Законод!$H$20,0)))),IF($B$873="Лікар-терапевт",IF(Z877&lt;Законод!$C$26,0,(IF(AND(Z877&gt;=Законод!$I$26,Z877&lt;=Законод!$I$27),Z877-Законод!$H$27,IF('01_Доходи'!Z877&gt;=Законод!$I$26,Законод!$H$28,0)))),0)))</f>
        <v>0</v>
      </c>
      <c r="AA883" s="942"/>
      <c r="AB883" s="935" t="s">
        <v>423</v>
      </c>
      <c r="AC883" s="936"/>
      <c r="AD883" s="936"/>
      <c r="AE883" s="936"/>
      <c r="AF883" s="937"/>
      <c r="AG883" s="196">
        <f ca="1">IF($B$873="Лікар загальної практики - сімейний лікар",IF(AG877&lt;Законод!$C$22,0,(IF(AND(AG877&gt;=Законод!$I$22,AG877&lt;=Законод!$I$23),AG877-Законод!$H$23,IF('01_Доходи'!AG877&gt;=Законод!$I$22,Законод!$I$24,0)))),IF($B$873="Лікар-педіатр",IF(AG877&lt;Законод!$C$18,0,(IF(AND(AG877&gt;=Законод!$I$18,AG877&lt;=Законод!$I$19),AG877-Законод!$H$19,IF('01_Доходи'!AG877&gt;=Законод!$I$18,Законод!$H$20,0)))),IF($B$873="Лікар-терапевт",IF(AG877&lt;Законод!$C$26,0,(IF(AND(AG877&gt;=Законод!$I$26,AG877&lt;=Законод!$I$27),AG877-Законод!$H$27,IF('01_Доходи'!AG877&gt;=Законод!$I$26,Законод!$H$28,0)))),0)))</f>
        <v>0</v>
      </c>
      <c r="AH883" s="942"/>
      <c r="AI883" s="201"/>
      <c r="AJ883" s="945"/>
      <c r="AK883" s="960"/>
      <c r="AL883" s="960"/>
      <c r="AM883" s="927"/>
      <c r="AN883" s="210">
        <f ca="1">IF(B873="Лікар загальної практики - сімейний лікар",L883*Законод!$C$9/4*Законод!$I$16,IF(B873="Лікар-педіатр",L883*Законод!$C$9/4*Законод!$I$16,IF(B873="Лікар-терапевт",L883*Законод!$C$9/4*Законод!$I$16,0)))</f>
        <v>0</v>
      </c>
      <c r="AO883" s="210">
        <f ca="1">IF(B873="Лікар загальної практики - сімейний лікар",S883*Законод!$C$9/4*Законод!$I$16,IF(B873="Лікар-педіатр",S883*Законод!$C$9/4*Законод!$I$16,IF(B873="Лікар-терапевт",S883*Законод!$C$9/4*Законод!$I$16,0)))</f>
        <v>0</v>
      </c>
      <c r="AP883" s="210">
        <f ca="1">IF(B873="Лікар загальної практики - сімейний лікар",Z883*Законод!$C$9/4*Законод!$I$16,IF(B873="Лікар-педіатр",Z883*Законод!$C$9/4*Законод!$I$16,IF(B873="Лікар-терапевт",Z883*Законод!$C$9/4*Законод!$I$16,0)))</f>
        <v>0</v>
      </c>
      <c r="AQ883" s="210">
        <f ca="1">IF(B873="Лікар загальної практики - сімейний лікар",AG883*Законод!$C$9/4*Законод!$I$16,IF(B873="Лікар-педіатр",AG883*Законод!$C$9/4*Законод!$I$16,IF(B873="Лікар-терапевт",AG883*Законод!$C$9/4*Законод!$I$16,0)))</f>
        <v>0</v>
      </c>
      <c r="AR883" s="211">
        <f t="shared" si="107"/>
        <v>0</v>
      </c>
    </row>
    <row r="884" spans="1:44" s="218" customFormat="1" ht="31.9" hidden="1" customHeight="1" thickBot="1">
      <c r="A884" s="213"/>
      <c r="B884" s="952"/>
      <c r="C884" s="955"/>
      <c r="D884" s="958"/>
      <c r="E884" s="940"/>
      <c r="F884" s="239" t="str">
        <f ca="1">IF(B873="Лікар-педіатр",Законод!$J$17,IF(B873="Лікар загальної практики - сімейний лікар",Законод!$J$21,IF(B873="Лікар-терапевт",Законод!$J$25,"х")))</f>
        <v>х</v>
      </c>
      <c r="G884" s="932" t="s">
        <v>423</v>
      </c>
      <c r="H884" s="933"/>
      <c r="I884" s="933"/>
      <c r="J884" s="933"/>
      <c r="K884" s="934"/>
      <c r="L884" s="196">
        <f ca="1">IF($B$873="Лікар загальної практики - сімейний лікар",IF(L877&gt;=Законод!$J$22,'01_Доходи'!L877-('01_Доходи'!L878+'01_Доходи'!L879+'01_Доходи'!L880+'01_Доходи'!L881+'01_Доходи'!L882+'01_Доходи'!L883),0),IF($B$873="Лікар-педіатр",IF(L877&gt;=Законод!$J$18,'01_Доходи'!L877-('01_Доходи'!L878+'01_Доходи'!L879+'01_Доходи'!L880+'01_Доходи'!L881+'01_Доходи'!L882+'01_Доходи'!L883),0),IF($B$873="Лікар-терапевт",IF('01_Доходи'!L877&gt;=Законод!$J$26,L877-Законод!$I$27,0),0)))</f>
        <v>0</v>
      </c>
      <c r="M884" s="943"/>
      <c r="N884" s="932" t="s">
        <v>423</v>
      </c>
      <c r="O884" s="933"/>
      <c r="P884" s="933"/>
      <c r="Q884" s="933"/>
      <c r="R884" s="934"/>
      <c r="S884" s="196">
        <f ca="1">IF($B$873="Лікар загальної практики - сімейний лікар",IF(S877&gt;=Законод!$J$22,'01_Доходи'!S877-('01_Доходи'!S878+'01_Доходи'!S879+'01_Доходи'!S880+'01_Доходи'!S881+'01_Доходи'!S882+'01_Доходи'!S883),0),IF($B$873="Лікар-педіатр",IF(S877&gt;=Законод!$J$18,'01_Доходи'!S877-('01_Доходи'!S878+'01_Доходи'!S879+'01_Доходи'!S880+'01_Доходи'!S881+'01_Доходи'!S882+'01_Доходи'!S883),0),IF($B$873="Лікар-терапевт",IF('01_Доходи'!S877&gt;=Законод!$J$26,S877-Законод!$I$27,0),0)))</f>
        <v>0</v>
      </c>
      <c r="T884" s="943"/>
      <c r="U884" s="932" t="s">
        <v>423</v>
      </c>
      <c r="V884" s="933"/>
      <c r="W884" s="933"/>
      <c r="X884" s="933"/>
      <c r="Y884" s="934"/>
      <c r="Z884" s="196">
        <f ca="1">IF($B$873="Лікар загальної практики - сімейний лікар",IF(Z877&gt;=Законод!$J$22,'01_Доходи'!Z877-('01_Доходи'!Z878+'01_Доходи'!Z879+'01_Доходи'!Z880+'01_Доходи'!Z881+'01_Доходи'!Z882+'01_Доходи'!Z883),0),IF($B$873="Лікар-педіатр",IF(Z877&gt;=Законод!$J$18,'01_Доходи'!Z877-('01_Доходи'!Z878+'01_Доходи'!Z879+'01_Доходи'!Z880+'01_Доходи'!Z881+'01_Доходи'!Z882+'01_Доходи'!Z883),0),IF($B$873="Лікар-терапевт",IF('01_Доходи'!Z877&gt;=Законод!$J$26,Z877-Законод!$I$27,0),0)))</f>
        <v>0</v>
      </c>
      <c r="AA884" s="943"/>
      <c r="AB884" s="932" t="s">
        <v>423</v>
      </c>
      <c r="AC884" s="933"/>
      <c r="AD884" s="933"/>
      <c r="AE884" s="933"/>
      <c r="AF884" s="934"/>
      <c r="AG884" s="196">
        <f ca="1">IF($B$873="Лікар загальної практики - сімейний лікар",IF(AG877&gt;=Законод!$J$22,'01_Доходи'!AG877-('01_Доходи'!AG878+'01_Доходи'!AG879+'01_Доходи'!AG880+'01_Доходи'!AG881+'01_Доходи'!AG882+'01_Доходи'!AG883),0),IF($B$873="Лікар-педіатр",IF(AG877&gt;=Законод!$J$18,'01_Доходи'!AG877-('01_Доходи'!AG878+'01_Доходи'!AG879+'01_Доходи'!AG880+'01_Доходи'!AG881+'01_Доходи'!AG882+'01_Доходи'!AG883),0),IF($B$873="Лікар-терапевт",IF('01_Доходи'!AG877&gt;=Законод!$J$26,AG877-Законод!$I$27,0),0)))</f>
        <v>0</v>
      </c>
      <c r="AH884" s="943"/>
      <c r="AI884" s="215"/>
      <c r="AJ884" s="946"/>
      <c r="AK884" s="961"/>
      <c r="AL884" s="961"/>
      <c r="AM884" s="928"/>
      <c r="AN884" s="216">
        <f ca="1">IF(B873="Лікар загальної практики - сімейний лікар",L884*Законод!$C$9/4*Законод!$J$16,IF(B873="Лікар-педіатр",L884*Законод!$C$9/4*Законод!$J$16,IF(B873="Лікар-терапевт",L884*Законод!$C$9/4*Законод!$J$16,0)))</f>
        <v>0</v>
      </c>
      <c r="AO884" s="216">
        <f ca="1">IF(B873="Лікар загальної практики - сімейний лікар",S884*Законод!$C$9/4*Законод!$J$16,IF(B873="Лікар-педіатр",S884*Законод!$C$9/4*Законод!$J$16,IF(B873="Лікар-терапевт",S884*Законод!$C$9/4*Законод!$J$16,0)))</f>
        <v>0</v>
      </c>
      <c r="AP884" s="216">
        <f ca="1">IF(B873="Лікар загальної практики - сімейний лікар",S884*Законод!$C$9/4*Законод!$J$16,IF(B873="Лікар-педіатр",S884*Законод!$C$9/4*Законод!$J$16,IF(B873="Лікар-терапевт",S884*Законод!$C$9/4*Законод!$J$16,0)))</f>
        <v>0</v>
      </c>
      <c r="AQ884" s="216">
        <f ca="1">IF(B873="Лікар загальної практики - сімейний лікар",AG884*Законод!$C$9/4*Законод!$J$16,IF(B873="Лікар-педіатр",AG884*Законод!$C$9/4*Законод!$J$16,IF(B873="Лікар-терапевт",AG884*Законод!$C$9/4*Законод!$J$16,0)))</f>
        <v>0</v>
      </c>
      <c r="AR884" s="217">
        <f t="shared" si="107"/>
        <v>0</v>
      </c>
    </row>
    <row r="885" spans="1:44" s="247" customFormat="1" ht="23.45" hidden="1" customHeight="1" thickBot="1">
      <c r="A885" s="243"/>
      <c r="B885" s="244"/>
      <c r="C885" s="244"/>
      <c r="D885" s="244"/>
      <c r="E885" s="244"/>
      <c r="F885" s="245"/>
      <c r="G885" s="246"/>
      <c r="H885" s="246"/>
      <c r="L885" s="248"/>
      <c r="S885" s="248"/>
      <c r="Z885" s="248"/>
      <c r="AG885" s="248"/>
      <c r="AM885" s="249"/>
      <c r="AR885" s="250"/>
    </row>
    <row r="886" spans="1:44" s="191" customFormat="1" ht="24.6" hidden="1" customHeight="1">
      <c r="A886" s="194">
        <f>A873+1</f>
        <v>66</v>
      </c>
      <c r="B886" s="950"/>
      <c r="C886" s="953"/>
      <c r="D886" s="956"/>
      <c r="E886" s="938"/>
      <c r="F886" s="234" t="s">
        <v>659</v>
      </c>
      <c r="G886" s="196">
        <f>IF($B$886="Лікар-педіатр",G889*L886,IF($B$886="Лікар-терапевт","х",IF($B$886="Лікар загальної практики - сімейний лікар",G889*L886,0)))</f>
        <v>0</v>
      </c>
      <c r="H886" s="196">
        <f>IF($B$886="Лікар-педіатр",H889*L886,IF($B$886="Лікар-терапевт","х",IF($B$886="Лікар загальної практики - сімейний лікар",H889*L886,0)))</f>
        <v>0</v>
      </c>
      <c r="I886" s="196">
        <f>IF($B$886="Лікар-педіатр","x",IF($B$886="Лікар-терапевт",I889*L886,IF($B$886="Лікар загальної практики - сімейний лікар",I889*L886,0)))</f>
        <v>0</v>
      </c>
      <c r="J886" s="196">
        <f>IF($B$886="Лікар-педіатр","x",IF($B$886="Лікар-терапевт",J889*L886,IF($B$886="Лікар загальної практики - сімейний лікар",J889*L886,0)))</f>
        <v>0</v>
      </c>
      <c r="K886" s="196">
        <f>IF($B$886="Лікар-педіатр","x",IF($B$886="Лікар-терапевт",K889*L886,IF($B$886="Лікар загальної практики - сімейний лікар",K889*L886,0)))</f>
        <v>0</v>
      </c>
      <c r="L886" s="557"/>
      <c r="M886" s="941"/>
      <c r="N886" s="196">
        <f>IF($B$886="Лікар-педіатр",N889*S886,IF($B$886="Лікар-терапевт","х",IF($B$886="Лікар загальної практики - сімейний лікар",N889*S886,0)))</f>
        <v>0</v>
      </c>
      <c r="O886" s="196">
        <f>IF($B$886="Лікар-педіатр",O889*S886,IF($B$886="Лікар-терапевт","х",IF($B$886="Лікар загальної практики - сімейний лікар",O889*S886,0)))</f>
        <v>0</v>
      </c>
      <c r="P886" s="196">
        <f>IF($B$886="Лікар-педіатр","x",IF($B$886="Лікар-терапевт",P889*S886,IF($B$886="Лікар загальної практики - сімейний лікар",P889*S886,0)))</f>
        <v>0</v>
      </c>
      <c r="Q886" s="196">
        <f>IF($B$886="Лікар-педіатр","x",IF($B$886="Лікар-терапевт",Q889*S886,IF($B$886="Лікар загальної практики - сімейний лікар",Q889*S886,0)))</f>
        <v>0</v>
      </c>
      <c r="R886" s="196">
        <f>IF($B$886="Лікар-педіатр","x",IF($B$886="Лікар-терапевт",R889*S886,IF($B$886="Лікар загальної практики - сімейний лікар",R889*S886,0)))</f>
        <v>0</v>
      </c>
      <c r="S886" s="557"/>
      <c r="T886" s="941"/>
      <c r="U886" s="196">
        <f>IF($B$886="Лікар-педіатр",U889*Z886,IF($B$886="Лікар-терапевт","х",IF($B$886="Лікар загальної практики - сімейний лікар",U889*Z886,0)))</f>
        <v>0</v>
      </c>
      <c r="V886" s="196">
        <f>IF($B$886="Лікар-педіатр",V889*Z886,IF($B$886="Лікар-терапевт","х",IF($B$886="Лікар загальної практики - сімейний лікар",V889*Z886,0)))</f>
        <v>0</v>
      </c>
      <c r="W886" s="196">
        <f>IF($B$886="Лікар-педіатр","x",IF($B$886="Лікар-терапевт",W889*Z886,IF($B$886="Лікар загальної практики - сімейний лікар",W889*Z886,0)))</f>
        <v>0</v>
      </c>
      <c r="X886" s="196">
        <f>IF($B$886="Лікар-педіатр","x",IF($B$886="Лікар-терапевт",X889*Z886,IF($B$886="Лікар загальної практики - сімейний лікар",X889*Z886,0)))</f>
        <v>0</v>
      </c>
      <c r="Y886" s="196">
        <f>IF($B$886="Лікар-педіатр","x",IF($B$886="Лікар-терапевт",Y889*Z886,IF($B$886="Лікар загальної практики - сімейний лікар",Y889*Z886,0)))</f>
        <v>0</v>
      </c>
      <c r="Z886" s="557"/>
      <c r="AA886" s="941"/>
      <c r="AB886" s="196">
        <f>IF($B$886="Лікар-педіатр",AB889*AG886,IF($B$886="Лікар-терапевт","х",IF($B$886="Лікар загальної практики - сімейний лікар",AB889*AG886,0)))</f>
        <v>0</v>
      </c>
      <c r="AC886" s="196">
        <f>IF($B$886="Лікар-педіатр",AC889*AG886,IF($B$886="Лікар-терапевт","х",IF($B$886="Лікар загальної практики - сімейний лікар",AC889*AG886,0)))</f>
        <v>0</v>
      </c>
      <c r="AD886" s="196">
        <f>IF($B$886="Лікар-педіатр","x",IF($B$886="Лікар-терапевт",AD889*AG886,IF($B$886="Лікар загальної практики - сімейний лікар",AD889*AG886,0)))</f>
        <v>0</v>
      </c>
      <c r="AE886" s="196">
        <f>IF($B$886="Лікар-педіатр","x",IF($B$886="Лікар-терапевт",AE889*AG886,IF($B$886="Лікар загальної практики - сімейний лікар",AE889*AG886,0)))</f>
        <v>0</v>
      </c>
      <c r="AF886" s="196">
        <f>IF($B$886="Лікар-педіатр","x",IF($B$886="Лікар-терапевт",AF889*AG886,IF($B$886="Лікар загальної практики - сімейний лікар",AF889*AG886,0)))</f>
        <v>0</v>
      </c>
      <c r="AG886" s="557"/>
      <c r="AH886" s="941"/>
      <c r="AI886" s="540">
        <f>A886</f>
        <v>66</v>
      </c>
      <c r="AJ886" s="944">
        <f>B886</f>
        <v>0</v>
      </c>
      <c r="AK886" s="959">
        <f>C886</f>
        <v>0</v>
      </c>
      <c r="AL886" s="959">
        <f>D886</f>
        <v>0</v>
      </c>
      <c r="AM886" s="929" t="s">
        <v>79</v>
      </c>
      <c r="AN886" s="947">
        <f>SUM(AN891:AN897)</f>
        <v>0</v>
      </c>
      <c r="AO886" s="947">
        <f>SUM(AO891:AO897)</f>
        <v>0</v>
      </c>
      <c r="AP886" s="947">
        <f>SUM(AP891:AP897)</f>
        <v>0</v>
      </c>
      <c r="AQ886" s="947">
        <f>SUM(AQ891:AQ897)</f>
        <v>0</v>
      </c>
      <c r="AR886" s="962">
        <f>SUM(AN886:AQ890)</f>
        <v>0</v>
      </c>
    </row>
    <row r="887" spans="1:44" s="50" customFormat="1" ht="28.15" hidden="1" customHeight="1">
      <c r="A887" s="197"/>
      <c r="B887" s="951"/>
      <c r="C887" s="954"/>
      <c r="D887" s="957"/>
      <c r="E887" s="939"/>
      <c r="F887" s="234" t="s">
        <v>660</v>
      </c>
      <c r="G887" s="196">
        <f>IF($B$886="Лікар-педіатр",G889*L887,IF($B$886="Лікар-терапевт","х",IF($B$886="Лікар загальної практики - сімейний лікар",G889*L887,0)))</f>
        <v>0</v>
      </c>
      <c r="H887" s="196">
        <f>IF($B$886="Лікар-педіатр",H889*L887,IF($B$886="Лікар-терапевт","х",IF($B$886="Лікар загальної практики - сімейний лікар",H889*L887,0)))</f>
        <v>0</v>
      </c>
      <c r="I887" s="196">
        <f>IF($B$886="Лікар-педіатр","x",IF($B$886="Лікар-терапевт",I889*L887,IF($B$886="Лікар загальної практики - сімейний лікар",I889*L887,0)))</f>
        <v>0</v>
      </c>
      <c r="J887" s="196">
        <f>IF($B$886="Лікар-педіатр","x",IF($B$886="Лікар-терапевт",J889*L887,IF($B$886="Лікар загальної практики - сімейний лікар",J889*L887,0)))</f>
        <v>0</v>
      </c>
      <c r="K887" s="196">
        <f>IF($B$886="Лікар-педіатр","x",IF($B$886="Лікар-терапевт",K889*L887,IF($B$886="Лікар загальної практики - сімейний лікар",K889*L887,0)))</f>
        <v>0</v>
      </c>
      <c r="L887" s="557"/>
      <c r="M887" s="942"/>
      <c r="N887" s="196">
        <f>IF($B$886="Лікар-педіатр",N889*S887,IF($B$886="Лікар-терапевт","х",IF($B$886="Лікар загальної практики - сімейний лікар",N889*S887,0)))</f>
        <v>0</v>
      </c>
      <c r="O887" s="196">
        <f>IF($B$886="Лікар-педіатр",O889*S887,IF($B$886="Лікар-терапевт","х",IF($B$886="Лікар загальної практики - сімейний лікар",O889*S887,0)))</f>
        <v>0</v>
      </c>
      <c r="P887" s="196">
        <f>IF($B$886="Лікар-педіатр","x",IF($B$886="Лікар-терапевт",P889*S887,IF($B$886="Лікар загальної практики - сімейний лікар",P889*S887,0)))</f>
        <v>0</v>
      </c>
      <c r="Q887" s="196">
        <f>IF($B$886="Лікар-педіатр","x",IF($B$886="Лікар-терапевт",Q889*S887,IF($B$886="Лікар загальної практики - сімейний лікар",Q889*S887,0)))</f>
        <v>0</v>
      </c>
      <c r="R887" s="196">
        <f>IF($B$886="Лікар-педіатр","x",IF($B$886="Лікар-терапевт",R889*S887,IF($B$886="Лікар загальної практики - сімейний лікар",R889*S887,0)))</f>
        <v>0</v>
      </c>
      <c r="S887" s="557"/>
      <c r="T887" s="942"/>
      <c r="U887" s="196">
        <f>IF($B$886="Лікар-педіатр",U889*Z887,IF($B$886="Лікар-терапевт","х",IF($B$886="Лікар загальної практики - сімейний лікар",U889*Z887,0)))</f>
        <v>0</v>
      </c>
      <c r="V887" s="196">
        <f>IF($B$886="Лікар-педіатр",V889*Z887,IF($B$886="Лікар-терапевт","х",IF($B$886="Лікар загальної практики - сімейний лікар",V889*Z887,0)))</f>
        <v>0</v>
      </c>
      <c r="W887" s="196">
        <f>IF($B$886="Лікар-педіатр","x",IF($B$886="Лікар-терапевт",W889*Z887,IF($B$886="Лікар загальної практики - сімейний лікар",W889*Z887,0)))</f>
        <v>0</v>
      </c>
      <c r="X887" s="196">
        <f>IF($B$886="Лікар-педіатр","x",IF($B$886="Лікар-терапевт",X889*Z887,IF($B$886="Лікар загальної практики - сімейний лікар",X889*Z887,0)))</f>
        <v>0</v>
      </c>
      <c r="Y887" s="196">
        <f>IF($B$886="Лікар-педіатр","x",IF($B$886="Лікар-терапевт",Y889*Z887,IF($B$886="Лікар загальної практики - сімейний лікар",Y889*Z887,0)))</f>
        <v>0</v>
      </c>
      <c r="Z887" s="557"/>
      <c r="AA887" s="942"/>
      <c r="AB887" s="196">
        <f>IF($B$886="Лікар-педіатр",AB889*AG887,IF($B$886="Лікар-терапевт","х",IF($B$886="Лікар загальної практики - сімейний лікар",AB889*AG887,0)))</f>
        <v>0</v>
      </c>
      <c r="AC887" s="196">
        <f>IF($B$886="Лікар-педіатр",AC889*AG887,IF($B$886="Лікар-терапевт","х",IF($B$886="Лікар загальної практики - сімейний лікар",AC889*AG887,0)))</f>
        <v>0</v>
      </c>
      <c r="AD887" s="196">
        <f>IF($B$886="Лікар-педіатр","x",IF($B$886="Лікар-терапевт",AD889*AG887,IF($B$886="Лікар загальної практики - сімейний лікар",AD889*AG887,0)))</f>
        <v>0</v>
      </c>
      <c r="AE887" s="196">
        <f>IF($B$886="Лікар-педіатр","x",IF($B$886="Лікар-терапевт",AE889*AG887,IF($B$886="Лікар загальної практики - сімейний лікар",AE889*AG887,0)))</f>
        <v>0</v>
      </c>
      <c r="AF887" s="196">
        <f>IF($B$886="Лікар-педіатр","x",IF($B$886="Лікар-терапевт",AF889*AG887,IF($B$886="Лікар загальної практики - сімейний лікар",AF889*AG887,0)))</f>
        <v>0</v>
      </c>
      <c r="AG887" s="557"/>
      <c r="AH887" s="942"/>
      <c r="AI887" s="198"/>
      <c r="AJ887" s="945"/>
      <c r="AK887" s="960"/>
      <c r="AL887" s="960"/>
      <c r="AM887" s="930"/>
      <c r="AN887" s="948"/>
      <c r="AO887" s="948"/>
      <c r="AP887" s="948"/>
      <c r="AQ887" s="948"/>
      <c r="AR887" s="963"/>
    </row>
    <row r="888" spans="1:44" s="90" customFormat="1" ht="31.15" hidden="1" customHeight="1">
      <c r="A888" s="240"/>
      <c r="B888" s="951"/>
      <c r="C888" s="954"/>
      <c r="D888" s="957"/>
      <c r="E888" s="939"/>
      <c r="F888" s="241" t="s">
        <v>661</v>
      </c>
      <c r="G888" s="199">
        <f>IF(B886="Лікар загальної практики - сімейний лікар"," ",IF(B886="Лікар-педіатр"," ",IF(B886="Лікар-терапевт","х",0)))</f>
        <v>0</v>
      </c>
      <c r="H888" s="199">
        <f>IF(B886="Лікар загальної практики - сімейний лікар"," ",IF(B886="Лікар-педіатр"," ",IF(B886="Лікар-терапевт","х",0)))</f>
        <v>0</v>
      </c>
      <c r="I888" s="199">
        <f>IF(B886="Лікар загальної практики - сімейний лікар"," ",IF(B886="Лікар-педіатр","х",IF(B886="Лікар-терапевт"," ",0)))</f>
        <v>0</v>
      </c>
      <c r="J888" s="199">
        <f>IF(B886="Лікар загальної практики - сімейний лікар"," ",IF(B886="Лікар-педіатр","х",IF(B886="Лікар-терапевт"," ",0)))</f>
        <v>0</v>
      </c>
      <c r="K888" s="199">
        <f>IF(B886="Лікар загальної практики - сімейний лікар"," ",IF(B886="Лікар-педіатр","х",IF(B886="Лікар-терапевт"," ",0)))</f>
        <v>0</v>
      </c>
      <c r="L888" s="200">
        <f>SUM(G888:K888)</f>
        <v>0</v>
      </c>
      <c r="M888" s="942"/>
      <c r="N888" s="199">
        <f>IF(B886="Лікар загальної практики - сімейний лікар"," ",IF(B886="Лікар-педіатр"," ",IF(B886="Лікар-терапевт","х",0)))</f>
        <v>0</v>
      </c>
      <c r="O888" s="199">
        <f>IF(B886="Лікар загальної практики - сімейний лікар"," ",IF(B886="Лікар-педіатр"," ",IF(B886="Лікар-терапевт","х",0)))</f>
        <v>0</v>
      </c>
      <c r="P888" s="199">
        <f>IF(B886="Лікар загальної практики - сімейний лікар"," ",IF(B886="Лікар-педіатр","х",IF(B886="Лікар-терапевт"," ",0)))</f>
        <v>0</v>
      </c>
      <c r="Q888" s="199">
        <f>IF(B886="Лікар загальної практики - сімейний лікар"," ",IF(B886="Лікар-педіатр","х",IF(B886="Лікар-терапевт"," ",0)))</f>
        <v>0</v>
      </c>
      <c r="R888" s="199">
        <f>IF(B886="Лікар загальної практики - сімейний лікар"," ",IF(B886="Лікар-педіатр","х",IF(B886="Лікар-терапевт"," ",0)))</f>
        <v>0</v>
      </c>
      <c r="S888" s="200">
        <f>SUM(N888:R888)</f>
        <v>0</v>
      </c>
      <c r="T888" s="942"/>
      <c r="U888" s="199">
        <f>IF(B886="Лікар загальної практики - сімейний лікар"," ",IF(B886="Лікар-педіатр"," ",IF(B886="Лікар-терапевт","х",0)))</f>
        <v>0</v>
      </c>
      <c r="V888" s="199">
        <f>IF(B886="Лікар загальної практики - сімейний лікар"," ",IF(B886="Лікар-педіатр"," ",IF(B886="Лікар-терапевт","х",0)))</f>
        <v>0</v>
      </c>
      <c r="W888" s="199">
        <f>IF(B886="Лікар загальної практики - сімейний лікар"," ",IF(B886="Лікар-педіатр","х",IF(B886="Лікар-терапевт"," ",0)))</f>
        <v>0</v>
      </c>
      <c r="X888" s="199">
        <f>IF(B886="Лікар загальної практики - сімейний лікар"," ",IF(B886="Лікар-педіатр","х",IF(B886="Лікар-терапевт"," ",0)))</f>
        <v>0</v>
      </c>
      <c r="Y888" s="199">
        <f>IF(B886="Лікар загальної практики - сімейний лікар"," ",IF(B886="Лікар-педіатр","х",IF(B886="Лікар-терапевт"," ",0)))</f>
        <v>0</v>
      </c>
      <c r="Z888" s="200">
        <f>SUM(U888:Y888)</f>
        <v>0</v>
      </c>
      <c r="AA888" s="942"/>
      <c r="AB888" s="199">
        <f>IF(B886="Лікар загальної практики - сімейний лікар"," ",IF(B886="Лікар-педіатр"," ",IF(B886="Лікар-терапевт","х",0)))</f>
        <v>0</v>
      </c>
      <c r="AC888" s="199">
        <f>IF(B886="Лікар загальної практики - сімейний лікар"," ",IF(B886="Лікар-педіатр"," ",IF(B886="Лікар-терапевт","х",0)))</f>
        <v>0</v>
      </c>
      <c r="AD888" s="199">
        <f>IF(B886="Лікар загальної практики - сімейний лікар"," ",IF(B886="Лікар-педіатр","х",IF(B886="Лікар-терапевт"," ",0)))</f>
        <v>0</v>
      </c>
      <c r="AE888" s="199">
        <f>IF(B886="Лікар загальної практики - сімейний лікар"," ",IF(B886="Лікар-педіатр","х",IF(B886="Лікар-терапевт"," ",0)))</f>
        <v>0</v>
      </c>
      <c r="AF888" s="199">
        <f>IF(B886="Лікар загальної практики - сімейний лікар"," ",IF(B886="Лікар-педіатр","х",IF(B886="Лікар-терапевт"," ",0)))</f>
        <v>0</v>
      </c>
      <c r="AG888" s="200">
        <f>SUM(AB888:AF888)</f>
        <v>0</v>
      </c>
      <c r="AH888" s="942"/>
      <c r="AI888" s="242"/>
      <c r="AJ888" s="945"/>
      <c r="AK888" s="960"/>
      <c r="AL888" s="960"/>
      <c r="AM888" s="930"/>
      <c r="AN888" s="948"/>
      <c r="AO888" s="948"/>
      <c r="AP888" s="948"/>
      <c r="AQ888" s="948"/>
      <c r="AR888" s="963"/>
    </row>
    <row r="889" spans="1:44" s="50" customFormat="1" ht="31.9" hidden="1" customHeight="1" thickBot="1">
      <c r="A889" s="197"/>
      <c r="B889" s="951"/>
      <c r="C889" s="954"/>
      <c r="D889" s="957"/>
      <c r="E889" s="939"/>
      <c r="F889" s="236" t="s">
        <v>426</v>
      </c>
      <c r="G889" s="203">
        <f>IF($B$886="Лікар-педіатр",G888/L888,IF($B$886="Лікар-терапевт","х",IF($B$886="Лікар загальної практики - сімейний лікар",G888/L888,0)))</f>
        <v>0</v>
      </c>
      <c r="H889" s="203">
        <f>IF($B$886="Лікар-педіатр",H888/L888,IF($B$886="Лікар-терапевт","х",IF($B$886="Лікар загальної практики - сімейний лікар",H888/L888,0)))</f>
        <v>0</v>
      </c>
      <c r="I889" s="203">
        <f>IF($B$886="Лікар-педіатр","x",IF($B$886="Лікар-терапевт",I888/L888,IF($B$886="Лікар загальної практики - сімейний лікар",I888/L888,0)))</f>
        <v>0</v>
      </c>
      <c r="J889" s="203">
        <f>IF($B$886="Лікар-педіатр","x",IF($B$886="Лікар-терапевт",J888/L888,IF($B$886="Лікар загальної практики - сімейний лікар",J888/L888,0)))</f>
        <v>0</v>
      </c>
      <c r="K889" s="203">
        <f>IF($B$886="Лікар-педіатр","x",IF($B$886="Лікар-терапевт",K888/L888,IF($B$886="Лікар загальної практики - сімейний лікар",K888/L888,0)))</f>
        <v>0</v>
      </c>
      <c r="L889" s="203">
        <f>SUM(G889:K889)</f>
        <v>0</v>
      </c>
      <c r="M889" s="942"/>
      <c r="N889" s="203">
        <f>IF($B$886="Лікар-педіатр",N888/S888,IF($B$886="Лікар-терапевт","х",IF($B$886="Лікар загальної практики - сімейний лікар",N888/S888,0)))</f>
        <v>0</v>
      </c>
      <c r="O889" s="203">
        <f>IF($B$886="Лікар-педіатр",O888/S888,IF($B$886="Лікар-терапевт","х",IF($B$886="Лікар загальної практики - сімейний лікар",O888/S888,0)))</f>
        <v>0</v>
      </c>
      <c r="P889" s="203">
        <f>IF($B$886="Лікар-педіатр","x",IF($B$886="Лікар-терапевт",P888/S888,IF($B$886="Лікар загальної практики - сімейний лікар",P888/S888,0)))</f>
        <v>0</v>
      </c>
      <c r="Q889" s="203">
        <f>IF($B$886="Лікар-педіатр","x",IF($B$886="Лікар-терапевт",Q888/S888,IF($B$886="Лікар загальної практики - сімейний лікар",Q888/S888,0)))</f>
        <v>0</v>
      </c>
      <c r="R889" s="203">
        <f>IF($B$886="Лікар-педіатр","x",IF($B$886="Лікар-терапевт",R888/S888,IF($B$886="Лікар загальної практики - сімейний лікар",R888/S888,0)))</f>
        <v>0</v>
      </c>
      <c r="S889" s="203">
        <f>SUM(N889:R889)</f>
        <v>0</v>
      </c>
      <c r="T889" s="942"/>
      <c r="U889" s="203">
        <f>IF($B$886="Лікар-педіатр",U888/Z888,IF($B$886="Лікар-терапевт","х",IF($B$886="Лікар загальної практики - сімейний лікар",U888/Z888,0)))</f>
        <v>0</v>
      </c>
      <c r="V889" s="203">
        <f>IF($B$886="Лікар-педіатр",V888/Z888,IF($B$886="Лікар-терапевт","х",IF($B$886="Лікар загальної практики - сімейний лікар",V888/Z888,0)))</f>
        <v>0</v>
      </c>
      <c r="W889" s="203">
        <f>IF($B$886="Лікар-педіатр","x",IF($B$886="Лікар-терапевт",W888/Z888,IF($B$886="Лікар загальної практики - сімейний лікар",W888/Z888,0)))</f>
        <v>0</v>
      </c>
      <c r="X889" s="203">
        <f>IF($B$886="Лікар-педіатр","x",IF($B$886="Лікар-терапевт",X888/Z888,IF($B$886="Лікар загальної практики - сімейний лікар",X888/Z888,0)))</f>
        <v>0</v>
      </c>
      <c r="Y889" s="203">
        <f>IF($B$886="Лікар-педіатр","x",IF($B$886="Лікар-терапевт",Y888/Z888,IF($B$886="Лікар загальної практики - сімейний лікар",Y888/Z888,0)))</f>
        <v>0</v>
      </c>
      <c r="Z889" s="203">
        <f>SUM(U889:Y889)</f>
        <v>0</v>
      </c>
      <c r="AA889" s="942"/>
      <c r="AB889" s="203">
        <f>IF($B$886="Лікар-педіатр",AB888/AG888,IF($B$886="Лікар-терапевт","х",IF($B$886="Лікар загальної практики - сімейний лікар",AB888/AG888,0)))</f>
        <v>0</v>
      </c>
      <c r="AC889" s="203">
        <f>IF($B$886="Лікар-педіатр",AC888/AG888,IF($B$886="Лікар-терапевт","х",IF($B$886="Лікар загальної практики - сімейний лікар",AC888/AG888,0)))</f>
        <v>0</v>
      </c>
      <c r="AD889" s="203">
        <f>IF($B$886="Лікар-педіатр","x",IF($B$886="Лікар-терапевт",AD888/AG888,IF($B$886="Лікар загальної практики - сімейний лікар",AD888/AG888,0)))</f>
        <v>0</v>
      </c>
      <c r="AE889" s="203">
        <f>IF($B$886="Лікар-педіатр","x",IF($B$886="Лікар-терапевт",AE888/AG888,IF($B$886="Лікар загальної практики - сімейний лікар",AE888/AG888,0)))</f>
        <v>0</v>
      </c>
      <c r="AF889" s="203">
        <f>IF($B$886="Лікар-педіатр","x",IF($B$886="Лікар-терапевт",AF888/AG888,IF($B$886="Лікар загальної практики - сімейний лікар",AF888/AG888,0)))</f>
        <v>0</v>
      </c>
      <c r="AG889" s="203">
        <f>SUM(AB889:AF889)</f>
        <v>0</v>
      </c>
      <c r="AH889" s="942"/>
      <c r="AI889" s="201"/>
      <c r="AJ889" s="945"/>
      <c r="AK889" s="960"/>
      <c r="AL889" s="960"/>
      <c r="AM889" s="930"/>
      <c r="AN889" s="948"/>
      <c r="AO889" s="948"/>
      <c r="AP889" s="948"/>
      <c r="AQ889" s="948"/>
      <c r="AR889" s="963"/>
    </row>
    <row r="890" spans="1:44" s="50" customFormat="1" ht="45" hidden="1" customHeight="1" thickBot="1">
      <c r="A890" s="197"/>
      <c r="B890" s="951"/>
      <c r="C890" s="954"/>
      <c r="D890" s="957"/>
      <c r="E890" s="939"/>
      <c r="F890" s="204" t="s">
        <v>662</v>
      </c>
      <c r="G890" s="205">
        <f>IF($B$886="Лікар загальної практики - сімейний лікар",AVERAGE(G886:G888),IF($B$886="Лікар-педіатр",AVERAGE(G886:G888),IF($B$886="Лікар-терапевт","х",0)))</f>
        <v>0</v>
      </c>
      <c r="H890" s="205">
        <f>IF($B$886="Лікар загальної практики - сімейний лікар",AVERAGE(H886:H888),IF($B$886="Лікар-педіатр",AVERAGE(H886:H888),IF($B$886="Лікар-терапевт","х",0)))</f>
        <v>0</v>
      </c>
      <c r="I890" s="205">
        <f>IF($B$886="Лікар загальної практики - сімейний лікар",AVERAGE(I886:I888),IF($B$886="Лікар-педіатр","x",IF($B$886="Лікар-терапевт",AVERAGE(I886:I888),0)))</f>
        <v>0</v>
      </c>
      <c r="J890" s="205">
        <f>IF($B$886="Лікар загальної практики - сімейний лікар",AVERAGE(J886:J888),IF($B$886="Лікар-педіатр","x",IF($B$886="Лікар-терапевт",AVERAGE(J886:J888),0)))</f>
        <v>0</v>
      </c>
      <c r="K890" s="205">
        <f>IF($B$886="Лікар загальної практики - сімейний лікар",AVERAGE(K886:K888),IF($B$886="Лікар-педіатр","x",IF($B$886="Лікар-терапевт",AVERAGE(K886:K888),0)))</f>
        <v>0</v>
      </c>
      <c r="L890" s="206">
        <f>SUM(G890:K890)</f>
        <v>0</v>
      </c>
      <c r="M890" s="942"/>
      <c r="N890" s="205">
        <f>IF($B$886="Лікар загальної практики - сімейний лікар",AVERAGE(N886:N888),IF($B$886="Лікар-педіатр",AVERAGE(N886:N888),IF($B$886="Лікар-терапевт","х",0)))</f>
        <v>0</v>
      </c>
      <c r="O890" s="205">
        <f>IF($B$886="Лікар загальної практики - сімейний лікар",AVERAGE(O886:O888),IF($B$886="Лікар-педіатр",AVERAGE(O886:O888),IF($B$886="Лікар-терапевт","х",0)))</f>
        <v>0</v>
      </c>
      <c r="P890" s="205">
        <f>IF($B$886="Лікар загальної практики - сімейний лікар",AVERAGE(P886:P888),IF($B$886="Лікар-педіатр","x",IF($B$886="Лікар-терапевт",AVERAGE(P886:P888),0)))</f>
        <v>0</v>
      </c>
      <c r="Q890" s="205">
        <f>IF($B$886="Лікар загальної практики - сімейний лікар",AVERAGE(Q886:Q888),IF($B$886="Лікар-педіатр","x",IF($B$886="Лікар-терапевт",AVERAGE(Q886:Q888),0)))</f>
        <v>0</v>
      </c>
      <c r="R890" s="205">
        <f>IF($B$886="Лікар загальної практики - сімейний лікар",AVERAGE(R886:R888),IF($B$886="Лікар-педіатр","x",IF($B$886="Лікар-терапевт",AVERAGE(R886:R888),0)))</f>
        <v>0</v>
      </c>
      <c r="S890" s="206">
        <f>SUM(N890:R890)</f>
        <v>0</v>
      </c>
      <c r="T890" s="942"/>
      <c r="U890" s="205">
        <f>IF($B$886="Лікар загальної практики - сімейний лікар",AVERAGE(U886:U888),IF($B$886="Лікар-педіатр",AVERAGE(U886:U888),IF($B$886="Лікар-терапевт","х",0)))</f>
        <v>0</v>
      </c>
      <c r="V890" s="205">
        <f>IF($B$886="Лікар загальної практики - сімейний лікар",AVERAGE(V886:V888),IF($B$886="Лікар-педіатр",AVERAGE(V886:V888),IF($B$886="Лікар-терапевт","х",0)))</f>
        <v>0</v>
      </c>
      <c r="W890" s="205">
        <f>IF($B$886="Лікар загальної практики - сімейний лікар",AVERAGE(W886:W888),IF($B$886="Лікар-педіатр","x",IF($B$886="Лікар-терапевт",AVERAGE(W886:W888),0)))</f>
        <v>0</v>
      </c>
      <c r="X890" s="205">
        <f>IF($B$886="Лікар загальної практики - сімейний лікар",AVERAGE(X886:X888),IF($B$886="Лікар-педіатр","x",IF($B$886="Лікар-терапевт",AVERAGE(X886:X888),0)))</f>
        <v>0</v>
      </c>
      <c r="Y890" s="205">
        <f>IF($B$886="Лікар загальної практики - сімейний лікар",AVERAGE(Y886:Y888),IF($B$886="Лікар-педіатр","x",IF($B$886="Лікар-терапевт",AVERAGE(Y886:Y888),0)))</f>
        <v>0</v>
      </c>
      <c r="Z890" s="206">
        <f>SUM(U890:Y890)</f>
        <v>0</v>
      </c>
      <c r="AA890" s="942"/>
      <c r="AB890" s="205">
        <f>IF($B$886="Лікар загальної практики - сімейний лікар",AVERAGE(AB886:AB888),IF($B$886="Лікар-педіатр",AVERAGE(AB886:AB888),IF($B$886="Лікар-терапевт","х",0)))</f>
        <v>0</v>
      </c>
      <c r="AC890" s="205">
        <f>IF($B$886="Лікар загальної практики - сімейний лікар",AVERAGE(AC886:AC888),IF($B$886="Лікар-педіатр",AVERAGE(AC886:AC888),IF($B$886="Лікар-терапевт","х",0)))</f>
        <v>0</v>
      </c>
      <c r="AD890" s="205">
        <f>IF($B$886="Лікар загальної практики - сімейний лікар",AVERAGE(AD886:AD888),IF($B$886="Лікар-педіатр","x",IF($B$886="Лікар-терапевт",AVERAGE(AD886:AD888),0)))</f>
        <v>0</v>
      </c>
      <c r="AE890" s="205">
        <f>IF($B$886="Лікар загальної практики - сімейний лікар",AVERAGE(AE886:AE888),IF($B$886="Лікар-педіатр","x",IF($B$886="Лікар-терапевт",AVERAGE(AE886:AE888),0)))</f>
        <v>0</v>
      </c>
      <c r="AF890" s="205">
        <f>IF($B$886="Лікар загальної практики - сімейний лікар",AVERAGE(AF886:AF888),IF($B$886="Лікар-педіатр","x",IF($B$886="Лікар-терапевт",AVERAGE(AF886:AF888),0)))</f>
        <v>0</v>
      </c>
      <c r="AG890" s="206">
        <f>SUM(AB890:AF890)</f>
        <v>0</v>
      </c>
      <c r="AH890" s="942"/>
      <c r="AI890" s="201"/>
      <c r="AJ890" s="945"/>
      <c r="AK890" s="960"/>
      <c r="AL890" s="960"/>
      <c r="AM890" s="931"/>
      <c r="AN890" s="949"/>
      <c r="AO890" s="949"/>
      <c r="AP890" s="949"/>
      <c r="AQ890" s="949"/>
      <c r="AR890" s="964"/>
    </row>
    <row r="891" spans="1:44" s="50" customFormat="1" ht="40.5" hidden="1">
      <c r="A891" s="197"/>
      <c r="B891" s="951"/>
      <c r="C891" s="954"/>
      <c r="D891" s="957"/>
      <c r="E891" s="939"/>
      <c r="F891" s="237" t="str">
        <f ca="1">IF(B886="Лікар-педіатр",Законод!$C$17,IF(B886="Лікар загальної практики - сімейний лікар",Законод!$C$21,IF(B886="Лікар-терапевт",Законод!$C$25,"х")))</f>
        <v>х</v>
      </c>
      <c r="G891" s="208">
        <f ca="1">IF($B$886="Лікар загальної практики - сімейний лікар",IF(L890&lt;=Законод!$C$22,G890,Законод!$C$22*'01_Доходи'!G889),IF($B$886="Лікар-педіатр",IF(L890&lt;=Законод!$C$18,G890,Законод!$C$18*'01_Доходи'!G889),IF($B$886="Лікар-терапевт","x",0)))</f>
        <v>0</v>
      </c>
      <c r="H891" s="208">
        <f ca="1">IF($B$886="Лікар загальної практики - сімейний лікар",IF(L890&lt;=Законод!$C$22,H890,Законод!$C$22*'01_Доходи'!H889),IF($B$886="Лікар-педіатр",IF(L890&lt;=Законод!$C$18,H890,Законод!$C$18*'01_Доходи'!H889),IF($B$886="Лікар-терапевт","x",0)))</f>
        <v>0</v>
      </c>
      <c r="I891" s="208">
        <f ca="1">IF($B$886="Лікар загальної практики - сімейний лікар",IF(L890&lt;=Законод!$C$22,I890,Законод!$C$22*'01_Доходи'!I889),IF($B$886="Лікар-педіатр","x",IF($B$886="Лікар-терапевт",IF(L890&lt;=Законод!$C$26,I890,Законод!$C$26*'01_Доходи'!I889),0)))</f>
        <v>0</v>
      </c>
      <c r="J891" s="208">
        <f ca="1">IF($B$886="Лікар загальної практики - сімейний лікар",IF(L890&lt;=Законод!$C$22,J890,Законод!$C$22*'01_Доходи'!J889),IF($B$886="Лікар-педіатр","x",IF($B$886="Лікар-терапевт",IF(L890&lt;=Законод!$C$26,J890,Законод!$C$26*'01_Доходи'!J889),0)))</f>
        <v>0</v>
      </c>
      <c r="K891" s="208">
        <f ca="1">IF($B$886="Лікар загальної практики - сімейний лікар",IF(L890&lt;=Законод!$C$22,K890,Законод!$C$22*'01_Доходи'!K889),IF($B$886="Лікар-педіатр","x",IF($B$886="Лікар-терапевт",IF(L890&lt;=Законод!$C$26,K890,Законод!$C$26*'01_Доходи'!K889),0)))</f>
        <v>0</v>
      </c>
      <c r="L891" s="209">
        <f ca="1">SUM(G891:K891)</f>
        <v>0</v>
      </c>
      <c r="M891" s="942"/>
      <c r="N891" s="208">
        <f ca="1">IF($B$886="Лікар загальної практики - сімейний лікар",IF(S890&lt;=Законод!$C$22,N890,Законод!$C$22*'01_Доходи'!N889),IF($B$886="Лікар-педіатр",IF(S890&lt;=Законод!$C$18,N890,Законод!$C$18*'01_Доходи'!N889),IF($B$886="Лікар-терапевт","x",0)))</f>
        <v>0</v>
      </c>
      <c r="O891" s="208">
        <f ca="1">IF($B$886="Лікар загальної практики - сімейний лікар",IF(S890&lt;=Законод!$C$22,O890,Законод!$C$22*'01_Доходи'!O889),IF($B$886="Лікар-педіатр",IF(S890&lt;=Законод!$C$18,O890,Законод!$C$18*'01_Доходи'!O889),IF($B$886="Лікар-терапевт","x",0)))</f>
        <v>0</v>
      </c>
      <c r="P891" s="208">
        <f ca="1">IF($B$886="Лікар загальної практики - сімейний лікар",IF(S890&lt;=Законод!$C$22,P890,Законод!$C$22*'01_Доходи'!P889),IF($B$886="Лікар-педіатр","x",IF($B$886="Лікар-терапевт",IF(S890&lt;=Законод!$C$26,P890,Законод!$C$26*'01_Доходи'!P889),0)))</f>
        <v>0</v>
      </c>
      <c r="Q891" s="208">
        <f ca="1">IF($B$886="Лікар загальної практики - сімейний лікар",IF(S890&lt;=Законод!$C$22,Q890,Законод!$C$22*'01_Доходи'!Q889),IF($B$886="Лікар-педіатр","x",IF($B$886="Лікар-терапевт",IF(S890&lt;=Законод!$C$26,Q890,Законод!$C$26*'01_Доходи'!Q889),0)))</f>
        <v>0</v>
      </c>
      <c r="R891" s="208">
        <f ca="1">IF($B$886="Лікар загальної практики - сімейний лікар",IF(S890&lt;=Законод!$C$22,R890,Законод!$C$22*'01_Доходи'!R889),IF($B$886="Лікар-педіатр","x",IF($B$886="Лікар-терапевт",IF(S890&lt;=Законод!$C$26,R890,Законод!$C$26*'01_Доходи'!R889),0)))</f>
        <v>0</v>
      </c>
      <c r="S891" s="209">
        <f ca="1">SUM(N891:R891)</f>
        <v>0</v>
      </c>
      <c r="T891" s="942"/>
      <c r="U891" s="208">
        <f ca="1">IF($B$886="Лікар загальної практики - сімейний лікар",IF(Z890&lt;=Законод!$C$22,U890,Законод!$C$22*'01_Доходи'!U889),IF($B$886="Лікар-педіатр",IF(Z890&lt;=Законод!$C$18,U890,Законод!$C$18*'01_Доходи'!U889),IF($B$886="Лікар-терапевт","x",0)))</f>
        <v>0</v>
      </c>
      <c r="V891" s="208">
        <f ca="1">IF($B$886="Лікар загальної практики - сімейний лікар",IF(Z890&lt;=Законод!$C$22,V890,Законод!$C$22*'01_Доходи'!V889),IF($B$886="Лікар-педіатр",IF(Z890&lt;=Законод!$C$18,V890,Законод!$C$18*'01_Доходи'!V889),IF($B$886="Лікар-терапевт","x",0)))</f>
        <v>0</v>
      </c>
      <c r="W891" s="208">
        <f ca="1">IF($B$886="Лікар загальної практики - сімейний лікар",IF(Z890&lt;=Законод!$C$22,W890,Законод!$C$22*'01_Доходи'!W889),IF($B$886="Лікар-педіатр","x",IF($B$886="Лікар-терапевт",IF(Z890&lt;=Законод!$C$26,W890,Законод!$C$26*'01_Доходи'!W889),0)))</f>
        <v>0</v>
      </c>
      <c r="X891" s="208">
        <f ca="1">IF($B$886="Лікар загальної практики - сімейний лікар",IF(Z890&lt;=Законод!$C$22,X890,Законод!$C$22*'01_Доходи'!X889),IF($B$886="Лікар-педіатр","x",IF($B$886="Лікар-терапевт",IF(Z890&lt;=Законод!$C$26,X890,Законод!$C$26*'01_Доходи'!X889),0)))</f>
        <v>0</v>
      </c>
      <c r="Y891" s="208">
        <f ca="1">IF($B$886="Лікар загальної практики - сімейний лікар",IF(Z890&lt;=Законод!$C$22,Y890,Законод!$C$22*'01_Доходи'!Y889),IF($B$886="Лікар-педіатр","x",IF($B$886="Лікар-терапевт",IF(Z890&lt;=Законод!$C$26,Y890,Законод!$C$26*'01_Доходи'!Y889),0)))</f>
        <v>0</v>
      </c>
      <c r="Z891" s="209">
        <f ca="1">SUM(U891:Y891)</f>
        <v>0</v>
      </c>
      <c r="AA891" s="942"/>
      <c r="AB891" s="208">
        <f ca="1">IF($B$886="Лікар загальної практики - сімейний лікар",IF(AG890&lt;=Законод!$C$22,AB890,Законод!$C$22*'01_Доходи'!AB889),IF($B$886="Лікар-педіатр",IF(AG890&lt;=Законод!$C$18,AB890,Законод!$C$18*'01_Доходи'!AB889),IF($B$886="Лікар-терапевт","x",0)))</f>
        <v>0</v>
      </c>
      <c r="AC891" s="208">
        <f ca="1">IF($B$886="Лікар загальної практики - сімейний лікар",IF(AG890&lt;=Законод!$C$22,AC890,Законод!$C$22*'01_Доходи'!AC889),IF($B$886="Лікар-педіатр",IF(AG890&lt;=Законод!$C$18,AC890,Законод!$C$18*'01_Доходи'!AC889),IF($B$886="Лікар-терапевт","x",0)))</f>
        <v>0</v>
      </c>
      <c r="AD891" s="208">
        <f ca="1">IF($B$886="Лікар загальної практики - сімейний лікар",IF(AG890&lt;=Законод!$C$22,AD890,Законод!$C$22*'01_Доходи'!AD889),IF($B$886="Лікар-педіатр","x",IF($B$886="Лікар-терапевт",IF(AG890&lt;=Законод!$C$26,AD890,Законод!$C$26*'01_Доходи'!AD889),0)))</f>
        <v>0</v>
      </c>
      <c r="AE891" s="208">
        <f ca="1">IF($B$886="Лікар загальної практики - сімейний лікар",IF(AG890&lt;=Законод!$C$22,AE890,Законод!$C$22*'01_Доходи'!AE889),IF($B$886="Лікар-педіатр","x",IF($B$886="Лікар-терапевт",IF(AG890&lt;=Законод!$C$26,AE890,Законод!$C$26*'01_Доходи'!AE889),0)))</f>
        <v>0</v>
      </c>
      <c r="AF891" s="208">
        <f ca="1">IF($B$886="Лікар загальної практики - сімейний лікар",IF(AG890&lt;=Законод!$C$22,AF890,Законод!$C$22*'01_Доходи'!AF889),IF($B$886="Лікар-педіатр","x",IF($B$886="Лікар-терапевт",IF(AG890&lt;=Законод!$C$26,AF890,Законод!$C$26*'01_Доходи'!AF889),0)))</f>
        <v>0</v>
      </c>
      <c r="AG891" s="209">
        <f ca="1">SUM(AB891:AF891)</f>
        <v>0</v>
      </c>
      <c r="AH891" s="942"/>
      <c r="AI891" s="201"/>
      <c r="AJ891" s="945"/>
      <c r="AK891" s="960"/>
      <c r="AL891" s="960"/>
      <c r="AM891" s="348" t="s">
        <v>451</v>
      </c>
      <c r="AN891" s="210">
        <f ca="1">IF(B886="Лікар загальної практики - сімейний лікар",G891*Законод!$C$11+'01_Доходи'!H891*Законод!$D$11+'01_Доходи'!I891*Законод!$E$11+'01_Доходи'!J891*Законод!$F$11+'01_Доходи'!K891*Законод!$G$11,IF(B886="Лікар-педіатр",G891*Законод!$C$11+'01_Доходи'!H891*Законод!$D$11,IF(B886="Лікар-терапевт",'01_Доходи'!I891*Законод!$E$11+'01_Доходи'!J891*Законод!$F$11+'01_Доходи'!K891*Законод!$G$11,0)))</f>
        <v>0</v>
      </c>
      <c r="AO891" s="210">
        <f ca="1">IF(B886="Лікар загальної практики - сімейний лікар",N891*Законод!$C$11+'01_Доходи'!O891*Законод!$D$11+'01_Доходи'!P891*Законод!$E$11+'01_Доходи'!Q891*Законод!$F$11+'01_Доходи'!R891*Законод!$G$11,IF(B886="Лікар-педіатр",N891*Законод!$C$11+'01_Доходи'!O891*Законод!$D$11,IF(B886="Лікар-терапевт",'01_Доходи'!P891*Законод!$E$11+'01_Доходи'!Q891*Законод!$F$11+'01_Доходи'!R891*Законод!$G$11,0)))</f>
        <v>0</v>
      </c>
      <c r="AP891" s="210">
        <f ca="1">IF(B886="Лікар загальної практики - сімейний лікар",U891*Законод!$C$11+'01_Доходи'!V891*Законод!$D$11+'01_Доходи'!W891*Законод!$E$11+'01_Доходи'!X891*Законод!$F$11+'01_Доходи'!Y891*Законод!$G$11,IF(B886="Лікар-педіатр",U891*Законод!$C$11+'01_Доходи'!V891*Законод!$D$11,IF(B886="Лікар-терапевт",'01_Доходи'!W891*Законод!$E$11+'01_Доходи'!X891*Законод!$F$11+'01_Доходи'!Y891*Законод!$G$11,0)))</f>
        <v>0</v>
      </c>
      <c r="AQ891" s="210">
        <f ca="1">IF(B886="Лікар загальної практики - сімейний лікар",AB891*Законод!$C$11+'01_Доходи'!AC891*Законод!$D$11+'01_Доходи'!AD891*Законод!$E$11+'01_Доходи'!AE891*Законод!$F$11+'01_Доходи'!AF891*Законод!$G$11,IF(B886="Лікар-педіатр",AB891*Законод!$C$11+'01_Доходи'!AC891*Законод!$D$11,IF(B886="Лікар-терапевт",'01_Доходи'!AD891*Законод!$E$11+'01_Доходи'!AE891*Законод!$F$11+'01_Доходи'!AF891*Законод!$G$11,0)))</f>
        <v>0</v>
      </c>
      <c r="AR891" s="211">
        <f t="shared" ref="AR891:AR897" si="108">SUM(AN891:AQ891)</f>
        <v>0</v>
      </c>
    </row>
    <row r="892" spans="1:44" s="50" customFormat="1" ht="31.9" hidden="1" customHeight="1">
      <c r="A892" s="197"/>
      <c r="B892" s="951"/>
      <c r="C892" s="954"/>
      <c r="D892" s="957"/>
      <c r="E892" s="939"/>
      <c r="F892" s="238" t="str">
        <f ca="1">IF(B886="Лікар-педіатр",Законод!$E$17,IF(B886="Лікар загальної практики - сімейний лікар",Законод!$E$21,IF(B886="Лікар-терапевт",Законод!$E$25,"х")))</f>
        <v>х</v>
      </c>
      <c r="G892" s="935" t="s">
        <v>423</v>
      </c>
      <c r="H892" s="936"/>
      <c r="I892" s="936"/>
      <c r="J892" s="936"/>
      <c r="K892" s="937"/>
      <c r="L892" s="196">
        <f ca="1">IF($B$886="Лікар загальної практики - сімейний лікар",IF(L890&lt;Законод!$C$22,0,(IF(AND(L890&gt;=Законод!$E$22,L890&lt;=Законод!$E$23),L890-Законод!$C$22,IF('01_Доходи'!L890&gt;=Законод!$F$22,Законод!$E$24,0)))),IF($B$886="Лікар-педіатр",IF(L890&lt;Законод!$C$18,0,(IF(AND(L890&gt;=Законод!$E$18,L890&lt;=Законод!$E$19),L890-Законод!$C$18,IF('01_Доходи'!L890&gt;=Законод!$F$18,Законод!$E$20,0)))),IF($B$886="Лікар-терапевт",IF(L890&lt;Законод!$C$26,0,(IF(AND(L890&gt;=Законод!$E$26,L890&lt;=Законод!$E$27),L890-Законод!$C$26,IF('01_Доходи'!L890&gt;=Законод!$F$26,Законод!$E$28,0)))),0)))</f>
        <v>0</v>
      </c>
      <c r="M892" s="942"/>
      <c r="N892" s="935" t="s">
        <v>423</v>
      </c>
      <c r="O892" s="936"/>
      <c r="P892" s="936"/>
      <c r="Q892" s="936"/>
      <c r="R892" s="937"/>
      <c r="S892" s="196">
        <f ca="1">IF($B$886="Лікар загальної практики - сімейний лікар",IF(S890&lt;Законод!$C$22,0,(IF(AND(S890&gt;=Законод!$E$22,S890&lt;=Законод!$E$23),S890-Законод!$C$22,IF('01_Доходи'!S890&gt;=Законод!$F$22,Законод!$E$24,0)))),IF($B$886="Лікар-педіатр",IF(S890&lt;Законод!$C$18,0,(IF(AND(S890&gt;=Законод!$E$18,S890&lt;=Законод!$E$19),S890-Законод!$C$18,IF('01_Доходи'!S890&gt;=Законод!$F$18,Законод!$E$20,0)))),IF($B$886="Лікар-терапевт",IF(S890&lt;Законод!$C$26,0,(IF(AND(S890&gt;=Законод!$E$26,S890&lt;=Законод!$E$27),S890-Законод!$C$26,IF('01_Доходи'!S890&gt;=Законод!$F$26,Законод!$E$28,0)))),0)))</f>
        <v>0</v>
      </c>
      <c r="T892" s="942"/>
      <c r="U892" s="935" t="s">
        <v>423</v>
      </c>
      <c r="V892" s="936"/>
      <c r="W892" s="936"/>
      <c r="X892" s="936"/>
      <c r="Y892" s="937"/>
      <c r="Z892" s="196">
        <f ca="1">IF($B$886="Лікар загальної практики - сімейний лікар",IF(Z890&lt;Законод!$C$22,0,(IF(AND(Z890&gt;=Законод!$E$22,Z890&lt;=Законод!$E$23),Z890-Законод!$C$22,IF('01_Доходи'!Z890&gt;=Законод!$F$22,Законод!$E$24,0)))),IF($B$886="Лікар-педіатр",IF(Z890&lt;Законод!$C$18,0,(IF(AND(Z890&gt;=Законод!$E$18,Z890&lt;=Законод!$E$19),Z890-Законод!$C$18,IF('01_Доходи'!Z890&gt;=Законод!$F$18,Законод!$E$20,0)))),IF($B$886="Лікар-терапевт",IF(Z890&lt;Законод!$C$26,0,(IF(AND(Z890&gt;=Законод!$E$26,Z890&lt;=Законод!$E$27),Z890-Законод!$C$26,IF('01_Доходи'!Z890&gt;=Законод!$F$26,Законод!$E$28,0)))),0)))</f>
        <v>0</v>
      </c>
      <c r="AA892" s="942"/>
      <c r="AB892" s="935" t="s">
        <v>423</v>
      </c>
      <c r="AC892" s="936"/>
      <c r="AD892" s="936"/>
      <c r="AE892" s="936"/>
      <c r="AF892" s="937"/>
      <c r="AG892" s="196">
        <f ca="1">IF($B$886="Лікар загальної практики - сімейний лікар",IF(AG890&lt;Законод!$C$22,0,(IF(AND(AG890&gt;=Законод!$E$22,AG890&lt;=Законод!$E$23),AG890-Законод!$C$22,IF('01_Доходи'!AG890&gt;=Законод!$F$22,Законод!$E$24,0)))),IF($B$886="Лікар-педіатр",IF(AG890&lt;Законод!$C$18,0,(IF(AND(AG890&gt;=Законод!$E$18,AG890&lt;=Законод!$E$19),AG890-Законод!$C$18,IF('01_Доходи'!AG890&gt;=Законод!$F$18,Законод!$E$20,0)))),IF($B$886="Лікар-терапевт",IF(AG890&lt;Законод!$C$26,0,(IF(AND(AG890&gt;=Законод!$E$26,AG890&lt;=Законод!$E$27),AG890-Законод!$C$26,IF('01_Доходи'!AG890&gt;=Законод!$F$26,Законод!$E$28,0)))),0)))</f>
        <v>0</v>
      </c>
      <c r="AH892" s="942"/>
      <c r="AI892" s="201"/>
      <c r="AJ892" s="945"/>
      <c r="AK892" s="960"/>
      <c r="AL892" s="960"/>
      <c r="AM892" s="926" t="s">
        <v>452</v>
      </c>
      <c r="AN892" s="210">
        <f ca="1">IF(B886="Лікар загальної практики - сімейний лікар",L892*Законод!$C$9/4*Законод!$E$16,IF(B886="Лікар-педіатр",L892*Законод!$C$9/4*Законод!$E$16,IF(B886="Лікар-терапевт",L892*Законод!$C$9/4*Законод!$E$16,0)))</f>
        <v>0</v>
      </c>
      <c r="AO892" s="210">
        <f ca="1">IF(B886="Лікар загальної практики - сімейний лікар",S892*Законод!$C$9/4*Законод!$E$16,IF(B886="Лікар-педіатр",S892*Законод!$C$9/4*Законод!$E$16,IF(B886="Лікар-терапевт",S892*Законод!$C$9/4*Законод!$E$16,0)))</f>
        <v>0</v>
      </c>
      <c r="AP892" s="210">
        <f ca="1">IF(B886="Лікар загальної практики - сімейний лікар",Z892*Законод!$C$9/4*Законод!$E$16,IF(B886="Лікар-педіатр",Z892*Законод!$C$9/4*Законод!$E$16,IF(B886="Лікар-терапевт",Z892*Законод!$C$9/4*Законод!$E$16,0)))</f>
        <v>0</v>
      </c>
      <c r="AQ892" s="210">
        <f ca="1">IF(B886="Лікар загальної практики - сімейний лікар",AG892*Законод!$C$9/4*Законод!$E$16,IF(B886="Лікар-педіатр",AG892*Законод!$C$9/4*Законод!$E$16,IF(B886="Лікар-терапевт",AG892*Законод!$C$9/4*Законод!$E$16,0)))</f>
        <v>0</v>
      </c>
      <c r="AR892" s="211">
        <f t="shared" si="108"/>
        <v>0</v>
      </c>
    </row>
    <row r="893" spans="1:44" s="50" customFormat="1" ht="31.9" hidden="1" customHeight="1">
      <c r="A893" s="197"/>
      <c r="B893" s="951"/>
      <c r="C893" s="954"/>
      <c r="D893" s="957"/>
      <c r="E893" s="939"/>
      <c r="F893" s="238" t="str">
        <f ca="1">IF(B886="Лікар-педіатр",Законод!$F$17,IF(B886="Лікар загальної практики - сімейний лікар",Законод!$F$21,IF(B886="Лікар-терапевт",Законод!$F$25,"х")))</f>
        <v>х</v>
      </c>
      <c r="G893" s="935" t="s">
        <v>423</v>
      </c>
      <c r="H893" s="936"/>
      <c r="I893" s="936"/>
      <c r="J893" s="936"/>
      <c r="K893" s="937"/>
      <c r="L893" s="196">
        <f ca="1">IF($B$886="Лікар загальної практики - сімейний лікар",IF(L890&lt;Законод!$C$22,0,(IF(AND(L890&gt;=Законод!$F$22,L890&lt;=Законод!$F$23),L890-Законод!$E$23,IF('01_Доходи'!L890&gt;=Законод!$G$22,Законод!$F$24,0)))),IF($B$886="Лікар-педіатр",IF(L890&lt;Законод!$C$18,0,(IF(AND(L890&gt;=Законод!$F$18,L890&lt;=Законод!$F$19),L890-Законод!$E$19,IF('01_Доходи'!L890&gt;=Законод!$G$18,Законод!$F$20,0)))),IF($B$886="Лікар-терапевт",IF(L890&lt;Законод!$C$26,0,(IF(AND(L890&gt;=Законод!$F$26,L890&lt;=Законод!$F$27),L890-Законод!$E$27,IF('01_Доходи'!L890&gt;=Законод!$G$26,Законод!$F$28,0)))),0)))</f>
        <v>0</v>
      </c>
      <c r="M893" s="942"/>
      <c r="N893" s="935" t="s">
        <v>423</v>
      </c>
      <c r="O893" s="936"/>
      <c r="P893" s="936"/>
      <c r="Q893" s="936"/>
      <c r="R893" s="937"/>
      <c r="S893" s="196">
        <f ca="1">IF($B$886="Лікар загальної практики - сімейний лікар",IF(S890&lt;Законод!$C$22,0,(IF(AND(S890&gt;=Законод!$F$22,S890&lt;=Законод!$F$23),S890-Законод!$E$23,IF('01_Доходи'!S890&gt;=Законод!$G$22,Законод!$F$24,0)))),IF($B$886="Лікар-педіатр",IF(S890&lt;Законод!$C$18,0,(IF(AND(S890&gt;=Законод!$F$18,S890&lt;=Законод!$F$19),S890-Законод!$E$19,IF('01_Доходи'!S890&gt;=Законод!$G$18,Законод!$F$20,0)))),IF($B$886="Лікар-терапевт",IF(S890&lt;Законод!$C$26,0,(IF(AND(S890&gt;=Законод!$F$26,S890&lt;=Законод!$F$27),S890-Законод!$E$27,IF('01_Доходи'!S890&gt;=Законод!$G$26,Законод!$F$28,0)))),0)))</f>
        <v>0</v>
      </c>
      <c r="T893" s="942"/>
      <c r="U893" s="935" t="s">
        <v>423</v>
      </c>
      <c r="V893" s="936"/>
      <c r="W893" s="936"/>
      <c r="X893" s="936"/>
      <c r="Y893" s="937"/>
      <c r="Z893" s="196">
        <f ca="1">IF($B$886="Лікар загальної практики - сімейний лікар",IF(Z890&lt;Законод!$C$22,0,(IF(AND(Z890&gt;=Законод!$F$22,Z890&lt;=Законод!$F$23),Z890-Законод!$E$23,IF('01_Доходи'!Z890&gt;=Законод!$G$22,Законод!$F$24,0)))),IF($B$886="Лікар-педіатр",IF(Z890&lt;Законод!$C$18,0,(IF(AND(Z890&gt;=Законод!$F$18,Z890&lt;=Законод!$F$19),Z890-Законод!$E$19,IF('01_Доходи'!Z890&gt;=Законод!$G$18,Законод!$F$20,0)))),IF($B$886="Лікар-терапевт",IF(Z890&lt;Законод!$C$26,0,(IF(AND(Z890&gt;=Законод!$F$26,Z890&lt;=Законод!$F$27),Z890-Законод!$E$27,IF('01_Доходи'!Z890&gt;=Законод!$G$26,Законод!$F$28,0)))),0)))</f>
        <v>0</v>
      </c>
      <c r="AA893" s="942"/>
      <c r="AB893" s="935" t="s">
        <v>423</v>
      </c>
      <c r="AC893" s="936"/>
      <c r="AD893" s="936"/>
      <c r="AE893" s="936"/>
      <c r="AF893" s="937"/>
      <c r="AG893" s="196">
        <f ca="1">IF($B$886="Лікар загальної практики - сімейний лікар",IF(AG890&lt;Законод!$C$22,0,(IF(AND(AG890&gt;=Законод!$F$22,AG890&lt;=Законод!$F$23),AG890-Законод!$E$23,IF('01_Доходи'!AG890&gt;=Законод!$G$22,Законод!$F$24,0)))),IF($B$886="Лікар-педіатр",IF(AG890&lt;Законод!$C$18,0,(IF(AND(AG890&gt;=Законод!$F$18,AG890&lt;=Законод!$F$19),AG890-Законод!$E$19,IF('01_Доходи'!AG890&gt;=Законод!$G$18,Законод!$F$20,0)))),IF($B$886="Лікар-терапевт",IF(AG890&lt;Законод!$C$26,0,(IF(AND(AG890&gt;=Законод!$F$26,AG890&lt;=Законод!$F$27),AG890-Законод!$E$27,IF('01_Доходи'!AG890&gt;=Законод!$G$26,Законод!$F$28,0)))),0)))</f>
        <v>0</v>
      </c>
      <c r="AH893" s="942"/>
      <c r="AI893" s="201"/>
      <c r="AJ893" s="945"/>
      <c r="AK893" s="960"/>
      <c r="AL893" s="960"/>
      <c r="AM893" s="927"/>
      <c r="AN893" s="210">
        <f ca="1">IF(B886="Лікар загальної практики - сімейний лікар",L893*Законод!$C$9/4*Законод!$F$16,IF(B886="Лікар-педіатр",L893*Законод!$C$9/4*Законод!$F$16,IF(B886="Лікар-терапевт",L893*Законод!$C$9/4*Законод!$F$16,0)))</f>
        <v>0</v>
      </c>
      <c r="AO893" s="210">
        <f ca="1">IF(B886="Лікар загальної практики - сімейний лікар",S893*Законод!$C$9/4*Законод!$F$16,IF(B886="Лікар-педіатр",S893*Законод!$C$9/4*Законод!$F$16,IF(B886="Лікар-терапевт",S893*Законод!$C$9/4*Законод!$F$16,0)))</f>
        <v>0</v>
      </c>
      <c r="AP893" s="210">
        <f ca="1">IF(B886="Лікар загальної практики - сімейний лікар",Z893*Законод!$C$9/4*Законод!$F$16,IF(B886="Лікар-педіатр",Z893*Законод!$C$9/4*Законод!$F$16,IF(B886="Лікар-терапевт",Z893*Законод!$C$9/4*Законод!$F$16,0)))</f>
        <v>0</v>
      </c>
      <c r="AQ893" s="210">
        <f ca="1">IF(B886="Лікар загальної практики - сімейний лікар",AG893*Законод!$C$9/4*Законод!$F$16,IF(B886="Лікар-педіатр",AG893*Законод!$C$9/4*Законод!$F$16,IF(B886="Лікар-терапевт",AG893*Законод!$C$9/4*Законод!$F$16,0)))</f>
        <v>0</v>
      </c>
      <c r="AR893" s="211">
        <f t="shared" si="108"/>
        <v>0</v>
      </c>
    </row>
    <row r="894" spans="1:44" s="50" customFormat="1" ht="31.9" hidden="1" customHeight="1">
      <c r="A894" s="197"/>
      <c r="B894" s="951"/>
      <c r="C894" s="954"/>
      <c r="D894" s="957"/>
      <c r="E894" s="939"/>
      <c r="F894" s="238" t="str">
        <f ca="1">IF(B886="Лікар-педіатр",Законод!$G$17,IF(B886="Лікар загальної практики - сімейний лікар",Законод!$G$21,IF(B886="Лікар-терапевт",Законод!$G$25,"х")))</f>
        <v>х</v>
      </c>
      <c r="G894" s="935" t="s">
        <v>423</v>
      </c>
      <c r="H894" s="936"/>
      <c r="I894" s="936"/>
      <c r="J894" s="936"/>
      <c r="K894" s="937"/>
      <c r="L894" s="196">
        <f ca="1">IF($B$886="Лікар загальної практики - сімейний лікар",IF(L890&lt;Законод!$C$22,0,(IF(AND(L890&gt;=Законод!$G$22,L890&lt;=Законод!$G$23),L890-Законод!$F$23,IF('01_Доходи'!L890&gt;=Законод!$H$22,Законод!$G$24,0)))),IF($B$886="Лікар-педіатр",IF(L890&lt;Законод!$C$18,0,(IF(AND(L890&gt;=Законод!$G$18,L890&lt;=Законод!$G$19),L890-Законод!$F$19,IF('01_Доходи'!L890&gt;=Законод!$H$18,Законод!$G$20,0)))),IF($B$886="Лікар-терапевт",IF(L890&lt;Законод!$C$26,0,(IF(AND(L890&gt;=Законод!$G$26,L890&lt;=Законод!$G$27),L890-Законод!$F$27,IF('01_Доходи'!L890&gt;=Законод!$H$26,Законод!$G$28,0)))),0)))</f>
        <v>0</v>
      </c>
      <c r="M894" s="942"/>
      <c r="N894" s="935" t="s">
        <v>423</v>
      </c>
      <c r="O894" s="936"/>
      <c r="P894" s="936"/>
      <c r="Q894" s="936"/>
      <c r="R894" s="937"/>
      <c r="S894" s="196">
        <f ca="1">IF($B$886="Лікар загальної практики - сімейний лікар",IF(S890&lt;Законод!$C$22,0,(IF(AND(S890&gt;=Законод!$G$22,S890&lt;=Законод!$G$23),S890-Законод!$F$23,IF('01_Доходи'!S890&gt;=Законод!$H$22,Законод!$G$24,0)))),IF($B$886="Лікар-педіатр",IF(S890&lt;Законод!$C$18,0,(IF(AND(S890&gt;=Законод!$G$18,S890&lt;=Законод!$G$19),S890-Законод!$F$19,IF('01_Доходи'!S890&gt;=Законод!$H$18,Законод!$G$20,0)))),IF($B$886="Лікар-терапевт",IF(S890&lt;Законод!$C$26,0,(IF(AND(S890&gt;=Законод!$G$26,S890&lt;=Законод!$G$27),S890-Законод!$F$27,IF('01_Доходи'!S890&gt;=Законод!$H$26,Законод!$G$28,0)))),0)))</f>
        <v>0</v>
      </c>
      <c r="T894" s="942"/>
      <c r="U894" s="935" t="s">
        <v>423</v>
      </c>
      <c r="V894" s="936"/>
      <c r="W894" s="936"/>
      <c r="X894" s="936"/>
      <c r="Y894" s="937"/>
      <c r="Z894" s="196">
        <f ca="1">IF($B$886="Лікар загальної практики - сімейний лікар",IF(Z890&lt;Законод!$C$22,0,(IF(AND(Z890&gt;=Законод!$G$22,Z890&lt;=Законод!$G$23),Z890-Законод!$F$23,IF('01_Доходи'!Z890&gt;=Законод!$H$22,Законод!$G$24,0)))),IF($B$886="Лікар-педіатр",IF(Z890&lt;Законод!$C$18,0,(IF(AND(Z890&gt;=Законод!$G$18,Z890&lt;=Законод!$G$19),Z890-Законод!$F$19,IF('01_Доходи'!Z890&gt;=Законод!$H$18,Законод!$G$20,0)))),IF($B$886="Лікар-терапевт",IF(Z890&lt;Законод!$C$26,0,(IF(AND(Z890&gt;=Законод!$G$26,Z890&lt;=Законод!$G$27),Z890-Законод!$F$27,IF('01_Доходи'!Z890&gt;=Законод!$H$26,Законод!$G$28,0)))),0)))</f>
        <v>0</v>
      </c>
      <c r="AA894" s="942"/>
      <c r="AB894" s="935" t="s">
        <v>423</v>
      </c>
      <c r="AC894" s="936"/>
      <c r="AD894" s="936"/>
      <c r="AE894" s="936"/>
      <c r="AF894" s="937"/>
      <c r="AG894" s="196">
        <f ca="1">IF($B$886="Лікар загальної практики - сімейний лікар",IF(AG890&lt;Законод!$C$22,0,(IF(AND(AG890&gt;=Законод!$G$22,AG890&lt;=Законод!$G$23),AG890-Законод!$F$23,IF('01_Доходи'!AG890&gt;=Законод!$H$22,Законод!$G$24,0)))),IF($B$886="Лікар-педіатр",IF(AG890&lt;Законод!$C$18,0,(IF(AND(AG890&gt;=Законод!$G$18,AG890&lt;=Законод!$G$19),AG890-Законод!$F$19,IF('01_Доходи'!AG890&gt;=Законод!$H$18,Законод!$G$20,0)))),IF($B$886="Лікар-терапевт",IF(AG890&lt;Законод!$C$26,0,(IF(AND(AG890&gt;=Законод!$G$26,AG890&lt;=Законод!$G$27),AG890-Законод!$F$27,IF('01_Доходи'!AG890&gt;=Законод!$H$26,Законод!$G$28,0)))),0)))</f>
        <v>0</v>
      </c>
      <c r="AH894" s="942"/>
      <c r="AI894" s="201"/>
      <c r="AJ894" s="945"/>
      <c r="AK894" s="960"/>
      <c r="AL894" s="960"/>
      <c r="AM894" s="927"/>
      <c r="AN894" s="210">
        <f ca="1">IF(B886="Лікар загальної практики - сімейний лікар",L894*Законод!$C$9/4*Законод!$G$16,IF(B886="Лікар-педіатр",L894*Законод!$C$9/4*Законод!$G$16,IF(B886="Лікар-терапевт",L894*Законод!$C$9/4*Законод!$G$16,0)))</f>
        <v>0</v>
      </c>
      <c r="AO894" s="210">
        <f ca="1">IF(B886="Лікар загальної практики - сімейний лікар",S894*Законод!$C$9/4*Законод!$G$16,IF(B886="Лікар-педіатр",S894*Законод!$C$9/4*Законод!$G$16,IF(B886="Лікар-терапевт",S894*Законод!$C$9/4*Законод!$G$16,0)))</f>
        <v>0</v>
      </c>
      <c r="AP894" s="210">
        <f ca="1">IF(B886="Лікар загальної практики - сімейний лікар",Z894*Законод!$C$9/4*Законод!$G$16,IF(B886="Лікар-педіатр",Z894*Законод!$C$9/4*Законод!$G$16,IF(B886="Лікар-терапевт",Z894*Законод!$C$9/4*Законод!$G$16,0)))</f>
        <v>0</v>
      </c>
      <c r="AQ894" s="210">
        <f ca="1">IF(B886="Лікар загальної практики - сімейний лікар",AG894*Законод!$C$9/4*Законод!$G$16,IF(B886="Лікар-педіатр",AG894*Законод!$C$9/4*Законод!$G$16,IF(B886="Лікар-терапевт",AG894*Законод!$C$9/4*Законод!$G$16,0)))</f>
        <v>0</v>
      </c>
      <c r="AR894" s="211">
        <f t="shared" si="108"/>
        <v>0</v>
      </c>
    </row>
    <row r="895" spans="1:44" s="50" customFormat="1" ht="31.9" hidden="1" customHeight="1">
      <c r="A895" s="197"/>
      <c r="B895" s="951"/>
      <c r="C895" s="954"/>
      <c r="D895" s="957"/>
      <c r="E895" s="939"/>
      <c r="F895" s="238" t="str">
        <f ca="1">IF(B886="Лікар-педіатр",Законод!$H$17,IF(B886="Лікар загальної практики - сімейний лікар",Законод!$H$21,IF(B886="Лікар-терапевт",Законод!$H$25,"х")))</f>
        <v>х</v>
      </c>
      <c r="G895" s="935" t="s">
        <v>423</v>
      </c>
      <c r="H895" s="936"/>
      <c r="I895" s="936"/>
      <c r="J895" s="936"/>
      <c r="K895" s="937"/>
      <c r="L895" s="196">
        <f ca="1">IF($B$886="Лікар загальної практики - сімейний лікар",IF(L890&lt;Законод!$C$22,0,(IF(AND(L890&gt;=Законод!$H$22,L890&lt;=Законод!$H$23),L890-Законод!$G$23,IF('01_Доходи'!L890&gt;=Законод!$I$22,Законод!$H$24,0)))),IF($B$886="Лікар-педіатр",IF(L890&lt;Законод!$C$18,0,(IF(AND(L890&gt;=Законод!$H$18,L890&lt;=Законод!$H$19),L890-Законод!$G$19,IF('01_Доходи'!L890&gt;=Законод!$I$18,Законод!$H$20,0)))),IF($B$886="Лікар-терапевт",IF(L890&lt;Законод!$C$26,0,(IF(AND(L890&gt;=Законод!$H$26,L890&lt;=Законод!$H$27),L890-Законод!$G$27,IF(L890&gt;=Законод!$I$26,Законод!$H$28,0)))),0)))</f>
        <v>0</v>
      </c>
      <c r="M895" s="942"/>
      <c r="N895" s="935" t="s">
        <v>423</v>
      </c>
      <c r="O895" s="936"/>
      <c r="P895" s="936"/>
      <c r="Q895" s="936"/>
      <c r="R895" s="937"/>
      <c r="S895" s="196">
        <f ca="1">IF($B$886="Лікар загальної практики - сімейний лікар",IF(S890&lt;Законод!$C$22,0,(IF(AND(S890&gt;=Законод!$H$22,S890&lt;=Законод!$H$23),S890-Законод!$G$23,IF('01_Доходи'!S890&gt;=Законод!$I$22,Законод!$H$24,0)))),IF($B$886="Лікар-педіатр",IF(S890&lt;Законод!$C$18,0,(IF(AND(S890&gt;=Законод!$H$18,S890&lt;=Законод!$H$19),S890-Законод!$G$19,IF('01_Доходи'!S890&gt;=Законод!$I$18,Законод!$H$20,0)))),IF($B$886="Лікар-терапевт",IF(S890&lt;Законод!$C$26,0,(IF(AND(S890&gt;=Законод!$H$26,S890&lt;=Законод!$H$27),S890-Законод!$G$27,IF(S890&gt;=Законод!$I$26,Законод!$H$28,0)))),0)))</f>
        <v>0</v>
      </c>
      <c r="T895" s="942"/>
      <c r="U895" s="935" t="s">
        <v>423</v>
      </c>
      <c r="V895" s="936"/>
      <c r="W895" s="936"/>
      <c r="X895" s="936"/>
      <c r="Y895" s="937"/>
      <c r="Z895" s="196">
        <f ca="1">IF($B$886="Лікар загальної практики - сімейний лікар",IF(Z890&lt;Законод!$C$22,0,(IF(AND(Z890&gt;=Законод!$H$22,Z890&lt;=Законод!$H$23),Z890-Законод!$G$23,IF('01_Доходи'!Z890&gt;=Законод!$I$22,Законод!$H$24,0)))),IF($B$886="Лікар-педіатр",IF(Z890&lt;Законод!$C$18,0,(IF(AND(Z890&gt;=Законод!$H$18,Z890&lt;=Законод!$H$19),Z890-Законод!$G$19,IF('01_Доходи'!Z890&gt;=Законод!$I$18,Законод!$H$20,0)))),IF($B$886="Лікар-терапевт",IF(Z890&lt;Законод!$C$26,0,(IF(AND(Z890&gt;=Законод!$H$26,Z890&lt;=Законод!$H$27),Z890-Законод!$G$27,IF(Z890&gt;=Законод!$I$26,Законод!$H$28,0)))),0)))</f>
        <v>0</v>
      </c>
      <c r="AA895" s="942"/>
      <c r="AB895" s="935" t="s">
        <v>423</v>
      </c>
      <c r="AC895" s="936"/>
      <c r="AD895" s="936"/>
      <c r="AE895" s="936"/>
      <c r="AF895" s="937"/>
      <c r="AG895" s="196">
        <f ca="1">IF($B$886="Лікар загальної практики - сімейний лікар",IF(AG890&lt;Законод!$C$22,0,(IF(AND(AG890&gt;=Законод!$H$22,AG890&lt;=Законод!$H$23),AG890-Законод!$G$23,IF('01_Доходи'!AG890&gt;=Законод!$I$22,Законод!$H$24,0)))),IF($B$886="Лікар-педіатр",IF(AG890&lt;Законод!$C$18,0,(IF(AND(AG890&gt;=Законод!$H$18,AG890&lt;=Законод!$H$19),AG890-Законод!$G$19,IF('01_Доходи'!AG890&gt;=Законод!$I$18,Законод!$H$20,0)))),IF($B$886="Лікар-терапевт",IF(AG890&lt;Законод!$C$26,0,(IF(AND(AG890&gt;=Законод!$H$26,AG890&lt;=Законод!$H$27),AG890-Законод!$G$27,IF(AG890&gt;=Законод!$I$26,Законод!$H$28,0)))),0)))</f>
        <v>0</v>
      </c>
      <c r="AH895" s="942"/>
      <c r="AI895" s="201"/>
      <c r="AJ895" s="945"/>
      <c r="AK895" s="960"/>
      <c r="AL895" s="960"/>
      <c r="AM895" s="927"/>
      <c r="AN895" s="210">
        <f ca="1">IF(B886="Лікар загальної практики - сімейний лікар",L895*Законод!$C$9/4*Законод!$H$16,IF(B886="Лікар-педіатр",L895*Законод!$C$9/4*Законод!$H$16,IF(B886="Лікар-терапевт",L895*Законод!$C$9/4*Законод!$H$16,0)))</f>
        <v>0</v>
      </c>
      <c r="AO895" s="210">
        <f ca="1">IF(B886="Лікар загальної практики - сімейний лікар",S895*Законод!$C$9/4*Законод!$H$16,IF(B886="Лікар-педіатр",S895*Законод!$C$9/4*Законод!$H$16,IF(B886="Лікар-терапевт",S895*Законод!$C$9/4*Законод!$H$16,0)))</f>
        <v>0</v>
      </c>
      <c r="AP895" s="210">
        <f ca="1">IF(B886="Лікар загальної практики - сімейний лікар",Z895*Законод!$C$9/4*Законод!$H$16,IF(B886="Лікар-педіатр",Z895*Законод!$C$9/4*Законод!$H$16,IF(B886="Лікар-терапевт",Z895*Законод!$C$9/4*Законод!$H$16,0)))</f>
        <v>0</v>
      </c>
      <c r="AQ895" s="210">
        <f ca="1">IF(B886="Лікар загальної практики - сімейний лікар",AG895*Законод!$C$9/4*Законод!$H$16,IF(B886="Лікар-педіатр",AG895*Законод!$C$9/4*Законод!$H$16,IF(B886="Лікар-терапевт",AG895*Законод!$C$9/4*Законод!$H$16,0)))</f>
        <v>0</v>
      </c>
      <c r="AR895" s="211">
        <f t="shared" si="108"/>
        <v>0</v>
      </c>
    </row>
    <row r="896" spans="1:44" s="50" customFormat="1" ht="31.9" hidden="1" customHeight="1">
      <c r="A896" s="197"/>
      <c r="B896" s="951"/>
      <c r="C896" s="954"/>
      <c r="D896" s="957"/>
      <c r="E896" s="939"/>
      <c r="F896" s="238" t="str">
        <f ca="1">IF(B886="Лікар-педіатр",Законод!$I$17,IF(B886="Лікар загальної практики - сімейний лікар",Законод!$I$21,IF(B886="Лікар-терапевт",Законод!$I$25,"х")))</f>
        <v>х</v>
      </c>
      <c r="G896" s="935" t="s">
        <v>423</v>
      </c>
      <c r="H896" s="936"/>
      <c r="I896" s="936"/>
      <c r="J896" s="936"/>
      <c r="K896" s="937"/>
      <c r="L896" s="196">
        <f ca="1">IF($B$886="Лікар загальної практики - сімейний лікар",IF(L890&lt;Законод!$C$22,0,(IF(AND(L890&gt;=Законод!$I$22,L890&lt;=Законод!$I$23),L890-Законод!$H$23,IF('01_Доходи'!L890&gt;=Законод!$I$22,Законод!$I$24,0)))),IF($B$886="Лікар-педіатр",IF(L890&lt;Законод!$C$18,0,(IF(AND(L890&gt;=Законод!$I$18,L890&lt;=Законод!$I$19),L890-Законод!$H$19,IF('01_Доходи'!L890&gt;=Законод!$I$18,Законод!$H$20,0)))),IF($B$886="Лікар-терапевт",IF(L890&lt;Законод!$C$26,0,(IF(AND(L890&gt;=Законод!$I$26,L890&lt;=Законод!$I$27),L890-Законод!$H$27,IF('01_Доходи'!L890&gt;=Законод!$I$26,Законод!$H$28,0)))),0)))</f>
        <v>0</v>
      </c>
      <c r="M896" s="942"/>
      <c r="N896" s="935" t="s">
        <v>423</v>
      </c>
      <c r="O896" s="936"/>
      <c r="P896" s="936"/>
      <c r="Q896" s="936"/>
      <c r="R896" s="937"/>
      <c r="S896" s="196">
        <f ca="1">IF($B$886="Лікар загальної практики - сімейний лікар",IF(S890&lt;Законод!$C$22,0,(IF(AND(S890&gt;=Законод!$I$22,S890&lt;=Законод!$I$23),S890-Законод!$H$23,IF('01_Доходи'!S890&gt;=Законод!$I$22,Законод!$I$24,0)))),IF($B$886="Лікар-педіатр",IF(S890&lt;Законод!$C$18,0,(IF(AND(S890&gt;=Законод!$I$18,S890&lt;=Законод!$I$19),S890-Законод!$H$19,IF('01_Доходи'!S890&gt;=Законод!$I$18,Законод!$H$20,0)))),IF($B$886="Лікар-терапевт",IF(S890&lt;Законод!$C$26,0,(IF(AND(S890&gt;=Законод!$I$26,S890&lt;=Законод!$I$27),S890-Законод!$H$27,IF('01_Доходи'!S890&gt;=Законод!$I$26,Законод!$H$28,0)))),0)))</f>
        <v>0</v>
      </c>
      <c r="T896" s="942"/>
      <c r="U896" s="935" t="s">
        <v>423</v>
      </c>
      <c r="V896" s="936"/>
      <c r="W896" s="936"/>
      <c r="X896" s="936"/>
      <c r="Y896" s="937"/>
      <c r="Z896" s="196">
        <f ca="1">IF($B$886="Лікар загальної практики - сімейний лікар",IF(Z890&lt;Законод!$C$22,0,(IF(AND(Z890&gt;=Законод!$I$22,Z890&lt;=Законод!$I$23),Z890-Законод!$H$23,IF('01_Доходи'!Z890&gt;=Законод!$I$22,Законод!$I$24,0)))),IF($B$886="Лікар-педіатр",IF(Z890&lt;Законод!$C$18,0,(IF(AND(Z890&gt;=Законод!$I$18,Z890&lt;=Законод!$I$19),Z890-Законод!$H$19,IF('01_Доходи'!Z890&gt;=Законод!$I$18,Законод!$H$20,0)))),IF($B$886="Лікар-терапевт",IF(Z890&lt;Законод!$C$26,0,(IF(AND(Z890&gt;=Законод!$I$26,Z890&lt;=Законод!$I$27),Z890-Законод!$H$27,IF('01_Доходи'!Z890&gt;=Законод!$I$26,Законод!$H$28,0)))),0)))</f>
        <v>0</v>
      </c>
      <c r="AA896" s="942"/>
      <c r="AB896" s="935" t="s">
        <v>423</v>
      </c>
      <c r="AC896" s="936"/>
      <c r="AD896" s="936"/>
      <c r="AE896" s="936"/>
      <c r="AF896" s="937"/>
      <c r="AG896" s="196">
        <f ca="1">IF($B$886="Лікар загальної практики - сімейний лікар",IF(AG890&lt;Законод!$C$22,0,(IF(AND(AG890&gt;=Законод!$I$22,AG890&lt;=Законод!$I$23),AG890-Законод!$H$23,IF('01_Доходи'!AG890&gt;=Законод!$I$22,Законод!$I$24,0)))),IF($B$886="Лікар-педіатр",IF(AG890&lt;Законод!$C$18,0,(IF(AND(AG890&gt;=Законод!$I$18,AG890&lt;=Законод!$I$19),AG890-Законод!$H$19,IF('01_Доходи'!AG890&gt;=Законод!$I$18,Законод!$H$20,0)))),IF($B$886="Лікар-терапевт",IF(AG890&lt;Законод!$C$26,0,(IF(AND(AG890&gt;=Законод!$I$26,AG890&lt;=Законод!$I$27),AG890-Законод!$H$27,IF('01_Доходи'!AG890&gt;=Законод!$I$26,Законод!$H$28,0)))),0)))</f>
        <v>0</v>
      </c>
      <c r="AH896" s="942"/>
      <c r="AI896" s="201"/>
      <c r="AJ896" s="945"/>
      <c r="AK896" s="960"/>
      <c r="AL896" s="960"/>
      <c r="AM896" s="927"/>
      <c r="AN896" s="210">
        <f ca="1">IF(B886="Лікар загальної практики - сімейний лікар",L896*Законод!$C$9/4*Законод!$I$16,IF(B886="Лікар-педіатр",L896*Законод!$C$9/4*Законод!$I$16,IF(B886="Лікар-терапевт",L896*Законод!$C$9/4*Законод!$I$16,0)))</f>
        <v>0</v>
      </c>
      <c r="AO896" s="210">
        <f ca="1">IF(B886="Лікар загальної практики - сімейний лікар",S896*Законод!$C$9/4*Законод!$I$16,IF(B886="Лікар-педіатр",S896*Законод!$C$9/4*Законод!$I$16,IF(B886="Лікар-терапевт",S896*Законод!$C$9/4*Законод!$I$16,0)))</f>
        <v>0</v>
      </c>
      <c r="AP896" s="210">
        <f ca="1">IF(B886="Лікар загальної практики - сімейний лікар",Z896*Законод!$C$9/4*Законод!$I$16,IF(B886="Лікар-педіатр",Z896*Законод!$C$9/4*Законод!$I$16,IF(B886="Лікар-терапевт",Z896*Законод!$C$9/4*Законод!$I$16,0)))</f>
        <v>0</v>
      </c>
      <c r="AQ896" s="210">
        <f ca="1">IF(B886="Лікар загальної практики - сімейний лікар",AG896*Законод!$C$9/4*Законод!$I$16,IF(B886="Лікар-педіатр",AG896*Законод!$C$9/4*Законод!$I$16,IF(B886="Лікар-терапевт",AG896*Законод!$C$9/4*Законод!$I$16,0)))</f>
        <v>0</v>
      </c>
      <c r="AR896" s="211">
        <f t="shared" si="108"/>
        <v>0</v>
      </c>
    </row>
    <row r="897" spans="1:44" s="218" customFormat="1" ht="31.9" hidden="1" customHeight="1" thickBot="1">
      <c r="A897" s="213"/>
      <c r="B897" s="952"/>
      <c r="C897" s="955"/>
      <c r="D897" s="958"/>
      <c r="E897" s="940"/>
      <c r="F897" s="239" t="str">
        <f ca="1">IF(B886="Лікар-педіатр",Законод!$J$17,IF(B886="Лікар загальної практики - сімейний лікар",Законод!$J$21,IF(B886="Лікар-терапевт",Законод!$J$25,"х")))</f>
        <v>х</v>
      </c>
      <c r="G897" s="932" t="s">
        <v>423</v>
      </c>
      <c r="H897" s="933"/>
      <c r="I897" s="933"/>
      <c r="J897" s="933"/>
      <c r="K897" s="934"/>
      <c r="L897" s="196">
        <f ca="1">IF($B$886="Лікар загальної практики - сімейний лікар",IF(L890&gt;=Законод!$J$22,'01_Доходи'!L890-('01_Доходи'!L891+'01_Доходи'!L892+'01_Доходи'!L893+'01_Доходи'!L894+'01_Доходи'!L895+'01_Доходи'!L896),0),IF($B$886="Лікар-педіатр",IF(L890&gt;=Законод!$J$18,'01_Доходи'!L890-('01_Доходи'!L891+'01_Доходи'!L892+'01_Доходи'!L893+'01_Доходи'!L894+'01_Доходи'!L895+'01_Доходи'!L896),0),IF($B$886="Лікар-терапевт",IF('01_Доходи'!L890&gt;=Законод!$J$26,L890-Законод!$I$27,0),0)))</f>
        <v>0</v>
      </c>
      <c r="M897" s="943"/>
      <c r="N897" s="932" t="s">
        <v>423</v>
      </c>
      <c r="O897" s="933"/>
      <c r="P897" s="933"/>
      <c r="Q897" s="933"/>
      <c r="R897" s="934"/>
      <c r="S897" s="196">
        <f ca="1">IF($B$886="Лікар загальної практики - сімейний лікар",IF(S890&gt;=Законод!$J$22,'01_Доходи'!S890-('01_Доходи'!S891+'01_Доходи'!S892+'01_Доходи'!S893+'01_Доходи'!S894+'01_Доходи'!S895+'01_Доходи'!S896),0),IF($B$886="Лікар-педіатр",IF(S890&gt;=Законод!$J$18,'01_Доходи'!S890-('01_Доходи'!S891+'01_Доходи'!S892+'01_Доходи'!S893+'01_Доходи'!S894+'01_Доходи'!S895+'01_Доходи'!S896),0),IF($B$886="Лікар-терапевт",IF('01_Доходи'!S890&gt;=Законод!$J$26,S890-Законод!$I$27,0),0)))</f>
        <v>0</v>
      </c>
      <c r="T897" s="943"/>
      <c r="U897" s="932" t="s">
        <v>423</v>
      </c>
      <c r="V897" s="933"/>
      <c r="W897" s="933"/>
      <c r="X897" s="933"/>
      <c r="Y897" s="934"/>
      <c r="Z897" s="196">
        <f ca="1">IF($B$886="Лікар загальної практики - сімейний лікар",IF(Z890&gt;=Законод!$J$22,'01_Доходи'!Z890-('01_Доходи'!Z891+'01_Доходи'!Z892+'01_Доходи'!Z893+'01_Доходи'!Z894+'01_Доходи'!Z895+'01_Доходи'!Z896),0),IF($B$886="Лікар-педіатр",IF(Z890&gt;=Законод!$J$18,'01_Доходи'!Z890-('01_Доходи'!Z891+'01_Доходи'!Z892+'01_Доходи'!Z893+'01_Доходи'!Z894+'01_Доходи'!Z895+'01_Доходи'!Z896),0),IF($B$886="Лікар-терапевт",IF('01_Доходи'!Z890&gt;=Законод!$J$26,Z890-Законод!$I$27,0),0)))</f>
        <v>0</v>
      </c>
      <c r="AA897" s="943"/>
      <c r="AB897" s="932" t="s">
        <v>423</v>
      </c>
      <c r="AC897" s="933"/>
      <c r="AD897" s="933"/>
      <c r="AE897" s="933"/>
      <c r="AF897" s="934"/>
      <c r="AG897" s="196">
        <f ca="1">IF($B$886="Лікар загальної практики - сімейний лікар",IF(AG890&gt;=Законод!$J$22,'01_Доходи'!AG890-('01_Доходи'!AG891+'01_Доходи'!AG892+'01_Доходи'!AG893+'01_Доходи'!AG894+'01_Доходи'!AG895+'01_Доходи'!AG896),0),IF($B$886="Лікар-педіатр",IF(AG890&gt;=Законод!$J$18,'01_Доходи'!AG890-('01_Доходи'!AG891+'01_Доходи'!AG892+'01_Доходи'!AG893+'01_Доходи'!AG894+'01_Доходи'!AG895+'01_Доходи'!AG896),0),IF($B$886="Лікар-терапевт",IF('01_Доходи'!AG890&gt;=Законод!$J$26,AG890-Законод!$I$27,0),0)))</f>
        <v>0</v>
      </c>
      <c r="AH897" s="943"/>
      <c r="AI897" s="215"/>
      <c r="AJ897" s="946"/>
      <c r="AK897" s="961"/>
      <c r="AL897" s="961"/>
      <c r="AM897" s="928"/>
      <c r="AN897" s="216">
        <f ca="1">IF(B886="Лікар загальної практики - сімейний лікар",L897*Законод!$C$9/4*Законод!$J$16,IF(B886="Лікар-педіатр",L897*Законод!$C$9/4*Законод!$J$16,IF(B886="Лікар-терапевт",L897*Законод!$C$9/4*Законод!$J$16,0)))</f>
        <v>0</v>
      </c>
      <c r="AO897" s="216">
        <f ca="1">IF(B886="Лікар загальної практики - сімейний лікар",S897*Законод!$C$9/4*Законод!$J$16,IF(B886="Лікар-педіатр",S897*Законод!$C$9/4*Законод!$J$16,IF(B886="Лікар-терапевт",S897*Законод!$C$9/4*Законод!$J$16,0)))</f>
        <v>0</v>
      </c>
      <c r="AP897" s="216">
        <f ca="1">IF(B886="Лікар загальної практики - сімейний лікар",S897*Законод!$C$9/4*Законод!$J$16,IF(B886="Лікар-педіатр",S897*Законод!$C$9/4*Законод!$J$16,IF(B886="Лікар-терапевт",S897*Законод!$C$9/4*Законод!$J$16,0)))</f>
        <v>0</v>
      </c>
      <c r="AQ897" s="216">
        <f ca="1">IF(B886="Лікар загальної практики - сімейний лікар",AG897*Законод!$C$9/4*Законод!$J$16,IF(B886="Лікар-педіатр",AG897*Законод!$C$9/4*Законод!$J$16,IF(B886="Лікар-терапевт",AG897*Законод!$C$9/4*Законод!$J$16,0)))</f>
        <v>0</v>
      </c>
      <c r="AR897" s="217">
        <f t="shared" si="108"/>
        <v>0</v>
      </c>
    </row>
    <row r="898" spans="1:44" s="247" customFormat="1" ht="23.45" hidden="1" customHeight="1" thickBot="1">
      <c r="A898" s="243"/>
      <c r="B898" s="244"/>
      <c r="C898" s="244"/>
      <c r="D898" s="244"/>
      <c r="E898" s="244"/>
      <c r="F898" s="245"/>
      <c r="G898" s="246"/>
      <c r="H898" s="246"/>
      <c r="L898" s="248"/>
      <c r="S898" s="248"/>
      <c r="Z898" s="248"/>
      <c r="AG898" s="248"/>
      <c r="AM898" s="249"/>
      <c r="AR898" s="250"/>
    </row>
    <row r="899" spans="1:44" s="191" customFormat="1" ht="24.6" hidden="1" customHeight="1">
      <c r="A899" s="194">
        <f>A886+1</f>
        <v>67</v>
      </c>
      <c r="B899" s="950"/>
      <c r="C899" s="953"/>
      <c r="D899" s="956"/>
      <c r="E899" s="938"/>
      <c r="F899" s="234" t="s">
        <v>659</v>
      </c>
      <c r="G899" s="196">
        <f>IF($B$899="Лікар-педіатр",G902*L899,IF($B$899="Лікар-терапевт","х",IF($B$899="Лікар загальної практики - сімейний лікар",G902*L899,0)))</f>
        <v>0</v>
      </c>
      <c r="H899" s="196">
        <f>IF($B$899="Лікар-педіатр",H902*L899,IF($B$899="Лікар-терапевт","х",IF($B$899="Лікар загальної практики - сімейний лікар",H902*L899,0)))</f>
        <v>0</v>
      </c>
      <c r="I899" s="196">
        <f>IF($B$899="Лікар-педіатр","x",IF($B$899="Лікар-терапевт",I902*L899,IF($B$899="Лікар загальної практики - сімейний лікар",I902*L899,0)))</f>
        <v>0</v>
      </c>
      <c r="J899" s="196">
        <f>IF($B$899="Лікар-педіатр","x",IF($B$899="Лікар-терапевт",J902*L899,IF($B$899="Лікар загальної практики - сімейний лікар",J902*L899,0)))</f>
        <v>0</v>
      </c>
      <c r="K899" s="196">
        <f>IF($B$899="Лікар-педіатр","x",IF($B$899="Лікар-терапевт",K902*L899,IF($B$899="Лікар загальної практики - сімейний лікар",K902*L899,0)))</f>
        <v>0</v>
      </c>
      <c r="L899" s="557"/>
      <c r="M899" s="941"/>
      <c r="N899" s="196">
        <f>IF($B$899="Лікар-педіатр",N902*S899,IF($B$899="Лікар-терапевт","х",IF($B$899="Лікар загальної практики - сімейний лікар",N902*S899,0)))</f>
        <v>0</v>
      </c>
      <c r="O899" s="196">
        <f>IF($B$899="Лікар-педіатр",O902*S899,IF($B$899="Лікар-терапевт","х",IF($B$899="Лікар загальної практики - сімейний лікар",O902*S899,0)))</f>
        <v>0</v>
      </c>
      <c r="P899" s="196">
        <f>IF($B$899="Лікар-педіатр","x",IF($B$899="Лікар-терапевт",P902*S899,IF($B$899="Лікар загальної практики - сімейний лікар",P902*S899,0)))</f>
        <v>0</v>
      </c>
      <c r="Q899" s="196">
        <f>IF($B$899="Лікар-педіатр","x",IF($B$899="Лікар-терапевт",Q902*S899,IF($B$899="Лікар загальної практики - сімейний лікар",Q902*S899,0)))</f>
        <v>0</v>
      </c>
      <c r="R899" s="196">
        <f>IF($B$899="Лікар-педіатр","x",IF($B$899="Лікар-терапевт",R902*S899,IF($B$899="Лікар загальної практики - сімейний лікар",R902*S899,0)))</f>
        <v>0</v>
      </c>
      <c r="S899" s="557"/>
      <c r="T899" s="941"/>
      <c r="U899" s="196">
        <f>IF($B$899="Лікар-педіатр",U902*Z899,IF($B$899="Лікар-терапевт","х",IF($B$899="Лікар загальної практики - сімейний лікар",U902*Z899,0)))</f>
        <v>0</v>
      </c>
      <c r="V899" s="196">
        <f>IF($B$899="Лікар-педіатр",V902*Z899,IF($B$899="Лікар-терапевт","х",IF($B$899="Лікар загальної практики - сімейний лікар",V902*Z899,0)))</f>
        <v>0</v>
      </c>
      <c r="W899" s="196">
        <f>IF($B$899="Лікар-педіатр","x",IF($B$899="Лікар-терапевт",W902*Z899,IF($B$899="Лікар загальної практики - сімейний лікар",W902*Z899,0)))</f>
        <v>0</v>
      </c>
      <c r="X899" s="196">
        <f>IF($B$899="Лікар-педіатр","x",IF($B$899="Лікар-терапевт",X902*Z899,IF($B$899="Лікар загальної практики - сімейний лікар",X902*Z899,0)))</f>
        <v>0</v>
      </c>
      <c r="Y899" s="196">
        <f>IF($B$899="Лікар-педіатр","x",IF($B$899="Лікар-терапевт",Y902*Z899,IF($B$899="Лікар загальної практики - сімейний лікар",Y902*Z899,0)))</f>
        <v>0</v>
      </c>
      <c r="Z899" s="557"/>
      <c r="AA899" s="941"/>
      <c r="AB899" s="196">
        <f>IF($B$899="Лікар-педіатр",AB902*AG899,IF($B$899="Лікар-терапевт","х",IF($B$899="Лікар загальної практики - сімейний лікар",AB902*AG899,0)))</f>
        <v>0</v>
      </c>
      <c r="AC899" s="196">
        <f>IF($B$899="Лікар-педіатр",AC902*AG899,IF($B$899="Лікар-терапевт","х",IF($B$899="Лікар загальної практики - сімейний лікар",AC902*AG899,0)))</f>
        <v>0</v>
      </c>
      <c r="AD899" s="196">
        <f>IF($B$899="Лікар-педіатр","x",IF($B$899="Лікар-терапевт",AD902*AG899,IF($B$899="Лікар загальної практики - сімейний лікар",AD902*AG899,0)))</f>
        <v>0</v>
      </c>
      <c r="AE899" s="196">
        <f>IF($B$899="Лікар-педіатр","x",IF($B$899="Лікар-терапевт",AE902*AG899,IF($B$899="Лікар загальної практики - сімейний лікар",AE902*AG899,0)))</f>
        <v>0</v>
      </c>
      <c r="AF899" s="196">
        <f>IF($B$899="Лікар-педіатр","x",IF($B$899="Лікар-терапевт",AF902*AG899,IF($B$899="Лікар загальної практики - сімейний лікар",AF902*AG899,0)))</f>
        <v>0</v>
      </c>
      <c r="AG899" s="557"/>
      <c r="AH899" s="941"/>
      <c r="AI899" s="540">
        <f>A899</f>
        <v>67</v>
      </c>
      <c r="AJ899" s="944">
        <f>B899</f>
        <v>0</v>
      </c>
      <c r="AK899" s="959">
        <f>C899</f>
        <v>0</v>
      </c>
      <c r="AL899" s="959">
        <f>D899</f>
        <v>0</v>
      </c>
      <c r="AM899" s="929" t="s">
        <v>79</v>
      </c>
      <c r="AN899" s="947">
        <f>SUM(AN904:AN910)</f>
        <v>0</v>
      </c>
      <c r="AO899" s="947">
        <f>SUM(AO904:AO910)</f>
        <v>0</v>
      </c>
      <c r="AP899" s="947">
        <f>SUM(AP904:AP910)</f>
        <v>0</v>
      </c>
      <c r="AQ899" s="947">
        <f>SUM(AQ904:AQ910)</f>
        <v>0</v>
      </c>
      <c r="AR899" s="962">
        <f>SUM(AN899:AQ903)</f>
        <v>0</v>
      </c>
    </row>
    <row r="900" spans="1:44" s="50" customFormat="1" ht="28.15" hidden="1" customHeight="1">
      <c r="A900" s="197"/>
      <c r="B900" s="951"/>
      <c r="C900" s="954"/>
      <c r="D900" s="957"/>
      <c r="E900" s="939"/>
      <c r="F900" s="234" t="s">
        <v>660</v>
      </c>
      <c r="G900" s="196">
        <f>IF($B$899="Лікар-педіатр",G902*L900,IF($B$899="Лікар-терапевт","х",IF($B$899="Лікар загальної практики - сімейний лікар",G902*L900,0)))</f>
        <v>0</v>
      </c>
      <c r="H900" s="196">
        <f>IF($B$899="Лікар-педіатр",H902*L900,IF($B$899="Лікар-терапевт","х",IF($B$899="Лікар загальної практики - сімейний лікар",H902*L900,0)))</f>
        <v>0</v>
      </c>
      <c r="I900" s="196">
        <f>IF($B$899="Лікар-педіатр","x",IF($B$899="Лікар-терапевт",I902*L900,IF($B$899="Лікар загальної практики - сімейний лікар",I902*L900,0)))</f>
        <v>0</v>
      </c>
      <c r="J900" s="196">
        <f>IF($B$899="Лікар-педіатр","x",IF($B$899="Лікар-терапевт",J902*L900,IF($B$899="Лікар загальної практики - сімейний лікар",J902*L900,0)))</f>
        <v>0</v>
      </c>
      <c r="K900" s="196">
        <f>IF($B$899="Лікар-педіатр","x",IF($B$899="Лікар-терапевт",K902*L900,IF($B$899="Лікар загальної практики - сімейний лікар",K902*L900,0)))</f>
        <v>0</v>
      </c>
      <c r="L900" s="557"/>
      <c r="M900" s="942"/>
      <c r="N900" s="196">
        <f>IF($B$899="Лікар-педіатр",N902*S900,IF($B$899="Лікар-терапевт","х",IF($B$899="Лікар загальної практики - сімейний лікар",N902*S900,0)))</f>
        <v>0</v>
      </c>
      <c r="O900" s="196">
        <f>IF($B$899="Лікар-педіатр",O902*S900,IF($B$899="Лікар-терапевт","х",IF($B$899="Лікар загальної практики - сімейний лікар",O902*S900,0)))</f>
        <v>0</v>
      </c>
      <c r="P900" s="196">
        <f>IF($B$899="Лікар-педіатр","x",IF($B$899="Лікар-терапевт",P902*S900,IF($B$899="Лікар загальної практики - сімейний лікар",P902*S900,0)))</f>
        <v>0</v>
      </c>
      <c r="Q900" s="196">
        <f>IF($B$899="Лікар-педіатр","x",IF($B$899="Лікар-терапевт",Q902*S900,IF($B$899="Лікар загальної практики - сімейний лікар",Q902*S900,0)))</f>
        <v>0</v>
      </c>
      <c r="R900" s="196">
        <f>IF($B$899="Лікар-педіатр","x",IF($B$899="Лікар-терапевт",R902*S900,IF($B$899="Лікар загальної практики - сімейний лікар",R902*S900,0)))</f>
        <v>0</v>
      </c>
      <c r="S900" s="557"/>
      <c r="T900" s="942"/>
      <c r="U900" s="196">
        <f>IF($B$899="Лікар-педіатр",U902*Z900,IF($B$899="Лікар-терапевт","х",IF($B$899="Лікар загальної практики - сімейний лікар",U902*Z900,0)))</f>
        <v>0</v>
      </c>
      <c r="V900" s="196">
        <f>IF($B$899="Лікар-педіатр",V902*Z900,IF($B$899="Лікар-терапевт","х",IF($B$899="Лікар загальної практики - сімейний лікар",V902*Z900,0)))</f>
        <v>0</v>
      </c>
      <c r="W900" s="196">
        <f>IF($B$899="Лікар-педіатр","x",IF($B$899="Лікар-терапевт",W902*Z900,IF($B$899="Лікар загальної практики - сімейний лікар",W902*Z900,0)))</f>
        <v>0</v>
      </c>
      <c r="X900" s="196">
        <f>IF($B$899="Лікар-педіатр","x",IF($B$899="Лікар-терапевт",X902*Z900,IF($B$899="Лікар загальної практики - сімейний лікар",X902*Z900,0)))</f>
        <v>0</v>
      </c>
      <c r="Y900" s="196">
        <f>IF($B$899="Лікар-педіатр","x",IF($B$899="Лікар-терапевт",Y902*Z900,IF($B$899="Лікар загальної практики - сімейний лікар",Y902*Z900,0)))</f>
        <v>0</v>
      </c>
      <c r="Z900" s="557"/>
      <c r="AA900" s="942"/>
      <c r="AB900" s="196">
        <f>IF($B$899="Лікар-педіатр",AB902*AG900,IF($B$899="Лікар-терапевт","х",IF($B$899="Лікар загальної практики - сімейний лікар",AB902*AG900,0)))</f>
        <v>0</v>
      </c>
      <c r="AC900" s="196">
        <f>IF($B$899="Лікар-педіатр",AC902*AG900,IF($B$899="Лікар-терапевт","х",IF($B$899="Лікар загальної практики - сімейний лікар",AC902*AG900,0)))</f>
        <v>0</v>
      </c>
      <c r="AD900" s="196">
        <f>IF($B$899="Лікар-педіатр","x",IF($B$899="Лікар-терапевт",AD902*AG900,IF($B$899="Лікар загальної практики - сімейний лікар",AD902*AG900,0)))</f>
        <v>0</v>
      </c>
      <c r="AE900" s="196">
        <f>IF($B$899="Лікар-педіатр","x",IF($B$899="Лікар-терапевт",AE902*AG900,IF($B$899="Лікар загальної практики - сімейний лікар",AE902*AG900,0)))</f>
        <v>0</v>
      </c>
      <c r="AF900" s="196">
        <f>IF($B$899="Лікар-педіатр","x",IF($B$899="Лікар-терапевт",AF902*AG900,IF($B$899="Лікар загальної практики - сімейний лікар",AF902*AG900,0)))</f>
        <v>0</v>
      </c>
      <c r="AG900" s="557"/>
      <c r="AH900" s="942"/>
      <c r="AI900" s="198"/>
      <c r="AJ900" s="945"/>
      <c r="AK900" s="960"/>
      <c r="AL900" s="960"/>
      <c r="AM900" s="930"/>
      <c r="AN900" s="948"/>
      <c r="AO900" s="948"/>
      <c r="AP900" s="948"/>
      <c r="AQ900" s="948"/>
      <c r="AR900" s="963"/>
    </row>
    <row r="901" spans="1:44" s="90" customFormat="1" ht="31.15" hidden="1" customHeight="1">
      <c r="A901" s="240"/>
      <c r="B901" s="951"/>
      <c r="C901" s="954"/>
      <c r="D901" s="957"/>
      <c r="E901" s="939"/>
      <c r="F901" s="241" t="s">
        <v>661</v>
      </c>
      <c r="G901" s="199">
        <f>IF(B899="Лікар загальної практики - сімейний лікар"," ",IF(B899="Лікар-педіатр"," ",IF(B899="Лікар-терапевт","х",0)))</f>
        <v>0</v>
      </c>
      <c r="H901" s="199">
        <f>IF(B899="Лікар загальної практики - сімейний лікар"," ",IF(B899="Лікар-педіатр"," ",IF(B899="Лікар-терапевт","х",0)))</f>
        <v>0</v>
      </c>
      <c r="I901" s="199">
        <f>IF(B899="Лікар загальної практики - сімейний лікар"," ",IF(B899="Лікар-педіатр","х",IF(B899="Лікар-терапевт"," ",0)))</f>
        <v>0</v>
      </c>
      <c r="J901" s="199">
        <f>IF(B899="Лікар загальної практики - сімейний лікар"," ",IF(B899="Лікар-педіатр","х",IF(B899="Лікар-терапевт"," ",0)))</f>
        <v>0</v>
      </c>
      <c r="K901" s="199">
        <f>IF(B899="Лікар загальної практики - сімейний лікар"," ",IF(B899="Лікар-педіатр","х",IF(B899="Лікар-терапевт"," ",0)))</f>
        <v>0</v>
      </c>
      <c r="L901" s="200">
        <f>SUM(G901:K901)</f>
        <v>0</v>
      </c>
      <c r="M901" s="942"/>
      <c r="N901" s="199">
        <f>IF(B899="Лікар загальної практики - сімейний лікар"," ",IF(B899="Лікар-педіатр"," ",IF(B899="Лікар-терапевт","х",0)))</f>
        <v>0</v>
      </c>
      <c r="O901" s="199">
        <f>IF(B899="Лікар загальної практики - сімейний лікар"," ",IF(B899="Лікар-педіатр"," ",IF(B899="Лікар-терапевт","х",0)))</f>
        <v>0</v>
      </c>
      <c r="P901" s="199">
        <f>IF(B899="Лікар загальної практики - сімейний лікар"," ",IF(B899="Лікар-педіатр","х",IF(B899="Лікар-терапевт"," ",0)))</f>
        <v>0</v>
      </c>
      <c r="Q901" s="199">
        <f>IF(B899="Лікар загальної практики - сімейний лікар"," ",IF(B899="Лікар-педіатр","х",IF(B899="Лікар-терапевт"," ",0)))</f>
        <v>0</v>
      </c>
      <c r="R901" s="199">
        <f>IF(B899="Лікар загальної практики - сімейний лікар"," ",IF(B899="Лікар-педіатр","х",IF(B899="Лікар-терапевт"," ",0)))</f>
        <v>0</v>
      </c>
      <c r="S901" s="200">
        <f>SUM(N901:R901)</f>
        <v>0</v>
      </c>
      <c r="T901" s="942"/>
      <c r="U901" s="199">
        <f>IF(B899="Лікар загальної практики - сімейний лікар"," ",IF(B899="Лікар-педіатр"," ",IF(B899="Лікар-терапевт","х",0)))</f>
        <v>0</v>
      </c>
      <c r="V901" s="199">
        <f>IF(B899="Лікар загальної практики - сімейний лікар"," ",IF(B899="Лікар-педіатр"," ",IF(B899="Лікар-терапевт","х",0)))</f>
        <v>0</v>
      </c>
      <c r="W901" s="199">
        <f>IF(B899="Лікар загальної практики - сімейний лікар"," ",IF(B899="Лікар-педіатр","х",IF(B899="Лікар-терапевт"," ",0)))</f>
        <v>0</v>
      </c>
      <c r="X901" s="199">
        <f>IF(B899="Лікар загальної практики - сімейний лікар"," ",IF(B899="Лікар-педіатр","х",IF(B899="Лікар-терапевт"," ",0)))</f>
        <v>0</v>
      </c>
      <c r="Y901" s="199">
        <f>IF(B899="Лікар загальної практики - сімейний лікар"," ",IF(B899="Лікар-педіатр","х",IF(B899="Лікар-терапевт"," ",0)))</f>
        <v>0</v>
      </c>
      <c r="Z901" s="200">
        <f>SUM(U901:Y901)</f>
        <v>0</v>
      </c>
      <c r="AA901" s="942"/>
      <c r="AB901" s="199">
        <f>IF(B899="Лікар загальної практики - сімейний лікар"," ",IF(B899="Лікар-педіатр"," ",IF(B899="Лікар-терапевт","х",0)))</f>
        <v>0</v>
      </c>
      <c r="AC901" s="199">
        <f>IF(B899="Лікар загальної практики - сімейний лікар"," ",IF(B899="Лікар-педіатр"," ",IF(B899="Лікар-терапевт","х",0)))</f>
        <v>0</v>
      </c>
      <c r="AD901" s="199">
        <f>IF(B899="Лікар загальної практики - сімейний лікар"," ",IF(B899="Лікар-педіатр","х",IF(B899="Лікар-терапевт"," ",0)))</f>
        <v>0</v>
      </c>
      <c r="AE901" s="199">
        <f>IF(B899="Лікар загальної практики - сімейний лікар"," ",IF(B899="Лікар-педіатр","х",IF(B899="Лікар-терапевт"," ",0)))</f>
        <v>0</v>
      </c>
      <c r="AF901" s="199">
        <f>IF(B899="Лікар загальної практики - сімейний лікар"," ",IF(B899="Лікар-педіатр","х",IF(B899="Лікар-терапевт"," ",0)))</f>
        <v>0</v>
      </c>
      <c r="AG901" s="200">
        <f>SUM(AB901:AF901)</f>
        <v>0</v>
      </c>
      <c r="AH901" s="942"/>
      <c r="AI901" s="242"/>
      <c r="AJ901" s="945"/>
      <c r="AK901" s="960"/>
      <c r="AL901" s="960"/>
      <c r="AM901" s="930"/>
      <c r="AN901" s="948"/>
      <c r="AO901" s="948"/>
      <c r="AP901" s="948"/>
      <c r="AQ901" s="948"/>
      <c r="AR901" s="963"/>
    </row>
    <row r="902" spans="1:44" s="50" customFormat="1" ht="31.9" hidden="1" customHeight="1" thickBot="1">
      <c r="A902" s="197"/>
      <c r="B902" s="951"/>
      <c r="C902" s="954"/>
      <c r="D902" s="957"/>
      <c r="E902" s="939"/>
      <c r="F902" s="236" t="s">
        <v>426</v>
      </c>
      <c r="G902" s="203">
        <f>IF($B$899="Лікар-педіатр",G901/L901,IF($B$899="Лікар-терапевт","х",IF($B$899="Лікар загальної практики - сімейний лікар",G901/L901,0)))</f>
        <v>0</v>
      </c>
      <c r="H902" s="203">
        <f>IF($B$899="Лікар-педіатр",H901/L901,IF($B$899="Лікар-терапевт","х",IF($B$899="Лікар загальної практики - сімейний лікар",H901/L901,0)))</f>
        <v>0</v>
      </c>
      <c r="I902" s="203">
        <f>IF($B$899="Лікар-педіатр","x",IF($B$899="Лікар-терапевт",I901/L901,IF($B$899="Лікар загальної практики - сімейний лікар",I901/L901,0)))</f>
        <v>0</v>
      </c>
      <c r="J902" s="203">
        <f>IF($B$899="Лікар-педіатр","x",IF($B$899="Лікар-терапевт",J901/L901,IF($B$899="Лікар загальної практики - сімейний лікар",J901/L901,0)))</f>
        <v>0</v>
      </c>
      <c r="K902" s="203">
        <f>IF($B$899="Лікар-педіатр","x",IF($B$899="Лікар-терапевт",K901/L901,IF($B$899="Лікар загальної практики - сімейний лікар",K901/L901,0)))</f>
        <v>0</v>
      </c>
      <c r="L902" s="203">
        <f>SUM(G902:K902)</f>
        <v>0</v>
      </c>
      <c r="M902" s="942"/>
      <c r="N902" s="203">
        <f>IF($B$899="Лікар-педіатр",N901/S901,IF($B$899="Лікар-терапевт","х",IF($B$899="Лікар загальної практики - сімейний лікар",N901/S901,0)))</f>
        <v>0</v>
      </c>
      <c r="O902" s="203">
        <f>IF($B$899="Лікар-педіатр",O901/S901,IF($B$899="Лікар-терапевт","х",IF($B$899="Лікар загальної практики - сімейний лікар",O901/S901,0)))</f>
        <v>0</v>
      </c>
      <c r="P902" s="203">
        <f>IF($B$899="Лікар-педіатр","x",IF($B$899="Лікар-терапевт",P901/S901,IF($B$899="Лікар загальної практики - сімейний лікар",P901/S901,0)))</f>
        <v>0</v>
      </c>
      <c r="Q902" s="203">
        <f>IF($B$899="Лікар-педіатр","x",IF($B$899="Лікар-терапевт",Q901/S901,IF($B$899="Лікар загальної практики - сімейний лікар",Q901/S901,0)))</f>
        <v>0</v>
      </c>
      <c r="R902" s="203">
        <f>IF($B$899="Лікар-педіатр","x",IF($B$899="Лікар-терапевт",R901/S901,IF($B$899="Лікар загальної практики - сімейний лікар",R901/S901,0)))</f>
        <v>0</v>
      </c>
      <c r="S902" s="203">
        <f>SUM(N902:R902)</f>
        <v>0</v>
      </c>
      <c r="T902" s="942"/>
      <c r="U902" s="203">
        <f>IF($B$899="Лікар-педіатр",U901/Z901,IF($B$899="Лікар-терапевт","х",IF($B$899="Лікар загальної практики - сімейний лікар",U901/Z901,0)))</f>
        <v>0</v>
      </c>
      <c r="V902" s="203">
        <f>IF($B$899="Лікар-педіатр",V901/Z901,IF($B$899="Лікар-терапевт","х",IF($B$899="Лікар загальної практики - сімейний лікар",V901/Z901,0)))</f>
        <v>0</v>
      </c>
      <c r="W902" s="203">
        <f>IF($B$899="Лікар-педіатр","x",IF($B$899="Лікар-терапевт",W901/Z901,IF($B$899="Лікар загальної практики - сімейний лікар",W901/Z901,0)))</f>
        <v>0</v>
      </c>
      <c r="X902" s="203">
        <f>IF($B$899="Лікар-педіатр","x",IF($B$899="Лікар-терапевт",X901/Z901,IF($B$899="Лікар загальної практики - сімейний лікар",X901/Z901,0)))</f>
        <v>0</v>
      </c>
      <c r="Y902" s="203">
        <f>IF($B$899="Лікар-педіатр","x",IF($B$899="Лікар-терапевт",Y901/Z901,IF($B$899="Лікар загальної практики - сімейний лікар",Y901/Z901,0)))</f>
        <v>0</v>
      </c>
      <c r="Z902" s="203">
        <f>SUM(U902:Y902)</f>
        <v>0</v>
      </c>
      <c r="AA902" s="942"/>
      <c r="AB902" s="203">
        <f>IF($B$899="Лікар-педіатр",AB901/AG901,IF($B$899="Лікар-терапевт","х",IF($B$899="Лікар загальної практики - сімейний лікар",AB901/AG901,0)))</f>
        <v>0</v>
      </c>
      <c r="AC902" s="203">
        <f>IF($B$899="Лікар-педіатр",AC901/AG901,IF($B$899="Лікар-терапевт","х",IF($B$899="Лікар загальної практики - сімейний лікар",AC901/AG901,0)))</f>
        <v>0</v>
      </c>
      <c r="AD902" s="203">
        <f>IF($B$899="Лікар-педіатр","x",IF($B$899="Лікар-терапевт",AD901/AG901,IF($B$899="Лікар загальної практики - сімейний лікар",AD901/AG901,0)))</f>
        <v>0</v>
      </c>
      <c r="AE902" s="203">
        <f>IF($B$899="Лікар-педіатр","x",IF($B$899="Лікар-терапевт",AE901/AG901,IF($B$899="Лікар загальної практики - сімейний лікар",AE901/AG901,0)))</f>
        <v>0</v>
      </c>
      <c r="AF902" s="203">
        <f>IF($B$899="Лікар-педіатр","x",IF($B$899="Лікар-терапевт",AF901/AG901,IF($B$899="Лікар загальної практики - сімейний лікар",AF901/AG901,0)))</f>
        <v>0</v>
      </c>
      <c r="AG902" s="203">
        <f>SUM(AB902:AF902)</f>
        <v>0</v>
      </c>
      <c r="AH902" s="942"/>
      <c r="AI902" s="201"/>
      <c r="AJ902" s="945"/>
      <c r="AK902" s="960"/>
      <c r="AL902" s="960"/>
      <c r="AM902" s="930"/>
      <c r="AN902" s="948"/>
      <c r="AO902" s="948"/>
      <c r="AP902" s="948"/>
      <c r="AQ902" s="948"/>
      <c r="AR902" s="963"/>
    </row>
    <row r="903" spans="1:44" s="50" customFormat="1" ht="45" hidden="1" customHeight="1" thickBot="1">
      <c r="A903" s="197"/>
      <c r="B903" s="951"/>
      <c r="C903" s="954"/>
      <c r="D903" s="957"/>
      <c r="E903" s="939"/>
      <c r="F903" s="204" t="s">
        <v>662</v>
      </c>
      <c r="G903" s="205">
        <f>IF($B$899="Лікар загальної практики - сімейний лікар",AVERAGE(G899:G901),IF($B$899="Лікар-педіатр",AVERAGE(G899:G901),IF($B$899="Лікар-терапевт","х",0)))</f>
        <v>0</v>
      </c>
      <c r="H903" s="205">
        <f>IF($B$899="Лікар загальної практики - сімейний лікар",AVERAGE(H899:H901),IF($B$899="Лікар-педіатр",AVERAGE(H899:H901),IF($B$899="Лікар-терапевт","х",0)))</f>
        <v>0</v>
      </c>
      <c r="I903" s="205">
        <f>IF($B$899="Лікар загальної практики - сімейний лікар",AVERAGE(I899:I901),IF($B$899="Лікар-педіатр","x",IF($B$899="Лікар-терапевт",AVERAGE(I899:I901),0)))</f>
        <v>0</v>
      </c>
      <c r="J903" s="205">
        <f>IF($B$899="Лікар загальної практики - сімейний лікар",AVERAGE(J899:J901),IF($B$899="Лікар-педіатр","x",IF($B$899="Лікар-терапевт",AVERAGE(J899:J901),0)))</f>
        <v>0</v>
      </c>
      <c r="K903" s="205">
        <f>IF($B$899="Лікар загальної практики - сімейний лікар",AVERAGE(K899:K901),IF($B$899="Лікар-педіатр","x",IF($B$899="Лікар-терапевт",AVERAGE(K899:K901),0)))</f>
        <v>0</v>
      </c>
      <c r="L903" s="206">
        <f>SUM(G903:K903)</f>
        <v>0</v>
      </c>
      <c r="M903" s="942"/>
      <c r="N903" s="205">
        <f>IF($B$899="Лікар загальної практики - сімейний лікар",AVERAGE(N899:N901),IF($B$899="Лікар-педіатр",AVERAGE(N899:N901),IF($B$899="Лікар-терапевт","х",0)))</f>
        <v>0</v>
      </c>
      <c r="O903" s="205">
        <f>IF($B$899="Лікар загальної практики - сімейний лікар",AVERAGE(O899:O901),IF($B$899="Лікар-педіатр",AVERAGE(O899:O901),IF($B$899="Лікар-терапевт","х",0)))</f>
        <v>0</v>
      </c>
      <c r="P903" s="205">
        <f>IF($B$899="Лікар загальної практики - сімейний лікар",AVERAGE(P899:P901),IF($B$899="Лікар-педіатр","x",IF($B$899="Лікар-терапевт",AVERAGE(P899:P901),0)))</f>
        <v>0</v>
      </c>
      <c r="Q903" s="205">
        <f>IF($B$899="Лікар загальної практики - сімейний лікар",AVERAGE(Q899:Q901),IF($B$899="Лікар-педіатр","x",IF($B$899="Лікар-терапевт",AVERAGE(Q899:Q901),0)))</f>
        <v>0</v>
      </c>
      <c r="R903" s="205">
        <f>IF($B$899="Лікар загальної практики - сімейний лікар",AVERAGE(R899:R901),IF($B$899="Лікар-педіатр","x",IF($B$899="Лікар-терапевт",AVERAGE(R899:R901),0)))</f>
        <v>0</v>
      </c>
      <c r="S903" s="206">
        <f>SUM(N903:R903)</f>
        <v>0</v>
      </c>
      <c r="T903" s="942"/>
      <c r="U903" s="205">
        <f>IF($B$899="Лікар загальної практики - сімейний лікар",AVERAGE(U899:U901),IF($B$899="Лікар-педіатр",AVERAGE(U899:U901),IF($B$899="Лікар-терапевт","х",0)))</f>
        <v>0</v>
      </c>
      <c r="V903" s="205">
        <f>IF($B$899="Лікар загальної практики - сімейний лікар",AVERAGE(V899:V901),IF($B$899="Лікар-педіатр",AVERAGE(V899:V901),IF($B$899="Лікар-терапевт","х",0)))</f>
        <v>0</v>
      </c>
      <c r="W903" s="205">
        <f>IF($B$899="Лікар загальної практики - сімейний лікар",AVERAGE(W899:W901),IF($B$899="Лікар-педіатр","x",IF($B$899="Лікар-терапевт",AVERAGE(W899:W901),0)))</f>
        <v>0</v>
      </c>
      <c r="X903" s="205">
        <f>IF($B$899="Лікар загальної практики - сімейний лікар",AVERAGE(X899:X901),IF($B$899="Лікар-педіатр","x",IF($B$899="Лікар-терапевт",AVERAGE(X899:X901),0)))</f>
        <v>0</v>
      </c>
      <c r="Y903" s="205">
        <f>IF($B$899="Лікар загальної практики - сімейний лікар",AVERAGE(Y899:Y901),IF($B$899="Лікар-педіатр","x",IF($B$899="Лікар-терапевт",AVERAGE(Y899:Y901),0)))</f>
        <v>0</v>
      </c>
      <c r="Z903" s="206">
        <f>SUM(U903:Y903)</f>
        <v>0</v>
      </c>
      <c r="AA903" s="942"/>
      <c r="AB903" s="205">
        <f>IF($B$899="Лікар загальної практики - сімейний лікар",AVERAGE(AB899:AB901),IF($B$899="Лікар-педіатр",AVERAGE(AB899:AB901),IF($B$899="Лікар-терапевт","х",0)))</f>
        <v>0</v>
      </c>
      <c r="AC903" s="205">
        <f>IF($B$899="Лікар загальної практики - сімейний лікар",AVERAGE(AC899:AC901),IF($B$899="Лікар-педіатр",AVERAGE(AC899:AC901),IF($B$899="Лікар-терапевт","х",0)))</f>
        <v>0</v>
      </c>
      <c r="AD903" s="205">
        <f>IF($B$899="Лікар загальної практики - сімейний лікар",AVERAGE(AD899:AD901),IF($B$899="Лікар-педіатр","x",IF($B$899="Лікар-терапевт",AVERAGE(AD899:AD901),0)))</f>
        <v>0</v>
      </c>
      <c r="AE903" s="205">
        <f>IF($B$899="Лікар загальної практики - сімейний лікар",AVERAGE(AE899:AE901),IF($B$899="Лікар-педіатр","x",IF($B$899="Лікар-терапевт",AVERAGE(AE899:AE901),0)))</f>
        <v>0</v>
      </c>
      <c r="AF903" s="205">
        <f>IF($B$899="Лікар загальної практики - сімейний лікар",AVERAGE(AF899:AF901),IF($B$899="Лікар-педіатр","x",IF($B$899="Лікар-терапевт",AVERAGE(AF899:AF901),0)))</f>
        <v>0</v>
      </c>
      <c r="AG903" s="206">
        <f>SUM(AB903:AF903)</f>
        <v>0</v>
      </c>
      <c r="AH903" s="942"/>
      <c r="AI903" s="201"/>
      <c r="AJ903" s="945"/>
      <c r="AK903" s="960"/>
      <c r="AL903" s="960"/>
      <c r="AM903" s="931"/>
      <c r="AN903" s="949"/>
      <c r="AO903" s="949"/>
      <c r="AP903" s="949"/>
      <c r="AQ903" s="949"/>
      <c r="AR903" s="964"/>
    </row>
    <row r="904" spans="1:44" s="50" customFormat="1" ht="40.5" hidden="1">
      <c r="A904" s="197"/>
      <c r="B904" s="951"/>
      <c r="C904" s="954"/>
      <c r="D904" s="957"/>
      <c r="E904" s="939"/>
      <c r="F904" s="237" t="str">
        <f ca="1">IF(B899="Лікар-педіатр",Законод!$C$17,IF(B899="Лікар загальної практики - сімейний лікар",Законод!$C$21,IF(B899="Лікар-терапевт",Законод!$C$25,"х")))</f>
        <v>х</v>
      </c>
      <c r="G904" s="208">
        <f ca="1">IF($B$899="Лікар загальної практики - сімейний лікар",IF(L903&lt;=Законод!$C$22,G903,Законод!$C$22*'01_Доходи'!G902),IF($B$899="Лікар-педіатр",IF(L903&lt;=Законод!$C$18,G903,Законод!$C$18*'01_Доходи'!G902),IF($B$899="Лікар-терапевт","x",0)))</f>
        <v>0</v>
      </c>
      <c r="H904" s="208">
        <f ca="1">IF($B$899="Лікар загальної практики - сімейний лікар",IF(L903&lt;=Законод!$C$22,H903,Законод!$C$22*'01_Доходи'!H902),IF($B$899="Лікар-педіатр",IF(L903&lt;=Законод!$C$18,H903,Законод!$C$18*'01_Доходи'!H902),IF($B$899="Лікар-терапевт","x",0)))</f>
        <v>0</v>
      </c>
      <c r="I904" s="208">
        <f ca="1">IF($B$899="Лікар загальної практики - сімейний лікар",IF(L903&lt;=Законод!$C$22,I903,Законод!$C$22*'01_Доходи'!I902),IF($B$899="Лікар-педіатр","x",IF($B$899="Лікар-терапевт",IF(L903&lt;=Законод!$C$26,I903,Законод!$C$26*'01_Доходи'!I902),0)))</f>
        <v>0</v>
      </c>
      <c r="J904" s="208">
        <f ca="1">IF($B$899="Лікар загальної практики - сімейний лікар",IF(L903&lt;=Законод!$C$22,J903,Законод!$C$22*'01_Доходи'!J902),IF($B$899="Лікар-педіатр","x",IF($B$899="Лікар-терапевт",IF(L903&lt;=Законод!$C$26,J903,Законод!$C$26*'01_Доходи'!J902),0)))</f>
        <v>0</v>
      </c>
      <c r="K904" s="208">
        <f ca="1">IF($B$899="Лікар загальної практики - сімейний лікар",IF(L903&lt;=Законод!$C$22,K903,Законод!$C$22*'01_Доходи'!K902),IF($B$899="Лікар-педіатр","x",IF($B$899="Лікар-терапевт",IF(L903&lt;=Законод!$C$26,K903,Законод!$C$26*'01_Доходи'!K902),0)))</f>
        <v>0</v>
      </c>
      <c r="L904" s="209">
        <f ca="1">SUM(G904:K904)</f>
        <v>0</v>
      </c>
      <c r="M904" s="942"/>
      <c r="N904" s="208">
        <f ca="1">IF($B$899="Лікар загальної практики - сімейний лікар",IF(S903&lt;=Законод!$C$22,N903,Законод!$C$22*'01_Доходи'!N902),IF($B$899="Лікар-педіатр",IF(S903&lt;=Законод!$C$18,N903,Законод!$C$18*'01_Доходи'!N902),IF($B$899="Лікар-терапевт","x",0)))</f>
        <v>0</v>
      </c>
      <c r="O904" s="208">
        <f ca="1">IF($B$899="Лікар загальної практики - сімейний лікар",IF(S903&lt;=Законод!$C$22,O903,Законод!$C$22*'01_Доходи'!O902),IF($B$899="Лікар-педіатр",IF(S903&lt;=Законод!$C$18,O903,Законод!$C$18*'01_Доходи'!O902),IF($B$899="Лікар-терапевт","x",0)))</f>
        <v>0</v>
      </c>
      <c r="P904" s="208">
        <f ca="1">IF($B$899="Лікар загальної практики - сімейний лікар",IF(S903&lt;=Законод!$C$22,P903,Законод!$C$22*'01_Доходи'!P902),IF($B$899="Лікар-педіатр","x",IF($B$899="Лікар-терапевт",IF(S903&lt;=Законод!$C$26,P903,Законод!$C$26*'01_Доходи'!P902),0)))</f>
        <v>0</v>
      </c>
      <c r="Q904" s="208">
        <f ca="1">IF($B$899="Лікар загальної практики - сімейний лікар",IF(S903&lt;=Законод!$C$22,Q903,Законод!$C$22*'01_Доходи'!Q902),IF($B$899="Лікар-педіатр","x",IF($B$899="Лікар-терапевт",IF(S903&lt;=Законод!$C$26,Q903,Законод!$C$26*'01_Доходи'!Q902),0)))</f>
        <v>0</v>
      </c>
      <c r="R904" s="208">
        <f ca="1">IF($B$899="Лікар загальної практики - сімейний лікар",IF(S903&lt;=Законод!$C$22,R903,Законод!$C$22*'01_Доходи'!R902),IF($B$899="Лікар-педіатр","x",IF($B$899="Лікар-терапевт",IF(S903&lt;=Законод!$C$26,R903,Законод!$C$26*'01_Доходи'!R902),0)))</f>
        <v>0</v>
      </c>
      <c r="S904" s="209">
        <f ca="1">SUM(N904:R904)</f>
        <v>0</v>
      </c>
      <c r="T904" s="942"/>
      <c r="U904" s="208">
        <f ca="1">IF($B$899="Лікар загальної практики - сімейний лікар",IF(Z903&lt;=Законод!$C$22,U903,Законод!$C$22*'01_Доходи'!U902),IF($B$899="Лікар-педіатр",IF(Z903&lt;=Законод!$C$18,U903,Законод!$C$18*'01_Доходи'!U902),IF($B$899="Лікар-терапевт","x",0)))</f>
        <v>0</v>
      </c>
      <c r="V904" s="208">
        <f ca="1">IF($B$899="Лікар загальної практики - сімейний лікар",IF(Z903&lt;=Законод!$C$22,V903,Законод!$C$22*'01_Доходи'!V902),IF($B$899="Лікар-педіатр",IF(Z903&lt;=Законод!$C$18,V903,Законод!$C$18*'01_Доходи'!V902),IF($B$899="Лікар-терапевт","x",0)))</f>
        <v>0</v>
      </c>
      <c r="W904" s="208">
        <f ca="1">IF($B$899="Лікар загальної практики - сімейний лікар",IF(Z903&lt;=Законод!$C$22,W903,Законод!$C$22*'01_Доходи'!W902),IF($B$899="Лікар-педіатр","x",IF($B$899="Лікар-терапевт",IF(Z903&lt;=Законод!$C$26,W903,Законод!$C$26*'01_Доходи'!W902),0)))</f>
        <v>0</v>
      </c>
      <c r="X904" s="208">
        <f ca="1">IF($B$899="Лікар загальної практики - сімейний лікар",IF(Z903&lt;=Законод!$C$22,X903,Законод!$C$22*'01_Доходи'!X902),IF($B$899="Лікар-педіатр","x",IF($B$899="Лікар-терапевт",IF(Z903&lt;=Законод!$C$26,X903,Законод!$C$26*'01_Доходи'!X902),0)))</f>
        <v>0</v>
      </c>
      <c r="Y904" s="208">
        <f ca="1">IF($B$899="Лікар загальної практики - сімейний лікар",IF(Z903&lt;=Законод!$C$22,Y903,Законод!$C$22*'01_Доходи'!Y902),IF($B$899="Лікар-педіатр","x",IF($B$899="Лікар-терапевт",IF(Z903&lt;=Законод!$C$26,Y903,Законод!$C$26*'01_Доходи'!Y902),0)))</f>
        <v>0</v>
      </c>
      <c r="Z904" s="209">
        <f ca="1">SUM(U904:Y904)</f>
        <v>0</v>
      </c>
      <c r="AA904" s="942"/>
      <c r="AB904" s="208">
        <f ca="1">IF($B$899="Лікар загальної практики - сімейний лікар",IF(AG903&lt;=Законод!$C$22,AB903,Законод!$C$22*'01_Доходи'!AB902),IF($B$899="Лікар-педіатр",IF(AG903&lt;=Законод!$C$18,AB903,Законод!$C$18*'01_Доходи'!AB902),IF($B$899="Лікар-терапевт","x",0)))</f>
        <v>0</v>
      </c>
      <c r="AC904" s="208">
        <f ca="1">IF($B$899="Лікар загальної практики - сімейний лікар",IF(AG903&lt;=Законод!$C$22,AC903,Законод!$C$22*'01_Доходи'!AC902),IF($B$899="Лікар-педіатр",IF(AG903&lt;=Законод!$C$18,AC903,Законод!$C$18*'01_Доходи'!AC902),IF($B$899="Лікар-терапевт","x",0)))</f>
        <v>0</v>
      </c>
      <c r="AD904" s="208">
        <f ca="1">IF($B$899="Лікар загальної практики - сімейний лікар",IF(AG903&lt;=Законод!$C$22,AD903,Законод!$C$22*'01_Доходи'!AD902),IF($B$899="Лікар-педіатр","x",IF($B$899="Лікар-терапевт",IF(AG903&lt;=Законод!$C$26,AD903,Законод!$C$26*'01_Доходи'!AD902),0)))</f>
        <v>0</v>
      </c>
      <c r="AE904" s="208">
        <f ca="1">IF($B$899="Лікар загальної практики - сімейний лікар",IF(AG903&lt;=Законод!$C$22,AE903,Законод!$C$22*'01_Доходи'!AE902),IF($B$899="Лікар-педіатр","x",IF($B$899="Лікар-терапевт",IF(AG903&lt;=Законод!$C$26,AE903,Законод!$C$26*'01_Доходи'!AE902),0)))</f>
        <v>0</v>
      </c>
      <c r="AF904" s="208">
        <f ca="1">IF($B$899="Лікар загальної практики - сімейний лікар",IF(AG903&lt;=Законод!$C$22,AF903,Законод!$C$22*'01_Доходи'!AF902),IF($B$899="Лікар-педіатр","x",IF($B$899="Лікар-терапевт",IF(AG903&lt;=Законод!$C$26,AF903,Законод!$C$26*'01_Доходи'!AF902),0)))</f>
        <v>0</v>
      </c>
      <c r="AG904" s="209">
        <f ca="1">SUM(AB904:AF904)</f>
        <v>0</v>
      </c>
      <c r="AH904" s="942"/>
      <c r="AI904" s="201"/>
      <c r="AJ904" s="945"/>
      <c r="AK904" s="960"/>
      <c r="AL904" s="960"/>
      <c r="AM904" s="348" t="s">
        <v>451</v>
      </c>
      <c r="AN904" s="210">
        <f ca="1">IF(B899="Лікар загальної практики - сімейний лікар",G904*Законод!$C$11+'01_Доходи'!H904*Законод!$D$11+'01_Доходи'!I904*Законод!$E$11+'01_Доходи'!J904*Законод!$F$11+'01_Доходи'!K904*Законод!$G$11,IF(B899="Лікар-педіатр",G904*Законод!$C$11+'01_Доходи'!H904*Законод!$D$11,IF(B899="Лікар-терапевт",'01_Доходи'!I904*Законод!$E$11+'01_Доходи'!J904*Законод!$F$11+'01_Доходи'!K904*Законод!$G$11,0)))</f>
        <v>0</v>
      </c>
      <c r="AO904" s="210">
        <f ca="1">IF(B899="Лікар загальної практики - сімейний лікар",N904*Законод!$C$11+'01_Доходи'!O904*Законод!$D$11+'01_Доходи'!P904*Законод!$E$11+'01_Доходи'!Q904*Законод!$F$11+'01_Доходи'!R904*Законод!$G$11,IF(B899="Лікар-педіатр",N904*Законод!$C$11+'01_Доходи'!O904*Законод!$D$11,IF(B899="Лікар-терапевт",'01_Доходи'!P904*Законод!$E$11+'01_Доходи'!Q904*Законод!$F$11+'01_Доходи'!R904*Законод!$G$11,0)))</f>
        <v>0</v>
      </c>
      <c r="AP904" s="210">
        <f ca="1">IF(B899="Лікар загальної практики - сімейний лікар",U904*Законод!$C$11+'01_Доходи'!V904*Законод!$D$11+'01_Доходи'!W904*Законод!$E$11+'01_Доходи'!X904*Законод!$F$11+'01_Доходи'!Y904*Законод!$G$11,IF(B899="Лікар-педіатр",U904*Законод!$C$11+'01_Доходи'!V904*Законод!$D$11,IF(B899="Лікар-терапевт",'01_Доходи'!W904*Законод!$E$11+'01_Доходи'!X904*Законод!$F$11+'01_Доходи'!Y904*Законод!$G$11,0)))</f>
        <v>0</v>
      </c>
      <c r="AQ904" s="210">
        <f ca="1">IF(B899="Лікар загальної практики - сімейний лікар",AB904*Законод!$C$11+'01_Доходи'!AC904*Законод!$D$11+'01_Доходи'!AD904*Законод!$E$11+'01_Доходи'!AE904*Законод!$F$11+'01_Доходи'!AF904*Законод!$G$11,IF(B899="Лікар-педіатр",AB904*Законод!$C$11+'01_Доходи'!AC904*Законод!$D$11,IF(B899="Лікар-терапевт",'01_Доходи'!AD904*Законод!$E$11+'01_Доходи'!AE904*Законод!$F$11+'01_Доходи'!AF904*Законод!$G$11,0)))</f>
        <v>0</v>
      </c>
      <c r="AR904" s="211">
        <f t="shared" ref="AR904:AR910" si="109">SUM(AN904:AQ904)</f>
        <v>0</v>
      </c>
    </row>
    <row r="905" spans="1:44" s="50" customFormat="1" ht="31.9" hidden="1" customHeight="1">
      <c r="A905" s="197"/>
      <c r="B905" s="951"/>
      <c r="C905" s="954"/>
      <c r="D905" s="957"/>
      <c r="E905" s="939"/>
      <c r="F905" s="238" t="str">
        <f ca="1">IF(B899="Лікар-педіатр",Законод!$E$17,IF(B899="Лікар загальної практики - сімейний лікар",Законод!$E$21,IF(B899="Лікар-терапевт",Законод!$E$25,"х")))</f>
        <v>х</v>
      </c>
      <c r="G905" s="935" t="s">
        <v>423</v>
      </c>
      <c r="H905" s="936"/>
      <c r="I905" s="936"/>
      <c r="J905" s="936"/>
      <c r="K905" s="937"/>
      <c r="L905" s="196">
        <f ca="1">IF($B$899="Лікар загальної практики - сімейний лікар",IF(L903&lt;Законод!$C$22,0,(IF(AND(L903&gt;=Законод!$E$22,L903&lt;=Законод!$E$23),L903-Законод!$C$22,IF('01_Доходи'!L903&gt;=Законод!$F$22,Законод!$E$24,0)))),IF($B$899="Лікар-педіатр",IF(L903&lt;Законод!$C$18,0,(IF(AND(L903&gt;=Законод!$E$18,L903&lt;=Законод!$E$19),L903-Законод!$C$18,IF('01_Доходи'!L903&gt;=Законод!$F$18,Законод!$E$20,0)))),IF($B$899="Лікар-терапевт",IF(L903&lt;Законод!$C$26,0,(IF(AND(L903&gt;=Законод!$E$26,L903&lt;=Законод!$E$27),L903-Законод!$C$26,IF('01_Доходи'!L903&gt;=Законод!$F$26,Законод!$E$28,0)))),0)))</f>
        <v>0</v>
      </c>
      <c r="M905" s="942"/>
      <c r="N905" s="935" t="s">
        <v>423</v>
      </c>
      <c r="O905" s="936"/>
      <c r="P905" s="936"/>
      <c r="Q905" s="936"/>
      <c r="R905" s="937"/>
      <c r="S905" s="196">
        <f ca="1">IF($B$899="Лікар загальної практики - сімейний лікар",IF(S903&lt;Законод!$C$22,0,(IF(AND(S903&gt;=Законод!$E$22,S903&lt;=Законод!$E$23),S903-Законод!$C$22,IF('01_Доходи'!S903&gt;=Законод!$F$22,Законод!$E$24,0)))),IF($B$899="Лікар-педіатр",IF(S903&lt;Законод!$C$18,0,(IF(AND(S903&gt;=Законод!$E$18,S903&lt;=Законод!$E$19),S903-Законод!$C$18,IF('01_Доходи'!S903&gt;=Законод!$F$18,Законод!$E$20,0)))),IF($B$899="Лікар-терапевт",IF(S903&lt;Законод!$C$26,0,(IF(AND(S903&gt;=Законод!$E$26,S903&lt;=Законод!$E$27),S903-Законод!$C$26,IF('01_Доходи'!S903&gt;=Законод!$F$26,Законод!$E$28,0)))),0)))</f>
        <v>0</v>
      </c>
      <c r="T905" s="942"/>
      <c r="U905" s="935" t="s">
        <v>423</v>
      </c>
      <c r="V905" s="936"/>
      <c r="W905" s="936"/>
      <c r="X905" s="936"/>
      <c r="Y905" s="937"/>
      <c r="Z905" s="196">
        <f ca="1">IF($B$899="Лікар загальної практики - сімейний лікар",IF(Z903&lt;Законод!$C$22,0,(IF(AND(Z903&gt;=Законод!$E$22,Z903&lt;=Законод!$E$23),Z903-Законод!$C$22,IF('01_Доходи'!Z903&gt;=Законод!$F$22,Законод!$E$24,0)))),IF($B$899="Лікар-педіатр",IF(Z903&lt;Законод!$C$18,0,(IF(AND(Z903&gt;=Законод!$E$18,Z903&lt;=Законод!$E$19),Z903-Законод!$C$18,IF('01_Доходи'!Z903&gt;=Законод!$F$18,Законод!$E$20,0)))),IF($B$899="Лікар-терапевт",IF(Z903&lt;Законод!$C$26,0,(IF(AND(Z903&gt;=Законод!$E$26,Z903&lt;=Законод!$E$27),Z903-Законод!$C$26,IF('01_Доходи'!Z903&gt;=Законод!$F$26,Законод!$E$28,0)))),0)))</f>
        <v>0</v>
      </c>
      <c r="AA905" s="942"/>
      <c r="AB905" s="935" t="s">
        <v>423</v>
      </c>
      <c r="AC905" s="936"/>
      <c r="AD905" s="936"/>
      <c r="AE905" s="936"/>
      <c r="AF905" s="937"/>
      <c r="AG905" s="196">
        <f ca="1">IF($B$899="Лікар загальної практики - сімейний лікар",IF(AG903&lt;Законод!$C$22,0,(IF(AND(AG903&gt;=Законод!$E$22,AG903&lt;=Законод!$E$23),AG903-Законод!$C$22,IF('01_Доходи'!AG903&gt;=Законод!$F$22,Законод!$E$24,0)))),IF($B$899="Лікар-педіатр",IF(AG903&lt;Законод!$C$18,0,(IF(AND(AG903&gt;=Законод!$E$18,AG903&lt;=Законод!$E$19),AG903-Законод!$C$18,IF('01_Доходи'!AG903&gt;=Законод!$F$18,Законод!$E$20,0)))),IF($B$899="Лікар-терапевт",IF(AG903&lt;Законод!$C$26,0,(IF(AND(AG903&gt;=Законод!$E$26,AG903&lt;=Законод!$E$27),AG903-Законод!$C$26,IF('01_Доходи'!AG903&gt;=Законод!$F$26,Законод!$E$28,0)))),0)))</f>
        <v>0</v>
      </c>
      <c r="AH905" s="942"/>
      <c r="AI905" s="201"/>
      <c r="AJ905" s="945"/>
      <c r="AK905" s="960"/>
      <c r="AL905" s="960"/>
      <c r="AM905" s="926" t="s">
        <v>452</v>
      </c>
      <c r="AN905" s="210">
        <f ca="1">IF(B899="Лікар загальної практики - сімейний лікар",L905*Законод!$C$9/4*Законод!$E$16,IF(B899="Лікар-педіатр",L905*Законод!$C$9/4*Законод!$E$16,IF(B899="Лікар-терапевт",L905*Законод!$C$9/4*Законод!$E$16,0)))</f>
        <v>0</v>
      </c>
      <c r="AO905" s="210">
        <f ca="1">IF(B899="Лікар загальної практики - сімейний лікар",S905*Законод!$C$9/4*Законод!$E$16,IF(B899="Лікар-педіатр",S905*Законод!$C$9/4*Законод!$E$16,IF(B899="Лікар-терапевт",S905*Законод!$C$9/4*Законод!$E$16,0)))</f>
        <v>0</v>
      </c>
      <c r="AP905" s="210">
        <f ca="1">IF(B899="Лікар загальної практики - сімейний лікар",Z905*Законод!$C$9/4*Законод!$E$16,IF(B899="Лікар-педіатр",Z905*Законод!$C$9/4*Законод!$E$16,IF(B899="Лікар-терапевт",Z905*Законод!$C$9/4*Законод!$E$16,0)))</f>
        <v>0</v>
      </c>
      <c r="AQ905" s="210">
        <f ca="1">IF(B899="Лікар загальної практики - сімейний лікар",AG905*Законод!$C$9/4*Законод!$E$16,IF(B899="Лікар-педіатр",AG905*Законод!$C$9/4*Законод!$E$16,IF(B899="Лікар-терапевт",AG905*Законод!$C$9/4*Законод!$E$16,0)))</f>
        <v>0</v>
      </c>
      <c r="AR905" s="211">
        <f t="shared" si="109"/>
        <v>0</v>
      </c>
    </row>
    <row r="906" spans="1:44" s="50" customFormat="1" ht="31.9" hidden="1" customHeight="1">
      <c r="A906" s="197"/>
      <c r="B906" s="951"/>
      <c r="C906" s="954"/>
      <c r="D906" s="957"/>
      <c r="E906" s="939"/>
      <c r="F906" s="238" t="str">
        <f ca="1">IF(B899="Лікар-педіатр",Законод!$F$17,IF(B899="Лікар загальної практики - сімейний лікар",Законод!$F$21,IF(B899="Лікар-терапевт",Законод!$F$25,"х")))</f>
        <v>х</v>
      </c>
      <c r="G906" s="935" t="s">
        <v>423</v>
      </c>
      <c r="H906" s="936"/>
      <c r="I906" s="936"/>
      <c r="J906" s="936"/>
      <c r="K906" s="937"/>
      <c r="L906" s="196">
        <f ca="1">IF($B$899="Лікар загальної практики - сімейний лікар",IF(L903&lt;Законод!$C$22,0,(IF(AND(L903&gt;=Законод!$F$22,L903&lt;=Законод!$F$23),L903-Законод!$E$23,IF('01_Доходи'!L903&gt;=Законод!$G$22,Законод!$F$24,0)))),IF($B$899="Лікар-педіатр",IF(L903&lt;Законод!$C$18,0,(IF(AND(L903&gt;=Законод!$F$18,L903&lt;=Законод!$F$19),L903-Законод!$E$19,IF('01_Доходи'!L903&gt;=Законод!$G$18,Законод!$F$20,0)))),IF($B$899="Лікар-терапевт",IF(L903&lt;Законод!$C$26,0,(IF(AND(L903&gt;=Законод!$F$26,L903&lt;=Законод!$F$27),L903-Законод!$E$27,IF('01_Доходи'!L903&gt;=Законод!$G$26,Законод!$F$28,0)))),0)))</f>
        <v>0</v>
      </c>
      <c r="M906" s="942"/>
      <c r="N906" s="935" t="s">
        <v>423</v>
      </c>
      <c r="O906" s="936"/>
      <c r="P906" s="936"/>
      <c r="Q906" s="936"/>
      <c r="R906" s="937"/>
      <c r="S906" s="196">
        <f ca="1">IF($B$899="Лікар загальної практики - сімейний лікар",IF(S903&lt;Законод!$C$22,0,(IF(AND(S903&gt;=Законод!$F$22,S903&lt;=Законод!$F$23),S903-Законод!$E$23,IF('01_Доходи'!S903&gt;=Законод!$G$22,Законод!$F$24,0)))),IF($B$899="Лікар-педіатр",IF(S903&lt;Законод!$C$18,0,(IF(AND(S903&gt;=Законод!$F$18,S903&lt;=Законод!$F$19),S903-Законод!$E$19,IF('01_Доходи'!S903&gt;=Законод!$G$18,Законод!$F$20,0)))),IF($B$899="Лікар-терапевт",IF(S903&lt;Законод!$C$26,0,(IF(AND(S903&gt;=Законод!$F$26,S903&lt;=Законод!$F$27),S903-Законод!$E$27,IF('01_Доходи'!S903&gt;=Законод!$G$26,Законод!$F$28,0)))),0)))</f>
        <v>0</v>
      </c>
      <c r="T906" s="942"/>
      <c r="U906" s="935" t="s">
        <v>423</v>
      </c>
      <c r="V906" s="936"/>
      <c r="W906" s="936"/>
      <c r="X906" s="936"/>
      <c r="Y906" s="937"/>
      <c r="Z906" s="196">
        <f ca="1">IF($B$899="Лікар загальної практики - сімейний лікар",IF(Z903&lt;Законод!$C$22,0,(IF(AND(Z903&gt;=Законод!$F$22,Z903&lt;=Законод!$F$23),Z903-Законод!$E$23,IF('01_Доходи'!Z903&gt;=Законод!$G$22,Законод!$F$24,0)))),IF($B$899="Лікар-педіатр",IF(Z903&lt;Законод!$C$18,0,(IF(AND(Z903&gt;=Законод!$F$18,Z903&lt;=Законод!$F$19),Z903-Законод!$E$19,IF('01_Доходи'!Z903&gt;=Законод!$G$18,Законод!$F$20,0)))),IF($B$899="Лікар-терапевт",IF(Z903&lt;Законод!$C$26,0,(IF(AND(Z903&gt;=Законод!$F$26,Z903&lt;=Законод!$F$27),Z903-Законод!$E$27,IF('01_Доходи'!Z903&gt;=Законод!$G$26,Законод!$F$28,0)))),0)))</f>
        <v>0</v>
      </c>
      <c r="AA906" s="942"/>
      <c r="AB906" s="935" t="s">
        <v>423</v>
      </c>
      <c r="AC906" s="936"/>
      <c r="AD906" s="936"/>
      <c r="AE906" s="936"/>
      <c r="AF906" s="937"/>
      <c r="AG906" s="196">
        <f ca="1">IF($B$899="Лікар загальної практики - сімейний лікар",IF(AG903&lt;Законод!$C$22,0,(IF(AND(AG903&gt;=Законод!$F$22,AG903&lt;=Законод!$F$23),AG903-Законод!$E$23,IF('01_Доходи'!AG903&gt;=Законод!$G$22,Законод!$F$24,0)))),IF($B$899="Лікар-педіатр",IF(AG903&lt;Законод!$C$18,0,(IF(AND(AG903&gt;=Законод!$F$18,AG903&lt;=Законод!$F$19),AG903-Законод!$E$19,IF('01_Доходи'!AG903&gt;=Законод!$G$18,Законод!$F$20,0)))),IF($B$899="Лікар-терапевт",IF(AG903&lt;Законод!$C$26,0,(IF(AND(AG903&gt;=Законод!$F$26,AG903&lt;=Законод!$F$27),AG903-Законод!$E$27,IF('01_Доходи'!AG903&gt;=Законод!$G$26,Законод!$F$28,0)))),0)))</f>
        <v>0</v>
      </c>
      <c r="AH906" s="942"/>
      <c r="AI906" s="201"/>
      <c r="AJ906" s="945"/>
      <c r="AK906" s="960"/>
      <c r="AL906" s="960"/>
      <c r="AM906" s="927"/>
      <c r="AN906" s="210">
        <f ca="1">IF(B899="Лікар загальної практики - сімейний лікар",L906*Законод!$C$9/4*Законод!$F$16,IF(B899="Лікар-педіатр",L906*Законод!$C$9/4*Законод!$F$16,IF(B899="Лікар-терапевт",L906*Законод!$C$9/4*Законод!$F$16,0)))</f>
        <v>0</v>
      </c>
      <c r="AO906" s="210">
        <f ca="1">IF(B899="Лікар загальної практики - сімейний лікар",S906*Законод!$C$9/4*Законод!$F$16,IF(B899="Лікар-педіатр",S906*Законод!$C$9/4*Законод!$F$16,IF(B899="Лікар-терапевт",S906*Законод!$C$9/4*Законод!$F$16,0)))</f>
        <v>0</v>
      </c>
      <c r="AP906" s="210">
        <f ca="1">IF(B899="Лікар загальної практики - сімейний лікар",Z906*Законод!$C$9/4*Законод!$F$16,IF(B899="Лікар-педіатр",Z906*Законод!$C$9/4*Законод!$F$16,IF(B899="Лікар-терапевт",Z906*Законод!$C$9/4*Законод!$F$16,0)))</f>
        <v>0</v>
      </c>
      <c r="AQ906" s="210">
        <f ca="1">IF(B899="Лікар загальної практики - сімейний лікар",AG906*Законод!$C$9/4*Законод!$F$16,IF(B899="Лікар-педіатр",AG906*Законод!$C$9/4*Законод!$F$16,IF(B899="Лікар-терапевт",AG906*Законод!$C$9/4*Законод!$F$16,0)))</f>
        <v>0</v>
      </c>
      <c r="AR906" s="211">
        <f t="shared" si="109"/>
        <v>0</v>
      </c>
    </row>
    <row r="907" spans="1:44" s="50" customFormat="1" ht="31.9" hidden="1" customHeight="1">
      <c r="A907" s="197"/>
      <c r="B907" s="951"/>
      <c r="C907" s="954"/>
      <c r="D907" s="957"/>
      <c r="E907" s="939"/>
      <c r="F907" s="238" t="str">
        <f ca="1">IF(B899="Лікар-педіатр",Законод!$G$17,IF(B899="Лікар загальної практики - сімейний лікар",Законод!$G$21,IF(B899="Лікар-терапевт",Законод!$G$25,"х")))</f>
        <v>х</v>
      </c>
      <c r="G907" s="935" t="s">
        <v>423</v>
      </c>
      <c r="H907" s="936"/>
      <c r="I907" s="936"/>
      <c r="J907" s="936"/>
      <c r="K907" s="937"/>
      <c r="L907" s="196">
        <f ca="1">IF($B$899="Лікар загальної практики - сімейний лікар",IF(L903&lt;Законод!$C$22,0,(IF(AND(L903&gt;=Законод!$G$22,L903&lt;=Законод!$G$23),L903-Законод!$F$23,IF('01_Доходи'!L903&gt;=Законод!$H$22,Законод!$G$24,0)))),IF($B$899="Лікар-педіатр",IF(L903&lt;Законод!$C$18,0,(IF(AND(L903&gt;=Законод!$G$18,L903&lt;=Законод!$G$19),L903-Законод!$F$19,IF('01_Доходи'!L903&gt;=Законод!$H$18,Законод!$G$20,0)))),IF($B$899="Лікар-терапевт",IF(L903&lt;Законод!$C$26,0,(IF(AND(L903&gt;=Законод!$G$26,L903&lt;=Законод!$G$27),L903-Законод!$F$27,IF('01_Доходи'!L903&gt;=Законод!$H$26,Законод!$G$28,0)))),0)))</f>
        <v>0</v>
      </c>
      <c r="M907" s="942"/>
      <c r="N907" s="935" t="s">
        <v>423</v>
      </c>
      <c r="O907" s="936"/>
      <c r="P907" s="936"/>
      <c r="Q907" s="936"/>
      <c r="R907" s="937"/>
      <c r="S907" s="196">
        <f ca="1">IF($B$899="Лікар загальної практики - сімейний лікар",IF(S903&lt;Законод!$C$22,0,(IF(AND(S903&gt;=Законод!$G$22,S903&lt;=Законод!$G$23),S903-Законод!$F$23,IF('01_Доходи'!S903&gt;=Законод!$H$22,Законод!$G$24,0)))),IF($B$899="Лікар-педіатр",IF(S903&lt;Законод!$C$18,0,(IF(AND(S903&gt;=Законод!$G$18,S903&lt;=Законод!$G$19),S903-Законод!$F$19,IF('01_Доходи'!S903&gt;=Законод!$H$18,Законод!$G$20,0)))),IF($B$899="Лікар-терапевт",IF(S903&lt;Законод!$C$26,0,(IF(AND(S903&gt;=Законод!$G$26,S903&lt;=Законод!$G$27),S903-Законод!$F$27,IF('01_Доходи'!S903&gt;=Законод!$H$26,Законод!$G$28,0)))),0)))</f>
        <v>0</v>
      </c>
      <c r="T907" s="942"/>
      <c r="U907" s="935" t="s">
        <v>423</v>
      </c>
      <c r="V907" s="936"/>
      <c r="W907" s="936"/>
      <c r="X907" s="936"/>
      <c r="Y907" s="937"/>
      <c r="Z907" s="196">
        <f ca="1">IF($B$899="Лікар загальної практики - сімейний лікар",IF(Z903&lt;Законод!$C$22,0,(IF(AND(Z903&gt;=Законод!$G$22,Z903&lt;=Законод!$G$23),Z903-Законод!$F$23,IF('01_Доходи'!Z903&gt;=Законод!$H$22,Законод!$G$24,0)))),IF($B$899="Лікар-педіатр",IF(Z903&lt;Законод!$C$18,0,(IF(AND(Z903&gt;=Законод!$G$18,Z903&lt;=Законод!$G$19),Z903-Законод!$F$19,IF('01_Доходи'!Z903&gt;=Законод!$H$18,Законод!$G$20,0)))),IF($B$899="Лікар-терапевт",IF(Z903&lt;Законод!$C$26,0,(IF(AND(Z903&gt;=Законод!$G$26,Z903&lt;=Законод!$G$27),Z903-Законод!$F$27,IF('01_Доходи'!Z903&gt;=Законод!$H$26,Законод!$G$28,0)))),0)))</f>
        <v>0</v>
      </c>
      <c r="AA907" s="942"/>
      <c r="AB907" s="935" t="s">
        <v>423</v>
      </c>
      <c r="AC907" s="936"/>
      <c r="AD907" s="936"/>
      <c r="AE907" s="936"/>
      <c r="AF907" s="937"/>
      <c r="AG907" s="196">
        <f ca="1">IF($B$899="Лікар загальної практики - сімейний лікар",IF(AG903&lt;Законод!$C$22,0,(IF(AND(AG903&gt;=Законод!$G$22,AG903&lt;=Законод!$G$23),AG903-Законод!$F$23,IF('01_Доходи'!AG903&gt;=Законод!$H$22,Законод!$G$24,0)))),IF($B$899="Лікар-педіатр",IF(AG903&lt;Законод!$C$18,0,(IF(AND(AG903&gt;=Законод!$G$18,AG903&lt;=Законод!$G$19),AG903-Законод!$F$19,IF('01_Доходи'!AG903&gt;=Законод!$H$18,Законод!$G$20,0)))),IF($B$899="Лікар-терапевт",IF(AG903&lt;Законод!$C$26,0,(IF(AND(AG903&gt;=Законод!$G$26,AG903&lt;=Законод!$G$27),AG903-Законод!$F$27,IF('01_Доходи'!AG903&gt;=Законод!$H$26,Законод!$G$28,0)))),0)))</f>
        <v>0</v>
      </c>
      <c r="AH907" s="942"/>
      <c r="AI907" s="201"/>
      <c r="AJ907" s="945"/>
      <c r="AK907" s="960"/>
      <c r="AL907" s="960"/>
      <c r="AM907" s="927"/>
      <c r="AN907" s="210">
        <f ca="1">IF(B899="Лікар загальної практики - сімейний лікар",L907*Законод!$C$9/4*Законод!$G$16,IF(B899="Лікар-педіатр",L907*Законод!$C$9/4*Законод!$G$16,IF(B899="Лікар-терапевт",L907*Законод!$C$9/4*Законод!$G$16,0)))</f>
        <v>0</v>
      </c>
      <c r="AO907" s="210">
        <f ca="1">IF(B899="Лікар загальної практики - сімейний лікар",S907*Законод!$C$9/4*Законод!$G$16,IF(B899="Лікар-педіатр",S907*Законод!$C$9/4*Законод!$G$16,IF(B899="Лікар-терапевт",S907*Законод!$C$9/4*Законод!$G$16,0)))</f>
        <v>0</v>
      </c>
      <c r="AP907" s="210">
        <f ca="1">IF(B899="Лікар загальної практики - сімейний лікар",Z907*Законод!$C$9/4*Законод!$G$16,IF(B899="Лікар-педіатр",Z907*Законод!$C$9/4*Законод!$G$16,IF(B899="Лікар-терапевт",Z907*Законод!$C$9/4*Законод!$G$16,0)))</f>
        <v>0</v>
      </c>
      <c r="AQ907" s="210">
        <f ca="1">IF(B899="Лікар загальної практики - сімейний лікар",AG907*Законод!$C$9/4*Законод!$G$16,IF(B899="Лікар-педіатр",AG907*Законод!$C$9/4*Законод!$G$16,IF(B899="Лікар-терапевт",AG907*Законод!$C$9/4*Законод!$G$16,0)))</f>
        <v>0</v>
      </c>
      <c r="AR907" s="211">
        <f t="shared" si="109"/>
        <v>0</v>
      </c>
    </row>
    <row r="908" spans="1:44" s="50" customFormat="1" ht="31.9" hidden="1" customHeight="1">
      <c r="A908" s="197"/>
      <c r="B908" s="951"/>
      <c r="C908" s="954"/>
      <c r="D908" s="957"/>
      <c r="E908" s="939"/>
      <c r="F908" s="238" t="str">
        <f ca="1">IF(B899="Лікар-педіатр",Законод!$H$17,IF(B899="Лікар загальної практики - сімейний лікар",Законод!$H$21,IF(B899="Лікар-терапевт",Законод!$H$25,"х")))</f>
        <v>х</v>
      </c>
      <c r="G908" s="935" t="s">
        <v>423</v>
      </c>
      <c r="H908" s="936"/>
      <c r="I908" s="936"/>
      <c r="J908" s="936"/>
      <c r="K908" s="937"/>
      <c r="L908" s="196">
        <f ca="1">IF($B$899="Лікар загальної практики - сімейний лікар",IF(L903&lt;Законод!$C$22,0,(IF(AND(L903&gt;=Законод!$H$22,L903&lt;=Законод!$H$23),L903-Законод!$G$23,IF('01_Доходи'!L903&gt;=Законод!$I$22,Законод!$H$24,0)))),IF($B$899="Лікар-педіатр",IF(L903&lt;Законод!$C$18,0,(IF(AND(L903&gt;=Законод!$H$18,L903&lt;=Законод!$H$19),L903-Законод!$G$19,IF('01_Доходи'!L903&gt;=Законод!$I$18,Законод!$H$20,0)))),IF($B$899="Лікар-терапевт",IF(L903&lt;Законод!$C$26,0,(IF(AND(L903&gt;=Законод!$H$26,L903&lt;=Законод!$H$27),L903-Законод!$G$27,IF(L903&gt;=Законод!$I$26,Законод!$H$28,0)))),0)))</f>
        <v>0</v>
      </c>
      <c r="M908" s="942"/>
      <c r="N908" s="935" t="s">
        <v>423</v>
      </c>
      <c r="O908" s="936"/>
      <c r="P908" s="936"/>
      <c r="Q908" s="936"/>
      <c r="R908" s="937"/>
      <c r="S908" s="196">
        <f ca="1">IF($B$899="Лікар загальної практики - сімейний лікар",IF(S903&lt;Законод!$C$22,0,(IF(AND(S903&gt;=Законод!$H$22,S903&lt;=Законод!$H$23),S903-Законод!$G$23,IF('01_Доходи'!S903&gt;=Законод!$I$22,Законод!$H$24,0)))),IF($B$899="Лікар-педіатр",IF(S903&lt;Законод!$C$18,0,(IF(AND(S903&gt;=Законод!$H$18,S903&lt;=Законод!$H$19),S903-Законод!$G$19,IF('01_Доходи'!S903&gt;=Законод!$I$18,Законод!$H$20,0)))),IF($B$899="Лікар-терапевт",IF(S903&lt;Законод!$C$26,0,(IF(AND(S903&gt;=Законод!$H$26,S903&lt;=Законод!$H$27),S903-Законод!$G$27,IF(S903&gt;=Законод!$I$26,Законод!$H$28,0)))),0)))</f>
        <v>0</v>
      </c>
      <c r="T908" s="942"/>
      <c r="U908" s="935" t="s">
        <v>423</v>
      </c>
      <c r="V908" s="936"/>
      <c r="W908" s="936"/>
      <c r="X908" s="936"/>
      <c r="Y908" s="937"/>
      <c r="Z908" s="196">
        <f ca="1">IF($B$899="Лікар загальної практики - сімейний лікар",IF(Z903&lt;Законод!$C$22,0,(IF(AND(Z903&gt;=Законод!$H$22,Z903&lt;=Законод!$H$23),Z903-Законод!$G$23,IF('01_Доходи'!Z903&gt;=Законод!$I$22,Законод!$H$24,0)))),IF($B$899="Лікар-педіатр",IF(Z903&lt;Законод!$C$18,0,(IF(AND(Z903&gt;=Законод!$H$18,Z903&lt;=Законод!$H$19),Z903-Законод!$G$19,IF('01_Доходи'!Z903&gt;=Законод!$I$18,Законод!$H$20,0)))),IF($B$899="Лікар-терапевт",IF(Z903&lt;Законод!$C$26,0,(IF(AND(Z903&gt;=Законод!$H$26,Z903&lt;=Законод!$H$27),Z903-Законод!$G$27,IF(Z903&gt;=Законод!$I$26,Законод!$H$28,0)))),0)))</f>
        <v>0</v>
      </c>
      <c r="AA908" s="942"/>
      <c r="AB908" s="935" t="s">
        <v>423</v>
      </c>
      <c r="AC908" s="936"/>
      <c r="AD908" s="936"/>
      <c r="AE908" s="936"/>
      <c r="AF908" s="937"/>
      <c r="AG908" s="196">
        <f ca="1">IF($B$899="Лікар загальної практики - сімейний лікар",IF(AG903&lt;Законод!$C$22,0,(IF(AND(AG903&gt;=Законод!$H$22,AG903&lt;=Законод!$H$23),AG903-Законод!$G$23,IF('01_Доходи'!AG903&gt;=Законод!$I$22,Законод!$H$24,0)))),IF($B$899="Лікар-педіатр",IF(AG903&lt;Законод!$C$18,0,(IF(AND(AG903&gt;=Законод!$H$18,AG903&lt;=Законод!$H$19),AG903-Законод!$G$19,IF('01_Доходи'!AG903&gt;=Законод!$I$18,Законод!$H$20,0)))),IF($B$899="Лікар-терапевт",IF(AG903&lt;Законод!$C$26,0,(IF(AND(AG903&gt;=Законод!$H$26,AG903&lt;=Законод!$H$27),AG903-Законод!$G$27,IF(AG903&gt;=Законод!$I$26,Законод!$H$28,0)))),0)))</f>
        <v>0</v>
      </c>
      <c r="AH908" s="942"/>
      <c r="AI908" s="201"/>
      <c r="AJ908" s="945"/>
      <c r="AK908" s="960"/>
      <c r="AL908" s="960"/>
      <c r="AM908" s="927"/>
      <c r="AN908" s="210">
        <f ca="1">IF(B899="Лікар загальної практики - сімейний лікар",L908*Законод!$C$9/4*Законод!$H$16,IF(B899="Лікар-педіатр",L908*Законод!$C$9/4*Законод!$H$16,IF(B899="Лікар-терапевт",L908*Законод!$C$9/4*Законод!$H$16,0)))</f>
        <v>0</v>
      </c>
      <c r="AO908" s="210">
        <f ca="1">IF(B899="Лікар загальної практики - сімейний лікар",S908*Законод!$C$9/4*Законод!$H$16,IF(B899="Лікар-педіатр",S908*Законод!$C$9/4*Законод!$H$16,IF(B899="Лікар-терапевт",S908*Законод!$C$9/4*Законод!$H$16,0)))</f>
        <v>0</v>
      </c>
      <c r="AP908" s="210">
        <f ca="1">IF(B899="Лікар загальної практики - сімейний лікар",Z908*Законод!$C$9/4*Законод!$H$16,IF(B899="Лікар-педіатр",Z908*Законод!$C$9/4*Законод!$H$16,IF(B899="Лікар-терапевт",Z908*Законод!$C$9/4*Законод!$H$16,0)))</f>
        <v>0</v>
      </c>
      <c r="AQ908" s="210">
        <f ca="1">IF(B899="Лікар загальної практики - сімейний лікар",AG908*Законод!$C$9/4*Законод!$H$16,IF(B899="Лікар-педіатр",AG908*Законод!$C$9/4*Законод!$H$16,IF(B899="Лікар-терапевт",AG908*Законод!$C$9/4*Законод!$H$16,0)))</f>
        <v>0</v>
      </c>
      <c r="AR908" s="211">
        <f t="shared" si="109"/>
        <v>0</v>
      </c>
    </row>
    <row r="909" spans="1:44" s="50" customFormat="1" ht="31.9" hidden="1" customHeight="1">
      <c r="A909" s="197"/>
      <c r="B909" s="951"/>
      <c r="C909" s="954"/>
      <c r="D909" s="957"/>
      <c r="E909" s="939"/>
      <c r="F909" s="238" t="str">
        <f ca="1">IF(B899="Лікар-педіатр",Законод!$I$17,IF(B899="Лікар загальної практики - сімейний лікар",Законод!$I$21,IF(B899="Лікар-терапевт",Законод!$I$25,"х")))</f>
        <v>х</v>
      </c>
      <c r="G909" s="935" t="s">
        <v>423</v>
      </c>
      <c r="H909" s="936"/>
      <c r="I909" s="936"/>
      <c r="J909" s="936"/>
      <c r="K909" s="937"/>
      <c r="L909" s="196">
        <f ca="1">IF($B$899="Лікар загальної практики - сімейний лікар",IF(L903&lt;Законод!$C$22,0,(IF(AND(L903&gt;=Законод!$I$22,L903&lt;=Законод!$I$23),L903-Законод!$H$23,IF('01_Доходи'!L903&gt;=Законод!$I$22,Законод!$I$24,0)))),IF($B$899="Лікар-педіатр",IF(L903&lt;Законод!$C$18,0,(IF(AND(L903&gt;=Законод!$I$18,L903&lt;=Законод!$I$19),L903-Законод!$H$19,IF('01_Доходи'!L903&gt;=Законод!$I$18,Законод!$H$20,0)))),IF($B$899="Лікар-терапевт",IF(L903&lt;Законод!$C$26,0,(IF(AND(L903&gt;=Законод!$I$26,L903&lt;=Законод!$I$27),L903-Законод!$H$27,IF('01_Доходи'!L903&gt;=Законод!$I$26,Законод!$H$28,0)))),0)))</f>
        <v>0</v>
      </c>
      <c r="M909" s="942"/>
      <c r="N909" s="935" t="s">
        <v>423</v>
      </c>
      <c r="O909" s="936"/>
      <c r="P909" s="936"/>
      <c r="Q909" s="936"/>
      <c r="R909" s="937"/>
      <c r="S909" s="196">
        <f ca="1">IF($B$899="Лікар загальної практики - сімейний лікар",IF(S903&lt;Законод!$C$22,0,(IF(AND(S903&gt;=Законод!$I$22,S903&lt;=Законод!$I$23),S903-Законод!$H$23,IF('01_Доходи'!S903&gt;=Законод!$I$22,Законод!$I$24,0)))),IF($B$899="Лікар-педіатр",IF(S903&lt;Законод!$C$18,0,(IF(AND(S903&gt;=Законод!$I$18,S903&lt;=Законод!$I$19),S903-Законод!$H$19,IF('01_Доходи'!S903&gt;=Законод!$I$18,Законод!$H$20,0)))),IF($B$899="Лікар-терапевт",IF(S903&lt;Законод!$C$26,0,(IF(AND(S903&gt;=Законод!$I$26,S903&lt;=Законод!$I$27),S903-Законод!$H$27,IF('01_Доходи'!S903&gt;=Законод!$I$26,Законод!$H$28,0)))),0)))</f>
        <v>0</v>
      </c>
      <c r="T909" s="942"/>
      <c r="U909" s="935" t="s">
        <v>423</v>
      </c>
      <c r="V909" s="936"/>
      <c r="W909" s="936"/>
      <c r="X909" s="936"/>
      <c r="Y909" s="937"/>
      <c r="Z909" s="196">
        <f ca="1">IF($B$899="Лікар загальної практики - сімейний лікар",IF(Z903&lt;Законод!$C$22,0,(IF(AND(Z903&gt;=Законод!$I$22,Z903&lt;=Законод!$I$23),Z903-Законод!$H$23,IF('01_Доходи'!Z903&gt;=Законод!$I$22,Законод!$I$24,0)))),IF($B$899="Лікар-педіатр",IF(Z903&lt;Законод!$C$18,0,(IF(AND(Z903&gt;=Законод!$I$18,Z903&lt;=Законод!$I$19),Z903-Законод!$H$19,IF('01_Доходи'!Z903&gt;=Законод!$I$18,Законод!$H$20,0)))),IF($B$899="Лікар-терапевт",IF(Z903&lt;Законод!$C$26,0,(IF(AND(Z903&gt;=Законод!$I$26,Z903&lt;=Законод!$I$27),Z903-Законод!$H$27,IF('01_Доходи'!Z903&gt;=Законод!$I$26,Законод!$H$28,0)))),0)))</f>
        <v>0</v>
      </c>
      <c r="AA909" s="942"/>
      <c r="AB909" s="935" t="s">
        <v>423</v>
      </c>
      <c r="AC909" s="936"/>
      <c r="AD909" s="936"/>
      <c r="AE909" s="936"/>
      <c r="AF909" s="937"/>
      <c r="AG909" s="196">
        <f ca="1">IF($B$899="Лікар загальної практики - сімейний лікар",IF(AG903&lt;Законод!$C$22,0,(IF(AND(AG903&gt;=Законод!$I$22,AG903&lt;=Законод!$I$23),AG903-Законод!$H$23,IF('01_Доходи'!AG903&gt;=Законод!$I$22,Законод!$I$24,0)))),IF($B$899="Лікар-педіатр",IF(AG903&lt;Законод!$C$18,0,(IF(AND(AG903&gt;=Законод!$I$18,AG903&lt;=Законод!$I$19),AG903-Законод!$H$19,IF('01_Доходи'!AG903&gt;=Законод!$I$18,Законод!$H$20,0)))),IF($B$899="Лікар-терапевт",IF(AG903&lt;Законод!$C$26,0,(IF(AND(AG903&gt;=Законод!$I$26,AG903&lt;=Законод!$I$27),AG903-Законод!$H$27,IF('01_Доходи'!AG903&gt;=Законод!$I$26,Законод!$H$28,0)))),0)))</f>
        <v>0</v>
      </c>
      <c r="AH909" s="942"/>
      <c r="AI909" s="201"/>
      <c r="AJ909" s="945"/>
      <c r="AK909" s="960"/>
      <c r="AL909" s="960"/>
      <c r="AM909" s="927"/>
      <c r="AN909" s="210">
        <f ca="1">IF(B899="Лікар загальної практики - сімейний лікар",L909*Законод!$C$9/4*Законод!$I$16,IF(B899="Лікар-педіатр",L909*Законод!$C$9/4*Законод!$I$16,IF(B899="Лікар-терапевт",L909*Законод!$C$9/4*Законод!$I$16,0)))</f>
        <v>0</v>
      </c>
      <c r="AO909" s="210">
        <f ca="1">IF(B899="Лікар загальної практики - сімейний лікар",S909*Законод!$C$9/4*Законод!$I$16,IF(B899="Лікар-педіатр",S909*Законод!$C$9/4*Законод!$I$16,IF(B899="Лікар-терапевт",S909*Законод!$C$9/4*Законод!$I$16,0)))</f>
        <v>0</v>
      </c>
      <c r="AP909" s="210">
        <f ca="1">IF(B899="Лікар загальної практики - сімейний лікар",Z909*Законод!$C$9/4*Законод!$I$16,IF(B899="Лікар-педіатр",Z909*Законод!$C$9/4*Законод!$I$16,IF(B899="Лікар-терапевт",Z909*Законод!$C$9/4*Законод!$I$16,0)))</f>
        <v>0</v>
      </c>
      <c r="AQ909" s="210">
        <f ca="1">IF(B899="Лікар загальної практики - сімейний лікар",AG909*Законод!$C$9/4*Законод!$I$16,IF(B899="Лікар-педіатр",AG909*Законод!$C$9/4*Законод!$I$16,IF(B899="Лікар-терапевт",AG909*Законод!$C$9/4*Законод!$I$16,0)))</f>
        <v>0</v>
      </c>
      <c r="AR909" s="211">
        <f t="shared" si="109"/>
        <v>0</v>
      </c>
    </row>
    <row r="910" spans="1:44" s="218" customFormat="1" ht="31.9" hidden="1" customHeight="1" thickBot="1">
      <c r="A910" s="213"/>
      <c r="B910" s="952"/>
      <c r="C910" s="955"/>
      <c r="D910" s="958"/>
      <c r="E910" s="940"/>
      <c r="F910" s="239" t="str">
        <f ca="1">IF(B899="Лікар-педіатр",Законод!$J$17,IF(B899="Лікар загальної практики - сімейний лікар",Законод!$J$21,IF(B899="Лікар-терапевт",Законод!$J$25,"х")))</f>
        <v>х</v>
      </c>
      <c r="G910" s="932" t="s">
        <v>423</v>
      </c>
      <c r="H910" s="933"/>
      <c r="I910" s="933"/>
      <c r="J910" s="933"/>
      <c r="K910" s="934"/>
      <c r="L910" s="196">
        <f ca="1">IF($B$899="Лікар загальної практики - сімейний лікар",IF(L903&gt;=Законод!$J$22,'01_Доходи'!L903-('01_Доходи'!L904+'01_Доходи'!L905+'01_Доходи'!L906+'01_Доходи'!L907+'01_Доходи'!L908+'01_Доходи'!L909),0),IF($B$899="Лікар-педіатр",IF(L903&gt;=Законод!$J$18,'01_Доходи'!L903-('01_Доходи'!L904+'01_Доходи'!L905+'01_Доходи'!L906+'01_Доходи'!L907+'01_Доходи'!L908+'01_Доходи'!L909),0),IF($B$899="Лікар-терапевт",IF('01_Доходи'!L903&gt;=Законод!$J$26,L903-Законод!$I$27,0),0)))</f>
        <v>0</v>
      </c>
      <c r="M910" s="943"/>
      <c r="N910" s="932" t="s">
        <v>423</v>
      </c>
      <c r="O910" s="933"/>
      <c r="P910" s="933"/>
      <c r="Q910" s="933"/>
      <c r="R910" s="934"/>
      <c r="S910" s="196">
        <f ca="1">IF($B$899="Лікар загальної практики - сімейний лікар",IF(S903&gt;=Законод!$J$22,'01_Доходи'!S903-('01_Доходи'!S904+'01_Доходи'!S905+'01_Доходи'!S906+'01_Доходи'!S907+'01_Доходи'!S908+'01_Доходи'!S909),0),IF($B$899="Лікар-педіатр",IF(S903&gt;=Законод!$J$18,'01_Доходи'!S903-('01_Доходи'!S904+'01_Доходи'!S905+'01_Доходи'!S906+'01_Доходи'!S907+'01_Доходи'!S908+'01_Доходи'!S909),0),IF($B$899="Лікар-терапевт",IF('01_Доходи'!S903&gt;=Законод!$J$26,S903-Законод!$I$27,0),0)))</f>
        <v>0</v>
      </c>
      <c r="T910" s="943"/>
      <c r="U910" s="932" t="s">
        <v>423</v>
      </c>
      <c r="V910" s="933"/>
      <c r="W910" s="933"/>
      <c r="X910" s="933"/>
      <c r="Y910" s="934"/>
      <c r="Z910" s="196">
        <f ca="1">IF($B$899="Лікар загальної практики - сімейний лікар",IF(Z903&gt;=Законод!$J$22,'01_Доходи'!Z903-('01_Доходи'!Z904+'01_Доходи'!Z905+'01_Доходи'!Z906+'01_Доходи'!Z907+'01_Доходи'!Z908+'01_Доходи'!Z909),0),IF($B$899="Лікар-педіатр",IF(Z903&gt;=Законод!$J$18,'01_Доходи'!Z903-('01_Доходи'!Z904+'01_Доходи'!Z905+'01_Доходи'!Z906+'01_Доходи'!Z907+'01_Доходи'!Z908+'01_Доходи'!Z909),0),IF($B$899="Лікар-терапевт",IF('01_Доходи'!Z903&gt;=Законод!$J$26,Z903-Законод!$I$27,0),0)))</f>
        <v>0</v>
      </c>
      <c r="AA910" s="943"/>
      <c r="AB910" s="932" t="s">
        <v>423</v>
      </c>
      <c r="AC910" s="933"/>
      <c r="AD910" s="933"/>
      <c r="AE910" s="933"/>
      <c r="AF910" s="934"/>
      <c r="AG910" s="196">
        <f ca="1">IF($B$899="Лікар загальної практики - сімейний лікар",IF(AG903&gt;=Законод!$J$22,'01_Доходи'!AG903-('01_Доходи'!AG904+'01_Доходи'!AG905+'01_Доходи'!AG906+'01_Доходи'!AG907+'01_Доходи'!AG908+'01_Доходи'!AG909),0),IF($B$899="Лікар-педіатр",IF(AG903&gt;=Законод!$J$18,'01_Доходи'!AG903-('01_Доходи'!AG904+'01_Доходи'!AG905+'01_Доходи'!AG906+'01_Доходи'!AG907+'01_Доходи'!AG908+'01_Доходи'!AG909),0),IF($B$899="Лікар-терапевт",IF('01_Доходи'!AG903&gt;=Законод!$J$26,AG903-Законод!$I$27,0),0)))</f>
        <v>0</v>
      </c>
      <c r="AH910" s="943"/>
      <c r="AI910" s="215"/>
      <c r="AJ910" s="946"/>
      <c r="AK910" s="961"/>
      <c r="AL910" s="961"/>
      <c r="AM910" s="928"/>
      <c r="AN910" s="216">
        <f ca="1">IF(B899="Лікар загальної практики - сімейний лікар",L910*Законод!$C$9/4*Законод!$J$16,IF(B899="Лікар-педіатр",L910*Законод!$C$9/4*Законод!$J$16,IF(B899="Лікар-терапевт",L910*Законод!$C$9/4*Законод!$J$16,0)))</f>
        <v>0</v>
      </c>
      <c r="AO910" s="216">
        <f ca="1">IF(B899="Лікар загальної практики - сімейний лікар",S910*Законод!$C$9/4*Законод!$J$16,IF(B899="Лікар-педіатр",S910*Законод!$C$9/4*Законод!$J$16,IF(B899="Лікар-терапевт",S910*Законод!$C$9/4*Законод!$J$16,0)))</f>
        <v>0</v>
      </c>
      <c r="AP910" s="216">
        <f ca="1">IF(B899="Лікар загальної практики - сімейний лікар",S910*Законод!$C$9/4*Законод!$J$16,IF(B899="Лікар-педіатр",S910*Законод!$C$9/4*Законод!$J$16,IF(B899="Лікар-терапевт",S910*Законод!$C$9/4*Законод!$J$16,0)))</f>
        <v>0</v>
      </c>
      <c r="AQ910" s="216">
        <f ca="1">IF(B899="Лікар загальної практики - сімейний лікар",AG910*Законод!$C$9/4*Законод!$J$16,IF(B899="Лікар-педіатр",AG910*Законод!$C$9/4*Законод!$J$16,IF(B899="Лікар-терапевт",AG910*Законод!$C$9/4*Законод!$J$16,0)))</f>
        <v>0</v>
      </c>
      <c r="AR910" s="217">
        <f t="shared" si="109"/>
        <v>0</v>
      </c>
    </row>
    <row r="911" spans="1:44" s="247" customFormat="1" ht="23.45" hidden="1" customHeight="1" thickBot="1">
      <c r="A911" s="243"/>
      <c r="B911" s="244"/>
      <c r="C911" s="244"/>
      <c r="D911" s="244"/>
      <c r="E911" s="244"/>
      <c r="F911" s="245"/>
      <c r="G911" s="246"/>
      <c r="H911" s="246"/>
      <c r="L911" s="248"/>
      <c r="S911" s="248"/>
      <c r="Z911" s="248"/>
      <c r="AG911" s="248"/>
      <c r="AM911" s="249"/>
      <c r="AR911" s="250"/>
    </row>
    <row r="912" spans="1:44" s="191" customFormat="1" ht="24.6" hidden="1" customHeight="1">
      <c r="A912" s="194">
        <f>A899+1</f>
        <v>68</v>
      </c>
      <c r="B912" s="950"/>
      <c r="C912" s="953"/>
      <c r="D912" s="956"/>
      <c r="E912" s="938"/>
      <c r="F912" s="234" t="s">
        <v>659</v>
      </c>
      <c r="G912" s="196">
        <f>IF($B$912="Лікар-педіатр",G915*L912,IF($B$912="Лікар-терапевт","х",IF($B$912="Лікар загальної практики - сімейний лікар",G915*L912,0)))</f>
        <v>0</v>
      </c>
      <c r="H912" s="196">
        <f>IF($B$912="Лікар-педіатр",H915*L912,IF($B$912="Лікар-терапевт","х",IF($B$912="Лікар загальної практики - сімейний лікар",H915*L912,0)))</f>
        <v>0</v>
      </c>
      <c r="I912" s="196">
        <f>IF($B$912="Лікар-педіатр","x",IF($B$912="Лікар-терапевт",I915*L912,IF($B$912="Лікар загальної практики - сімейний лікар",I915*L912,0)))</f>
        <v>0</v>
      </c>
      <c r="J912" s="196">
        <f>IF($B$912="Лікар-педіатр","x",IF($B$912="Лікар-терапевт",J915*L912,IF($B$912="Лікар загальної практики - сімейний лікар",J915*L912,0)))</f>
        <v>0</v>
      </c>
      <c r="K912" s="196">
        <f>IF($B$912="Лікар-педіатр","x",IF($B$912="Лікар-терапевт",K915*L912,IF($B$912="Лікар загальної практики - сімейний лікар",K915*L912,0)))</f>
        <v>0</v>
      </c>
      <c r="L912" s="557"/>
      <c r="M912" s="941"/>
      <c r="N912" s="196">
        <f>IF($B$912="Лікар-педіатр",N915*S912,IF($B$912="Лікар-терапевт","х",IF($B$912="Лікар загальної практики - сімейний лікар",N915*S912,0)))</f>
        <v>0</v>
      </c>
      <c r="O912" s="196">
        <f>IF($B$912="Лікар-педіатр",O915*S912,IF($B$912="Лікар-терапевт","х",IF($B$912="Лікар загальної практики - сімейний лікар",O915*S912,0)))</f>
        <v>0</v>
      </c>
      <c r="P912" s="196">
        <f>IF($B$912="Лікар-педіатр","x",IF($B$912="Лікар-терапевт",P915*S912,IF($B$912="Лікар загальної практики - сімейний лікар",P915*S912,0)))</f>
        <v>0</v>
      </c>
      <c r="Q912" s="196">
        <f>IF($B$912="Лікар-педіатр","x",IF($B$912="Лікар-терапевт",Q915*S912,IF($B$912="Лікар загальної практики - сімейний лікар",Q915*S912,0)))</f>
        <v>0</v>
      </c>
      <c r="R912" s="196">
        <f>IF($B$912="Лікар-педіатр","x",IF($B$912="Лікар-терапевт",R915*S912,IF($B$912="Лікар загальної практики - сімейний лікар",R915*S912,0)))</f>
        <v>0</v>
      </c>
      <c r="S912" s="557"/>
      <c r="T912" s="941"/>
      <c r="U912" s="196">
        <f>IF($B$912="Лікар-педіатр",U915*Z912,IF($B$912="Лікар-терапевт","х",IF($B$912="Лікар загальної практики - сімейний лікар",U915*Z912,0)))</f>
        <v>0</v>
      </c>
      <c r="V912" s="196">
        <f>IF($B$912="Лікар-педіатр",V915*Z912,IF($B$912="Лікар-терапевт","х",IF($B$912="Лікар загальної практики - сімейний лікар",V915*Z912,0)))</f>
        <v>0</v>
      </c>
      <c r="W912" s="196">
        <f>IF($B$912="Лікар-педіатр","x",IF($B$912="Лікар-терапевт",W915*Z912,IF($B$912="Лікар загальної практики - сімейний лікар",W915*Z912,0)))</f>
        <v>0</v>
      </c>
      <c r="X912" s="196">
        <f>IF($B$912="Лікар-педіатр","x",IF($B$912="Лікар-терапевт",X915*Z912,IF($B$912="Лікар загальної практики - сімейний лікар",X915*Z912,0)))</f>
        <v>0</v>
      </c>
      <c r="Y912" s="196">
        <f>IF($B$912="Лікар-педіатр","x",IF($B$912="Лікар-терапевт",Y915*Z912,IF($B$912="Лікар загальної практики - сімейний лікар",Y915*Z912,0)))</f>
        <v>0</v>
      </c>
      <c r="Z912" s="557"/>
      <c r="AA912" s="941"/>
      <c r="AB912" s="196">
        <f>IF($B$912="Лікар-педіатр",AB915*AG912,IF($B$912="Лікар-терапевт","х",IF($B$912="Лікар загальної практики - сімейний лікар",AB915*AG912,0)))</f>
        <v>0</v>
      </c>
      <c r="AC912" s="196">
        <f>IF($B$912="Лікар-педіатр",AC915*AG912,IF($B$912="Лікар-терапевт","х",IF($B$912="Лікар загальної практики - сімейний лікар",AC915*AG912,0)))</f>
        <v>0</v>
      </c>
      <c r="AD912" s="196">
        <f>IF($B$912="Лікар-педіатр","x",IF($B$912="Лікар-терапевт",AD915*AG912,IF($B$912="Лікар загальної практики - сімейний лікар",AD915*AG912,0)))</f>
        <v>0</v>
      </c>
      <c r="AE912" s="196">
        <f>IF($B$912="Лікар-педіатр","x",IF($B$912="Лікар-терапевт",AE915*AG912,IF($B$912="Лікар загальної практики - сімейний лікар",AE915*AG912,0)))</f>
        <v>0</v>
      </c>
      <c r="AF912" s="196">
        <f>IF($B$912="Лікар-педіатр","x",IF($B$912="Лікар-терапевт",AF915*AG912,IF($B$912="Лікар загальної практики - сімейний лікар",AF915*AG912,0)))</f>
        <v>0</v>
      </c>
      <c r="AG912" s="557"/>
      <c r="AH912" s="941"/>
      <c r="AI912" s="540">
        <f>A912</f>
        <v>68</v>
      </c>
      <c r="AJ912" s="944">
        <f>B912</f>
        <v>0</v>
      </c>
      <c r="AK912" s="959">
        <f>C912</f>
        <v>0</v>
      </c>
      <c r="AL912" s="959">
        <f>D912</f>
        <v>0</v>
      </c>
      <c r="AM912" s="929" t="s">
        <v>79</v>
      </c>
      <c r="AN912" s="947">
        <f>SUM(AN917:AN923)</f>
        <v>0</v>
      </c>
      <c r="AO912" s="947">
        <f>SUM(AO917:AO923)</f>
        <v>0</v>
      </c>
      <c r="AP912" s="947">
        <f>SUM(AP917:AP923)</f>
        <v>0</v>
      </c>
      <c r="AQ912" s="947">
        <f>SUM(AQ917:AQ923)</f>
        <v>0</v>
      </c>
      <c r="AR912" s="962">
        <f>SUM(AN912:AQ916)</f>
        <v>0</v>
      </c>
    </row>
    <row r="913" spans="1:44" s="50" customFormat="1" ht="28.15" hidden="1" customHeight="1">
      <c r="A913" s="197"/>
      <c r="B913" s="951"/>
      <c r="C913" s="954"/>
      <c r="D913" s="957"/>
      <c r="E913" s="939"/>
      <c r="F913" s="234" t="s">
        <v>660</v>
      </c>
      <c r="G913" s="196">
        <f>IF($B$912="Лікар-педіатр",G915*L913,IF($B$912="Лікар-терапевт","х",IF($B$912="Лікар загальної практики - сімейний лікар",G915*L913,0)))</f>
        <v>0</v>
      </c>
      <c r="H913" s="196">
        <f>IF($B$912="Лікар-педіатр",H915*L913,IF($B$912="Лікар-терапевт","х",IF($B$912="Лікар загальної практики - сімейний лікар",H915*L913,0)))</f>
        <v>0</v>
      </c>
      <c r="I913" s="196">
        <f>IF($B$912="Лікар-педіатр","x",IF($B$912="Лікар-терапевт",I915*L913,IF($B$912="Лікар загальної практики - сімейний лікар",I915*L913,0)))</f>
        <v>0</v>
      </c>
      <c r="J913" s="196">
        <f>IF($B$912="Лікар-педіатр","x",IF($B$912="Лікар-терапевт",J915*L913,IF($B$912="Лікар загальної практики - сімейний лікар",J915*L913,0)))</f>
        <v>0</v>
      </c>
      <c r="K913" s="196">
        <f>IF($B$912="Лікар-педіатр","x",IF($B$912="Лікар-терапевт",K915*L913,IF($B$912="Лікар загальної практики - сімейний лікар",K915*L913,0)))</f>
        <v>0</v>
      </c>
      <c r="L913" s="557"/>
      <c r="M913" s="942"/>
      <c r="N913" s="196">
        <f>IF($B$912="Лікар-педіатр",N915*S913,IF($B$912="Лікар-терапевт","х",IF($B$912="Лікар загальної практики - сімейний лікар",N915*S913,0)))</f>
        <v>0</v>
      </c>
      <c r="O913" s="196">
        <f>IF($B$912="Лікар-педіатр",O915*S913,IF($B$912="Лікар-терапевт","х",IF($B$912="Лікар загальної практики - сімейний лікар",O915*S913,0)))</f>
        <v>0</v>
      </c>
      <c r="P913" s="196">
        <f>IF($B$912="Лікар-педіатр","x",IF($B$912="Лікар-терапевт",P915*S913,IF($B$912="Лікар загальної практики - сімейний лікар",P915*S913,0)))</f>
        <v>0</v>
      </c>
      <c r="Q913" s="196">
        <f>IF($B$912="Лікар-педіатр","x",IF($B$912="Лікар-терапевт",Q915*S913,IF($B$912="Лікар загальної практики - сімейний лікар",Q915*S913,0)))</f>
        <v>0</v>
      </c>
      <c r="R913" s="196">
        <f>IF($B$912="Лікар-педіатр","x",IF($B$912="Лікар-терапевт",R915*S913,IF($B$912="Лікар загальної практики - сімейний лікар",R915*S913,0)))</f>
        <v>0</v>
      </c>
      <c r="S913" s="557"/>
      <c r="T913" s="942"/>
      <c r="U913" s="196">
        <f>IF($B$912="Лікар-педіатр",U915*Z913,IF($B$912="Лікар-терапевт","х",IF($B$912="Лікар загальної практики - сімейний лікар",U915*Z913,0)))</f>
        <v>0</v>
      </c>
      <c r="V913" s="196">
        <f>IF($B$912="Лікар-педіатр",V915*Z913,IF($B$912="Лікар-терапевт","х",IF($B$912="Лікар загальної практики - сімейний лікар",V915*Z913,0)))</f>
        <v>0</v>
      </c>
      <c r="W913" s="196">
        <f>IF($B$912="Лікар-педіатр","x",IF($B$912="Лікар-терапевт",W915*Z913,IF($B$912="Лікар загальної практики - сімейний лікар",W915*Z913,0)))</f>
        <v>0</v>
      </c>
      <c r="X913" s="196">
        <f>IF($B$912="Лікар-педіатр","x",IF($B$912="Лікар-терапевт",X915*Z913,IF($B$912="Лікар загальної практики - сімейний лікар",X915*Z913,0)))</f>
        <v>0</v>
      </c>
      <c r="Y913" s="196">
        <f>IF($B$912="Лікар-педіатр","x",IF($B$912="Лікар-терапевт",Y915*Z913,IF($B$912="Лікар загальної практики - сімейний лікар",Y915*Z913,0)))</f>
        <v>0</v>
      </c>
      <c r="Z913" s="557"/>
      <c r="AA913" s="942"/>
      <c r="AB913" s="196">
        <f>IF($B$912="Лікар-педіатр",AB915*AG913,IF($B$912="Лікар-терапевт","х",IF($B$912="Лікар загальної практики - сімейний лікар",AB915*AG913,0)))</f>
        <v>0</v>
      </c>
      <c r="AC913" s="196">
        <f>IF($B$912="Лікар-педіатр",AC915*AG913,IF($B$912="Лікар-терапевт","х",IF($B$912="Лікар загальної практики - сімейний лікар",AC915*AG913,0)))</f>
        <v>0</v>
      </c>
      <c r="AD913" s="196">
        <f>IF($B$912="Лікар-педіатр","x",IF($B$912="Лікар-терапевт",AD915*AG913,IF($B$912="Лікар загальної практики - сімейний лікар",AD915*AG913,0)))</f>
        <v>0</v>
      </c>
      <c r="AE913" s="196">
        <f>IF($B$912="Лікар-педіатр","x",IF($B$912="Лікар-терапевт",AE915*AG913,IF($B$912="Лікар загальної практики - сімейний лікар",AE915*AG913,0)))</f>
        <v>0</v>
      </c>
      <c r="AF913" s="196">
        <f>IF($B$912="Лікар-педіатр","x",IF($B$912="Лікар-терапевт",AF915*AG913,IF($B$912="Лікар загальної практики - сімейний лікар",AF915*AG913,0)))</f>
        <v>0</v>
      </c>
      <c r="AG913" s="557"/>
      <c r="AH913" s="942"/>
      <c r="AI913" s="198"/>
      <c r="AJ913" s="945"/>
      <c r="AK913" s="960"/>
      <c r="AL913" s="960"/>
      <c r="AM913" s="930"/>
      <c r="AN913" s="948"/>
      <c r="AO913" s="948"/>
      <c r="AP913" s="948"/>
      <c r="AQ913" s="948"/>
      <c r="AR913" s="963"/>
    </row>
    <row r="914" spans="1:44" s="90" customFormat="1" ht="31.15" hidden="1" customHeight="1">
      <c r="A914" s="240"/>
      <c r="B914" s="951"/>
      <c r="C914" s="954"/>
      <c r="D914" s="957"/>
      <c r="E914" s="939"/>
      <c r="F914" s="241" t="s">
        <v>661</v>
      </c>
      <c r="G914" s="199">
        <f>IF(B912="Лікар загальної практики - сімейний лікар"," ",IF(B912="Лікар-педіатр"," ",IF(B912="Лікар-терапевт","х",0)))</f>
        <v>0</v>
      </c>
      <c r="H914" s="199">
        <f>IF(B912="Лікар загальної практики - сімейний лікар"," ",IF(B912="Лікар-педіатр"," ",IF(B912="Лікар-терапевт","х",0)))</f>
        <v>0</v>
      </c>
      <c r="I914" s="199">
        <f>IF(B912="Лікар загальної практики - сімейний лікар"," ",IF(B912="Лікар-педіатр","х",IF(B912="Лікар-терапевт"," ",0)))</f>
        <v>0</v>
      </c>
      <c r="J914" s="199">
        <f>IF(B912="Лікар загальної практики - сімейний лікар"," ",IF(B912="Лікар-педіатр","х",IF(B912="Лікар-терапевт"," ",0)))</f>
        <v>0</v>
      </c>
      <c r="K914" s="199">
        <f>IF(B912="Лікар загальної практики - сімейний лікар"," ",IF(B912="Лікар-педіатр","х",IF(B912="Лікар-терапевт"," ",0)))</f>
        <v>0</v>
      </c>
      <c r="L914" s="200">
        <f>SUM(G914:K914)</f>
        <v>0</v>
      </c>
      <c r="M914" s="942"/>
      <c r="N914" s="199">
        <f>IF(B912="Лікар загальної практики - сімейний лікар"," ",IF(B912="Лікар-педіатр"," ",IF(B912="Лікар-терапевт","х",0)))</f>
        <v>0</v>
      </c>
      <c r="O914" s="199">
        <f>IF(B912="Лікар загальної практики - сімейний лікар"," ",IF(B912="Лікар-педіатр"," ",IF(B912="Лікар-терапевт","х",0)))</f>
        <v>0</v>
      </c>
      <c r="P914" s="199">
        <f>IF(B912="Лікар загальної практики - сімейний лікар"," ",IF(B912="Лікар-педіатр","х",IF(B912="Лікар-терапевт"," ",0)))</f>
        <v>0</v>
      </c>
      <c r="Q914" s="199">
        <f>IF(B912="Лікар загальної практики - сімейний лікар"," ",IF(B912="Лікар-педіатр","х",IF(B912="Лікар-терапевт"," ",0)))</f>
        <v>0</v>
      </c>
      <c r="R914" s="199">
        <f>IF(B912="Лікар загальної практики - сімейний лікар"," ",IF(B912="Лікар-педіатр","х",IF(B912="Лікар-терапевт"," ",0)))</f>
        <v>0</v>
      </c>
      <c r="S914" s="200">
        <f>SUM(N914:R914)</f>
        <v>0</v>
      </c>
      <c r="T914" s="942"/>
      <c r="U914" s="199">
        <f>IF(B912="Лікар загальної практики - сімейний лікар"," ",IF(B912="Лікар-педіатр"," ",IF(B912="Лікар-терапевт","х",0)))</f>
        <v>0</v>
      </c>
      <c r="V914" s="199">
        <f>IF(B912="Лікар загальної практики - сімейний лікар"," ",IF(B912="Лікар-педіатр"," ",IF(B912="Лікар-терапевт","х",0)))</f>
        <v>0</v>
      </c>
      <c r="W914" s="199">
        <f>IF(B912="Лікар загальної практики - сімейний лікар"," ",IF(B912="Лікар-педіатр","х",IF(B912="Лікар-терапевт"," ",0)))</f>
        <v>0</v>
      </c>
      <c r="X914" s="199">
        <f>IF(B912="Лікар загальної практики - сімейний лікар"," ",IF(B912="Лікар-педіатр","х",IF(B912="Лікар-терапевт"," ",0)))</f>
        <v>0</v>
      </c>
      <c r="Y914" s="199">
        <f>IF(B912="Лікар загальної практики - сімейний лікар"," ",IF(B912="Лікар-педіатр","х",IF(B912="Лікар-терапевт"," ",0)))</f>
        <v>0</v>
      </c>
      <c r="Z914" s="200">
        <f>SUM(U914:Y914)</f>
        <v>0</v>
      </c>
      <c r="AA914" s="942"/>
      <c r="AB914" s="199">
        <f>IF(B912="Лікар загальної практики - сімейний лікар"," ",IF(B912="Лікар-педіатр"," ",IF(B912="Лікар-терапевт","х",0)))</f>
        <v>0</v>
      </c>
      <c r="AC914" s="199">
        <f>IF(B912="Лікар загальної практики - сімейний лікар"," ",IF(B912="Лікар-педіатр"," ",IF(B912="Лікар-терапевт","х",0)))</f>
        <v>0</v>
      </c>
      <c r="AD914" s="199">
        <f>IF(B912="Лікар загальної практики - сімейний лікар"," ",IF(B912="Лікар-педіатр","х",IF(B912="Лікар-терапевт"," ",0)))</f>
        <v>0</v>
      </c>
      <c r="AE914" s="199">
        <f>IF(B912="Лікар загальної практики - сімейний лікар"," ",IF(B912="Лікар-педіатр","х",IF(B912="Лікар-терапевт"," ",0)))</f>
        <v>0</v>
      </c>
      <c r="AF914" s="199">
        <f>IF(B912="Лікар загальної практики - сімейний лікар"," ",IF(B912="Лікар-педіатр","х",IF(B912="Лікар-терапевт"," ",0)))</f>
        <v>0</v>
      </c>
      <c r="AG914" s="200">
        <f>SUM(AB914:AF914)</f>
        <v>0</v>
      </c>
      <c r="AH914" s="942"/>
      <c r="AI914" s="242"/>
      <c r="AJ914" s="945"/>
      <c r="AK914" s="960"/>
      <c r="AL914" s="960"/>
      <c r="AM914" s="930"/>
      <c r="AN914" s="948"/>
      <c r="AO914" s="948"/>
      <c r="AP914" s="948"/>
      <c r="AQ914" s="948"/>
      <c r="AR914" s="963"/>
    </row>
    <row r="915" spans="1:44" s="50" customFormat="1" ht="31.9" hidden="1" customHeight="1" thickBot="1">
      <c r="A915" s="197"/>
      <c r="B915" s="951"/>
      <c r="C915" s="954"/>
      <c r="D915" s="957"/>
      <c r="E915" s="939"/>
      <c r="F915" s="236" t="s">
        <v>426</v>
      </c>
      <c r="G915" s="203">
        <f>IF($B$912="Лікар-педіатр",G914/L914,IF($B$912="Лікар-терапевт","х",IF($B$912="Лікар загальної практики - сімейний лікар",G914/L914,0)))</f>
        <v>0</v>
      </c>
      <c r="H915" s="203">
        <f>IF($B$912="Лікар-педіатр",H914/L914,IF($B$912="Лікар-терапевт","х",IF($B$912="Лікар загальної практики - сімейний лікар",H914/L914,0)))</f>
        <v>0</v>
      </c>
      <c r="I915" s="203">
        <f>IF($B$912="Лікар-педіатр","x",IF($B$912="Лікар-терапевт",I914/L914,IF($B$912="Лікар загальної практики - сімейний лікар",I914/L914,0)))</f>
        <v>0</v>
      </c>
      <c r="J915" s="203">
        <f>IF($B$912="Лікар-педіатр","x",IF($B$912="Лікар-терапевт",J914/L914,IF($B$912="Лікар загальної практики - сімейний лікар",J914/L914,0)))</f>
        <v>0</v>
      </c>
      <c r="K915" s="203">
        <f>IF($B$912="Лікар-педіатр","x",IF($B$912="Лікар-терапевт",K914/L914,IF($B$912="Лікар загальної практики - сімейний лікар",K914/L914,0)))</f>
        <v>0</v>
      </c>
      <c r="L915" s="203">
        <f>SUM(G915:K915)</f>
        <v>0</v>
      </c>
      <c r="M915" s="942"/>
      <c r="N915" s="203">
        <f>IF($B$912="Лікар-педіатр",N914/S914,IF($B$912="Лікар-терапевт","х",IF($B$912="Лікар загальної практики - сімейний лікар",N914/S914,0)))</f>
        <v>0</v>
      </c>
      <c r="O915" s="203">
        <f>IF($B$912="Лікар-педіатр",O914/S914,IF($B$912="Лікар-терапевт","х",IF($B$912="Лікар загальної практики - сімейний лікар",O914/S914,0)))</f>
        <v>0</v>
      </c>
      <c r="P915" s="203">
        <f>IF($B$912="Лікар-педіатр","x",IF($B$912="Лікар-терапевт",P914/S914,IF($B$912="Лікар загальної практики - сімейний лікар",P914/S914,0)))</f>
        <v>0</v>
      </c>
      <c r="Q915" s="203">
        <f>IF($B$912="Лікар-педіатр","x",IF($B$912="Лікар-терапевт",Q914/S914,IF($B$912="Лікар загальної практики - сімейний лікар",Q914/S914,0)))</f>
        <v>0</v>
      </c>
      <c r="R915" s="203">
        <f>IF($B$912="Лікар-педіатр","x",IF($B$912="Лікар-терапевт",R914/S914,IF($B$912="Лікар загальної практики - сімейний лікар",R914/S914,0)))</f>
        <v>0</v>
      </c>
      <c r="S915" s="203">
        <f>SUM(N915:R915)</f>
        <v>0</v>
      </c>
      <c r="T915" s="942"/>
      <c r="U915" s="203">
        <f>IF($B$912="Лікар-педіатр",U914/Z914,IF($B$912="Лікар-терапевт","х",IF($B$912="Лікар загальної практики - сімейний лікар",U914/Z914,0)))</f>
        <v>0</v>
      </c>
      <c r="V915" s="203">
        <f>IF($B$912="Лікар-педіатр",V914/Z914,IF($B$912="Лікар-терапевт","х",IF($B$912="Лікар загальної практики - сімейний лікар",V914/Z914,0)))</f>
        <v>0</v>
      </c>
      <c r="W915" s="203">
        <f>IF($B$912="Лікар-педіатр","x",IF($B$912="Лікар-терапевт",W914/Z914,IF($B$912="Лікар загальної практики - сімейний лікар",W914/Z914,0)))</f>
        <v>0</v>
      </c>
      <c r="X915" s="203">
        <f>IF($B$912="Лікар-педіатр","x",IF($B$912="Лікар-терапевт",X914/Z914,IF($B$912="Лікар загальної практики - сімейний лікар",X914/Z914,0)))</f>
        <v>0</v>
      </c>
      <c r="Y915" s="203">
        <f>IF($B$912="Лікар-педіатр","x",IF($B$912="Лікар-терапевт",Y914/Z914,IF($B$912="Лікар загальної практики - сімейний лікар",Y914/Z914,0)))</f>
        <v>0</v>
      </c>
      <c r="Z915" s="203">
        <f>SUM(U915:Y915)</f>
        <v>0</v>
      </c>
      <c r="AA915" s="942"/>
      <c r="AB915" s="203">
        <f>IF($B$912="Лікар-педіатр",AB914/AG914,IF($B$912="Лікар-терапевт","х",IF($B$912="Лікар загальної практики - сімейний лікар",AB914/AG914,0)))</f>
        <v>0</v>
      </c>
      <c r="AC915" s="203">
        <f>IF($B$912="Лікар-педіатр",AC914/AG914,IF($B$912="Лікар-терапевт","х",IF($B$912="Лікар загальної практики - сімейний лікар",AC914/AG914,0)))</f>
        <v>0</v>
      </c>
      <c r="AD915" s="203">
        <f>IF($B$912="Лікар-педіатр","x",IF($B$912="Лікар-терапевт",AD914/AG914,IF($B$912="Лікар загальної практики - сімейний лікар",AD914/AG914,0)))</f>
        <v>0</v>
      </c>
      <c r="AE915" s="203">
        <f>IF($B$912="Лікар-педіатр","x",IF($B$912="Лікар-терапевт",AE914/AG914,IF($B$912="Лікар загальної практики - сімейний лікар",AE914/AG914,0)))</f>
        <v>0</v>
      </c>
      <c r="AF915" s="203">
        <f>IF($B$912="Лікар-педіатр","x",IF($B$912="Лікар-терапевт",AF914/AG914,IF($B$912="Лікар загальної практики - сімейний лікар",AF914/AG914,0)))</f>
        <v>0</v>
      </c>
      <c r="AG915" s="203">
        <f>SUM(AB915:AF915)</f>
        <v>0</v>
      </c>
      <c r="AH915" s="942"/>
      <c r="AI915" s="201"/>
      <c r="AJ915" s="945"/>
      <c r="AK915" s="960"/>
      <c r="AL915" s="960"/>
      <c r="AM915" s="930"/>
      <c r="AN915" s="948"/>
      <c r="AO915" s="948"/>
      <c r="AP915" s="948"/>
      <c r="AQ915" s="948"/>
      <c r="AR915" s="963"/>
    </row>
    <row r="916" spans="1:44" s="50" customFormat="1" ht="45" hidden="1" customHeight="1" thickBot="1">
      <c r="A916" s="197"/>
      <c r="B916" s="951"/>
      <c r="C916" s="954"/>
      <c r="D916" s="957"/>
      <c r="E916" s="939"/>
      <c r="F916" s="204" t="s">
        <v>662</v>
      </c>
      <c r="G916" s="205">
        <f>IF($B$912="Лікар загальної практики - сімейний лікар",AVERAGE(G912:G914),IF($B$912="Лікар-педіатр",AVERAGE(G912:G914),IF($B$912="Лікар-терапевт","х",0)))</f>
        <v>0</v>
      </c>
      <c r="H916" s="205">
        <f>IF($B$912="Лікар загальної практики - сімейний лікар",AVERAGE(H912:H914),IF($B$912="Лікар-педіатр",AVERAGE(H912:H914),IF($B$912="Лікар-терапевт","х",0)))</f>
        <v>0</v>
      </c>
      <c r="I916" s="205">
        <f>IF($B$912="Лікар загальної практики - сімейний лікар",AVERAGE(I912:I914),IF($B$912="Лікар-педіатр","x",IF($B$912="Лікар-терапевт",AVERAGE(I912:I914),0)))</f>
        <v>0</v>
      </c>
      <c r="J916" s="205">
        <f>IF($B$912="Лікар загальної практики - сімейний лікар",AVERAGE(J912:J914),IF($B$912="Лікар-педіатр","x",IF($B$912="Лікар-терапевт",AVERAGE(J912:J914),0)))</f>
        <v>0</v>
      </c>
      <c r="K916" s="205">
        <f>IF($B$912="Лікар загальної практики - сімейний лікар",AVERAGE(K912:K914),IF($B$912="Лікар-педіатр","x",IF($B$912="Лікар-терапевт",AVERAGE(K912:K914),0)))</f>
        <v>0</v>
      </c>
      <c r="L916" s="206">
        <f>SUM(G916:K916)</f>
        <v>0</v>
      </c>
      <c r="M916" s="942"/>
      <c r="N916" s="205">
        <f>IF($B$912="Лікар загальної практики - сімейний лікар",AVERAGE(N912:N914),IF($B$912="Лікар-педіатр",AVERAGE(N912:N914),IF($B$912="Лікар-терапевт","х",0)))</f>
        <v>0</v>
      </c>
      <c r="O916" s="205">
        <f>IF($B$912="Лікар загальної практики - сімейний лікар",AVERAGE(O912:O914),IF($B$912="Лікар-педіатр",AVERAGE(O912:O914),IF($B$912="Лікар-терапевт","х",0)))</f>
        <v>0</v>
      </c>
      <c r="P916" s="205">
        <f>IF($B$912="Лікар загальної практики - сімейний лікар",AVERAGE(P912:P914),IF($B$912="Лікар-педіатр","x",IF($B$912="Лікар-терапевт",AVERAGE(P912:P914),0)))</f>
        <v>0</v>
      </c>
      <c r="Q916" s="205">
        <f>IF($B$912="Лікар загальної практики - сімейний лікар",AVERAGE(Q912:Q914),IF($B$912="Лікар-педіатр","x",IF($B$912="Лікар-терапевт",AVERAGE(Q912:Q914),0)))</f>
        <v>0</v>
      </c>
      <c r="R916" s="205">
        <f>IF($B$912="Лікар загальної практики - сімейний лікар",AVERAGE(R912:R914),IF($B$912="Лікар-педіатр","x",IF($B$912="Лікар-терапевт",AVERAGE(R912:R914),0)))</f>
        <v>0</v>
      </c>
      <c r="S916" s="206">
        <f>SUM(N916:R916)</f>
        <v>0</v>
      </c>
      <c r="T916" s="942"/>
      <c r="U916" s="205">
        <f>IF($B$912="Лікар загальної практики - сімейний лікар",AVERAGE(U912:U914),IF($B$912="Лікар-педіатр",AVERAGE(U912:U914),IF($B$912="Лікар-терапевт","х",0)))</f>
        <v>0</v>
      </c>
      <c r="V916" s="205">
        <f>IF($B$912="Лікар загальної практики - сімейний лікар",AVERAGE(V912:V914),IF($B$912="Лікар-педіатр",AVERAGE(V912:V914),IF($B$912="Лікар-терапевт","х",0)))</f>
        <v>0</v>
      </c>
      <c r="W916" s="205">
        <f>IF($B$912="Лікар загальної практики - сімейний лікар",AVERAGE(W912:W914),IF($B$912="Лікар-педіатр","x",IF($B$912="Лікар-терапевт",AVERAGE(W912:W914),0)))</f>
        <v>0</v>
      </c>
      <c r="X916" s="205">
        <f>IF($B$912="Лікар загальної практики - сімейний лікар",AVERAGE(X912:X914),IF($B$912="Лікар-педіатр","x",IF($B$912="Лікар-терапевт",AVERAGE(X912:X914),0)))</f>
        <v>0</v>
      </c>
      <c r="Y916" s="205">
        <f>IF($B$912="Лікар загальної практики - сімейний лікар",AVERAGE(Y912:Y914),IF($B$912="Лікар-педіатр","x",IF($B$912="Лікар-терапевт",AVERAGE(Y912:Y914),0)))</f>
        <v>0</v>
      </c>
      <c r="Z916" s="206">
        <f>SUM(U916:Y916)</f>
        <v>0</v>
      </c>
      <c r="AA916" s="942"/>
      <c r="AB916" s="205">
        <f>IF($B$912="Лікар загальної практики - сімейний лікар",AVERAGE(AB912:AB914),IF($B$912="Лікар-педіатр",AVERAGE(AB912:AB914),IF($B$912="Лікар-терапевт","х",0)))</f>
        <v>0</v>
      </c>
      <c r="AC916" s="205">
        <f>IF($B$912="Лікар загальної практики - сімейний лікар",AVERAGE(AC912:AC914),IF($B$912="Лікар-педіатр",AVERAGE(AC912:AC914),IF($B$912="Лікар-терапевт","х",0)))</f>
        <v>0</v>
      </c>
      <c r="AD916" s="205">
        <f>IF($B$912="Лікар загальної практики - сімейний лікар",AVERAGE(AD912:AD914),IF($B$912="Лікар-педіатр","x",IF($B$912="Лікар-терапевт",AVERAGE(AD912:AD914),0)))</f>
        <v>0</v>
      </c>
      <c r="AE916" s="205">
        <f>IF($B$912="Лікар загальної практики - сімейний лікар",AVERAGE(AE912:AE914),IF($B$912="Лікар-педіатр","x",IF($B$912="Лікар-терапевт",AVERAGE(AE912:AE914),0)))</f>
        <v>0</v>
      </c>
      <c r="AF916" s="205">
        <f>IF($B$912="Лікар загальної практики - сімейний лікар",AVERAGE(AF912:AF914),IF($B$912="Лікар-педіатр","x",IF($B$912="Лікар-терапевт",AVERAGE(AF912:AF914),0)))</f>
        <v>0</v>
      </c>
      <c r="AG916" s="206">
        <f>SUM(AB916:AF916)</f>
        <v>0</v>
      </c>
      <c r="AH916" s="942"/>
      <c r="AI916" s="201"/>
      <c r="AJ916" s="945"/>
      <c r="AK916" s="960"/>
      <c r="AL916" s="960"/>
      <c r="AM916" s="931"/>
      <c r="AN916" s="949"/>
      <c r="AO916" s="949"/>
      <c r="AP916" s="949"/>
      <c r="AQ916" s="949"/>
      <c r="AR916" s="964"/>
    </row>
    <row r="917" spans="1:44" s="50" customFormat="1" ht="40.5" hidden="1">
      <c r="A917" s="197"/>
      <c r="B917" s="951"/>
      <c r="C917" s="954"/>
      <c r="D917" s="957"/>
      <c r="E917" s="939"/>
      <c r="F917" s="237" t="str">
        <f ca="1">IF(B912="Лікар-педіатр",Законод!$C$17,IF(B912="Лікар загальної практики - сімейний лікар",Законод!$C$21,IF(B912="Лікар-терапевт",Законод!$C$25,"х")))</f>
        <v>х</v>
      </c>
      <c r="G917" s="208">
        <f ca="1">IF($B$912="Лікар загальної практики - сімейний лікар",IF(L916&lt;=Законод!$C$22,G916,Законод!$C$22*'01_Доходи'!G915),IF($B$912="Лікар-педіатр",IF(L916&lt;=Законод!$C$18,G916,Законод!$C$18*'01_Доходи'!G915),IF($B$912="Лікар-терапевт","x",0)))</f>
        <v>0</v>
      </c>
      <c r="H917" s="208">
        <f ca="1">IF($B$912="Лікар загальної практики - сімейний лікар",IF(L916&lt;=Законод!$C$22,H916,Законод!$C$22*'01_Доходи'!H915),IF($B$912="Лікар-педіатр",IF(L916&lt;=Законод!$C$18,H916,Законод!$C$18*'01_Доходи'!H915),IF($B$912="Лікар-терапевт","x",0)))</f>
        <v>0</v>
      </c>
      <c r="I917" s="208">
        <f ca="1">IF($B$912="Лікар загальної практики - сімейний лікар",IF(L916&lt;=Законод!$C$22,I916,Законод!$C$22*'01_Доходи'!I915),IF($B$912="Лікар-педіатр","x",IF($B$912="Лікар-терапевт",IF(L916&lt;=Законод!$C$26,I916,Законод!$C$26*'01_Доходи'!I915),0)))</f>
        <v>0</v>
      </c>
      <c r="J917" s="208">
        <f ca="1">IF($B$912="Лікар загальної практики - сімейний лікар",IF(L916&lt;=Законод!$C$22,J916,Законод!$C$22*'01_Доходи'!J915),IF($B$912="Лікар-педіатр","x",IF($B$912="Лікар-терапевт",IF(L916&lt;=Законод!$C$26,J916,Законод!$C$26*'01_Доходи'!J915),0)))</f>
        <v>0</v>
      </c>
      <c r="K917" s="208">
        <f ca="1">IF($B$912="Лікар загальної практики - сімейний лікар",IF(L916&lt;=Законод!$C$22,K916,Законод!$C$22*'01_Доходи'!K915),IF($B$912="Лікар-педіатр","x",IF($B$912="Лікар-терапевт",IF(L916&lt;=Законод!$C$26,K916,Законод!$C$26*'01_Доходи'!K915),0)))</f>
        <v>0</v>
      </c>
      <c r="L917" s="209">
        <f ca="1">SUM(G917:K917)</f>
        <v>0</v>
      </c>
      <c r="M917" s="942"/>
      <c r="N917" s="208">
        <f ca="1">IF($B$912="Лікар загальної практики - сімейний лікар",IF(S916&lt;=Законод!$C$22,N916,Законод!$C$22*'01_Доходи'!N915),IF($B$912="Лікар-педіатр",IF(S916&lt;=Законод!$C$18,N916,Законод!$C$18*'01_Доходи'!N915),IF($B$912="Лікар-терапевт","x",0)))</f>
        <v>0</v>
      </c>
      <c r="O917" s="208">
        <f ca="1">IF($B$912="Лікар загальної практики - сімейний лікар",IF(S916&lt;=Законод!$C$22,O916,Законод!$C$22*'01_Доходи'!O915),IF($B$912="Лікар-педіатр",IF(S916&lt;=Законод!$C$18,O916,Законод!$C$18*'01_Доходи'!O915),IF($B$912="Лікар-терапевт","x",0)))</f>
        <v>0</v>
      </c>
      <c r="P917" s="208">
        <f ca="1">IF($B$912="Лікар загальної практики - сімейний лікар",IF(S916&lt;=Законод!$C$22,P916,Законод!$C$22*'01_Доходи'!P915),IF($B$912="Лікар-педіатр","x",IF($B$912="Лікар-терапевт",IF(S916&lt;=Законод!$C$26,P916,Законод!$C$26*'01_Доходи'!P915),0)))</f>
        <v>0</v>
      </c>
      <c r="Q917" s="208">
        <f ca="1">IF($B$912="Лікар загальної практики - сімейний лікар",IF(S916&lt;=Законод!$C$22,Q916,Законод!$C$22*'01_Доходи'!Q915),IF($B$912="Лікар-педіатр","x",IF($B$912="Лікар-терапевт",IF(S916&lt;=Законод!$C$26,Q916,Законод!$C$26*'01_Доходи'!Q915),0)))</f>
        <v>0</v>
      </c>
      <c r="R917" s="208">
        <f ca="1">IF($B$912="Лікар загальної практики - сімейний лікар",IF(S916&lt;=Законод!$C$22,R916,Законод!$C$22*'01_Доходи'!R915),IF($B$912="Лікар-педіатр","x",IF($B$912="Лікар-терапевт",IF(S916&lt;=Законод!$C$26,R916,Законод!$C$26*'01_Доходи'!R915),0)))</f>
        <v>0</v>
      </c>
      <c r="S917" s="209">
        <f ca="1">SUM(N917:R917)</f>
        <v>0</v>
      </c>
      <c r="T917" s="942"/>
      <c r="U917" s="208">
        <f ca="1">IF($B$912="Лікар загальної практики - сімейний лікар",IF(Z916&lt;=Законод!$C$22,U916,Законод!$C$22*'01_Доходи'!U915),IF($B$912="Лікар-педіатр",IF(Z916&lt;=Законод!$C$18,U916,Законод!$C$18*'01_Доходи'!U915),IF($B$912="Лікар-терапевт","x",0)))</f>
        <v>0</v>
      </c>
      <c r="V917" s="208">
        <f ca="1">IF($B$912="Лікар загальної практики - сімейний лікар",IF(Z916&lt;=Законод!$C$22,V916,Законод!$C$22*'01_Доходи'!V915),IF($B$912="Лікар-педіатр",IF(Z916&lt;=Законод!$C$18,V916,Законод!$C$18*'01_Доходи'!V915),IF($B$912="Лікар-терапевт","x",0)))</f>
        <v>0</v>
      </c>
      <c r="W917" s="208">
        <f ca="1">IF($B$912="Лікар загальної практики - сімейний лікар",IF(Z916&lt;=Законод!$C$22,W916,Законод!$C$22*'01_Доходи'!W915),IF($B$912="Лікар-педіатр","x",IF($B$912="Лікар-терапевт",IF(Z916&lt;=Законод!$C$26,W916,Законод!$C$26*'01_Доходи'!W915),0)))</f>
        <v>0</v>
      </c>
      <c r="X917" s="208">
        <f ca="1">IF($B$912="Лікар загальної практики - сімейний лікар",IF(Z916&lt;=Законод!$C$22,X916,Законод!$C$22*'01_Доходи'!X915),IF($B$912="Лікар-педіатр","x",IF($B$912="Лікар-терапевт",IF(Z916&lt;=Законод!$C$26,X916,Законод!$C$26*'01_Доходи'!X915),0)))</f>
        <v>0</v>
      </c>
      <c r="Y917" s="208">
        <f ca="1">IF($B$912="Лікар загальної практики - сімейний лікар",IF(Z916&lt;=Законод!$C$22,Y916,Законод!$C$22*'01_Доходи'!Y915),IF($B$912="Лікар-педіатр","x",IF($B$912="Лікар-терапевт",IF(Z916&lt;=Законод!$C$26,Y916,Законод!$C$26*'01_Доходи'!Y915),0)))</f>
        <v>0</v>
      </c>
      <c r="Z917" s="209">
        <f ca="1">SUM(U917:Y917)</f>
        <v>0</v>
      </c>
      <c r="AA917" s="942"/>
      <c r="AB917" s="208">
        <f ca="1">IF($B$912="Лікар загальної практики - сімейний лікар",IF(AG916&lt;=Законод!$C$22,AB916,Законод!$C$22*'01_Доходи'!AB915),IF($B$912="Лікар-педіатр",IF(AG916&lt;=Законод!$C$18,AB916,Законод!$C$18*'01_Доходи'!AB915),IF($B$912="Лікар-терапевт","x",0)))</f>
        <v>0</v>
      </c>
      <c r="AC917" s="208">
        <f ca="1">IF($B$912="Лікар загальної практики - сімейний лікар",IF(AG916&lt;=Законод!$C$22,AC916,Законод!$C$22*'01_Доходи'!AC915),IF($B$912="Лікар-педіатр",IF(AG916&lt;=Законод!$C$18,AC916,Законод!$C$18*'01_Доходи'!AC915),IF($B$912="Лікар-терапевт","x",0)))</f>
        <v>0</v>
      </c>
      <c r="AD917" s="208">
        <f ca="1">IF($B$912="Лікар загальної практики - сімейний лікар",IF(AG916&lt;=Законод!$C$22,AD916,Законод!$C$22*'01_Доходи'!AD915),IF($B$912="Лікар-педіатр","x",IF($B$912="Лікар-терапевт",IF(AG916&lt;=Законод!$C$26,AD916,Законод!$C$26*'01_Доходи'!AD915),0)))</f>
        <v>0</v>
      </c>
      <c r="AE917" s="208">
        <f ca="1">IF($B$912="Лікар загальної практики - сімейний лікар",IF(AG916&lt;=Законод!$C$22,AE916,Законод!$C$22*'01_Доходи'!AE915),IF($B$912="Лікар-педіатр","x",IF($B$912="Лікар-терапевт",IF(AG916&lt;=Законод!$C$26,AE916,Законод!$C$26*'01_Доходи'!AE915),0)))</f>
        <v>0</v>
      </c>
      <c r="AF917" s="208">
        <f ca="1">IF($B$912="Лікар загальної практики - сімейний лікар",IF(AG916&lt;=Законод!$C$22,AF916,Законод!$C$22*'01_Доходи'!AF915),IF($B$912="Лікар-педіатр","x",IF($B$912="Лікар-терапевт",IF(AG916&lt;=Законод!$C$26,AF916,Законод!$C$26*'01_Доходи'!AF915),0)))</f>
        <v>0</v>
      </c>
      <c r="AG917" s="209">
        <f ca="1">SUM(AB917:AF917)</f>
        <v>0</v>
      </c>
      <c r="AH917" s="942"/>
      <c r="AI917" s="201"/>
      <c r="AJ917" s="945"/>
      <c r="AK917" s="960"/>
      <c r="AL917" s="960"/>
      <c r="AM917" s="348" t="s">
        <v>451</v>
      </c>
      <c r="AN917" s="210">
        <f ca="1">IF(B912="Лікар загальної практики - сімейний лікар",G917*Законод!$C$11+'01_Доходи'!H917*Законод!$D$11+'01_Доходи'!I917*Законод!$E$11+'01_Доходи'!J917*Законод!$F$11+'01_Доходи'!K917*Законод!$G$11,IF(B912="Лікар-педіатр",G917*Законод!$C$11+'01_Доходи'!H917*Законод!$D$11,IF(B912="Лікар-терапевт",'01_Доходи'!I917*Законод!$E$11+'01_Доходи'!J917*Законод!$F$11+'01_Доходи'!K917*Законод!$G$11,0)))</f>
        <v>0</v>
      </c>
      <c r="AO917" s="210">
        <f ca="1">IF(B912="Лікар загальної практики - сімейний лікар",N917*Законод!$C$11+'01_Доходи'!O917*Законод!$D$11+'01_Доходи'!P917*Законод!$E$11+'01_Доходи'!Q917*Законод!$F$11+'01_Доходи'!R917*Законод!$G$11,IF(B912="Лікар-педіатр",N917*Законод!$C$11+'01_Доходи'!O917*Законод!$D$11,IF(B912="Лікар-терапевт",'01_Доходи'!P917*Законод!$E$11+'01_Доходи'!Q917*Законод!$F$11+'01_Доходи'!R917*Законод!$G$11,0)))</f>
        <v>0</v>
      </c>
      <c r="AP917" s="210">
        <f ca="1">IF(B912="Лікар загальної практики - сімейний лікар",U917*Законод!$C$11+'01_Доходи'!V917*Законод!$D$11+'01_Доходи'!W917*Законод!$E$11+'01_Доходи'!X917*Законод!$F$11+'01_Доходи'!Y917*Законод!$G$11,IF(B912="Лікар-педіатр",U917*Законод!$C$11+'01_Доходи'!V917*Законод!$D$11,IF(B912="Лікар-терапевт",'01_Доходи'!W917*Законод!$E$11+'01_Доходи'!X917*Законод!$F$11+'01_Доходи'!Y917*Законод!$G$11,0)))</f>
        <v>0</v>
      </c>
      <c r="AQ917" s="210">
        <f ca="1">IF(B912="Лікар загальної практики - сімейний лікар",AB917*Законод!$C$11+'01_Доходи'!AC917*Законод!$D$11+'01_Доходи'!AD917*Законод!$E$11+'01_Доходи'!AE917*Законод!$F$11+'01_Доходи'!AF917*Законод!$G$11,IF(B912="Лікар-педіатр",AB917*Законод!$C$11+'01_Доходи'!AC917*Законод!$D$11,IF(B912="Лікар-терапевт",'01_Доходи'!AD917*Законод!$E$11+'01_Доходи'!AE917*Законод!$F$11+'01_Доходи'!AF917*Законод!$G$11,0)))</f>
        <v>0</v>
      </c>
      <c r="AR917" s="211">
        <f t="shared" ref="AR917:AR923" si="110">SUM(AN917:AQ917)</f>
        <v>0</v>
      </c>
    </row>
    <row r="918" spans="1:44" s="50" customFormat="1" ht="31.9" hidden="1" customHeight="1">
      <c r="A918" s="197"/>
      <c r="B918" s="951"/>
      <c r="C918" s="954"/>
      <c r="D918" s="957"/>
      <c r="E918" s="939"/>
      <c r="F918" s="238" t="str">
        <f ca="1">IF(B912="Лікар-педіатр",Законод!$E$17,IF(B912="Лікар загальної практики - сімейний лікар",Законод!$E$21,IF(B912="Лікар-терапевт",Законод!$E$25,"х")))</f>
        <v>х</v>
      </c>
      <c r="G918" s="935" t="s">
        <v>423</v>
      </c>
      <c r="H918" s="936"/>
      <c r="I918" s="936"/>
      <c r="J918" s="936"/>
      <c r="K918" s="937"/>
      <c r="L918" s="196">
        <f ca="1">IF($B$912="Лікар загальної практики - сімейний лікар",IF(L916&lt;Законод!$C$22,0,(IF(AND(L916&gt;=Законод!$E$22,L916&lt;=Законод!$E$23),L916-Законод!$C$22,IF('01_Доходи'!L916&gt;=Законод!$F$22,Законод!$E$24,0)))),IF($B$912="Лікар-педіатр",IF(L916&lt;Законод!$C$18,0,(IF(AND(L916&gt;=Законод!$E$18,L916&lt;=Законод!$E$19),L916-Законод!$C$18,IF('01_Доходи'!L916&gt;=Законод!$F$18,Законод!$E$20,0)))),IF($B$912="Лікар-терапевт",IF(L916&lt;Законод!$C$26,0,(IF(AND(L916&gt;=Законод!$E$26,L916&lt;=Законод!$E$27),L916-Законод!$C$26,IF('01_Доходи'!L916&gt;=Законод!$F$26,Законод!$E$28,0)))),0)))</f>
        <v>0</v>
      </c>
      <c r="M918" s="942"/>
      <c r="N918" s="935" t="s">
        <v>423</v>
      </c>
      <c r="O918" s="936"/>
      <c r="P918" s="936"/>
      <c r="Q918" s="936"/>
      <c r="R918" s="937"/>
      <c r="S918" s="196">
        <f ca="1">IF($B$912="Лікар загальної практики - сімейний лікар",IF(S916&lt;Законод!$C$22,0,(IF(AND(S916&gt;=Законод!$E$22,S916&lt;=Законод!$E$23),S916-Законод!$C$22,IF('01_Доходи'!S916&gt;=Законод!$F$22,Законод!$E$24,0)))),IF($B$912="Лікар-педіатр",IF(S916&lt;Законод!$C$18,0,(IF(AND(S916&gt;=Законод!$E$18,S916&lt;=Законод!$E$19),S916-Законод!$C$18,IF('01_Доходи'!S916&gt;=Законод!$F$18,Законод!$E$20,0)))),IF($B$912="Лікар-терапевт",IF(S916&lt;Законод!$C$26,0,(IF(AND(S916&gt;=Законод!$E$26,S916&lt;=Законод!$E$27),S916-Законод!$C$26,IF('01_Доходи'!S916&gt;=Законод!$F$26,Законод!$E$28,0)))),0)))</f>
        <v>0</v>
      </c>
      <c r="T918" s="942"/>
      <c r="U918" s="935" t="s">
        <v>423</v>
      </c>
      <c r="V918" s="936"/>
      <c r="W918" s="936"/>
      <c r="X918" s="936"/>
      <c r="Y918" s="937"/>
      <c r="Z918" s="196">
        <f ca="1">IF($B$912="Лікар загальної практики - сімейний лікар",IF(Z916&lt;Законод!$C$22,0,(IF(AND(Z916&gt;=Законод!$E$22,Z916&lt;=Законод!$E$23),Z916-Законод!$C$22,IF('01_Доходи'!Z916&gt;=Законод!$F$22,Законод!$E$24,0)))),IF($B$912="Лікар-педіатр",IF(Z916&lt;Законод!$C$18,0,(IF(AND(Z916&gt;=Законод!$E$18,Z916&lt;=Законод!$E$19),Z916-Законод!$C$18,IF('01_Доходи'!Z916&gt;=Законод!$F$18,Законод!$E$20,0)))),IF($B$912="Лікар-терапевт",IF(Z916&lt;Законод!$C$26,0,(IF(AND(Z916&gt;=Законод!$E$26,Z916&lt;=Законод!$E$27),Z916-Законод!$C$26,IF('01_Доходи'!Z916&gt;=Законод!$F$26,Законод!$E$28,0)))),0)))</f>
        <v>0</v>
      </c>
      <c r="AA918" s="942"/>
      <c r="AB918" s="935" t="s">
        <v>423</v>
      </c>
      <c r="AC918" s="936"/>
      <c r="AD918" s="936"/>
      <c r="AE918" s="936"/>
      <c r="AF918" s="937"/>
      <c r="AG918" s="196">
        <f ca="1">IF($B$912="Лікар загальної практики - сімейний лікар",IF(AG916&lt;Законод!$C$22,0,(IF(AND(AG916&gt;=Законод!$E$22,AG916&lt;=Законод!$E$23),AG916-Законод!$C$22,IF('01_Доходи'!AG916&gt;=Законод!$F$22,Законод!$E$24,0)))),IF($B$912="Лікар-педіатр",IF(AG916&lt;Законод!$C$18,0,(IF(AND(AG916&gt;=Законод!$E$18,AG916&lt;=Законод!$E$19),AG916-Законод!$C$18,IF('01_Доходи'!AG916&gt;=Законод!$F$18,Законод!$E$20,0)))),IF($B$912="Лікар-терапевт",IF(AG916&lt;Законод!$C$26,0,(IF(AND(AG916&gt;=Законод!$E$26,AG916&lt;=Законод!$E$27),AG916-Законод!$C$26,IF('01_Доходи'!AG916&gt;=Законод!$F$26,Законод!$E$28,0)))),0)))</f>
        <v>0</v>
      </c>
      <c r="AH918" s="942"/>
      <c r="AI918" s="201"/>
      <c r="AJ918" s="945"/>
      <c r="AK918" s="960"/>
      <c r="AL918" s="960"/>
      <c r="AM918" s="926" t="s">
        <v>452</v>
      </c>
      <c r="AN918" s="210">
        <f ca="1">IF(B912="Лікар загальної практики - сімейний лікар",L918*Законод!$C$9/4*Законод!$E$16,IF(B912="Лікар-педіатр",L918*Законод!$C$9/4*Законод!$E$16,IF(B912="Лікар-терапевт",L918*Законод!$C$9/4*Законод!$E$16,0)))</f>
        <v>0</v>
      </c>
      <c r="AO918" s="210">
        <f ca="1">IF(B912="Лікар загальної практики - сімейний лікар",S918*Законод!$C$9/4*Законод!$E$16,IF(B912="Лікар-педіатр",S918*Законод!$C$9/4*Законод!$E$16,IF(B912="Лікар-терапевт",S918*Законод!$C$9/4*Законод!$E$16,0)))</f>
        <v>0</v>
      </c>
      <c r="AP918" s="210">
        <f ca="1">IF(B912="Лікар загальної практики - сімейний лікар",Z918*Законод!$C$9/4*Законод!$E$16,IF(B912="Лікар-педіатр",Z918*Законод!$C$9/4*Законод!$E$16,IF(B912="Лікар-терапевт",Z918*Законод!$C$9/4*Законод!$E$16,0)))</f>
        <v>0</v>
      </c>
      <c r="AQ918" s="210">
        <f ca="1">IF(B912="Лікар загальної практики - сімейний лікар",AG918*Законод!$C$9/4*Законод!$E$16,IF(B912="Лікар-педіатр",AG918*Законод!$C$9/4*Законод!$E$16,IF(B912="Лікар-терапевт",AG918*Законод!$C$9/4*Законод!$E$16,0)))</f>
        <v>0</v>
      </c>
      <c r="AR918" s="211">
        <f t="shared" si="110"/>
        <v>0</v>
      </c>
    </row>
    <row r="919" spans="1:44" s="50" customFormat="1" ht="31.9" hidden="1" customHeight="1">
      <c r="A919" s="197"/>
      <c r="B919" s="951"/>
      <c r="C919" s="954"/>
      <c r="D919" s="957"/>
      <c r="E919" s="939"/>
      <c r="F919" s="238" t="str">
        <f ca="1">IF(B912="Лікар-педіатр",Законод!$F$17,IF(B912="Лікар загальної практики - сімейний лікар",Законод!$F$21,IF(B912="Лікар-терапевт",Законод!$F$25,"х")))</f>
        <v>х</v>
      </c>
      <c r="G919" s="935" t="s">
        <v>423</v>
      </c>
      <c r="H919" s="936"/>
      <c r="I919" s="936"/>
      <c r="J919" s="936"/>
      <c r="K919" s="937"/>
      <c r="L919" s="196">
        <f ca="1">IF($B$912="Лікар загальної практики - сімейний лікар",IF(L916&lt;Законод!$C$22,0,(IF(AND(L916&gt;=Законод!$F$22,L916&lt;=Законод!$F$23),L916-Законод!$E$23,IF('01_Доходи'!L916&gt;=Законод!$G$22,Законод!$F$24,0)))),IF($B$912="Лікар-педіатр",IF(L916&lt;Законод!$C$18,0,(IF(AND(L916&gt;=Законод!$F$18,L916&lt;=Законод!$F$19),L916-Законод!$E$19,IF('01_Доходи'!L916&gt;=Законод!$G$18,Законод!$F$20,0)))),IF($B$912="Лікар-терапевт",IF(L916&lt;Законод!$C$26,0,(IF(AND(L916&gt;=Законод!$F$26,L916&lt;=Законод!$F$27),L916-Законод!$E$27,IF('01_Доходи'!L916&gt;=Законод!$G$26,Законод!$F$28,0)))),0)))</f>
        <v>0</v>
      </c>
      <c r="M919" s="942"/>
      <c r="N919" s="935" t="s">
        <v>423</v>
      </c>
      <c r="O919" s="936"/>
      <c r="P919" s="936"/>
      <c r="Q919" s="936"/>
      <c r="R919" s="937"/>
      <c r="S919" s="196">
        <f ca="1">IF($B$912="Лікар загальної практики - сімейний лікар",IF(S916&lt;Законод!$C$22,0,(IF(AND(S916&gt;=Законод!$F$22,S916&lt;=Законод!$F$23),S916-Законод!$E$23,IF('01_Доходи'!S916&gt;=Законод!$G$22,Законод!$F$24,0)))),IF($B$912="Лікар-педіатр",IF(S916&lt;Законод!$C$18,0,(IF(AND(S916&gt;=Законод!$F$18,S916&lt;=Законод!$F$19),S916-Законод!$E$19,IF('01_Доходи'!S916&gt;=Законод!$G$18,Законод!$F$20,0)))),IF($B$912="Лікар-терапевт",IF(S916&lt;Законод!$C$26,0,(IF(AND(S916&gt;=Законод!$F$26,S916&lt;=Законод!$F$27),S916-Законод!$E$27,IF('01_Доходи'!S916&gt;=Законод!$G$26,Законод!$F$28,0)))),0)))</f>
        <v>0</v>
      </c>
      <c r="T919" s="942"/>
      <c r="U919" s="935" t="s">
        <v>423</v>
      </c>
      <c r="V919" s="936"/>
      <c r="W919" s="936"/>
      <c r="X919" s="936"/>
      <c r="Y919" s="937"/>
      <c r="Z919" s="196">
        <f ca="1">IF($B$912="Лікар загальної практики - сімейний лікар",IF(Z916&lt;Законод!$C$22,0,(IF(AND(Z916&gt;=Законод!$F$22,Z916&lt;=Законод!$F$23),Z916-Законод!$E$23,IF('01_Доходи'!Z916&gt;=Законод!$G$22,Законод!$F$24,0)))),IF($B$912="Лікар-педіатр",IF(Z916&lt;Законод!$C$18,0,(IF(AND(Z916&gt;=Законод!$F$18,Z916&lt;=Законод!$F$19),Z916-Законод!$E$19,IF('01_Доходи'!Z916&gt;=Законод!$G$18,Законод!$F$20,0)))),IF($B$912="Лікар-терапевт",IF(Z916&lt;Законод!$C$26,0,(IF(AND(Z916&gt;=Законод!$F$26,Z916&lt;=Законод!$F$27),Z916-Законод!$E$27,IF('01_Доходи'!Z916&gt;=Законод!$G$26,Законод!$F$28,0)))),0)))</f>
        <v>0</v>
      </c>
      <c r="AA919" s="942"/>
      <c r="AB919" s="935" t="s">
        <v>423</v>
      </c>
      <c r="AC919" s="936"/>
      <c r="AD919" s="936"/>
      <c r="AE919" s="936"/>
      <c r="AF919" s="937"/>
      <c r="AG919" s="196">
        <f ca="1">IF($B$912="Лікар загальної практики - сімейний лікар",IF(AG916&lt;Законод!$C$22,0,(IF(AND(AG916&gt;=Законод!$F$22,AG916&lt;=Законод!$F$23),AG916-Законод!$E$23,IF('01_Доходи'!AG916&gt;=Законод!$G$22,Законод!$F$24,0)))),IF($B$912="Лікар-педіатр",IF(AG916&lt;Законод!$C$18,0,(IF(AND(AG916&gt;=Законод!$F$18,AG916&lt;=Законод!$F$19),AG916-Законод!$E$19,IF('01_Доходи'!AG916&gt;=Законод!$G$18,Законод!$F$20,0)))),IF($B$912="Лікар-терапевт",IF(AG916&lt;Законод!$C$26,0,(IF(AND(AG916&gt;=Законод!$F$26,AG916&lt;=Законод!$F$27),AG916-Законод!$E$27,IF('01_Доходи'!AG916&gt;=Законод!$G$26,Законод!$F$28,0)))),0)))</f>
        <v>0</v>
      </c>
      <c r="AH919" s="942"/>
      <c r="AI919" s="201"/>
      <c r="AJ919" s="945"/>
      <c r="AK919" s="960"/>
      <c r="AL919" s="960"/>
      <c r="AM919" s="927"/>
      <c r="AN919" s="210">
        <f ca="1">IF(B912="Лікар загальної практики - сімейний лікар",L919*Законод!$C$9/4*Законод!$F$16,IF(B912="Лікар-педіатр",L919*Законод!$C$9/4*Законод!$F$16,IF(B912="Лікар-терапевт",L919*Законод!$C$9/4*Законод!$F$16,0)))</f>
        <v>0</v>
      </c>
      <c r="AO919" s="210">
        <f ca="1">IF(B912="Лікар загальної практики - сімейний лікар",S919*Законод!$C$9/4*Законод!$F$16,IF(B912="Лікар-педіатр",S919*Законод!$C$9/4*Законод!$F$16,IF(B912="Лікар-терапевт",S919*Законод!$C$9/4*Законод!$F$16,0)))</f>
        <v>0</v>
      </c>
      <c r="AP919" s="210">
        <f ca="1">IF(B912="Лікар загальної практики - сімейний лікар",Z919*Законод!$C$9/4*Законод!$F$16,IF(B912="Лікар-педіатр",Z919*Законод!$C$9/4*Законод!$F$16,IF(B912="Лікар-терапевт",Z919*Законод!$C$9/4*Законод!$F$16,0)))</f>
        <v>0</v>
      </c>
      <c r="AQ919" s="210">
        <f ca="1">IF(B912="Лікар загальної практики - сімейний лікар",AG919*Законод!$C$9/4*Законод!$F$16,IF(B912="Лікар-педіатр",AG919*Законод!$C$9/4*Законод!$F$16,IF(B912="Лікар-терапевт",AG919*Законод!$C$9/4*Законод!$F$16,0)))</f>
        <v>0</v>
      </c>
      <c r="AR919" s="211">
        <f t="shared" si="110"/>
        <v>0</v>
      </c>
    </row>
    <row r="920" spans="1:44" s="50" customFormat="1" ht="31.9" hidden="1" customHeight="1">
      <c r="A920" s="197"/>
      <c r="B920" s="951"/>
      <c r="C920" s="954"/>
      <c r="D920" s="957"/>
      <c r="E920" s="939"/>
      <c r="F920" s="238" t="str">
        <f ca="1">IF(B912="Лікар-педіатр",Законод!$G$17,IF(B912="Лікар загальної практики - сімейний лікар",Законод!$G$21,IF(B912="Лікар-терапевт",Законод!$G$25,"х")))</f>
        <v>х</v>
      </c>
      <c r="G920" s="935" t="s">
        <v>423</v>
      </c>
      <c r="H920" s="936"/>
      <c r="I920" s="936"/>
      <c r="J920" s="936"/>
      <c r="K920" s="937"/>
      <c r="L920" s="196">
        <f ca="1">IF($B$912="Лікар загальної практики - сімейний лікар",IF(L916&lt;Законод!$C$22,0,(IF(AND(L916&gt;=Законод!$G$22,L916&lt;=Законод!$G$23),L916-Законод!$F$23,IF('01_Доходи'!L916&gt;=Законод!$H$22,Законод!$G$24,0)))),IF($B$912="Лікар-педіатр",IF(L916&lt;Законод!$C$18,0,(IF(AND(L916&gt;=Законод!$G$18,L916&lt;=Законод!$G$19),L916-Законод!$F$19,IF('01_Доходи'!L916&gt;=Законод!$H$18,Законод!$G$20,0)))),IF($B$912="Лікар-терапевт",IF(L916&lt;Законод!$C$26,0,(IF(AND(L916&gt;=Законод!$G$26,L916&lt;=Законод!$G$27),L916-Законод!$F$27,IF('01_Доходи'!L916&gt;=Законод!$H$26,Законод!$G$28,0)))),0)))</f>
        <v>0</v>
      </c>
      <c r="M920" s="942"/>
      <c r="N920" s="935" t="s">
        <v>423</v>
      </c>
      <c r="O920" s="936"/>
      <c r="P920" s="936"/>
      <c r="Q920" s="936"/>
      <c r="R920" s="937"/>
      <c r="S920" s="196">
        <f ca="1">IF($B$912="Лікар загальної практики - сімейний лікар",IF(S916&lt;Законод!$C$22,0,(IF(AND(S916&gt;=Законод!$G$22,S916&lt;=Законод!$G$23),S916-Законод!$F$23,IF('01_Доходи'!S916&gt;=Законод!$H$22,Законод!$G$24,0)))),IF($B$912="Лікар-педіатр",IF(S916&lt;Законод!$C$18,0,(IF(AND(S916&gt;=Законод!$G$18,S916&lt;=Законод!$G$19),S916-Законод!$F$19,IF('01_Доходи'!S916&gt;=Законод!$H$18,Законод!$G$20,0)))),IF($B$912="Лікар-терапевт",IF(S916&lt;Законод!$C$26,0,(IF(AND(S916&gt;=Законод!$G$26,S916&lt;=Законод!$G$27),S916-Законод!$F$27,IF('01_Доходи'!S916&gt;=Законод!$H$26,Законод!$G$28,0)))),0)))</f>
        <v>0</v>
      </c>
      <c r="T920" s="942"/>
      <c r="U920" s="935" t="s">
        <v>423</v>
      </c>
      <c r="V920" s="936"/>
      <c r="W920" s="936"/>
      <c r="X920" s="936"/>
      <c r="Y920" s="937"/>
      <c r="Z920" s="196">
        <f ca="1">IF($B$912="Лікар загальної практики - сімейний лікар",IF(Z916&lt;Законод!$C$22,0,(IF(AND(Z916&gt;=Законод!$G$22,Z916&lt;=Законод!$G$23),Z916-Законод!$F$23,IF('01_Доходи'!Z916&gt;=Законод!$H$22,Законод!$G$24,0)))),IF($B$912="Лікар-педіатр",IF(Z916&lt;Законод!$C$18,0,(IF(AND(Z916&gt;=Законод!$G$18,Z916&lt;=Законод!$G$19),Z916-Законод!$F$19,IF('01_Доходи'!Z916&gt;=Законод!$H$18,Законод!$G$20,0)))),IF($B$912="Лікар-терапевт",IF(Z916&lt;Законод!$C$26,0,(IF(AND(Z916&gt;=Законод!$G$26,Z916&lt;=Законод!$G$27),Z916-Законод!$F$27,IF('01_Доходи'!Z916&gt;=Законод!$H$26,Законод!$G$28,0)))),0)))</f>
        <v>0</v>
      </c>
      <c r="AA920" s="942"/>
      <c r="AB920" s="935" t="s">
        <v>423</v>
      </c>
      <c r="AC920" s="936"/>
      <c r="AD920" s="936"/>
      <c r="AE920" s="936"/>
      <c r="AF920" s="937"/>
      <c r="AG920" s="196">
        <f ca="1">IF($B$912="Лікар загальної практики - сімейний лікар",IF(AG916&lt;Законод!$C$22,0,(IF(AND(AG916&gt;=Законод!$G$22,AG916&lt;=Законод!$G$23),AG916-Законод!$F$23,IF('01_Доходи'!AG916&gt;=Законод!$H$22,Законод!$G$24,0)))),IF($B$912="Лікар-педіатр",IF(AG916&lt;Законод!$C$18,0,(IF(AND(AG916&gt;=Законод!$G$18,AG916&lt;=Законод!$G$19),AG916-Законод!$F$19,IF('01_Доходи'!AG916&gt;=Законод!$H$18,Законод!$G$20,0)))),IF($B$912="Лікар-терапевт",IF(AG916&lt;Законод!$C$26,0,(IF(AND(AG916&gt;=Законод!$G$26,AG916&lt;=Законод!$G$27),AG916-Законод!$F$27,IF('01_Доходи'!AG916&gt;=Законод!$H$26,Законод!$G$28,0)))),0)))</f>
        <v>0</v>
      </c>
      <c r="AH920" s="942"/>
      <c r="AI920" s="201"/>
      <c r="AJ920" s="945"/>
      <c r="AK920" s="960"/>
      <c r="AL920" s="960"/>
      <c r="AM920" s="927"/>
      <c r="AN920" s="210">
        <f ca="1">IF(B912="Лікар загальної практики - сімейний лікар",L920*Законод!$C$9/4*Законод!$G$16,IF(B912="Лікар-педіатр",L920*Законод!$C$9/4*Законод!$G$16,IF(B912="Лікар-терапевт",L920*Законод!$C$9/4*Законод!$G$16,0)))</f>
        <v>0</v>
      </c>
      <c r="AO920" s="210">
        <f ca="1">IF(B912="Лікар загальної практики - сімейний лікар",S920*Законод!$C$9/4*Законод!$G$16,IF(B912="Лікар-педіатр",S920*Законод!$C$9/4*Законод!$G$16,IF(B912="Лікар-терапевт",S920*Законод!$C$9/4*Законод!$G$16,0)))</f>
        <v>0</v>
      </c>
      <c r="AP920" s="210">
        <f ca="1">IF(B912="Лікар загальної практики - сімейний лікар",Z920*Законод!$C$9/4*Законод!$G$16,IF(B912="Лікар-педіатр",Z920*Законод!$C$9/4*Законод!$G$16,IF(B912="Лікар-терапевт",Z920*Законод!$C$9/4*Законод!$G$16,0)))</f>
        <v>0</v>
      </c>
      <c r="AQ920" s="210">
        <f ca="1">IF(B912="Лікар загальної практики - сімейний лікар",AG920*Законод!$C$9/4*Законод!$G$16,IF(B912="Лікар-педіатр",AG920*Законод!$C$9/4*Законод!$G$16,IF(B912="Лікар-терапевт",AG920*Законод!$C$9/4*Законод!$G$16,0)))</f>
        <v>0</v>
      </c>
      <c r="AR920" s="211">
        <f t="shared" si="110"/>
        <v>0</v>
      </c>
    </row>
    <row r="921" spans="1:44" s="50" customFormat="1" ht="31.9" hidden="1" customHeight="1">
      <c r="A921" s="197"/>
      <c r="B921" s="951"/>
      <c r="C921" s="954"/>
      <c r="D921" s="957"/>
      <c r="E921" s="939"/>
      <c r="F921" s="238" t="str">
        <f ca="1">IF(B912="Лікар-педіатр",Законод!$H$17,IF(B912="Лікар загальної практики - сімейний лікар",Законод!$H$21,IF(B912="Лікар-терапевт",Законод!$H$25,"х")))</f>
        <v>х</v>
      </c>
      <c r="G921" s="935" t="s">
        <v>423</v>
      </c>
      <c r="H921" s="936"/>
      <c r="I921" s="936"/>
      <c r="J921" s="936"/>
      <c r="K921" s="937"/>
      <c r="L921" s="196">
        <f ca="1">IF($B$912="Лікар загальної практики - сімейний лікар",IF(L916&lt;Законод!$C$22,0,(IF(AND(L916&gt;=Законод!$H$22,L916&lt;=Законод!$H$23),L916-Законод!$G$23,IF('01_Доходи'!L916&gt;=Законод!$I$22,Законод!$H$24,0)))),IF($B$912="Лікар-педіатр",IF(L916&lt;Законод!$C$18,0,(IF(AND(L916&gt;=Законод!$H$18,L916&lt;=Законод!$H$19),L916-Законод!$G$19,IF('01_Доходи'!L916&gt;=Законод!$I$18,Законод!$H$20,0)))),IF($B$912="Лікар-терапевт",IF(L916&lt;Законод!$C$26,0,(IF(AND(L916&gt;=Законод!$H$26,L916&lt;=Законод!$H$27),L916-Законод!$G$27,IF(L916&gt;=Законод!$I$26,Законод!$H$28,0)))),0)))</f>
        <v>0</v>
      </c>
      <c r="M921" s="942"/>
      <c r="N921" s="935" t="s">
        <v>423</v>
      </c>
      <c r="O921" s="936"/>
      <c r="P921" s="936"/>
      <c r="Q921" s="936"/>
      <c r="R921" s="937"/>
      <c r="S921" s="196">
        <f ca="1">IF($B$912="Лікар загальної практики - сімейний лікар",IF(S916&lt;Законод!$C$22,0,(IF(AND(S916&gt;=Законод!$H$22,S916&lt;=Законод!$H$23),S916-Законод!$G$23,IF('01_Доходи'!S916&gt;=Законод!$I$22,Законод!$H$24,0)))),IF($B$912="Лікар-педіатр",IF(S916&lt;Законод!$C$18,0,(IF(AND(S916&gt;=Законод!$H$18,S916&lt;=Законод!$H$19),S916-Законод!$G$19,IF('01_Доходи'!S916&gt;=Законод!$I$18,Законод!$H$20,0)))),IF($B$912="Лікар-терапевт",IF(S916&lt;Законод!$C$26,0,(IF(AND(S916&gt;=Законод!$H$26,S916&lt;=Законод!$H$27),S916-Законод!$G$27,IF(S916&gt;=Законод!$I$26,Законод!$H$28,0)))),0)))</f>
        <v>0</v>
      </c>
      <c r="T921" s="942"/>
      <c r="U921" s="935" t="s">
        <v>423</v>
      </c>
      <c r="V921" s="936"/>
      <c r="W921" s="936"/>
      <c r="X921" s="936"/>
      <c r="Y921" s="937"/>
      <c r="Z921" s="196">
        <f ca="1">IF($B$912="Лікар загальної практики - сімейний лікар",IF(Z916&lt;Законод!$C$22,0,(IF(AND(Z916&gt;=Законод!$H$22,Z916&lt;=Законод!$H$23),Z916-Законод!$G$23,IF('01_Доходи'!Z916&gt;=Законод!$I$22,Законод!$H$24,0)))),IF($B$912="Лікар-педіатр",IF(Z916&lt;Законод!$C$18,0,(IF(AND(Z916&gt;=Законод!$H$18,Z916&lt;=Законод!$H$19),Z916-Законод!$G$19,IF('01_Доходи'!Z916&gt;=Законод!$I$18,Законод!$H$20,0)))),IF($B$912="Лікар-терапевт",IF(Z916&lt;Законод!$C$26,0,(IF(AND(Z916&gt;=Законод!$H$26,Z916&lt;=Законод!$H$27),Z916-Законод!$G$27,IF(Z916&gt;=Законод!$I$26,Законод!$H$28,0)))),0)))</f>
        <v>0</v>
      </c>
      <c r="AA921" s="942"/>
      <c r="AB921" s="935" t="s">
        <v>423</v>
      </c>
      <c r="AC921" s="936"/>
      <c r="AD921" s="936"/>
      <c r="AE921" s="936"/>
      <c r="AF921" s="937"/>
      <c r="AG921" s="196">
        <f ca="1">IF($B$912="Лікар загальної практики - сімейний лікар",IF(AG916&lt;Законод!$C$22,0,(IF(AND(AG916&gt;=Законод!$H$22,AG916&lt;=Законод!$H$23),AG916-Законод!$G$23,IF('01_Доходи'!AG916&gt;=Законод!$I$22,Законод!$H$24,0)))),IF($B$912="Лікар-педіатр",IF(AG916&lt;Законод!$C$18,0,(IF(AND(AG916&gt;=Законод!$H$18,AG916&lt;=Законод!$H$19),AG916-Законод!$G$19,IF('01_Доходи'!AG916&gt;=Законод!$I$18,Законод!$H$20,0)))),IF($B$912="Лікар-терапевт",IF(AG916&lt;Законод!$C$26,0,(IF(AND(AG916&gt;=Законод!$H$26,AG916&lt;=Законод!$H$27),AG916-Законод!$G$27,IF(AG916&gt;=Законод!$I$26,Законод!$H$28,0)))),0)))</f>
        <v>0</v>
      </c>
      <c r="AH921" s="942"/>
      <c r="AI921" s="201"/>
      <c r="AJ921" s="945"/>
      <c r="AK921" s="960"/>
      <c r="AL921" s="960"/>
      <c r="AM921" s="927"/>
      <c r="AN921" s="210">
        <f ca="1">IF(B912="Лікар загальної практики - сімейний лікар",L921*Законод!$C$9/4*Законод!$H$16,IF(B912="Лікар-педіатр",L921*Законод!$C$9/4*Законод!$H$16,IF(B912="Лікар-терапевт",L921*Законод!$C$9/4*Законод!$H$16,0)))</f>
        <v>0</v>
      </c>
      <c r="AO921" s="210">
        <f ca="1">IF(B912="Лікар загальної практики - сімейний лікар",S921*Законод!$C$9/4*Законод!$H$16,IF(B912="Лікар-педіатр",S921*Законод!$C$9/4*Законод!$H$16,IF(B912="Лікар-терапевт",S921*Законод!$C$9/4*Законод!$H$16,0)))</f>
        <v>0</v>
      </c>
      <c r="AP921" s="210">
        <f ca="1">IF(B912="Лікар загальної практики - сімейний лікар",Z921*Законод!$C$9/4*Законод!$H$16,IF(B912="Лікар-педіатр",Z921*Законод!$C$9/4*Законод!$H$16,IF(B912="Лікар-терапевт",Z921*Законод!$C$9/4*Законод!$H$16,0)))</f>
        <v>0</v>
      </c>
      <c r="AQ921" s="210">
        <f ca="1">IF(B912="Лікар загальної практики - сімейний лікар",AG921*Законод!$C$9/4*Законод!$H$16,IF(B912="Лікар-педіатр",AG921*Законод!$C$9/4*Законод!$H$16,IF(B912="Лікар-терапевт",AG921*Законод!$C$9/4*Законод!$H$16,0)))</f>
        <v>0</v>
      </c>
      <c r="AR921" s="211">
        <f t="shared" si="110"/>
        <v>0</v>
      </c>
    </row>
    <row r="922" spans="1:44" s="50" customFormat="1" ht="31.9" hidden="1" customHeight="1">
      <c r="A922" s="197"/>
      <c r="B922" s="951"/>
      <c r="C922" s="954"/>
      <c r="D922" s="957"/>
      <c r="E922" s="939"/>
      <c r="F922" s="238" t="str">
        <f ca="1">IF(B912="Лікар-педіатр",Законод!$I$17,IF(B912="Лікар загальної практики - сімейний лікар",Законод!$I$21,IF(B912="Лікар-терапевт",Законод!$I$25,"х")))</f>
        <v>х</v>
      </c>
      <c r="G922" s="935" t="s">
        <v>423</v>
      </c>
      <c r="H922" s="936"/>
      <c r="I922" s="936"/>
      <c r="J922" s="936"/>
      <c r="K922" s="937"/>
      <c r="L922" s="196">
        <f ca="1">IF($B$912="Лікар загальної практики - сімейний лікар",IF(L916&lt;Законод!$C$22,0,(IF(AND(L916&gt;=Законод!$I$22,L916&lt;=Законод!$I$23),L916-Законод!$H$23,IF('01_Доходи'!L916&gt;=Законод!$I$22,Законод!$I$24,0)))),IF($B$912="Лікар-педіатр",IF(L916&lt;Законод!$C$18,0,(IF(AND(L916&gt;=Законод!$I$18,L916&lt;=Законод!$I$19),L916-Законод!$H$19,IF('01_Доходи'!L916&gt;=Законод!$I$18,Законод!$H$20,0)))),IF($B$912="Лікар-терапевт",IF(L916&lt;Законод!$C$26,0,(IF(AND(L916&gt;=Законод!$I$26,L916&lt;=Законод!$I$27),L916-Законод!$H$27,IF('01_Доходи'!L916&gt;=Законод!$I$26,Законод!$H$28,0)))),0)))</f>
        <v>0</v>
      </c>
      <c r="M922" s="942"/>
      <c r="N922" s="935" t="s">
        <v>423</v>
      </c>
      <c r="O922" s="936"/>
      <c r="P922" s="936"/>
      <c r="Q922" s="936"/>
      <c r="R922" s="937"/>
      <c r="S922" s="196">
        <f ca="1">IF($B$912="Лікар загальної практики - сімейний лікар",IF(S916&lt;Законод!$C$22,0,(IF(AND(S916&gt;=Законод!$I$22,S916&lt;=Законод!$I$23),S916-Законод!$H$23,IF('01_Доходи'!S916&gt;=Законод!$I$22,Законод!$I$24,0)))),IF($B$912="Лікар-педіатр",IF(S916&lt;Законод!$C$18,0,(IF(AND(S916&gt;=Законод!$I$18,S916&lt;=Законод!$I$19),S916-Законод!$H$19,IF('01_Доходи'!S916&gt;=Законод!$I$18,Законод!$H$20,0)))),IF($B$912="Лікар-терапевт",IF(S916&lt;Законод!$C$26,0,(IF(AND(S916&gt;=Законод!$I$26,S916&lt;=Законод!$I$27),S916-Законод!$H$27,IF('01_Доходи'!S916&gt;=Законод!$I$26,Законод!$H$28,0)))),0)))</f>
        <v>0</v>
      </c>
      <c r="T922" s="942"/>
      <c r="U922" s="935" t="s">
        <v>423</v>
      </c>
      <c r="V922" s="936"/>
      <c r="W922" s="936"/>
      <c r="X922" s="936"/>
      <c r="Y922" s="937"/>
      <c r="Z922" s="196">
        <f ca="1">IF($B$912="Лікар загальної практики - сімейний лікар",IF(Z916&lt;Законод!$C$22,0,(IF(AND(Z916&gt;=Законод!$I$22,Z916&lt;=Законод!$I$23),Z916-Законод!$H$23,IF('01_Доходи'!Z916&gt;=Законод!$I$22,Законод!$I$24,0)))),IF($B$912="Лікар-педіатр",IF(Z916&lt;Законод!$C$18,0,(IF(AND(Z916&gt;=Законод!$I$18,Z916&lt;=Законод!$I$19),Z916-Законод!$H$19,IF('01_Доходи'!Z916&gt;=Законод!$I$18,Законод!$H$20,0)))),IF($B$912="Лікар-терапевт",IF(Z916&lt;Законод!$C$26,0,(IF(AND(Z916&gt;=Законод!$I$26,Z916&lt;=Законод!$I$27),Z916-Законод!$H$27,IF('01_Доходи'!Z916&gt;=Законод!$I$26,Законод!$H$28,0)))),0)))</f>
        <v>0</v>
      </c>
      <c r="AA922" s="942"/>
      <c r="AB922" s="935" t="s">
        <v>423</v>
      </c>
      <c r="AC922" s="936"/>
      <c r="AD922" s="936"/>
      <c r="AE922" s="936"/>
      <c r="AF922" s="937"/>
      <c r="AG922" s="196">
        <f ca="1">IF($B$912="Лікар загальної практики - сімейний лікар",IF(AG916&lt;Законод!$C$22,0,(IF(AND(AG916&gt;=Законод!$I$22,AG916&lt;=Законод!$I$23),AG916-Законод!$H$23,IF('01_Доходи'!AG916&gt;=Законод!$I$22,Законод!$I$24,0)))),IF($B$912="Лікар-педіатр",IF(AG916&lt;Законод!$C$18,0,(IF(AND(AG916&gt;=Законод!$I$18,AG916&lt;=Законод!$I$19),AG916-Законод!$H$19,IF('01_Доходи'!AG916&gt;=Законод!$I$18,Законод!$H$20,0)))),IF($B$912="Лікар-терапевт",IF(AG916&lt;Законод!$C$26,0,(IF(AND(AG916&gt;=Законод!$I$26,AG916&lt;=Законод!$I$27),AG916-Законод!$H$27,IF('01_Доходи'!AG916&gt;=Законод!$I$26,Законод!$H$28,0)))),0)))</f>
        <v>0</v>
      </c>
      <c r="AH922" s="942"/>
      <c r="AI922" s="201"/>
      <c r="AJ922" s="945"/>
      <c r="AK922" s="960"/>
      <c r="AL922" s="960"/>
      <c r="AM922" s="927"/>
      <c r="AN922" s="210">
        <f ca="1">IF(B912="Лікар загальної практики - сімейний лікар",L922*Законод!$C$9/4*Законод!$I$16,IF(B912="Лікар-педіатр",L922*Законод!$C$9/4*Законод!$I$16,IF(B912="Лікар-терапевт",L922*Законод!$C$9/4*Законод!$I$16,0)))</f>
        <v>0</v>
      </c>
      <c r="AO922" s="210">
        <f ca="1">IF(B912="Лікар загальної практики - сімейний лікар",S922*Законод!$C$9/4*Законод!$I$16,IF(B912="Лікар-педіатр",S922*Законод!$C$9/4*Законод!$I$16,IF(B912="Лікар-терапевт",S922*Законод!$C$9/4*Законод!$I$16,0)))</f>
        <v>0</v>
      </c>
      <c r="AP922" s="210">
        <f ca="1">IF(B912="Лікар загальної практики - сімейний лікар",Z922*Законод!$C$9/4*Законод!$I$16,IF(B912="Лікар-педіатр",Z922*Законод!$C$9/4*Законод!$I$16,IF(B912="Лікар-терапевт",Z922*Законод!$C$9/4*Законод!$I$16,0)))</f>
        <v>0</v>
      </c>
      <c r="AQ922" s="210">
        <f ca="1">IF(B912="Лікар загальної практики - сімейний лікар",AG922*Законод!$C$9/4*Законод!$I$16,IF(B912="Лікар-педіатр",AG922*Законод!$C$9/4*Законод!$I$16,IF(B912="Лікар-терапевт",AG922*Законод!$C$9/4*Законод!$I$16,0)))</f>
        <v>0</v>
      </c>
      <c r="AR922" s="211">
        <f t="shared" si="110"/>
        <v>0</v>
      </c>
    </row>
    <row r="923" spans="1:44" s="218" customFormat="1" ht="31.9" hidden="1" customHeight="1" thickBot="1">
      <c r="A923" s="213"/>
      <c r="B923" s="952"/>
      <c r="C923" s="955"/>
      <c r="D923" s="958"/>
      <c r="E923" s="940"/>
      <c r="F923" s="239" t="str">
        <f ca="1">IF(B912="Лікар-педіатр",Законод!$J$17,IF(B912="Лікар загальної практики - сімейний лікар",Законод!$J$21,IF(B912="Лікар-терапевт",Законод!$J$25,"х")))</f>
        <v>х</v>
      </c>
      <c r="G923" s="932" t="s">
        <v>423</v>
      </c>
      <c r="H923" s="933"/>
      <c r="I923" s="933"/>
      <c r="J923" s="933"/>
      <c r="K923" s="934"/>
      <c r="L923" s="196">
        <f ca="1">IF($B$912="Лікар загальної практики - сімейний лікар",IF(L916&gt;=Законод!$J$22,'01_Доходи'!L916-('01_Доходи'!L917+'01_Доходи'!L918+'01_Доходи'!L919+'01_Доходи'!L920+'01_Доходи'!L921+'01_Доходи'!L922),0),IF($B$912="Лікар-педіатр",IF(L916&gt;=Законод!$J$18,'01_Доходи'!L916-('01_Доходи'!L917+'01_Доходи'!L918+'01_Доходи'!L919+'01_Доходи'!L920+'01_Доходи'!L921+'01_Доходи'!L922),0),IF($B$912="Лікар-терапевт",IF('01_Доходи'!L916&gt;=Законод!$J$26,L916-Законод!$I$27,0),0)))</f>
        <v>0</v>
      </c>
      <c r="M923" s="943"/>
      <c r="N923" s="932" t="s">
        <v>423</v>
      </c>
      <c r="O923" s="933"/>
      <c r="P923" s="933"/>
      <c r="Q923" s="933"/>
      <c r="R923" s="934"/>
      <c r="S923" s="196">
        <f ca="1">IF($B$912="Лікар загальної практики - сімейний лікар",IF(S916&gt;=Законод!$J$22,'01_Доходи'!S916-('01_Доходи'!S917+'01_Доходи'!S918+'01_Доходи'!S919+'01_Доходи'!S920+'01_Доходи'!S921+'01_Доходи'!S922),0),IF($B$912="Лікар-педіатр",IF(S916&gt;=Законод!$J$18,'01_Доходи'!S916-('01_Доходи'!S917+'01_Доходи'!S918+'01_Доходи'!S919+'01_Доходи'!S920+'01_Доходи'!S921+'01_Доходи'!S922),0),IF($B$912="Лікар-терапевт",IF('01_Доходи'!S916&gt;=Законод!$J$26,S916-Законод!$I$27,0),0)))</f>
        <v>0</v>
      </c>
      <c r="T923" s="943"/>
      <c r="U923" s="932" t="s">
        <v>423</v>
      </c>
      <c r="V923" s="933"/>
      <c r="W923" s="933"/>
      <c r="X923" s="933"/>
      <c r="Y923" s="934"/>
      <c r="Z923" s="196">
        <f ca="1">IF($B$912="Лікар загальної практики - сімейний лікар",IF(Z916&gt;=Законод!$J$22,'01_Доходи'!Z916-('01_Доходи'!Z917+'01_Доходи'!Z918+'01_Доходи'!Z919+'01_Доходи'!Z920+'01_Доходи'!Z921+'01_Доходи'!Z922),0),IF($B$912="Лікар-педіатр",IF(Z916&gt;=Законод!$J$18,'01_Доходи'!Z916-('01_Доходи'!Z917+'01_Доходи'!Z918+'01_Доходи'!Z919+'01_Доходи'!Z920+'01_Доходи'!Z921+'01_Доходи'!Z922),0),IF($B$912="Лікар-терапевт",IF('01_Доходи'!Z916&gt;=Законод!$J$26,Z916-Законод!$I$27,0),0)))</f>
        <v>0</v>
      </c>
      <c r="AA923" s="943"/>
      <c r="AB923" s="932" t="s">
        <v>423</v>
      </c>
      <c r="AC923" s="933"/>
      <c r="AD923" s="933"/>
      <c r="AE923" s="933"/>
      <c r="AF923" s="934"/>
      <c r="AG923" s="196">
        <f ca="1">IF($B$912="Лікар загальної практики - сімейний лікар",IF(AG916&gt;=Законод!$J$22,'01_Доходи'!AG916-('01_Доходи'!AG917+'01_Доходи'!AG918+'01_Доходи'!AG919+'01_Доходи'!AG920+'01_Доходи'!AG921+'01_Доходи'!AG922),0),IF($B$912="Лікар-педіатр",IF(AG916&gt;=Законод!$J$18,'01_Доходи'!AG916-('01_Доходи'!AG917+'01_Доходи'!AG918+'01_Доходи'!AG919+'01_Доходи'!AG920+'01_Доходи'!AG921+'01_Доходи'!AG922),0),IF($B$912="Лікар-терапевт",IF('01_Доходи'!AG916&gt;=Законод!$J$26,AG916-Законод!$I$27,0),0)))</f>
        <v>0</v>
      </c>
      <c r="AH923" s="943"/>
      <c r="AI923" s="215"/>
      <c r="AJ923" s="946"/>
      <c r="AK923" s="961"/>
      <c r="AL923" s="961"/>
      <c r="AM923" s="928"/>
      <c r="AN923" s="216">
        <f ca="1">IF(B912="Лікар загальної практики - сімейний лікар",L923*Законод!$C$9/4*Законод!$J$16,IF(B912="Лікар-педіатр",L923*Законод!$C$9/4*Законод!$J$16,IF(B912="Лікар-терапевт",L923*Законод!$C$9/4*Законод!$J$16,0)))</f>
        <v>0</v>
      </c>
      <c r="AO923" s="216">
        <f ca="1">IF(B912="Лікар загальної практики - сімейний лікар",S923*Законод!$C$9/4*Законод!$J$16,IF(B912="Лікар-педіатр",S923*Законод!$C$9/4*Законод!$J$16,IF(B912="Лікар-терапевт",S923*Законод!$C$9/4*Законод!$J$16,0)))</f>
        <v>0</v>
      </c>
      <c r="AP923" s="216">
        <f ca="1">IF(B912="Лікар загальної практики - сімейний лікар",S923*Законод!$C$9/4*Законод!$J$16,IF(B912="Лікар-педіатр",S923*Законод!$C$9/4*Законод!$J$16,IF(B912="Лікар-терапевт",S923*Законод!$C$9/4*Законод!$J$16,0)))</f>
        <v>0</v>
      </c>
      <c r="AQ923" s="216">
        <f ca="1">IF(B912="Лікар загальної практики - сімейний лікар",AG923*Законод!$C$9/4*Законод!$J$16,IF(B912="Лікар-педіатр",AG923*Законод!$C$9/4*Законод!$J$16,IF(B912="Лікар-терапевт",AG923*Законод!$C$9/4*Законод!$J$16,0)))</f>
        <v>0</v>
      </c>
      <c r="AR923" s="217">
        <f t="shared" si="110"/>
        <v>0</v>
      </c>
    </row>
    <row r="924" spans="1:44" s="247" customFormat="1" ht="23.45" hidden="1" customHeight="1" thickBot="1">
      <c r="A924" s="243"/>
      <c r="B924" s="244"/>
      <c r="C924" s="244"/>
      <c r="D924" s="244"/>
      <c r="E924" s="244"/>
      <c r="F924" s="245"/>
      <c r="G924" s="246"/>
      <c r="H924" s="246"/>
      <c r="L924" s="248"/>
      <c r="S924" s="248"/>
      <c r="Z924" s="248"/>
      <c r="AG924" s="248"/>
      <c r="AM924" s="249"/>
      <c r="AR924" s="250"/>
    </row>
    <row r="925" spans="1:44" s="191" customFormat="1" ht="24.6" hidden="1" customHeight="1">
      <c r="A925" s="194">
        <f>A912+1</f>
        <v>69</v>
      </c>
      <c r="B925" s="950"/>
      <c r="C925" s="953"/>
      <c r="D925" s="956"/>
      <c r="E925" s="938"/>
      <c r="F925" s="234" t="s">
        <v>659</v>
      </c>
      <c r="G925" s="196">
        <f>IF($B$925="Лікар-педіатр",G928*L925,IF($B$925="Лікар-терапевт","х",IF($B$925="Лікар загальної практики - сімейний лікар",G928*L925,0)))</f>
        <v>0</v>
      </c>
      <c r="H925" s="196">
        <f>IF($B$925="Лікар-педіатр",H928*L925,IF($B$925="Лікар-терапевт","х",IF($B$925="Лікар загальної практики - сімейний лікар",H928*L925,0)))</f>
        <v>0</v>
      </c>
      <c r="I925" s="196">
        <f>IF($B$925="Лікар-педіатр","x",IF($B$925="Лікар-терапевт",I928*L925,IF($B$925="Лікар загальної практики - сімейний лікар",I928*L925,0)))</f>
        <v>0</v>
      </c>
      <c r="J925" s="196">
        <f>IF($B$925="Лікар-педіатр","x",IF($B$925="Лікар-терапевт",J928*L925,IF($B$925="Лікар загальної практики - сімейний лікар",J928*L925,0)))</f>
        <v>0</v>
      </c>
      <c r="K925" s="196">
        <f>IF($B$925="Лікар-педіатр","x",IF($B$925="Лікар-терапевт",K928*L925,IF($B$925="Лікар загальної практики - сімейний лікар",K928*L925,0)))</f>
        <v>0</v>
      </c>
      <c r="L925" s="557"/>
      <c r="M925" s="941"/>
      <c r="N925" s="196">
        <f>IF($B$925="Лікар-педіатр",N928*S925,IF($B$925="Лікар-терапевт","х",IF($B$925="Лікар загальної практики - сімейний лікар",N928*S925,0)))</f>
        <v>0</v>
      </c>
      <c r="O925" s="196">
        <f>IF($B$925="Лікар-педіатр",O928*S925,IF($B$925="Лікар-терапевт","х",IF($B$925="Лікар загальної практики - сімейний лікар",O928*S925,0)))</f>
        <v>0</v>
      </c>
      <c r="P925" s="196">
        <f>IF($B$925="Лікар-педіатр","x",IF($B$925="Лікар-терапевт",P928*S925,IF($B$925="Лікар загальної практики - сімейний лікар",P928*S925,0)))</f>
        <v>0</v>
      </c>
      <c r="Q925" s="196">
        <f>IF($B$925="Лікар-педіатр","x",IF($B$925="Лікар-терапевт",Q928*S925,IF($B$925="Лікар загальної практики - сімейний лікар",Q928*S925,0)))</f>
        <v>0</v>
      </c>
      <c r="R925" s="196">
        <f>IF($B$925="Лікар-педіатр","x",IF($B$925="Лікар-терапевт",R928*S925,IF($B$925="Лікар загальної практики - сімейний лікар",R928*S925,0)))</f>
        <v>0</v>
      </c>
      <c r="S925" s="557"/>
      <c r="T925" s="941"/>
      <c r="U925" s="196">
        <f>IF($B$925="Лікар-педіатр",U928*Z925,IF($B$925="Лікар-терапевт","х",IF($B$925="Лікар загальної практики - сімейний лікар",U928*Z925,0)))</f>
        <v>0</v>
      </c>
      <c r="V925" s="196">
        <f>IF($B$925="Лікар-педіатр",V928*Z925,IF($B$925="Лікар-терапевт","х",IF($B$925="Лікар загальної практики - сімейний лікар",V928*Z925,0)))</f>
        <v>0</v>
      </c>
      <c r="W925" s="196">
        <f>IF($B$925="Лікар-педіатр","x",IF($B$925="Лікар-терапевт",W928*Z925,IF($B$925="Лікар загальної практики - сімейний лікар",W928*Z925,0)))</f>
        <v>0</v>
      </c>
      <c r="X925" s="196">
        <f>IF($B$925="Лікар-педіатр","x",IF($B$925="Лікар-терапевт",X928*Z925,IF($B$925="Лікар загальної практики - сімейний лікар",X928*Z925,0)))</f>
        <v>0</v>
      </c>
      <c r="Y925" s="196">
        <f>IF($B$925="Лікар-педіатр","x",IF($B$925="Лікар-терапевт",Y928*Z925,IF($B$925="Лікар загальної практики - сімейний лікар",Y928*Z925,0)))</f>
        <v>0</v>
      </c>
      <c r="Z925" s="557"/>
      <c r="AA925" s="941"/>
      <c r="AB925" s="196">
        <f>IF($B$925="Лікар-педіатр",AB928*AG925,IF($B$925="Лікар-терапевт","х",IF($B$925="Лікар загальної практики - сімейний лікар",AB928*AG925,0)))</f>
        <v>0</v>
      </c>
      <c r="AC925" s="196">
        <f>IF($B$925="Лікар-педіатр",AC928*AG925,IF($B$925="Лікар-терапевт","х",IF($B$925="Лікар загальної практики - сімейний лікар",AC928*AG925,0)))</f>
        <v>0</v>
      </c>
      <c r="AD925" s="196">
        <f>IF($B$925="Лікар-педіатр","x",IF($B$925="Лікар-терапевт",AD928*AG925,IF($B$925="Лікар загальної практики - сімейний лікар",AD928*AG925,0)))</f>
        <v>0</v>
      </c>
      <c r="AE925" s="196">
        <f>IF($B$925="Лікар-педіатр","x",IF($B$925="Лікар-терапевт",AE928*AG925,IF($B$925="Лікар загальної практики - сімейний лікар",AE928*AG925,0)))</f>
        <v>0</v>
      </c>
      <c r="AF925" s="196">
        <f>IF($B$925="Лікар-педіатр","x",IF($B$925="Лікар-терапевт",AF928*AG925,IF($B$925="Лікар загальної практики - сімейний лікар",AF928*AG925,0)))</f>
        <v>0</v>
      </c>
      <c r="AG925" s="557"/>
      <c r="AH925" s="941"/>
      <c r="AI925" s="540">
        <f>A925</f>
        <v>69</v>
      </c>
      <c r="AJ925" s="944">
        <f>B925</f>
        <v>0</v>
      </c>
      <c r="AK925" s="959">
        <f>C925</f>
        <v>0</v>
      </c>
      <c r="AL925" s="959">
        <f>D925</f>
        <v>0</v>
      </c>
      <c r="AM925" s="929" t="s">
        <v>79</v>
      </c>
      <c r="AN925" s="947">
        <f>SUM(AN930:AN936)</f>
        <v>0</v>
      </c>
      <c r="AO925" s="947">
        <f>SUM(AO930:AO936)</f>
        <v>0</v>
      </c>
      <c r="AP925" s="947">
        <f>SUM(AP930:AP936)</f>
        <v>0</v>
      </c>
      <c r="AQ925" s="947">
        <f>SUM(AQ930:AQ936)</f>
        <v>0</v>
      </c>
      <c r="AR925" s="962">
        <f>SUM(AN925:AQ929)</f>
        <v>0</v>
      </c>
    </row>
    <row r="926" spans="1:44" s="50" customFormat="1" ht="28.15" hidden="1" customHeight="1">
      <c r="A926" s="197"/>
      <c r="B926" s="951"/>
      <c r="C926" s="954"/>
      <c r="D926" s="957"/>
      <c r="E926" s="939"/>
      <c r="F926" s="234" t="s">
        <v>660</v>
      </c>
      <c r="G926" s="196">
        <f>IF($B$925="Лікар-педіатр",G928*L926,IF($B$925="Лікар-терапевт","х",IF($B$925="Лікар загальної практики - сімейний лікар",G928*L926,0)))</f>
        <v>0</v>
      </c>
      <c r="H926" s="196">
        <f>IF($B$925="Лікар-педіатр",H928*L926,IF($B$925="Лікар-терапевт","х",IF($B$925="Лікар загальної практики - сімейний лікар",H928*L926,0)))</f>
        <v>0</v>
      </c>
      <c r="I926" s="196">
        <f>IF($B$925="Лікар-педіатр","x",IF($B$925="Лікар-терапевт",I928*L926,IF($B$925="Лікар загальної практики - сімейний лікар",I928*L926,0)))</f>
        <v>0</v>
      </c>
      <c r="J926" s="196">
        <f>IF($B$925="Лікар-педіатр","x",IF($B$925="Лікар-терапевт",J928*L926,IF($B$925="Лікар загальної практики - сімейний лікар",J928*L926,0)))</f>
        <v>0</v>
      </c>
      <c r="K926" s="196">
        <f>IF($B$925="Лікар-педіатр","x",IF($B$925="Лікар-терапевт",K928*L926,IF($B$925="Лікар загальної практики - сімейний лікар",K928*L926,0)))</f>
        <v>0</v>
      </c>
      <c r="L926" s="557"/>
      <c r="M926" s="942"/>
      <c r="N926" s="196">
        <f>IF($B$925="Лікар-педіатр",N928*S926,IF($B$925="Лікар-терапевт","х",IF($B$925="Лікар загальної практики - сімейний лікар",N928*S926,0)))</f>
        <v>0</v>
      </c>
      <c r="O926" s="196">
        <f>IF($B$925="Лікар-педіатр",O928*S926,IF($B$925="Лікар-терапевт","х",IF($B$925="Лікар загальної практики - сімейний лікар",O928*S926,0)))</f>
        <v>0</v>
      </c>
      <c r="P926" s="196">
        <f>IF($B$925="Лікар-педіатр","x",IF($B$925="Лікар-терапевт",P928*S926,IF($B$925="Лікар загальної практики - сімейний лікар",P928*S926,0)))</f>
        <v>0</v>
      </c>
      <c r="Q926" s="196">
        <f>IF($B$925="Лікар-педіатр","x",IF($B$925="Лікар-терапевт",Q928*S926,IF($B$925="Лікар загальної практики - сімейний лікар",Q928*S926,0)))</f>
        <v>0</v>
      </c>
      <c r="R926" s="196">
        <f>IF($B$925="Лікар-педіатр","x",IF($B$925="Лікар-терапевт",R928*S926,IF($B$925="Лікар загальної практики - сімейний лікар",R928*S926,0)))</f>
        <v>0</v>
      </c>
      <c r="S926" s="557"/>
      <c r="T926" s="942"/>
      <c r="U926" s="196">
        <f>IF($B$925="Лікар-педіатр",U928*Z926,IF($B$925="Лікар-терапевт","х",IF($B$925="Лікар загальної практики - сімейний лікар",U928*Z926,0)))</f>
        <v>0</v>
      </c>
      <c r="V926" s="196">
        <f>IF($B$925="Лікар-педіатр",V928*Z926,IF($B$925="Лікар-терапевт","х",IF($B$925="Лікар загальної практики - сімейний лікар",V928*Z926,0)))</f>
        <v>0</v>
      </c>
      <c r="W926" s="196">
        <f>IF($B$925="Лікар-педіатр","x",IF($B$925="Лікар-терапевт",W928*Z926,IF($B$925="Лікар загальної практики - сімейний лікар",W928*Z926,0)))</f>
        <v>0</v>
      </c>
      <c r="X926" s="196">
        <f>IF($B$925="Лікар-педіатр","x",IF($B$925="Лікар-терапевт",X928*Z926,IF($B$925="Лікар загальної практики - сімейний лікар",X928*Z926,0)))</f>
        <v>0</v>
      </c>
      <c r="Y926" s="196">
        <f>IF($B$925="Лікар-педіатр","x",IF($B$925="Лікар-терапевт",Y928*Z926,IF($B$925="Лікар загальної практики - сімейний лікар",Y928*Z926,0)))</f>
        <v>0</v>
      </c>
      <c r="Z926" s="557"/>
      <c r="AA926" s="942"/>
      <c r="AB926" s="196">
        <f>IF($B$925="Лікар-педіатр",AB928*AG926,IF($B$925="Лікар-терапевт","х",IF($B$925="Лікар загальної практики - сімейний лікар",AB928*AG926,0)))</f>
        <v>0</v>
      </c>
      <c r="AC926" s="196">
        <f>IF($B$925="Лікар-педіатр",AC928*AG926,IF($B$925="Лікар-терапевт","х",IF($B$925="Лікар загальної практики - сімейний лікар",AC928*AG926,0)))</f>
        <v>0</v>
      </c>
      <c r="AD926" s="196">
        <f>IF($B$925="Лікар-педіатр","x",IF($B$925="Лікар-терапевт",AD928*AG926,IF($B$925="Лікар загальної практики - сімейний лікар",AD928*AG926,0)))</f>
        <v>0</v>
      </c>
      <c r="AE926" s="196">
        <f>IF($B$925="Лікар-педіатр","x",IF($B$925="Лікар-терапевт",AE928*AG926,IF($B$925="Лікар загальної практики - сімейний лікар",AE928*AG926,0)))</f>
        <v>0</v>
      </c>
      <c r="AF926" s="196">
        <f>IF($B$925="Лікар-педіатр","x",IF($B$925="Лікар-терапевт",AF928*AG926,IF($B$925="Лікар загальної практики - сімейний лікар",AF928*AG926,0)))</f>
        <v>0</v>
      </c>
      <c r="AG926" s="557"/>
      <c r="AH926" s="942"/>
      <c r="AI926" s="198"/>
      <c r="AJ926" s="945"/>
      <c r="AK926" s="960"/>
      <c r="AL926" s="960"/>
      <c r="AM926" s="930"/>
      <c r="AN926" s="948"/>
      <c r="AO926" s="948"/>
      <c r="AP926" s="948"/>
      <c r="AQ926" s="948"/>
      <c r="AR926" s="963"/>
    </row>
    <row r="927" spans="1:44" s="90" customFormat="1" ht="31.15" hidden="1" customHeight="1">
      <c r="A927" s="240"/>
      <c r="B927" s="951"/>
      <c r="C927" s="954"/>
      <c r="D927" s="957"/>
      <c r="E927" s="939"/>
      <c r="F927" s="241" t="s">
        <v>661</v>
      </c>
      <c r="G927" s="199">
        <f>IF(B925="Лікар загальної практики - сімейний лікар"," ",IF(B925="Лікар-педіатр"," ",IF(B925="Лікар-терапевт","х",0)))</f>
        <v>0</v>
      </c>
      <c r="H927" s="199">
        <f>IF(B925="Лікар загальної практики - сімейний лікар"," ",IF(B925="Лікар-педіатр"," ",IF(B925="Лікар-терапевт","х",0)))</f>
        <v>0</v>
      </c>
      <c r="I927" s="199">
        <f>IF(B925="Лікар загальної практики - сімейний лікар"," ",IF(B925="Лікар-педіатр","х",IF(B925="Лікар-терапевт"," ",0)))</f>
        <v>0</v>
      </c>
      <c r="J927" s="199">
        <f>IF(B925="Лікар загальної практики - сімейний лікар"," ",IF(B925="Лікар-педіатр","х",IF(B925="Лікар-терапевт"," ",0)))</f>
        <v>0</v>
      </c>
      <c r="K927" s="199">
        <f>IF(B925="Лікар загальної практики - сімейний лікар"," ",IF(B925="Лікар-педіатр","х",IF(B925="Лікар-терапевт"," ",0)))</f>
        <v>0</v>
      </c>
      <c r="L927" s="200">
        <f>SUM(G927:K927)</f>
        <v>0</v>
      </c>
      <c r="M927" s="942"/>
      <c r="N927" s="199">
        <f>IF(B925="Лікар загальної практики - сімейний лікар"," ",IF(B925="Лікар-педіатр"," ",IF(B925="Лікар-терапевт","х",0)))</f>
        <v>0</v>
      </c>
      <c r="O927" s="199">
        <f>IF(B925="Лікар загальної практики - сімейний лікар"," ",IF(B925="Лікар-педіатр"," ",IF(B925="Лікар-терапевт","х",0)))</f>
        <v>0</v>
      </c>
      <c r="P927" s="199">
        <f>IF(B925="Лікар загальної практики - сімейний лікар"," ",IF(B925="Лікар-педіатр","х",IF(B925="Лікар-терапевт"," ",0)))</f>
        <v>0</v>
      </c>
      <c r="Q927" s="199">
        <f>IF(B925="Лікар загальної практики - сімейний лікар"," ",IF(B925="Лікар-педіатр","х",IF(B925="Лікар-терапевт"," ",0)))</f>
        <v>0</v>
      </c>
      <c r="R927" s="199">
        <f>IF(B925="Лікар загальної практики - сімейний лікар"," ",IF(B925="Лікар-педіатр","х",IF(B925="Лікар-терапевт"," ",0)))</f>
        <v>0</v>
      </c>
      <c r="S927" s="200">
        <f>SUM(N927:R927)</f>
        <v>0</v>
      </c>
      <c r="T927" s="942"/>
      <c r="U927" s="199">
        <f>IF(B925="Лікар загальної практики - сімейний лікар"," ",IF(B925="Лікар-педіатр"," ",IF(B925="Лікар-терапевт","х",0)))</f>
        <v>0</v>
      </c>
      <c r="V927" s="199">
        <f>IF(B925="Лікар загальної практики - сімейний лікар"," ",IF(B925="Лікар-педіатр"," ",IF(B925="Лікар-терапевт","х",0)))</f>
        <v>0</v>
      </c>
      <c r="W927" s="199">
        <f>IF(B925="Лікар загальної практики - сімейний лікар"," ",IF(B925="Лікар-педіатр","х",IF(B925="Лікар-терапевт"," ",0)))</f>
        <v>0</v>
      </c>
      <c r="X927" s="199">
        <f>IF(B925="Лікар загальної практики - сімейний лікар"," ",IF(B925="Лікар-педіатр","х",IF(B925="Лікар-терапевт"," ",0)))</f>
        <v>0</v>
      </c>
      <c r="Y927" s="199">
        <f>IF(B925="Лікар загальної практики - сімейний лікар"," ",IF(B925="Лікар-педіатр","х",IF(B925="Лікар-терапевт"," ",0)))</f>
        <v>0</v>
      </c>
      <c r="Z927" s="200">
        <f>SUM(U927:Y927)</f>
        <v>0</v>
      </c>
      <c r="AA927" s="942"/>
      <c r="AB927" s="199">
        <f>IF(B925="Лікар загальної практики - сімейний лікар"," ",IF(B925="Лікар-педіатр"," ",IF(B925="Лікар-терапевт","х",0)))</f>
        <v>0</v>
      </c>
      <c r="AC927" s="199">
        <f>IF(B925="Лікар загальної практики - сімейний лікар"," ",IF(B925="Лікар-педіатр"," ",IF(B925="Лікар-терапевт","х",0)))</f>
        <v>0</v>
      </c>
      <c r="AD927" s="199">
        <f>IF(B925="Лікар загальної практики - сімейний лікар"," ",IF(B925="Лікар-педіатр","х",IF(B925="Лікар-терапевт"," ",0)))</f>
        <v>0</v>
      </c>
      <c r="AE927" s="199">
        <f>IF(B925="Лікар загальної практики - сімейний лікар"," ",IF(B925="Лікар-педіатр","х",IF(B925="Лікар-терапевт"," ",0)))</f>
        <v>0</v>
      </c>
      <c r="AF927" s="199">
        <f>IF(B925="Лікар загальної практики - сімейний лікар"," ",IF(B925="Лікар-педіатр","х",IF(B925="Лікар-терапевт"," ",0)))</f>
        <v>0</v>
      </c>
      <c r="AG927" s="200">
        <f>SUM(AB927:AF927)</f>
        <v>0</v>
      </c>
      <c r="AH927" s="942"/>
      <c r="AI927" s="242"/>
      <c r="AJ927" s="945"/>
      <c r="AK927" s="960"/>
      <c r="AL927" s="960"/>
      <c r="AM927" s="930"/>
      <c r="AN927" s="948"/>
      <c r="AO927" s="948"/>
      <c r="AP927" s="948"/>
      <c r="AQ927" s="948"/>
      <c r="AR927" s="963"/>
    </row>
    <row r="928" spans="1:44" s="50" customFormat="1" ht="31.9" hidden="1" customHeight="1" thickBot="1">
      <c r="A928" s="197"/>
      <c r="B928" s="951"/>
      <c r="C928" s="954"/>
      <c r="D928" s="957"/>
      <c r="E928" s="939"/>
      <c r="F928" s="236" t="s">
        <v>426</v>
      </c>
      <c r="G928" s="203">
        <f>IF($B$925="Лікар-педіатр",G927/L927,IF($B$925="Лікар-терапевт","х",IF($B$925="Лікар загальної практики - сімейний лікар",G927/L927,0)))</f>
        <v>0</v>
      </c>
      <c r="H928" s="203">
        <f>IF($B$925="Лікар-педіатр",H927/L927,IF($B$925="Лікар-терапевт","х",IF($B$925="Лікар загальної практики - сімейний лікар",H927/L927,0)))</f>
        <v>0</v>
      </c>
      <c r="I928" s="203">
        <f>IF($B$925="Лікар-педіатр","x",IF($B$925="Лікар-терапевт",I927/L927,IF($B$925="Лікар загальної практики - сімейний лікар",I927/L927,0)))</f>
        <v>0</v>
      </c>
      <c r="J928" s="203">
        <f>IF($B$925="Лікар-педіатр","x",IF($B$925="Лікар-терапевт",J927/L927,IF($B$925="Лікар загальної практики - сімейний лікар",J927/L927,0)))</f>
        <v>0</v>
      </c>
      <c r="K928" s="203">
        <f>IF($B$925="Лікар-педіатр","x",IF($B$925="Лікар-терапевт",K927/L927,IF($B$925="Лікар загальної практики - сімейний лікар",K927/L927,0)))</f>
        <v>0</v>
      </c>
      <c r="L928" s="203">
        <f>SUM(G928:K928)</f>
        <v>0</v>
      </c>
      <c r="M928" s="942"/>
      <c r="N928" s="203">
        <f>IF($B$925="Лікар-педіатр",N927/S927,IF($B$925="Лікар-терапевт","х",IF($B$925="Лікар загальної практики - сімейний лікар",N927/S927,0)))</f>
        <v>0</v>
      </c>
      <c r="O928" s="203">
        <f>IF($B$925="Лікар-педіатр",O927/S927,IF($B$925="Лікар-терапевт","х",IF($B$925="Лікар загальної практики - сімейний лікар",O927/S927,0)))</f>
        <v>0</v>
      </c>
      <c r="P928" s="203">
        <f>IF($B$925="Лікар-педіатр","x",IF($B$925="Лікар-терапевт",P927/S927,IF($B$925="Лікар загальної практики - сімейний лікар",P927/S927,0)))</f>
        <v>0</v>
      </c>
      <c r="Q928" s="203">
        <f>IF($B$925="Лікар-педіатр","x",IF($B$925="Лікар-терапевт",Q927/S927,IF($B$925="Лікар загальної практики - сімейний лікар",Q927/S927,0)))</f>
        <v>0</v>
      </c>
      <c r="R928" s="203">
        <f>IF($B$925="Лікар-педіатр","x",IF($B$925="Лікар-терапевт",R927/S927,IF($B$925="Лікар загальної практики - сімейний лікар",R927/S927,0)))</f>
        <v>0</v>
      </c>
      <c r="S928" s="203">
        <f>SUM(N928:R928)</f>
        <v>0</v>
      </c>
      <c r="T928" s="942"/>
      <c r="U928" s="203">
        <f>IF($B$925="Лікар-педіатр",U927/Z927,IF($B$925="Лікар-терапевт","х",IF($B$925="Лікар загальної практики - сімейний лікар",U927/Z927,0)))</f>
        <v>0</v>
      </c>
      <c r="V928" s="203">
        <f>IF($B$925="Лікар-педіатр",V927/Z927,IF($B$925="Лікар-терапевт","х",IF($B$925="Лікар загальної практики - сімейний лікар",V927/Z927,0)))</f>
        <v>0</v>
      </c>
      <c r="W928" s="203">
        <f>IF($B$925="Лікар-педіатр","x",IF($B$925="Лікар-терапевт",W927/Z927,IF($B$925="Лікар загальної практики - сімейний лікар",W927/Z927,0)))</f>
        <v>0</v>
      </c>
      <c r="X928" s="203">
        <f>IF($B$925="Лікар-педіатр","x",IF($B$925="Лікар-терапевт",X927/Z927,IF($B$925="Лікар загальної практики - сімейний лікар",X927/Z927,0)))</f>
        <v>0</v>
      </c>
      <c r="Y928" s="203">
        <f>IF($B$925="Лікар-педіатр","x",IF($B$925="Лікар-терапевт",Y927/Z927,IF($B$925="Лікар загальної практики - сімейний лікар",Y927/Z927,0)))</f>
        <v>0</v>
      </c>
      <c r="Z928" s="203">
        <f>SUM(U928:Y928)</f>
        <v>0</v>
      </c>
      <c r="AA928" s="942"/>
      <c r="AB928" s="203">
        <f>IF($B$925="Лікар-педіатр",AB927/AG927,IF($B$925="Лікар-терапевт","х",IF($B$925="Лікар загальної практики - сімейний лікар",AB927/AG927,0)))</f>
        <v>0</v>
      </c>
      <c r="AC928" s="203">
        <f>IF($B$925="Лікар-педіатр",AC927/AG927,IF($B$925="Лікар-терапевт","х",IF($B$925="Лікар загальної практики - сімейний лікар",AC927/AG927,0)))</f>
        <v>0</v>
      </c>
      <c r="AD928" s="203">
        <f>IF($B$925="Лікар-педіатр","x",IF($B$925="Лікар-терапевт",AD927/AG927,IF($B$925="Лікар загальної практики - сімейний лікар",AD927/AG927,0)))</f>
        <v>0</v>
      </c>
      <c r="AE928" s="203">
        <f>IF($B$925="Лікар-педіатр","x",IF($B$925="Лікар-терапевт",AE927/AG927,IF($B$925="Лікар загальної практики - сімейний лікар",AE927/AG927,0)))</f>
        <v>0</v>
      </c>
      <c r="AF928" s="203">
        <f>IF($B$925="Лікар-педіатр","x",IF($B$925="Лікар-терапевт",AF927/AG927,IF($B$925="Лікар загальної практики - сімейний лікар",AF927/AG927,0)))</f>
        <v>0</v>
      </c>
      <c r="AG928" s="203">
        <f>SUM(AB928:AF928)</f>
        <v>0</v>
      </c>
      <c r="AH928" s="942"/>
      <c r="AI928" s="201"/>
      <c r="AJ928" s="945"/>
      <c r="AK928" s="960"/>
      <c r="AL928" s="960"/>
      <c r="AM928" s="930"/>
      <c r="AN928" s="948"/>
      <c r="AO928" s="948"/>
      <c r="AP928" s="948"/>
      <c r="AQ928" s="948"/>
      <c r="AR928" s="963"/>
    </row>
    <row r="929" spans="1:44" s="50" customFormat="1" ht="45" hidden="1" customHeight="1" thickBot="1">
      <c r="A929" s="197"/>
      <c r="B929" s="951"/>
      <c r="C929" s="954"/>
      <c r="D929" s="957"/>
      <c r="E929" s="939"/>
      <c r="F929" s="204" t="s">
        <v>662</v>
      </c>
      <c r="G929" s="205">
        <f>IF($B$925="Лікар загальної практики - сімейний лікар",AVERAGE(G925:G927),IF($B$925="Лікар-педіатр",AVERAGE(G925:G927),IF($B$925="Лікар-терапевт","х",0)))</f>
        <v>0</v>
      </c>
      <c r="H929" s="205">
        <f>IF($B$925="Лікар загальної практики - сімейний лікар",AVERAGE(H925:H927),IF($B$925="Лікар-педіатр",AVERAGE(H925:H927),IF($B$925="Лікар-терапевт","х",0)))</f>
        <v>0</v>
      </c>
      <c r="I929" s="205">
        <f>IF($B$925="Лікар загальної практики - сімейний лікар",AVERAGE(I925:I927),IF($B$925="Лікар-педіатр","x",IF($B$925="Лікар-терапевт",AVERAGE(I925:I927),0)))</f>
        <v>0</v>
      </c>
      <c r="J929" s="205">
        <f>IF($B$925="Лікар загальної практики - сімейний лікар",AVERAGE(J925:J927),IF($B$925="Лікар-педіатр","x",IF($B$925="Лікар-терапевт",AVERAGE(J925:J927),0)))</f>
        <v>0</v>
      </c>
      <c r="K929" s="205">
        <f>IF($B$925="Лікар загальної практики - сімейний лікар",AVERAGE(K925:K927),IF($B$925="Лікар-педіатр","x",IF($B$925="Лікар-терапевт",AVERAGE(K925:K927),0)))</f>
        <v>0</v>
      </c>
      <c r="L929" s="206">
        <f>SUM(G929:K929)</f>
        <v>0</v>
      </c>
      <c r="M929" s="942"/>
      <c r="N929" s="205">
        <f>IF($B$925="Лікар загальної практики - сімейний лікар",AVERAGE(N925:N927),IF($B$925="Лікар-педіатр",AVERAGE(N925:N927),IF($B$925="Лікар-терапевт","х",0)))</f>
        <v>0</v>
      </c>
      <c r="O929" s="205">
        <f>IF($B$925="Лікар загальної практики - сімейний лікар",AVERAGE(O925:O927),IF($B$925="Лікар-педіатр",AVERAGE(O925:O927),IF($B$925="Лікар-терапевт","х",0)))</f>
        <v>0</v>
      </c>
      <c r="P929" s="205">
        <f>IF($B$925="Лікар загальної практики - сімейний лікар",AVERAGE(P925:P927),IF($B$925="Лікар-педіатр","x",IF($B$925="Лікар-терапевт",AVERAGE(P925:P927),0)))</f>
        <v>0</v>
      </c>
      <c r="Q929" s="205">
        <f>IF($B$925="Лікар загальної практики - сімейний лікар",AVERAGE(Q925:Q927),IF($B$925="Лікар-педіатр","x",IF($B$925="Лікар-терапевт",AVERAGE(Q925:Q927),0)))</f>
        <v>0</v>
      </c>
      <c r="R929" s="205">
        <f>IF($B$925="Лікар загальної практики - сімейний лікар",AVERAGE(R925:R927),IF($B$925="Лікар-педіатр","x",IF($B$925="Лікар-терапевт",AVERAGE(R925:R927),0)))</f>
        <v>0</v>
      </c>
      <c r="S929" s="206">
        <f>SUM(N929:R929)</f>
        <v>0</v>
      </c>
      <c r="T929" s="942"/>
      <c r="U929" s="205">
        <f>IF($B$925="Лікар загальної практики - сімейний лікар",AVERAGE(U925:U927),IF($B$925="Лікар-педіатр",AVERAGE(U925:U927),IF($B$925="Лікар-терапевт","х",0)))</f>
        <v>0</v>
      </c>
      <c r="V929" s="205">
        <f>IF($B$925="Лікар загальної практики - сімейний лікар",AVERAGE(V925:V927),IF($B$925="Лікар-педіатр",AVERAGE(V925:V927),IF($B$925="Лікар-терапевт","х",0)))</f>
        <v>0</v>
      </c>
      <c r="W929" s="205">
        <f>IF($B$925="Лікар загальної практики - сімейний лікар",AVERAGE(W925:W927),IF($B$925="Лікар-педіатр","x",IF($B$925="Лікар-терапевт",AVERAGE(W925:W927),0)))</f>
        <v>0</v>
      </c>
      <c r="X929" s="205">
        <f>IF($B$925="Лікар загальної практики - сімейний лікар",AVERAGE(X925:X927),IF($B$925="Лікар-педіатр","x",IF($B$925="Лікар-терапевт",AVERAGE(X925:X927),0)))</f>
        <v>0</v>
      </c>
      <c r="Y929" s="205">
        <f>IF($B$925="Лікар загальної практики - сімейний лікар",AVERAGE(Y925:Y927),IF($B$925="Лікар-педіатр","x",IF($B$925="Лікар-терапевт",AVERAGE(Y925:Y927),0)))</f>
        <v>0</v>
      </c>
      <c r="Z929" s="206">
        <f>SUM(U929:Y929)</f>
        <v>0</v>
      </c>
      <c r="AA929" s="942"/>
      <c r="AB929" s="205">
        <f>IF($B$925="Лікар загальної практики - сімейний лікар",AVERAGE(AB925:AB927),IF($B$925="Лікар-педіатр",AVERAGE(AB925:AB927),IF($B$925="Лікар-терапевт","х",0)))</f>
        <v>0</v>
      </c>
      <c r="AC929" s="205">
        <f>IF($B$925="Лікар загальної практики - сімейний лікар",AVERAGE(AC925:AC927),IF($B$925="Лікар-педіатр",AVERAGE(AC925:AC927),IF($B$925="Лікар-терапевт","х",0)))</f>
        <v>0</v>
      </c>
      <c r="AD929" s="205">
        <f>IF($B$925="Лікар загальної практики - сімейний лікар",AVERAGE(AD925:AD927),IF($B$925="Лікар-педіатр","x",IF($B$925="Лікар-терапевт",AVERAGE(AD925:AD927),0)))</f>
        <v>0</v>
      </c>
      <c r="AE929" s="205">
        <f>IF($B$925="Лікар загальної практики - сімейний лікар",AVERAGE(AE925:AE927),IF($B$925="Лікар-педіатр","x",IF($B$925="Лікар-терапевт",AVERAGE(AE925:AE927),0)))</f>
        <v>0</v>
      </c>
      <c r="AF929" s="205">
        <f>IF($B$925="Лікар загальної практики - сімейний лікар",AVERAGE(AF925:AF927),IF($B$925="Лікар-педіатр","x",IF($B$925="Лікар-терапевт",AVERAGE(AF925:AF927),0)))</f>
        <v>0</v>
      </c>
      <c r="AG929" s="206">
        <f>SUM(AB929:AF929)</f>
        <v>0</v>
      </c>
      <c r="AH929" s="942"/>
      <c r="AI929" s="201"/>
      <c r="AJ929" s="945"/>
      <c r="AK929" s="960"/>
      <c r="AL929" s="960"/>
      <c r="AM929" s="931"/>
      <c r="AN929" s="949"/>
      <c r="AO929" s="949"/>
      <c r="AP929" s="949"/>
      <c r="AQ929" s="949"/>
      <c r="AR929" s="964"/>
    </row>
    <row r="930" spans="1:44" s="50" customFormat="1" ht="40.5" hidden="1">
      <c r="A930" s="197"/>
      <c r="B930" s="951"/>
      <c r="C930" s="954"/>
      <c r="D930" s="957"/>
      <c r="E930" s="939"/>
      <c r="F930" s="237" t="str">
        <f ca="1">IF(B925="Лікар-педіатр",Законод!$C$17,IF(B925="Лікар загальної практики - сімейний лікар",Законод!$C$21,IF(B925="Лікар-терапевт",Законод!$C$25,"х")))</f>
        <v>х</v>
      </c>
      <c r="G930" s="208">
        <f ca="1">IF($B$925="Лікар загальної практики - сімейний лікар",IF(L929&lt;=Законод!$C$22,G929,Законод!$C$22*'01_Доходи'!G928),IF($B$925="Лікар-педіатр",IF(L929&lt;=Законод!$C$18,G929,Законод!$C$18*'01_Доходи'!G928),IF($B$925="Лікар-терапевт","x",0)))</f>
        <v>0</v>
      </c>
      <c r="H930" s="208">
        <f ca="1">IF($B$925="Лікар загальної практики - сімейний лікар",IF(L929&lt;=Законод!$C$22,H929,Законод!$C$22*'01_Доходи'!H928),IF($B$925="Лікар-педіатр",IF(L929&lt;=Законод!$C$18,H929,Законод!$C$18*'01_Доходи'!H928),IF($B$925="Лікар-терапевт","x",0)))</f>
        <v>0</v>
      </c>
      <c r="I930" s="208">
        <f ca="1">IF($B$925="Лікар загальної практики - сімейний лікар",IF(L929&lt;=Законод!$C$22,I929,Законод!$C$22*'01_Доходи'!I928),IF($B$925="Лікар-педіатр","x",IF($B$925="Лікар-терапевт",IF(L929&lt;=Законод!$C$26,I929,Законод!$C$26*'01_Доходи'!I928),0)))</f>
        <v>0</v>
      </c>
      <c r="J930" s="208">
        <f ca="1">IF($B$925="Лікар загальної практики - сімейний лікар",IF(L929&lt;=Законод!$C$22,J929,Законод!$C$22*'01_Доходи'!J928),IF($B$925="Лікар-педіатр","x",IF($B$925="Лікар-терапевт",IF(L929&lt;=Законод!$C$26,J929,Законод!$C$26*'01_Доходи'!J928),0)))</f>
        <v>0</v>
      </c>
      <c r="K930" s="208">
        <f ca="1">IF($B$925="Лікар загальної практики - сімейний лікар",IF(L929&lt;=Законод!$C$22,K929,Законод!$C$22*'01_Доходи'!K928),IF($B$925="Лікар-педіатр","x",IF($B$925="Лікар-терапевт",IF(L929&lt;=Законод!$C$26,K929,Законод!$C$26*'01_Доходи'!K928),0)))</f>
        <v>0</v>
      </c>
      <c r="L930" s="209">
        <f ca="1">SUM(G930:K930)</f>
        <v>0</v>
      </c>
      <c r="M930" s="942"/>
      <c r="N930" s="208">
        <f ca="1">IF($B$925="Лікар загальної практики - сімейний лікар",IF(S929&lt;=Законод!$C$22,N929,Законод!$C$22*'01_Доходи'!N928),IF($B$925="Лікар-педіатр",IF(S929&lt;=Законод!$C$18,N929,Законод!$C$18*'01_Доходи'!N928),IF($B$925="Лікар-терапевт","x",0)))</f>
        <v>0</v>
      </c>
      <c r="O930" s="208">
        <f ca="1">IF($B$925="Лікар загальної практики - сімейний лікар",IF(S929&lt;=Законод!$C$22,O929,Законод!$C$22*'01_Доходи'!O928),IF($B$925="Лікар-педіатр",IF(S929&lt;=Законод!$C$18,O929,Законод!$C$18*'01_Доходи'!O928),IF($B$925="Лікар-терапевт","x",0)))</f>
        <v>0</v>
      </c>
      <c r="P930" s="208">
        <f ca="1">IF($B$925="Лікар загальної практики - сімейний лікар",IF(S929&lt;=Законод!$C$22,P929,Законод!$C$22*'01_Доходи'!P928),IF($B$925="Лікар-педіатр","x",IF($B$925="Лікар-терапевт",IF(S929&lt;=Законод!$C$26,P929,Законод!$C$26*'01_Доходи'!P928),0)))</f>
        <v>0</v>
      </c>
      <c r="Q930" s="208">
        <f ca="1">IF($B$925="Лікар загальної практики - сімейний лікар",IF(S929&lt;=Законод!$C$22,Q929,Законод!$C$22*'01_Доходи'!Q928),IF($B$925="Лікар-педіатр","x",IF($B$925="Лікар-терапевт",IF(S929&lt;=Законод!$C$26,Q929,Законод!$C$26*'01_Доходи'!Q928),0)))</f>
        <v>0</v>
      </c>
      <c r="R930" s="208">
        <f ca="1">IF($B$925="Лікар загальної практики - сімейний лікар",IF(S929&lt;=Законод!$C$22,R929,Законод!$C$22*'01_Доходи'!R928),IF($B$925="Лікар-педіатр","x",IF($B$925="Лікар-терапевт",IF(S929&lt;=Законод!$C$26,R929,Законод!$C$26*'01_Доходи'!R928),0)))</f>
        <v>0</v>
      </c>
      <c r="S930" s="209">
        <f ca="1">SUM(N930:R930)</f>
        <v>0</v>
      </c>
      <c r="T930" s="942"/>
      <c r="U930" s="208">
        <f ca="1">IF($B$925="Лікар загальної практики - сімейний лікар",IF(Z929&lt;=Законод!$C$22,U929,Законод!$C$22*'01_Доходи'!U928),IF($B$925="Лікар-педіатр",IF(Z929&lt;=Законод!$C$18,U929,Законод!$C$18*'01_Доходи'!U928),IF($B$925="Лікар-терапевт","x",0)))</f>
        <v>0</v>
      </c>
      <c r="V930" s="208">
        <f ca="1">IF($B$925="Лікар загальної практики - сімейний лікар",IF(Z929&lt;=Законод!$C$22,V929,Законод!$C$22*'01_Доходи'!V928),IF($B$925="Лікар-педіатр",IF(Z929&lt;=Законод!$C$18,V929,Законод!$C$18*'01_Доходи'!V928),IF($B$925="Лікар-терапевт","x",0)))</f>
        <v>0</v>
      </c>
      <c r="W930" s="208">
        <f ca="1">IF($B$925="Лікар загальної практики - сімейний лікар",IF(Z929&lt;=Законод!$C$22,W929,Законод!$C$22*'01_Доходи'!W928),IF($B$925="Лікар-педіатр","x",IF($B$925="Лікар-терапевт",IF(Z929&lt;=Законод!$C$26,W929,Законод!$C$26*'01_Доходи'!W928),0)))</f>
        <v>0</v>
      </c>
      <c r="X930" s="208">
        <f ca="1">IF($B$925="Лікар загальної практики - сімейний лікар",IF(Z929&lt;=Законод!$C$22,X929,Законод!$C$22*'01_Доходи'!X928),IF($B$925="Лікар-педіатр","x",IF($B$925="Лікар-терапевт",IF(Z929&lt;=Законод!$C$26,X929,Законод!$C$26*'01_Доходи'!X928),0)))</f>
        <v>0</v>
      </c>
      <c r="Y930" s="208">
        <f ca="1">IF($B$925="Лікар загальної практики - сімейний лікар",IF(Z929&lt;=Законод!$C$22,Y929,Законод!$C$22*'01_Доходи'!Y928),IF($B$925="Лікар-педіатр","x",IF($B$925="Лікар-терапевт",IF(Z929&lt;=Законод!$C$26,Y929,Законод!$C$26*'01_Доходи'!Y928),0)))</f>
        <v>0</v>
      </c>
      <c r="Z930" s="209">
        <f ca="1">SUM(U930:Y930)</f>
        <v>0</v>
      </c>
      <c r="AA930" s="942"/>
      <c r="AB930" s="208">
        <f ca="1">IF($B$925="Лікар загальної практики - сімейний лікар",IF(AG929&lt;=Законод!$C$22,AB929,Законод!$C$22*'01_Доходи'!AB928),IF($B$925="Лікар-педіатр",IF(AG929&lt;=Законод!$C$18,AB929,Законод!$C$18*'01_Доходи'!AB928),IF($B$925="Лікар-терапевт","x",0)))</f>
        <v>0</v>
      </c>
      <c r="AC930" s="208">
        <f ca="1">IF($B$925="Лікар загальної практики - сімейний лікар",IF(AG929&lt;=Законод!$C$22,AC929,Законод!$C$22*'01_Доходи'!AC928),IF($B$925="Лікар-педіатр",IF(AG929&lt;=Законод!$C$18,AC929,Законод!$C$18*'01_Доходи'!AC928),IF($B$925="Лікар-терапевт","x",0)))</f>
        <v>0</v>
      </c>
      <c r="AD930" s="208">
        <f ca="1">IF($B$925="Лікар загальної практики - сімейний лікар",IF(AG929&lt;=Законод!$C$22,AD929,Законод!$C$22*'01_Доходи'!AD928),IF($B$925="Лікар-педіатр","x",IF($B$925="Лікар-терапевт",IF(AG929&lt;=Законод!$C$26,AD929,Законод!$C$26*'01_Доходи'!AD928),0)))</f>
        <v>0</v>
      </c>
      <c r="AE930" s="208">
        <f ca="1">IF($B$925="Лікар загальної практики - сімейний лікар",IF(AG929&lt;=Законод!$C$22,AE929,Законод!$C$22*'01_Доходи'!AE928),IF($B$925="Лікар-педіатр","x",IF($B$925="Лікар-терапевт",IF(AG929&lt;=Законод!$C$26,AE929,Законод!$C$26*'01_Доходи'!AE928),0)))</f>
        <v>0</v>
      </c>
      <c r="AF930" s="208">
        <f ca="1">IF($B$925="Лікар загальної практики - сімейний лікар",IF(AG929&lt;=Законод!$C$22,AF929,Законод!$C$22*'01_Доходи'!AF928),IF($B$925="Лікар-педіатр","x",IF($B$925="Лікар-терапевт",IF(AG929&lt;=Законод!$C$26,AF929,Законод!$C$26*'01_Доходи'!AF928),0)))</f>
        <v>0</v>
      </c>
      <c r="AG930" s="209">
        <f ca="1">SUM(AB930:AF930)</f>
        <v>0</v>
      </c>
      <c r="AH930" s="942"/>
      <c r="AI930" s="201"/>
      <c r="AJ930" s="945"/>
      <c r="AK930" s="960"/>
      <c r="AL930" s="960"/>
      <c r="AM930" s="348" t="s">
        <v>451</v>
      </c>
      <c r="AN930" s="210">
        <f ca="1">IF(B925="Лікар загальної практики - сімейний лікар",G930*Законод!$C$11+'01_Доходи'!H930*Законод!$D$11+'01_Доходи'!I930*Законод!$E$11+'01_Доходи'!J930*Законод!$F$11+'01_Доходи'!K930*Законод!$G$11,IF(B925="Лікар-педіатр",G930*Законод!$C$11+'01_Доходи'!H930*Законод!$D$11,IF(B925="Лікар-терапевт",'01_Доходи'!I930*Законод!$E$11+'01_Доходи'!J930*Законод!$F$11+'01_Доходи'!K930*Законод!$G$11,0)))</f>
        <v>0</v>
      </c>
      <c r="AO930" s="210">
        <f ca="1">IF(B925="Лікар загальної практики - сімейний лікар",N930*Законод!$C$11+'01_Доходи'!O930*Законод!$D$11+'01_Доходи'!P930*Законод!$E$11+'01_Доходи'!Q930*Законод!$F$11+'01_Доходи'!R930*Законод!$G$11,IF(B925="Лікар-педіатр",N930*Законод!$C$11+'01_Доходи'!O930*Законод!$D$11,IF(B925="Лікар-терапевт",'01_Доходи'!P930*Законод!$E$11+'01_Доходи'!Q930*Законод!$F$11+'01_Доходи'!R930*Законод!$G$11,0)))</f>
        <v>0</v>
      </c>
      <c r="AP930" s="210">
        <f ca="1">IF(B925="Лікар загальної практики - сімейний лікар",U930*Законод!$C$11+'01_Доходи'!V930*Законод!$D$11+'01_Доходи'!W930*Законод!$E$11+'01_Доходи'!X930*Законод!$F$11+'01_Доходи'!Y930*Законод!$G$11,IF(B925="Лікар-педіатр",U930*Законод!$C$11+'01_Доходи'!V930*Законод!$D$11,IF(B925="Лікар-терапевт",'01_Доходи'!W930*Законод!$E$11+'01_Доходи'!X930*Законод!$F$11+'01_Доходи'!Y930*Законод!$G$11,0)))</f>
        <v>0</v>
      </c>
      <c r="AQ930" s="210">
        <f ca="1">IF(B925="Лікар загальної практики - сімейний лікар",AB930*Законод!$C$11+'01_Доходи'!AC930*Законод!$D$11+'01_Доходи'!AD930*Законод!$E$11+'01_Доходи'!AE930*Законод!$F$11+'01_Доходи'!AF930*Законод!$G$11,IF(B925="Лікар-педіатр",AB930*Законод!$C$11+'01_Доходи'!AC930*Законод!$D$11,IF(B925="Лікар-терапевт",'01_Доходи'!AD930*Законод!$E$11+'01_Доходи'!AE930*Законод!$F$11+'01_Доходи'!AF930*Законод!$G$11,0)))</f>
        <v>0</v>
      </c>
      <c r="AR930" s="211">
        <f t="shared" ref="AR930:AR936" si="111">SUM(AN930:AQ930)</f>
        <v>0</v>
      </c>
    </row>
    <row r="931" spans="1:44" s="50" customFormat="1" ht="31.9" hidden="1" customHeight="1">
      <c r="A931" s="197"/>
      <c r="B931" s="951"/>
      <c r="C931" s="954"/>
      <c r="D931" s="957"/>
      <c r="E931" s="939"/>
      <c r="F931" s="238" t="str">
        <f ca="1">IF(B925="Лікар-педіатр",Законод!$E$17,IF(B925="Лікар загальної практики - сімейний лікар",Законод!$E$21,IF(B925="Лікар-терапевт",Законод!$E$25,"х")))</f>
        <v>х</v>
      </c>
      <c r="G931" s="935" t="s">
        <v>423</v>
      </c>
      <c r="H931" s="936"/>
      <c r="I931" s="936"/>
      <c r="J931" s="936"/>
      <c r="K931" s="937"/>
      <c r="L931" s="196">
        <f ca="1">IF($B$925="Лікар загальної практики - сімейний лікар",IF(L929&lt;Законод!$C$22,0,(IF(AND(L929&gt;=Законод!$E$22,L929&lt;=Законод!$E$23),L929-Законод!$C$22,IF('01_Доходи'!L929&gt;=Законод!$F$22,Законод!$E$24,0)))),IF($B$925="Лікар-педіатр",IF(L929&lt;Законод!$C$18,0,(IF(AND(L929&gt;=Законод!$E$18,L929&lt;=Законод!$E$19),L929-Законод!$C$18,IF('01_Доходи'!L929&gt;=Законод!$F$18,Законод!$E$20,0)))),IF($B$925="Лікар-терапевт",IF(L929&lt;Законод!$C$26,0,(IF(AND(L929&gt;=Законод!$E$26,L929&lt;=Законод!$E$27),L929-Законод!$C$26,IF('01_Доходи'!L929&gt;=Законод!$F$26,Законод!$E$28,0)))),0)))</f>
        <v>0</v>
      </c>
      <c r="M931" s="942"/>
      <c r="N931" s="935" t="s">
        <v>423</v>
      </c>
      <c r="O931" s="936"/>
      <c r="P931" s="936"/>
      <c r="Q931" s="936"/>
      <c r="R931" s="937"/>
      <c r="S931" s="196">
        <f ca="1">IF($B$925="Лікар загальної практики - сімейний лікар",IF(S929&lt;Законод!$C$22,0,(IF(AND(S929&gt;=Законод!$E$22,S929&lt;=Законод!$E$23),S929-Законод!$C$22,IF('01_Доходи'!S929&gt;=Законод!$F$22,Законод!$E$24,0)))),IF($B$925="Лікар-педіатр",IF(S929&lt;Законод!$C$18,0,(IF(AND(S929&gt;=Законод!$E$18,S929&lt;=Законод!$E$19),S929-Законод!$C$18,IF('01_Доходи'!S929&gt;=Законод!$F$18,Законод!$E$20,0)))),IF($B$925="Лікар-терапевт",IF(S929&lt;Законод!$C$26,0,(IF(AND(S929&gt;=Законод!$E$26,S929&lt;=Законод!$E$27),S929-Законод!$C$26,IF('01_Доходи'!S929&gt;=Законод!$F$26,Законод!$E$28,0)))),0)))</f>
        <v>0</v>
      </c>
      <c r="T931" s="942"/>
      <c r="U931" s="935" t="s">
        <v>423</v>
      </c>
      <c r="V931" s="936"/>
      <c r="W931" s="936"/>
      <c r="X931" s="936"/>
      <c r="Y931" s="937"/>
      <c r="Z931" s="196">
        <f ca="1">IF($B$925="Лікар загальної практики - сімейний лікар",IF(Z929&lt;Законод!$C$22,0,(IF(AND(Z929&gt;=Законод!$E$22,Z929&lt;=Законод!$E$23),Z929-Законод!$C$22,IF('01_Доходи'!Z929&gt;=Законод!$F$22,Законод!$E$24,0)))),IF($B$925="Лікар-педіатр",IF(Z929&lt;Законод!$C$18,0,(IF(AND(Z929&gt;=Законод!$E$18,Z929&lt;=Законод!$E$19),Z929-Законод!$C$18,IF('01_Доходи'!Z929&gt;=Законод!$F$18,Законод!$E$20,0)))),IF($B$925="Лікар-терапевт",IF(Z929&lt;Законод!$C$26,0,(IF(AND(Z929&gt;=Законод!$E$26,Z929&lt;=Законод!$E$27),Z929-Законод!$C$26,IF('01_Доходи'!Z929&gt;=Законод!$F$26,Законод!$E$28,0)))),0)))</f>
        <v>0</v>
      </c>
      <c r="AA931" s="942"/>
      <c r="AB931" s="935" t="s">
        <v>423</v>
      </c>
      <c r="AC931" s="936"/>
      <c r="AD931" s="936"/>
      <c r="AE931" s="936"/>
      <c r="AF931" s="937"/>
      <c r="AG931" s="196">
        <f ca="1">IF($B$925="Лікар загальної практики - сімейний лікар",IF(AG929&lt;Законод!$C$22,0,(IF(AND(AG929&gt;=Законод!$E$22,AG929&lt;=Законод!$E$23),AG929-Законод!$C$22,IF('01_Доходи'!AG929&gt;=Законод!$F$22,Законод!$E$24,0)))),IF($B$925="Лікар-педіатр",IF(AG929&lt;Законод!$C$18,0,(IF(AND(AG929&gt;=Законод!$E$18,AG929&lt;=Законод!$E$19),AG929-Законод!$C$18,IF('01_Доходи'!AG929&gt;=Законод!$F$18,Законод!$E$20,0)))),IF($B$925="Лікар-терапевт",IF(AG929&lt;Законод!$C$26,0,(IF(AND(AG929&gt;=Законод!$E$26,AG929&lt;=Законод!$E$27),AG929-Законод!$C$26,IF('01_Доходи'!AG929&gt;=Законод!$F$26,Законод!$E$28,0)))),0)))</f>
        <v>0</v>
      </c>
      <c r="AH931" s="942"/>
      <c r="AI931" s="201"/>
      <c r="AJ931" s="945"/>
      <c r="AK931" s="960"/>
      <c r="AL931" s="960"/>
      <c r="AM931" s="926" t="s">
        <v>452</v>
      </c>
      <c r="AN931" s="210">
        <f ca="1">IF(B925="Лікар загальної практики - сімейний лікар",L931*Законод!$C$9/4*Законод!$E$16,IF(B925="Лікар-педіатр",L931*Законод!$C$9/4*Законод!$E$16,IF(B925="Лікар-терапевт",L931*Законод!$C$9/4*Законод!$E$16,0)))</f>
        <v>0</v>
      </c>
      <c r="AO931" s="210">
        <f ca="1">IF(B925="Лікар загальної практики - сімейний лікар",S931*Законод!$C$9/4*Законод!$E$16,IF(B925="Лікар-педіатр",S931*Законод!$C$9/4*Законод!$E$16,IF(B925="Лікар-терапевт",S931*Законод!$C$9/4*Законод!$E$16,0)))</f>
        <v>0</v>
      </c>
      <c r="AP931" s="210">
        <f ca="1">IF(B925="Лікар загальної практики - сімейний лікар",Z931*Законод!$C$9/4*Законод!$E$16,IF(B925="Лікар-педіатр",Z931*Законод!$C$9/4*Законод!$E$16,IF(B925="Лікар-терапевт",Z931*Законод!$C$9/4*Законод!$E$16,0)))</f>
        <v>0</v>
      </c>
      <c r="AQ931" s="210">
        <f ca="1">IF(B925="Лікар загальної практики - сімейний лікар",AG931*Законод!$C$9/4*Законод!$E$16,IF(B925="Лікар-педіатр",AG931*Законод!$C$9/4*Законод!$E$16,IF(B925="Лікар-терапевт",AG931*Законод!$C$9/4*Законод!$E$16,0)))</f>
        <v>0</v>
      </c>
      <c r="AR931" s="211">
        <f t="shared" si="111"/>
        <v>0</v>
      </c>
    </row>
    <row r="932" spans="1:44" s="50" customFormat="1" ht="31.9" hidden="1" customHeight="1">
      <c r="A932" s="197"/>
      <c r="B932" s="951"/>
      <c r="C932" s="954"/>
      <c r="D932" s="957"/>
      <c r="E932" s="939"/>
      <c r="F932" s="238" t="str">
        <f ca="1">IF(B925="Лікар-педіатр",Законод!$F$17,IF(B925="Лікар загальної практики - сімейний лікар",Законод!$F$21,IF(B925="Лікар-терапевт",Законод!$F$25,"х")))</f>
        <v>х</v>
      </c>
      <c r="G932" s="935" t="s">
        <v>423</v>
      </c>
      <c r="H932" s="936"/>
      <c r="I932" s="936"/>
      <c r="J932" s="936"/>
      <c r="K932" s="937"/>
      <c r="L932" s="196">
        <f ca="1">IF($B$925="Лікар загальної практики - сімейний лікар",IF(L929&lt;Законод!$C$22,0,(IF(AND(L929&gt;=Законод!$F$22,L929&lt;=Законод!$F$23),L929-Законод!$E$23,IF('01_Доходи'!L929&gt;=Законод!$G$22,Законод!$F$24,0)))),IF($B$925="Лікар-педіатр",IF(L929&lt;Законод!$C$18,0,(IF(AND(L929&gt;=Законод!$F$18,L929&lt;=Законод!$F$19),L929-Законод!$E$19,IF('01_Доходи'!L929&gt;=Законод!$G$18,Законод!$F$20,0)))),IF($B$925="Лікар-терапевт",IF(L929&lt;Законод!$C$26,0,(IF(AND(L929&gt;=Законод!$F$26,L929&lt;=Законод!$F$27),L929-Законод!$E$27,IF('01_Доходи'!L929&gt;=Законод!$G$26,Законод!$F$28,0)))),0)))</f>
        <v>0</v>
      </c>
      <c r="M932" s="942"/>
      <c r="N932" s="935" t="s">
        <v>423</v>
      </c>
      <c r="O932" s="936"/>
      <c r="P932" s="936"/>
      <c r="Q932" s="936"/>
      <c r="R932" s="937"/>
      <c r="S932" s="196">
        <f ca="1">IF($B$925="Лікар загальної практики - сімейний лікар",IF(S929&lt;Законод!$C$22,0,(IF(AND(S929&gt;=Законод!$F$22,S929&lt;=Законод!$F$23),S929-Законод!$E$23,IF('01_Доходи'!S929&gt;=Законод!$G$22,Законод!$F$24,0)))),IF($B$925="Лікар-педіатр",IF(S929&lt;Законод!$C$18,0,(IF(AND(S929&gt;=Законод!$F$18,S929&lt;=Законод!$F$19),S929-Законод!$E$19,IF('01_Доходи'!S929&gt;=Законод!$G$18,Законод!$F$20,0)))),IF($B$925="Лікар-терапевт",IF(S929&lt;Законод!$C$26,0,(IF(AND(S929&gt;=Законод!$F$26,S929&lt;=Законод!$F$27),S929-Законод!$E$27,IF('01_Доходи'!S929&gt;=Законод!$G$26,Законод!$F$28,0)))),0)))</f>
        <v>0</v>
      </c>
      <c r="T932" s="942"/>
      <c r="U932" s="935" t="s">
        <v>423</v>
      </c>
      <c r="V932" s="936"/>
      <c r="W932" s="936"/>
      <c r="X932" s="936"/>
      <c r="Y932" s="937"/>
      <c r="Z932" s="196">
        <f ca="1">IF($B$925="Лікар загальної практики - сімейний лікар",IF(Z929&lt;Законод!$C$22,0,(IF(AND(Z929&gt;=Законод!$F$22,Z929&lt;=Законод!$F$23),Z929-Законод!$E$23,IF('01_Доходи'!Z929&gt;=Законод!$G$22,Законод!$F$24,0)))),IF($B$925="Лікар-педіатр",IF(Z929&lt;Законод!$C$18,0,(IF(AND(Z929&gt;=Законод!$F$18,Z929&lt;=Законод!$F$19),Z929-Законод!$E$19,IF('01_Доходи'!Z929&gt;=Законод!$G$18,Законод!$F$20,0)))),IF($B$925="Лікар-терапевт",IF(Z929&lt;Законод!$C$26,0,(IF(AND(Z929&gt;=Законод!$F$26,Z929&lt;=Законод!$F$27),Z929-Законод!$E$27,IF('01_Доходи'!Z929&gt;=Законод!$G$26,Законод!$F$28,0)))),0)))</f>
        <v>0</v>
      </c>
      <c r="AA932" s="942"/>
      <c r="AB932" s="935" t="s">
        <v>423</v>
      </c>
      <c r="AC932" s="936"/>
      <c r="AD932" s="936"/>
      <c r="AE932" s="936"/>
      <c r="AF932" s="937"/>
      <c r="AG932" s="196">
        <f ca="1">IF($B$925="Лікар загальної практики - сімейний лікар",IF(AG929&lt;Законод!$C$22,0,(IF(AND(AG929&gt;=Законод!$F$22,AG929&lt;=Законод!$F$23),AG929-Законод!$E$23,IF('01_Доходи'!AG929&gt;=Законод!$G$22,Законод!$F$24,0)))),IF($B$925="Лікар-педіатр",IF(AG929&lt;Законод!$C$18,0,(IF(AND(AG929&gt;=Законод!$F$18,AG929&lt;=Законод!$F$19),AG929-Законод!$E$19,IF('01_Доходи'!AG929&gt;=Законод!$G$18,Законод!$F$20,0)))),IF($B$925="Лікар-терапевт",IF(AG929&lt;Законод!$C$26,0,(IF(AND(AG929&gt;=Законод!$F$26,AG929&lt;=Законод!$F$27),AG929-Законод!$E$27,IF('01_Доходи'!AG929&gt;=Законод!$G$26,Законод!$F$28,0)))),0)))</f>
        <v>0</v>
      </c>
      <c r="AH932" s="942"/>
      <c r="AI932" s="201"/>
      <c r="AJ932" s="945"/>
      <c r="AK932" s="960"/>
      <c r="AL932" s="960"/>
      <c r="AM932" s="927"/>
      <c r="AN932" s="210">
        <f ca="1">IF(B925="Лікар загальної практики - сімейний лікар",L932*Законод!$C$9/4*Законод!$F$16,IF(B925="Лікар-педіатр",L932*Законод!$C$9/4*Законод!$F$16,IF(B925="Лікар-терапевт",L932*Законод!$C$9/4*Законод!$F$16,0)))</f>
        <v>0</v>
      </c>
      <c r="AO932" s="210">
        <f ca="1">IF(B925="Лікар загальної практики - сімейний лікар",S932*Законод!$C$9/4*Законод!$F$16,IF(B925="Лікар-педіатр",S932*Законод!$C$9/4*Законод!$F$16,IF(B925="Лікар-терапевт",S932*Законод!$C$9/4*Законод!$F$16,0)))</f>
        <v>0</v>
      </c>
      <c r="AP932" s="210">
        <f ca="1">IF(B925="Лікар загальної практики - сімейний лікар",Z932*Законод!$C$9/4*Законод!$F$16,IF(B925="Лікар-педіатр",Z932*Законод!$C$9/4*Законод!$F$16,IF(B925="Лікар-терапевт",Z932*Законод!$C$9/4*Законод!$F$16,0)))</f>
        <v>0</v>
      </c>
      <c r="AQ932" s="210">
        <f ca="1">IF(B925="Лікар загальної практики - сімейний лікар",AG932*Законод!$C$9/4*Законод!$F$16,IF(B925="Лікар-педіатр",AG932*Законод!$C$9/4*Законод!$F$16,IF(B925="Лікар-терапевт",AG932*Законод!$C$9/4*Законод!$F$16,0)))</f>
        <v>0</v>
      </c>
      <c r="AR932" s="211">
        <f t="shared" si="111"/>
        <v>0</v>
      </c>
    </row>
    <row r="933" spans="1:44" s="50" customFormat="1" ht="31.9" hidden="1" customHeight="1">
      <c r="A933" s="197"/>
      <c r="B933" s="951"/>
      <c r="C933" s="954"/>
      <c r="D933" s="957"/>
      <c r="E933" s="939"/>
      <c r="F933" s="238" t="str">
        <f ca="1">IF(B925="Лікар-педіатр",Законод!$G$17,IF(B925="Лікар загальної практики - сімейний лікар",Законод!$G$21,IF(B925="Лікар-терапевт",Законод!$G$25,"х")))</f>
        <v>х</v>
      </c>
      <c r="G933" s="935" t="s">
        <v>423</v>
      </c>
      <c r="H933" s="936"/>
      <c r="I933" s="936"/>
      <c r="J933" s="936"/>
      <c r="K933" s="937"/>
      <c r="L933" s="196">
        <f ca="1">IF($B$925="Лікар загальної практики - сімейний лікар",IF(L929&lt;Законод!$C$22,0,(IF(AND(L929&gt;=Законод!$G$22,L929&lt;=Законод!$G$23),L929-Законод!$F$23,IF('01_Доходи'!L929&gt;=Законод!$H$22,Законод!$G$24,0)))),IF($B$925="Лікар-педіатр",IF(L929&lt;Законод!$C$18,0,(IF(AND(L929&gt;=Законод!$G$18,L929&lt;=Законод!$G$19),L929-Законод!$F$19,IF('01_Доходи'!L929&gt;=Законод!$H$18,Законод!$G$20,0)))),IF($B$925="Лікар-терапевт",IF(L929&lt;Законод!$C$26,0,(IF(AND(L929&gt;=Законод!$G$26,L929&lt;=Законод!$G$27),L929-Законод!$F$27,IF('01_Доходи'!L929&gt;=Законод!$H$26,Законод!$G$28,0)))),0)))</f>
        <v>0</v>
      </c>
      <c r="M933" s="942"/>
      <c r="N933" s="935" t="s">
        <v>423</v>
      </c>
      <c r="O933" s="936"/>
      <c r="P933" s="936"/>
      <c r="Q933" s="936"/>
      <c r="R933" s="937"/>
      <c r="S933" s="196">
        <f ca="1">IF($B$925="Лікар загальної практики - сімейний лікар",IF(S929&lt;Законод!$C$22,0,(IF(AND(S929&gt;=Законод!$G$22,S929&lt;=Законод!$G$23),S929-Законод!$F$23,IF('01_Доходи'!S929&gt;=Законод!$H$22,Законод!$G$24,0)))),IF($B$925="Лікар-педіатр",IF(S929&lt;Законод!$C$18,0,(IF(AND(S929&gt;=Законод!$G$18,S929&lt;=Законод!$G$19),S929-Законод!$F$19,IF('01_Доходи'!S929&gt;=Законод!$H$18,Законод!$G$20,0)))),IF($B$925="Лікар-терапевт",IF(S929&lt;Законод!$C$26,0,(IF(AND(S929&gt;=Законод!$G$26,S929&lt;=Законод!$G$27),S929-Законод!$F$27,IF('01_Доходи'!S929&gt;=Законод!$H$26,Законод!$G$28,0)))),0)))</f>
        <v>0</v>
      </c>
      <c r="T933" s="942"/>
      <c r="U933" s="935" t="s">
        <v>423</v>
      </c>
      <c r="V933" s="936"/>
      <c r="W933" s="936"/>
      <c r="X933" s="936"/>
      <c r="Y933" s="937"/>
      <c r="Z933" s="196">
        <f ca="1">IF($B$925="Лікар загальної практики - сімейний лікар",IF(Z929&lt;Законод!$C$22,0,(IF(AND(Z929&gt;=Законод!$G$22,Z929&lt;=Законод!$G$23),Z929-Законод!$F$23,IF('01_Доходи'!Z929&gt;=Законод!$H$22,Законод!$G$24,0)))),IF($B$925="Лікар-педіатр",IF(Z929&lt;Законод!$C$18,0,(IF(AND(Z929&gt;=Законод!$G$18,Z929&lt;=Законод!$G$19),Z929-Законод!$F$19,IF('01_Доходи'!Z929&gt;=Законод!$H$18,Законод!$G$20,0)))),IF($B$925="Лікар-терапевт",IF(Z929&lt;Законод!$C$26,0,(IF(AND(Z929&gt;=Законод!$G$26,Z929&lt;=Законод!$G$27),Z929-Законод!$F$27,IF('01_Доходи'!Z929&gt;=Законод!$H$26,Законод!$G$28,0)))),0)))</f>
        <v>0</v>
      </c>
      <c r="AA933" s="942"/>
      <c r="AB933" s="935" t="s">
        <v>423</v>
      </c>
      <c r="AC933" s="936"/>
      <c r="AD933" s="936"/>
      <c r="AE933" s="936"/>
      <c r="AF933" s="937"/>
      <c r="AG933" s="196">
        <f ca="1">IF($B$925="Лікар загальної практики - сімейний лікар",IF(AG929&lt;Законод!$C$22,0,(IF(AND(AG929&gt;=Законод!$G$22,AG929&lt;=Законод!$G$23),AG929-Законод!$F$23,IF('01_Доходи'!AG929&gt;=Законод!$H$22,Законод!$G$24,0)))),IF($B$925="Лікар-педіатр",IF(AG929&lt;Законод!$C$18,0,(IF(AND(AG929&gt;=Законод!$G$18,AG929&lt;=Законод!$G$19),AG929-Законод!$F$19,IF('01_Доходи'!AG929&gt;=Законод!$H$18,Законод!$G$20,0)))),IF($B$925="Лікар-терапевт",IF(AG929&lt;Законод!$C$26,0,(IF(AND(AG929&gt;=Законод!$G$26,AG929&lt;=Законод!$G$27),AG929-Законод!$F$27,IF('01_Доходи'!AG929&gt;=Законод!$H$26,Законод!$G$28,0)))),0)))</f>
        <v>0</v>
      </c>
      <c r="AH933" s="942"/>
      <c r="AI933" s="201"/>
      <c r="AJ933" s="945"/>
      <c r="AK933" s="960"/>
      <c r="AL933" s="960"/>
      <c r="AM933" s="927"/>
      <c r="AN933" s="210">
        <f ca="1">IF(B925="Лікар загальної практики - сімейний лікар",L933*Законод!$C$9/4*Законод!$G$16,IF(B925="Лікар-педіатр",L933*Законод!$C$9/4*Законод!$G$16,IF(B925="Лікар-терапевт",L933*Законод!$C$9/4*Законод!$G$16,0)))</f>
        <v>0</v>
      </c>
      <c r="AO933" s="210">
        <f ca="1">IF(B925="Лікар загальної практики - сімейний лікар",S933*Законод!$C$9/4*Законод!$G$16,IF(B925="Лікар-педіатр",S933*Законод!$C$9/4*Законод!$G$16,IF(B925="Лікар-терапевт",S933*Законод!$C$9/4*Законод!$G$16,0)))</f>
        <v>0</v>
      </c>
      <c r="AP933" s="210">
        <f ca="1">IF(B925="Лікар загальної практики - сімейний лікар",Z933*Законод!$C$9/4*Законод!$G$16,IF(B925="Лікар-педіатр",Z933*Законод!$C$9/4*Законод!$G$16,IF(B925="Лікар-терапевт",Z933*Законод!$C$9/4*Законод!$G$16,0)))</f>
        <v>0</v>
      </c>
      <c r="AQ933" s="210">
        <f ca="1">IF(B925="Лікар загальної практики - сімейний лікар",AG933*Законод!$C$9/4*Законод!$G$16,IF(B925="Лікар-педіатр",AG933*Законод!$C$9/4*Законод!$G$16,IF(B925="Лікар-терапевт",AG933*Законод!$C$9/4*Законод!$G$16,0)))</f>
        <v>0</v>
      </c>
      <c r="AR933" s="211">
        <f t="shared" si="111"/>
        <v>0</v>
      </c>
    </row>
    <row r="934" spans="1:44" s="50" customFormat="1" ht="31.9" hidden="1" customHeight="1">
      <c r="A934" s="197"/>
      <c r="B934" s="951"/>
      <c r="C934" s="954"/>
      <c r="D934" s="957"/>
      <c r="E934" s="939"/>
      <c r="F934" s="238" t="str">
        <f ca="1">IF(B925="Лікар-педіатр",Законод!$H$17,IF(B925="Лікар загальної практики - сімейний лікар",Законод!$H$21,IF(B925="Лікар-терапевт",Законод!$H$25,"х")))</f>
        <v>х</v>
      </c>
      <c r="G934" s="935" t="s">
        <v>423</v>
      </c>
      <c r="H934" s="936"/>
      <c r="I934" s="936"/>
      <c r="J934" s="936"/>
      <c r="K934" s="937"/>
      <c r="L934" s="196">
        <f ca="1">IF($B$925="Лікар загальної практики - сімейний лікар",IF(L929&lt;Законод!$C$22,0,(IF(AND(L929&gt;=Законод!$H$22,L929&lt;=Законод!$H$23),L929-Законод!$G$23,IF('01_Доходи'!L929&gt;=Законод!$I$22,Законод!$H$24,0)))),IF($B$925="Лікар-педіатр",IF(L929&lt;Законод!$C$18,0,(IF(AND(L929&gt;=Законод!$H$18,L929&lt;=Законод!$H$19),L929-Законод!$G$19,IF('01_Доходи'!L929&gt;=Законод!$I$18,Законод!$H$20,0)))),IF($B$925="Лікар-терапевт",IF(L929&lt;Законод!$C$26,0,(IF(AND(L929&gt;=Законод!$H$26,L929&lt;=Законод!$H$27),L929-Законод!$G$27,IF(L929&gt;=Законод!$I$26,Законод!$H$28,0)))),0)))</f>
        <v>0</v>
      </c>
      <c r="M934" s="942"/>
      <c r="N934" s="935" t="s">
        <v>423</v>
      </c>
      <c r="O934" s="936"/>
      <c r="P934" s="936"/>
      <c r="Q934" s="936"/>
      <c r="R934" s="937"/>
      <c r="S934" s="196">
        <f ca="1">IF($B$925="Лікар загальної практики - сімейний лікар",IF(S929&lt;Законод!$C$22,0,(IF(AND(S929&gt;=Законод!$H$22,S929&lt;=Законод!$H$23),S929-Законод!$G$23,IF('01_Доходи'!S929&gt;=Законод!$I$22,Законод!$H$24,0)))),IF($B$925="Лікар-педіатр",IF(S929&lt;Законод!$C$18,0,(IF(AND(S929&gt;=Законод!$H$18,S929&lt;=Законод!$H$19),S929-Законод!$G$19,IF('01_Доходи'!S929&gt;=Законод!$I$18,Законод!$H$20,0)))),IF($B$925="Лікар-терапевт",IF(S929&lt;Законод!$C$26,0,(IF(AND(S929&gt;=Законод!$H$26,S929&lt;=Законод!$H$27),S929-Законод!$G$27,IF(S929&gt;=Законод!$I$26,Законод!$H$28,0)))),0)))</f>
        <v>0</v>
      </c>
      <c r="T934" s="942"/>
      <c r="U934" s="935" t="s">
        <v>423</v>
      </c>
      <c r="V934" s="936"/>
      <c r="W934" s="936"/>
      <c r="X934" s="936"/>
      <c r="Y934" s="937"/>
      <c r="Z934" s="196">
        <f ca="1">IF($B$925="Лікар загальної практики - сімейний лікар",IF(Z929&lt;Законод!$C$22,0,(IF(AND(Z929&gt;=Законод!$H$22,Z929&lt;=Законод!$H$23),Z929-Законод!$G$23,IF('01_Доходи'!Z929&gt;=Законод!$I$22,Законод!$H$24,0)))),IF($B$925="Лікар-педіатр",IF(Z929&lt;Законод!$C$18,0,(IF(AND(Z929&gt;=Законод!$H$18,Z929&lt;=Законод!$H$19),Z929-Законод!$G$19,IF('01_Доходи'!Z929&gt;=Законод!$I$18,Законод!$H$20,0)))),IF($B$925="Лікар-терапевт",IF(Z929&lt;Законод!$C$26,0,(IF(AND(Z929&gt;=Законод!$H$26,Z929&lt;=Законод!$H$27),Z929-Законод!$G$27,IF(Z929&gt;=Законод!$I$26,Законод!$H$28,0)))),0)))</f>
        <v>0</v>
      </c>
      <c r="AA934" s="942"/>
      <c r="AB934" s="935" t="s">
        <v>423</v>
      </c>
      <c r="AC934" s="936"/>
      <c r="AD934" s="936"/>
      <c r="AE934" s="936"/>
      <c r="AF934" s="937"/>
      <c r="AG934" s="196">
        <f ca="1">IF($B$925="Лікар загальної практики - сімейний лікар",IF(AG929&lt;Законод!$C$22,0,(IF(AND(AG929&gt;=Законод!$H$22,AG929&lt;=Законод!$H$23),AG929-Законод!$G$23,IF('01_Доходи'!AG929&gt;=Законод!$I$22,Законод!$H$24,0)))),IF($B$925="Лікар-педіатр",IF(AG929&lt;Законод!$C$18,0,(IF(AND(AG929&gt;=Законод!$H$18,AG929&lt;=Законод!$H$19),AG929-Законод!$G$19,IF('01_Доходи'!AG929&gt;=Законод!$I$18,Законод!$H$20,0)))),IF($B$925="Лікар-терапевт",IF(AG929&lt;Законод!$C$26,0,(IF(AND(AG929&gt;=Законод!$H$26,AG929&lt;=Законод!$H$27),AG929-Законод!$G$27,IF(AG929&gt;=Законод!$I$26,Законод!$H$28,0)))),0)))</f>
        <v>0</v>
      </c>
      <c r="AH934" s="942"/>
      <c r="AI934" s="201"/>
      <c r="AJ934" s="945"/>
      <c r="AK934" s="960"/>
      <c r="AL934" s="960"/>
      <c r="AM934" s="927"/>
      <c r="AN934" s="210">
        <f ca="1">IF(B925="Лікар загальної практики - сімейний лікар",L934*Законод!$C$9/4*Законод!$H$16,IF(B925="Лікар-педіатр",L934*Законод!$C$9/4*Законод!$H$16,IF(B925="Лікар-терапевт",L934*Законод!$C$9/4*Законод!$H$16,0)))</f>
        <v>0</v>
      </c>
      <c r="AO934" s="210">
        <f ca="1">IF(B925="Лікар загальної практики - сімейний лікар",S934*Законод!$C$9/4*Законод!$H$16,IF(B925="Лікар-педіатр",S934*Законод!$C$9/4*Законод!$H$16,IF(B925="Лікар-терапевт",S934*Законод!$C$9/4*Законод!$H$16,0)))</f>
        <v>0</v>
      </c>
      <c r="AP934" s="210">
        <f ca="1">IF(B925="Лікар загальної практики - сімейний лікар",Z934*Законод!$C$9/4*Законод!$H$16,IF(B925="Лікар-педіатр",Z934*Законод!$C$9/4*Законод!$H$16,IF(B925="Лікар-терапевт",Z934*Законод!$C$9/4*Законод!$H$16,0)))</f>
        <v>0</v>
      </c>
      <c r="AQ934" s="210">
        <f ca="1">IF(B925="Лікар загальної практики - сімейний лікар",AG934*Законод!$C$9/4*Законод!$H$16,IF(B925="Лікар-педіатр",AG934*Законод!$C$9/4*Законод!$H$16,IF(B925="Лікар-терапевт",AG934*Законод!$C$9/4*Законод!$H$16,0)))</f>
        <v>0</v>
      </c>
      <c r="AR934" s="211">
        <f t="shared" si="111"/>
        <v>0</v>
      </c>
    </row>
    <row r="935" spans="1:44" s="50" customFormat="1" ht="31.9" hidden="1" customHeight="1">
      <c r="A935" s="197"/>
      <c r="B935" s="951"/>
      <c r="C935" s="954"/>
      <c r="D935" s="957"/>
      <c r="E935" s="939"/>
      <c r="F935" s="238" t="str">
        <f ca="1">IF(B925="Лікар-педіатр",Законод!$I$17,IF(B925="Лікар загальної практики - сімейний лікар",Законод!$I$21,IF(B925="Лікар-терапевт",Законод!$I$25,"х")))</f>
        <v>х</v>
      </c>
      <c r="G935" s="935" t="s">
        <v>423</v>
      </c>
      <c r="H935" s="936"/>
      <c r="I935" s="936"/>
      <c r="J935" s="936"/>
      <c r="K935" s="937"/>
      <c r="L935" s="196">
        <f ca="1">IF($B$925="Лікар загальної практики - сімейний лікар",IF(L929&lt;Законод!$C$22,0,(IF(AND(L929&gt;=Законод!$I$22,L929&lt;=Законод!$I$23),L929-Законод!$H$23,IF('01_Доходи'!L929&gt;=Законод!$I$22,Законод!$I$24,0)))),IF($B$925="Лікар-педіатр",IF(L929&lt;Законод!$C$18,0,(IF(AND(L929&gt;=Законод!$I$18,L929&lt;=Законод!$I$19),L929-Законод!$H$19,IF('01_Доходи'!L929&gt;=Законод!$I$18,Законод!$H$20,0)))),IF($B$925="Лікар-терапевт",IF(L929&lt;Законод!$C$26,0,(IF(AND(L929&gt;=Законод!$I$26,L929&lt;=Законод!$I$27),L929-Законод!$H$27,IF('01_Доходи'!L929&gt;=Законод!$I$26,Законод!$H$28,0)))),0)))</f>
        <v>0</v>
      </c>
      <c r="M935" s="942"/>
      <c r="N935" s="935" t="s">
        <v>423</v>
      </c>
      <c r="O935" s="936"/>
      <c r="P935" s="936"/>
      <c r="Q935" s="936"/>
      <c r="R935" s="937"/>
      <c r="S935" s="196">
        <f ca="1">IF($B$925="Лікар загальної практики - сімейний лікар",IF(S929&lt;Законод!$C$22,0,(IF(AND(S929&gt;=Законод!$I$22,S929&lt;=Законод!$I$23),S929-Законод!$H$23,IF('01_Доходи'!S929&gt;=Законод!$I$22,Законод!$I$24,0)))),IF($B$925="Лікар-педіатр",IF(S929&lt;Законод!$C$18,0,(IF(AND(S929&gt;=Законод!$I$18,S929&lt;=Законод!$I$19),S929-Законод!$H$19,IF('01_Доходи'!S929&gt;=Законод!$I$18,Законод!$H$20,0)))),IF($B$925="Лікар-терапевт",IF(S929&lt;Законод!$C$26,0,(IF(AND(S929&gt;=Законод!$I$26,S929&lt;=Законод!$I$27),S929-Законод!$H$27,IF('01_Доходи'!S929&gt;=Законод!$I$26,Законод!$H$28,0)))),0)))</f>
        <v>0</v>
      </c>
      <c r="T935" s="942"/>
      <c r="U935" s="935" t="s">
        <v>423</v>
      </c>
      <c r="V935" s="936"/>
      <c r="W935" s="936"/>
      <c r="X935" s="936"/>
      <c r="Y935" s="937"/>
      <c r="Z935" s="196">
        <f ca="1">IF($B$925="Лікар загальної практики - сімейний лікар",IF(Z929&lt;Законод!$C$22,0,(IF(AND(Z929&gt;=Законод!$I$22,Z929&lt;=Законод!$I$23),Z929-Законод!$H$23,IF('01_Доходи'!Z929&gt;=Законод!$I$22,Законод!$I$24,0)))),IF($B$925="Лікар-педіатр",IF(Z929&lt;Законод!$C$18,0,(IF(AND(Z929&gt;=Законод!$I$18,Z929&lt;=Законод!$I$19),Z929-Законод!$H$19,IF('01_Доходи'!Z929&gt;=Законод!$I$18,Законод!$H$20,0)))),IF($B$925="Лікар-терапевт",IF(Z929&lt;Законод!$C$26,0,(IF(AND(Z929&gt;=Законод!$I$26,Z929&lt;=Законод!$I$27),Z929-Законод!$H$27,IF('01_Доходи'!Z929&gt;=Законод!$I$26,Законод!$H$28,0)))),0)))</f>
        <v>0</v>
      </c>
      <c r="AA935" s="942"/>
      <c r="AB935" s="935" t="s">
        <v>423</v>
      </c>
      <c r="AC935" s="936"/>
      <c r="AD935" s="936"/>
      <c r="AE935" s="936"/>
      <c r="AF935" s="937"/>
      <c r="AG935" s="196">
        <f ca="1">IF($B$925="Лікар загальної практики - сімейний лікар",IF(AG929&lt;Законод!$C$22,0,(IF(AND(AG929&gt;=Законод!$I$22,AG929&lt;=Законод!$I$23),AG929-Законод!$H$23,IF('01_Доходи'!AG929&gt;=Законод!$I$22,Законод!$I$24,0)))),IF($B$925="Лікар-педіатр",IF(AG929&lt;Законод!$C$18,0,(IF(AND(AG929&gt;=Законод!$I$18,AG929&lt;=Законод!$I$19),AG929-Законод!$H$19,IF('01_Доходи'!AG929&gt;=Законод!$I$18,Законод!$H$20,0)))),IF($B$925="Лікар-терапевт",IF(AG929&lt;Законод!$C$26,0,(IF(AND(AG929&gt;=Законод!$I$26,AG929&lt;=Законод!$I$27),AG929-Законод!$H$27,IF('01_Доходи'!AG929&gt;=Законод!$I$26,Законод!$H$28,0)))),0)))</f>
        <v>0</v>
      </c>
      <c r="AH935" s="942"/>
      <c r="AI935" s="201"/>
      <c r="AJ935" s="945"/>
      <c r="AK935" s="960"/>
      <c r="AL935" s="960"/>
      <c r="AM935" s="927"/>
      <c r="AN935" s="210">
        <f ca="1">IF(B925="Лікар загальної практики - сімейний лікар",L935*Законод!$C$9/4*Законод!$I$16,IF(B925="Лікар-педіатр",L935*Законод!$C$9/4*Законод!$I$16,IF(B925="Лікар-терапевт",L935*Законод!$C$9/4*Законод!$I$16,0)))</f>
        <v>0</v>
      </c>
      <c r="AO935" s="210">
        <f ca="1">IF(B925="Лікар загальної практики - сімейний лікар",S935*Законод!$C$9/4*Законод!$I$16,IF(B925="Лікар-педіатр",S935*Законод!$C$9/4*Законод!$I$16,IF(B925="Лікар-терапевт",S935*Законод!$C$9/4*Законод!$I$16,0)))</f>
        <v>0</v>
      </c>
      <c r="AP935" s="210">
        <f ca="1">IF(B925="Лікар загальної практики - сімейний лікар",Z935*Законод!$C$9/4*Законод!$I$16,IF(B925="Лікар-педіатр",Z935*Законод!$C$9/4*Законод!$I$16,IF(B925="Лікар-терапевт",Z935*Законод!$C$9/4*Законод!$I$16,0)))</f>
        <v>0</v>
      </c>
      <c r="AQ935" s="210">
        <f ca="1">IF(B925="Лікар загальної практики - сімейний лікар",AG935*Законод!$C$9/4*Законод!$I$16,IF(B925="Лікар-педіатр",AG935*Законод!$C$9/4*Законод!$I$16,IF(B925="Лікар-терапевт",AG935*Законод!$C$9/4*Законод!$I$16,0)))</f>
        <v>0</v>
      </c>
      <c r="AR935" s="211">
        <f t="shared" si="111"/>
        <v>0</v>
      </c>
    </row>
    <row r="936" spans="1:44" s="218" customFormat="1" ht="31.9" hidden="1" customHeight="1" thickBot="1">
      <c r="A936" s="213"/>
      <c r="B936" s="952"/>
      <c r="C936" s="955"/>
      <c r="D936" s="958"/>
      <c r="E936" s="940"/>
      <c r="F936" s="239" t="str">
        <f ca="1">IF(B925="Лікар-педіатр",Законод!$J$17,IF(B925="Лікар загальної практики - сімейний лікар",Законод!$J$21,IF(B925="Лікар-терапевт",Законод!$J$25,"х")))</f>
        <v>х</v>
      </c>
      <c r="G936" s="932" t="s">
        <v>423</v>
      </c>
      <c r="H936" s="933"/>
      <c r="I936" s="933"/>
      <c r="J936" s="933"/>
      <c r="K936" s="934"/>
      <c r="L936" s="196">
        <f ca="1">IF($B$925="Лікар загальної практики - сімейний лікар",IF(L929&gt;=Законод!$J$22,'01_Доходи'!L929-('01_Доходи'!L930+'01_Доходи'!L931+'01_Доходи'!L932+'01_Доходи'!L933+'01_Доходи'!L934+'01_Доходи'!L935),0),IF($B$925="Лікар-педіатр",IF(L929&gt;=Законод!$J$18,'01_Доходи'!L929-('01_Доходи'!L930+'01_Доходи'!L931+'01_Доходи'!L932+'01_Доходи'!L933+'01_Доходи'!L934+'01_Доходи'!L935),0),IF($B$925="Лікар-терапевт",IF('01_Доходи'!L929&gt;=Законод!$J$26,L929-Законод!$I$27,0),0)))</f>
        <v>0</v>
      </c>
      <c r="M936" s="943"/>
      <c r="N936" s="932" t="s">
        <v>423</v>
      </c>
      <c r="O936" s="933"/>
      <c r="P936" s="933"/>
      <c r="Q936" s="933"/>
      <c r="R936" s="934"/>
      <c r="S936" s="196">
        <f ca="1">IF($B$925="Лікар загальної практики - сімейний лікар",IF(S929&gt;=Законод!$J$22,'01_Доходи'!S929-('01_Доходи'!S930+'01_Доходи'!S931+'01_Доходи'!S932+'01_Доходи'!S933+'01_Доходи'!S934+'01_Доходи'!S935),0),IF($B$925="Лікар-педіатр",IF(S929&gt;=Законод!$J$18,'01_Доходи'!S929-('01_Доходи'!S930+'01_Доходи'!S931+'01_Доходи'!S932+'01_Доходи'!S933+'01_Доходи'!S934+'01_Доходи'!S935),0),IF($B$925="Лікар-терапевт",IF('01_Доходи'!S929&gt;=Законод!$J$26,S929-Законод!$I$27,0),0)))</f>
        <v>0</v>
      </c>
      <c r="T936" s="943"/>
      <c r="U936" s="932" t="s">
        <v>423</v>
      </c>
      <c r="V936" s="933"/>
      <c r="W936" s="933"/>
      <c r="X936" s="933"/>
      <c r="Y936" s="934"/>
      <c r="Z936" s="196">
        <f ca="1">IF($B$925="Лікар загальної практики - сімейний лікар",IF(Z929&gt;=Законод!$J$22,'01_Доходи'!Z929-('01_Доходи'!Z930+'01_Доходи'!Z931+'01_Доходи'!Z932+'01_Доходи'!Z933+'01_Доходи'!Z934+'01_Доходи'!Z935),0),IF($B$925="Лікар-педіатр",IF(Z929&gt;=Законод!$J$18,'01_Доходи'!Z929-('01_Доходи'!Z930+'01_Доходи'!Z931+'01_Доходи'!Z932+'01_Доходи'!Z933+'01_Доходи'!Z934+'01_Доходи'!Z935),0),IF($B$925="Лікар-терапевт",IF('01_Доходи'!Z929&gt;=Законод!$J$26,Z929-Законод!$I$27,0),0)))</f>
        <v>0</v>
      </c>
      <c r="AA936" s="943"/>
      <c r="AB936" s="932" t="s">
        <v>423</v>
      </c>
      <c r="AC936" s="933"/>
      <c r="AD936" s="933"/>
      <c r="AE936" s="933"/>
      <c r="AF936" s="934"/>
      <c r="AG936" s="196">
        <f ca="1">IF($B$925="Лікар загальної практики - сімейний лікар",IF(AG929&gt;=Законод!$J$22,'01_Доходи'!AG929-('01_Доходи'!AG930+'01_Доходи'!AG931+'01_Доходи'!AG932+'01_Доходи'!AG933+'01_Доходи'!AG934+'01_Доходи'!AG935),0),IF($B$925="Лікар-педіатр",IF(AG929&gt;=Законод!$J$18,'01_Доходи'!AG929-('01_Доходи'!AG930+'01_Доходи'!AG931+'01_Доходи'!AG932+'01_Доходи'!AG933+'01_Доходи'!AG934+'01_Доходи'!AG935),0),IF($B$925="Лікар-терапевт",IF('01_Доходи'!AG929&gt;=Законод!$J$26,AG929-Законод!$I$27,0),0)))</f>
        <v>0</v>
      </c>
      <c r="AH936" s="943"/>
      <c r="AI936" s="215"/>
      <c r="AJ936" s="946"/>
      <c r="AK936" s="961"/>
      <c r="AL936" s="961"/>
      <c r="AM936" s="928"/>
      <c r="AN936" s="216">
        <f ca="1">IF(B925="Лікар загальної практики - сімейний лікар",L936*Законод!$C$9/4*Законод!$J$16,IF(B925="Лікар-педіатр",L936*Законод!$C$9/4*Законод!$J$16,IF(B925="Лікар-терапевт",L936*Законод!$C$9/4*Законод!$J$16,0)))</f>
        <v>0</v>
      </c>
      <c r="AO936" s="216">
        <f ca="1">IF(B925="Лікар загальної практики - сімейний лікар",S936*Законод!$C$9/4*Законод!$J$16,IF(B925="Лікар-педіатр",S936*Законод!$C$9/4*Законод!$J$16,IF(B925="Лікар-терапевт",S936*Законод!$C$9/4*Законод!$J$16,0)))</f>
        <v>0</v>
      </c>
      <c r="AP936" s="216">
        <f ca="1">IF(B925="Лікар загальної практики - сімейний лікар",S936*Законод!$C$9/4*Законод!$J$16,IF(B925="Лікар-педіатр",S936*Законод!$C$9/4*Законод!$J$16,IF(B925="Лікар-терапевт",S936*Законод!$C$9/4*Законод!$J$16,0)))</f>
        <v>0</v>
      </c>
      <c r="AQ936" s="216">
        <f ca="1">IF(B925="Лікар загальної практики - сімейний лікар",AG936*Законод!$C$9/4*Законод!$J$16,IF(B925="Лікар-педіатр",AG936*Законод!$C$9/4*Законод!$J$16,IF(B925="Лікар-терапевт",AG936*Законод!$C$9/4*Законод!$J$16,0)))</f>
        <v>0</v>
      </c>
      <c r="AR936" s="217">
        <f t="shared" si="111"/>
        <v>0</v>
      </c>
    </row>
    <row r="937" spans="1:44" s="247" customFormat="1" ht="23.45" hidden="1" customHeight="1" thickBot="1">
      <c r="A937" s="243"/>
      <c r="B937" s="244"/>
      <c r="C937" s="244"/>
      <c r="D937" s="244"/>
      <c r="E937" s="244"/>
      <c r="F937" s="245"/>
      <c r="G937" s="246"/>
      <c r="H937" s="246"/>
      <c r="L937" s="248"/>
      <c r="S937" s="248"/>
      <c r="Z937" s="248"/>
      <c r="AG937" s="248"/>
      <c r="AM937" s="249"/>
      <c r="AR937" s="250"/>
    </row>
    <row r="938" spans="1:44" s="191" customFormat="1" ht="24.6" hidden="1" customHeight="1">
      <c r="A938" s="194">
        <f>A925+1</f>
        <v>70</v>
      </c>
      <c r="B938" s="950"/>
      <c r="C938" s="953"/>
      <c r="D938" s="956"/>
      <c r="E938" s="938"/>
      <c r="F938" s="234" t="s">
        <v>659</v>
      </c>
      <c r="G938" s="196">
        <f>IF($B$938="Лікар-педіатр",G941*L938,IF($B$938="Лікар-терапевт","х",IF($B$938="Лікар загальної практики - сімейний лікар",G941*L938,0)))</f>
        <v>0</v>
      </c>
      <c r="H938" s="196">
        <f>IF($B$938="Лікар-педіатр",H941*L938,IF($B$938="Лікар-терапевт","х",IF($B$938="Лікар загальної практики - сімейний лікар",H941*L938,0)))</f>
        <v>0</v>
      </c>
      <c r="I938" s="196">
        <f>IF($B$938="Лікар-педіатр","x",IF($B$938="Лікар-терапевт",I941*L938,IF($B$938="Лікар загальної практики - сімейний лікар",I941*L938,0)))</f>
        <v>0</v>
      </c>
      <c r="J938" s="196">
        <f>IF($B$938="Лікар-педіатр","x",IF($B$938="Лікар-терапевт",J941*L938,IF($B$938="Лікар загальної практики - сімейний лікар",J941*L938,0)))</f>
        <v>0</v>
      </c>
      <c r="K938" s="196">
        <f>IF($B$938="Лікар-педіатр","x",IF($B$938="Лікар-терапевт",K941*L938,IF($B$938="Лікар загальної практики - сімейний лікар",K941*L938,0)))</f>
        <v>0</v>
      </c>
      <c r="L938" s="557"/>
      <c r="M938" s="941"/>
      <c r="N938" s="196">
        <f>IF($B$938="Лікар-педіатр",N941*S938,IF($B$938="Лікар-терапевт","х",IF($B$938="Лікар загальної практики - сімейний лікар",N941*S938,0)))</f>
        <v>0</v>
      </c>
      <c r="O938" s="196">
        <f>IF($B$938="Лікар-педіатр",O941*S938,IF($B$938="Лікар-терапевт","х",IF($B$938="Лікар загальної практики - сімейний лікар",O941*S938,0)))</f>
        <v>0</v>
      </c>
      <c r="P938" s="196">
        <f>IF($B$938="Лікар-педіатр","x",IF($B$938="Лікар-терапевт",P941*S938,IF($B$938="Лікар загальної практики - сімейний лікар",P941*S938,0)))</f>
        <v>0</v>
      </c>
      <c r="Q938" s="196">
        <f>IF($B$938="Лікар-педіатр","x",IF($B$938="Лікар-терапевт",Q941*S938,IF($B$938="Лікар загальної практики - сімейний лікар",Q941*S938,0)))</f>
        <v>0</v>
      </c>
      <c r="R938" s="196">
        <f>IF($B$938="Лікар-педіатр","x",IF($B$938="Лікар-терапевт",R941*S938,IF($B$938="Лікар загальної практики - сімейний лікар",R941*S938,0)))</f>
        <v>0</v>
      </c>
      <c r="S938" s="557"/>
      <c r="T938" s="941"/>
      <c r="U938" s="196">
        <f>IF($B$938="Лікар-педіатр",U941*Z938,IF($B$938="Лікар-терапевт","х",IF($B$938="Лікар загальної практики - сімейний лікар",U941*Z938,0)))</f>
        <v>0</v>
      </c>
      <c r="V938" s="196">
        <f>IF($B$938="Лікар-педіатр",V941*Z938,IF($B$938="Лікар-терапевт","х",IF($B$938="Лікар загальної практики - сімейний лікар",V941*Z938,0)))</f>
        <v>0</v>
      </c>
      <c r="W938" s="196">
        <f>IF($B$938="Лікар-педіатр","x",IF($B$938="Лікар-терапевт",W941*Z938,IF($B$938="Лікар загальної практики - сімейний лікар",W941*Z938,0)))</f>
        <v>0</v>
      </c>
      <c r="X938" s="196">
        <f>IF($B$938="Лікар-педіатр","x",IF($B$938="Лікар-терапевт",X941*Z938,IF($B$938="Лікар загальної практики - сімейний лікар",X941*Z938,0)))</f>
        <v>0</v>
      </c>
      <c r="Y938" s="196">
        <f>IF($B$938="Лікар-педіатр","x",IF($B$938="Лікар-терапевт",Y941*Z938,IF($B$938="Лікар загальної практики - сімейний лікар",Y941*Z938,0)))</f>
        <v>0</v>
      </c>
      <c r="Z938" s="557"/>
      <c r="AA938" s="941"/>
      <c r="AB938" s="196">
        <f>IF($B$938="Лікар-педіатр",AB941*AG938,IF($B$938="Лікар-терапевт","х",IF($B$938="Лікар загальної практики - сімейний лікар",AB941*AG938,0)))</f>
        <v>0</v>
      </c>
      <c r="AC938" s="196">
        <f>IF($B$938="Лікар-педіатр",AC941*AG938,IF($B$938="Лікар-терапевт","х",IF($B$938="Лікар загальної практики - сімейний лікар",AC941*AG938,0)))</f>
        <v>0</v>
      </c>
      <c r="AD938" s="196">
        <f>IF($B$938="Лікар-педіатр","x",IF($B$938="Лікар-терапевт",AD941*AG938,IF($B$938="Лікар загальної практики - сімейний лікар",AD941*AG938,0)))</f>
        <v>0</v>
      </c>
      <c r="AE938" s="196">
        <f>IF($B$938="Лікар-педіатр","x",IF($B$938="Лікар-терапевт",AE941*AG938,IF($B$938="Лікар загальної практики - сімейний лікар",AE941*AG938,0)))</f>
        <v>0</v>
      </c>
      <c r="AF938" s="196">
        <f>IF($B$938="Лікар-педіатр","x",IF($B$938="Лікар-терапевт",AF941*AG938,IF($B$938="Лікар загальної практики - сімейний лікар",AF941*AG938,0)))</f>
        <v>0</v>
      </c>
      <c r="AG938" s="557"/>
      <c r="AH938" s="941"/>
      <c r="AI938" s="540">
        <f>A938</f>
        <v>70</v>
      </c>
      <c r="AJ938" s="944">
        <f>B938</f>
        <v>0</v>
      </c>
      <c r="AK938" s="959">
        <f>C938</f>
        <v>0</v>
      </c>
      <c r="AL938" s="959">
        <f>D938</f>
        <v>0</v>
      </c>
      <c r="AM938" s="929" t="s">
        <v>79</v>
      </c>
      <c r="AN938" s="947">
        <f>SUM(AN943:AN949)</f>
        <v>0</v>
      </c>
      <c r="AO938" s="947">
        <f>SUM(AO943:AO949)</f>
        <v>0</v>
      </c>
      <c r="AP938" s="947">
        <f>SUM(AP943:AP949)</f>
        <v>0</v>
      </c>
      <c r="AQ938" s="947">
        <f>SUM(AQ943:AQ949)</f>
        <v>0</v>
      </c>
      <c r="AR938" s="962">
        <f>SUM(AN938:AQ942)</f>
        <v>0</v>
      </c>
    </row>
    <row r="939" spans="1:44" s="50" customFormat="1" ht="28.15" hidden="1" customHeight="1">
      <c r="A939" s="197"/>
      <c r="B939" s="951"/>
      <c r="C939" s="954"/>
      <c r="D939" s="957"/>
      <c r="E939" s="939"/>
      <c r="F939" s="234" t="s">
        <v>660</v>
      </c>
      <c r="G939" s="196">
        <f>IF($B$938="Лікар-педіатр",G941*L939,IF($B$938="Лікар-терапевт","х",IF($B$938="Лікар загальної практики - сімейний лікар",G941*L939,0)))</f>
        <v>0</v>
      </c>
      <c r="H939" s="196">
        <f>IF($B$938="Лікар-педіатр",H941*L939,IF($B$938="Лікар-терапевт","х",IF($B$938="Лікар загальної практики - сімейний лікар",H941*L939,0)))</f>
        <v>0</v>
      </c>
      <c r="I939" s="196">
        <f>IF($B$938="Лікар-педіатр","x",IF($B$938="Лікар-терапевт",I941*L939,IF($B$938="Лікар загальної практики - сімейний лікар",I941*L939,0)))</f>
        <v>0</v>
      </c>
      <c r="J939" s="196">
        <f>IF($B$938="Лікар-педіатр","x",IF($B$938="Лікар-терапевт",J941*L939,IF($B$938="Лікар загальної практики - сімейний лікар",J941*L939,0)))</f>
        <v>0</v>
      </c>
      <c r="K939" s="196">
        <f>IF($B$938="Лікар-педіатр","x",IF($B$938="Лікар-терапевт",K941*L939,IF($B$938="Лікар загальної практики - сімейний лікар",K941*L939,0)))</f>
        <v>0</v>
      </c>
      <c r="L939" s="557"/>
      <c r="M939" s="942"/>
      <c r="N939" s="196">
        <f>IF($B$938="Лікар-педіатр",N941*S939,IF($B$938="Лікар-терапевт","х",IF($B$938="Лікар загальної практики - сімейний лікар",N941*S939,0)))</f>
        <v>0</v>
      </c>
      <c r="O939" s="196">
        <f>IF($B$938="Лікар-педіатр",O941*S939,IF($B$938="Лікар-терапевт","х",IF($B$938="Лікар загальної практики - сімейний лікар",O941*S939,0)))</f>
        <v>0</v>
      </c>
      <c r="P939" s="196">
        <f>IF($B$938="Лікар-педіатр","x",IF($B$938="Лікар-терапевт",P941*S939,IF($B$938="Лікар загальної практики - сімейний лікар",P941*S939,0)))</f>
        <v>0</v>
      </c>
      <c r="Q939" s="196">
        <f>IF($B$938="Лікар-педіатр","x",IF($B$938="Лікар-терапевт",Q941*S939,IF($B$938="Лікар загальної практики - сімейний лікар",Q941*S939,0)))</f>
        <v>0</v>
      </c>
      <c r="R939" s="196">
        <f>IF($B$938="Лікар-педіатр","x",IF($B$938="Лікар-терапевт",R941*S939,IF($B$938="Лікар загальної практики - сімейний лікар",R941*S939,0)))</f>
        <v>0</v>
      </c>
      <c r="S939" s="557"/>
      <c r="T939" s="942"/>
      <c r="U939" s="196">
        <f>IF($B$938="Лікар-педіатр",U941*Z939,IF($B$938="Лікар-терапевт","х",IF($B$938="Лікар загальної практики - сімейний лікар",U941*Z939,0)))</f>
        <v>0</v>
      </c>
      <c r="V939" s="196">
        <f>IF($B$938="Лікар-педіатр",V941*Z939,IF($B$938="Лікар-терапевт","х",IF($B$938="Лікар загальної практики - сімейний лікар",V941*Z939,0)))</f>
        <v>0</v>
      </c>
      <c r="W939" s="196">
        <f>IF($B$938="Лікар-педіатр","x",IF($B$938="Лікар-терапевт",W941*Z939,IF($B$938="Лікар загальної практики - сімейний лікар",W941*Z939,0)))</f>
        <v>0</v>
      </c>
      <c r="X939" s="196">
        <f>IF($B$938="Лікар-педіатр","x",IF($B$938="Лікар-терапевт",X941*Z939,IF($B$938="Лікар загальної практики - сімейний лікар",X941*Z939,0)))</f>
        <v>0</v>
      </c>
      <c r="Y939" s="196">
        <f>IF($B$938="Лікар-педіатр","x",IF($B$938="Лікар-терапевт",Y941*Z939,IF($B$938="Лікар загальної практики - сімейний лікар",Y941*Z939,0)))</f>
        <v>0</v>
      </c>
      <c r="Z939" s="557"/>
      <c r="AA939" s="942"/>
      <c r="AB939" s="196">
        <f>IF($B$938="Лікар-педіатр",AB941*AG939,IF($B$938="Лікар-терапевт","х",IF($B$938="Лікар загальної практики - сімейний лікар",AB941*AG939,0)))</f>
        <v>0</v>
      </c>
      <c r="AC939" s="196">
        <f>IF($B$938="Лікар-педіатр",AC941*AG939,IF($B$938="Лікар-терапевт","х",IF($B$938="Лікар загальної практики - сімейний лікар",AC941*AG939,0)))</f>
        <v>0</v>
      </c>
      <c r="AD939" s="196">
        <f>IF($B$938="Лікар-педіатр","x",IF($B$938="Лікар-терапевт",AD941*AG939,IF($B$938="Лікар загальної практики - сімейний лікар",AD941*AG939,0)))</f>
        <v>0</v>
      </c>
      <c r="AE939" s="196">
        <f>IF($B$938="Лікар-педіатр","x",IF($B$938="Лікар-терапевт",AE941*AG939,IF($B$938="Лікар загальної практики - сімейний лікар",AE941*AG939,0)))</f>
        <v>0</v>
      </c>
      <c r="AF939" s="196">
        <f>IF($B$938="Лікар-педіатр","x",IF($B$938="Лікар-терапевт",AF941*AG939,IF($B$938="Лікар загальної практики - сімейний лікар",AF941*AG939,0)))</f>
        <v>0</v>
      </c>
      <c r="AG939" s="557"/>
      <c r="AH939" s="942"/>
      <c r="AI939" s="198"/>
      <c r="AJ939" s="945"/>
      <c r="AK939" s="960"/>
      <c r="AL939" s="960"/>
      <c r="AM939" s="930"/>
      <c r="AN939" s="948"/>
      <c r="AO939" s="948"/>
      <c r="AP939" s="948"/>
      <c r="AQ939" s="948"/>
      <c r="AR939" s="963"/>
    </row>
    <row r="940" spans="1:44" s="90" customFormat="1" ht="31.15" hidden="1" customHeight="1">
      <c r="A940" s="240"/>
      <c r="B940" s="951"/>
      <c r="C940" s="954"/>
      <c r="D940" s="957"/>
      <c r="E940" s="939"/>
      <c r="F940" s="241" t="s">
        <v>661</v>
      </c>
      <c r="G940" s="199">
        <f>IF(B938="Лікар загальної практики - сімейний лікар"," ",IF(B938="Лікар-педіатр"," ",IF(B938="Лікар-терапевт","х",0)))</f>
        <v>0</v>
      </c>
      <c r="H940" s="199">
        <f>IF(B938="Лікар загальної практики - сімейний лікар"," ",IF(B938="Лікар-педіатр"," ",IF(B938="Лікар-терапевт","х",0)))</f>
        <v>0</v>
      </c>
      <c r="I940" s="199">
        <f>IF(B938="Лікар загальної практики - сімейний лікар"," ",IF(B938="Лікар-педіатр","х",IF(B938="Лікар-терапевт"," ",0)))</f>
        <v>0</v>
      </c>
      <c r="J940" s="199">
        <f>IF(B938="Лікар загальної практики - сімейний лікар"," ",IF(B938="Лікар-педіатр","х",IF(B938="Лікар-терапевт"," ",0)))</f>
        <v>0</v>
      </c>
      <c r="K940" s="199">
        <f>IF(B938="Лікар загальної практики - сімейний лікар"," ",IF(B938="Лікар-педіатр","х",IF(B938="Лікар-терапевт"," ",0)))</f>
        <v>0</v>
      </c>
      <c r="L940" s="200">
        <f>SUM(G940:K940)</f>
        <v>0</v>
      </c>
      <c r="M940" s="942"/>
      <c r="N940" s="199">
        <f>IF(B938="Лікар загальної практики - сімейний лікар"," ",IF(B938="Лікар-педіатр"," ",IF(B938="Лікар-терапевт","х",0)))</f>
        <v>0</v>
      </c>
      <c r="O940" s="199">
        <f>IF(B938="Лікар загальної практики - сімейний лікар"," ",IF(B938="Лікар-педіатр"," ",IF(B938="Лікар-терапевт","х",0)))</f>
        <v>0</v>
      </c>
      <c r="P940" s="199">
        <f>IF(B938="Лікар загальної практики - сімейний лікар"," ",IF(B938="Лікар-педіатр","х",IF(B938="Лікар-терапевт"," ",0)))</f>
        <v>0</v>
      </c>
      <c r="Q940" s="199">
        <f>IF(B938="Лікар загальної практики - сімейний лікар"," ",IF(B938="Лікар-педіатр","х",IF(B938="Лікар-терапевт"," ",0)))</f>
        <v>0</v>
      </c>
      <c r="R940" s="199">
        <f>IF(B938="Лікар загальної практики - сімейний лікар"," ",IF(B938="Лікар-педіатр","х",IF(B938="Лікар-терапевт"," ",0)))</f>
        <v>0</v>
      </c>
      <c r="S940" s="200">
        <f>SUM(N940:R940)</f>
        <v>0</v>
      </c>
      <c r="T940" s="942"/>
      <c r="U940" s="199">
        <f>IF(B938="Лікар загальної практики - сімейний лікар"," ",IF(B938="Лікар-педіатр"," ",IF(B938="Лікар-терапевт","х",0)))</f>
        <v>0</v>
      </c>
      <c r="V940" s="199">
        <f>IF(B938="Лікар загальної практики - сімейний лікар"," ",IF(B938="Лікар-педіатр"," ",IF(B938="Лікар-терапевт","х",0)))</f>
        <v>0</v>
      </c>
      <c r="W940" s="199">
        <f>IF(B938="Лікар загальної практики - сімейний лікар"," ",IF(B938="Лікар-педіатр","х",IF(B938="Лікар-терапевт"," ",0)))</f>
        <v>0</v>
      </c>
      <c r="X940" s="199">
        <f>IF(B938="Лікар загальної практики - сімейний лікар"," ",IF(B938="Лікар-педіатр","х",IF(B938="Лікар-терапевт"," ",0)))</f>
        <v>0</v>
      </c>
      <c r="Y940" s="199">
        <f>IF(B938="Лікар загальної практики - сімейний лікар"," ",IF(B938="Лікар-педіатр","х",IF(B938="Лікар-терапевт"," ",0)))</f>
        <v>0</v>
      </c>
      <c r="Z940" s="200">
        <f>SUM(U940:Y940)</f>
        <v>0</v>
      </c>
      <c r="AA940" s="942"/>
      <c r="AB940" s="199">
        <f>IF(B938="Лікар загальної практики - сімейний лікар"," ",IF(B938="Лікар-педіатр"," ",IF(B938="Лікар-терапевт","х",0)))</f>
        <v>0</v>
      </c>
      <c r="AC940" s="199">
        <f>IF(B938="Лікар загальної практики - сімейний лікар"," ",IF(B938="Лікар-педіатр"," ",IF(B938="Лікар-терапевт","х",0)))</f>
        <v>0</v>
      </c>
      <c r="AD940" s="199">
        <f>IF(B938="Лікар загальної практики - сімейний лікар"," ",IF(B938="Лікар-педіатр","х",IF(B938="Лікар-терапевт"," ",0)))</f>
        <v>0</v>
      </c>
      <c r="AE940" s="199">
        <f>IF(B938="Лікар загальної практики - сімейний лікар"," ",IF(B938="Лікар-педіатр","х",IF(B938="Лікар-терапевт"," ",0)))</f>
        <v>0</v>
      </c>
      <c r="AF940" s="199">
        <f>IF(B938="Лікар загальної практики - сімейний лікар"," ",IF(B938="Лікар-педіатр","х",IF(B938="Лікар-терапевт"," ",0)))</f>
        <v>0</v>
      </c>
      <c r="AG940" s="200">
        <f>SUM(AB940:AF940)</f>
        <v>0</v>
      </c>
      <c r="AH940" s="942"/>
      <c r="AI940" s="242"/>
      <c r="AJ940" s="945"/>
      <c r="AK940" s="960"/>
      <c r="AL940" s="960"/>
      <c r="AM940" s="930"/>
      <c r="AN940" s="948"/>
      <c r="AO940" s="948"/>
      <c r="AP940" s="948"/>
      <c r="AQ940" s="948"/>
      <c r="AR940" s="963"/>
    </row>
    <row r="941" spans="1:44" s="50" customFormat="1" ht="31.9" hidden="1" customHeight="1" thickBot="1">
      <c r="A941" s="197"/>
      <c r="B941" s="951"/>
      <c r="C941" s="954"/>
      <c r="D941" s="957"/>
      <c r="E941" s="939"/>
      <c r="F941" s="236" t="s">
        <v>426</v>
      </c>
      <c r="G941" s="203">
        <f>IF($B$938="Лікар-педіатр",G940/L940,IF($B$938="Лікар-терапевт","х",IF($B$938="Лікар загальної практики - сімейний лікар",G940/L940,0)))</f>
        <v>0</v>
      </c>
      <c r="H941" s="203">
        <f>IF($B$938="Лікар-педіатр",H940/L940,IF($B$938="Лікар-терапевт","х",IF($B$938="Лікар загальної практики - сімейний лікар",H940/L940,0)))</f>
        <v>0</v>
      </c>
      <c r="I941" s="203">
        <f>IF($B$938="Лікар-педіатр","x",IF($B$938="Лікар-терапевт",I940/L940,IF($B$938="Лікар загальної практики - сімейний лікар",I940/L940,0)))</f>
        <v>0</v>
      </c>
      <c r="J941" s="203">
        <f>IF($B$938="Лікар-педіатр","x",IF($B$938="Лікар-терапевт",J940/L940,IF($B$938="Лікар загальної практики - сімейний лікар",J940/L940,0)))</f>
        <v>0</v>
      </c>
      <c r="K941" s="203">
        <f>IF($B$938="Лікар-педіатр","x",IF($B$938="Лікар-терапевт",K940/L940,IF($B$938="Лікар загальної практики - сімейний лікар",K940/L940,0)))</f>
        <v>0</v>
      </c>
      <c r="L941" s="203">
        <f>SUM(G941:K941)</f>
        <v>0</v>
      </c>
      <c r="M941" s="942"/>
      <c r="N941" s="203">
        <f>IF($B$938="Лікар-педіатр",N940/S940,IF($B$938="Лікар-терапевт","х",IF($B$938="Лікар загальної практики - сімейний лікар",N940/S940,0)))</f>
        <v>0</v>
      </c>
      <c r="O941" s="203">
        <f>IF($B$938="Лікар-педіатр",O940/S940,IF($B$938="Лікар-терапевт","х",IF($B$938="Лікар загальної практики - сімейний лікар",O940/S940,0)))</f>
        <v>0</v>
      </c>
      <c r="P941" s="203">
        <f>IF($B$938="Лікар-педіатр","x",IF($B$938="Лікар-терапевт",P940/S940,IF($B$938="Лікар загальної практики - сімейний лікар",P940/S940,0)))</f>
        <v>0</v>
      </c>
      <c r="Q941" s="203">
        <f>IF($B$938="Лікар-педіатр","x",IF($B$938="Лікар-терапевт",Q940/S940,IF($B$938="Лікар загальної практики - сімейний лікар",Q940/S940,0)))</f>
        <v>0</v>
      </c>
      <c r="R941" s="203">
        <f>IF($B$938="Лікар-педіатр","x",IF($B$938="Лікар-терапевт",R940/S940,IF($B$938="Лікар загальної практики - сімейний лікар",R940/S940,0)))</f>
        <v>0</v>
      </c>
      <c r="S941" s="203">
        <f>SUM(N941:R941)</f>
        <v>0</v>
      </c>
      <c r="T941" s="942"/>
      <c r="U941" s="203">
        <f>IF($B$938="Лікар-педіатр",U940/Z940,IF($B$938="Лікар-терапевт","х",IF($B$938="Лікар загальної практики - сімейний лікар",U940/Z940,0)))</f>
        <v>0</v>
      </c>
      <c r="V941" s="203">
        <f>IF($B$938="Лікар-педіатр",V940/Z940,IF($B$938="Лікар-терапевт","х",IF($B$938="Лікар загальної практики - сімейний лікар",V940/Z940,0)))</f>
        <v>0</v>
      </c>
      <c r="W941" s="203">
        <f>IF($B$938="Лікар-педіатр","x",IF($B$938="Лікар-терапевт",W940/Z940,IF($B$938="Лікар загальної практики - сімейний лікар",W940/Z940,0)))</f>
        <v>0</v>
      </c>
      <c r="X941" s="203">
        <f>IF($B$938="Лікар-педіатр","x",IF($B$938="Лікар-терапевт",X940/Z940,IF($B$938="Лікар загальної практики - сімейний лікар",X940/Z940,0)))</f>
        <v>0</v>
      </c>
      <c r="Y941" s="203">
        <f>IF($B$938="Лікар-педіатр","x",IF($B$938="Лікар-терапевт",Y940/Z940,IF($B$938="Лікар загальної практики - сімейний лікар",Y940/Z940,0)))</f>
        <v>0</v>
      </c>
      <c r="Z941" s="203">
        <f>SUM(U941:Y941)</f>
        <v>0</v>
      </c>
      <c r="AA941" s="942"/>
      <c r="AB941" s="203">
        <f>IF($B$938="Лікар-педіатр",AB940/AG940,IF($B$938="Лікар-терапевт","х",IF($B$938="Лікар загальної практики - сімейний лікар",AB940/AG940,0)))</f>
        <v>0</v>
      </c>
      <c r="AC941" s="203">
        <f>IF($B$938="Лікар-педіатр",AC940/AG940,IF($B$938="Лікар-терапевт","х",IF($B$938="Лікар загальної практики - сімейний лікар",AC940/AG940,0)))</f>
        <v>0</v>
      </c>
      <c r="AD941" s="203">
        <f>IF($B$938="Лікар-педіатр","x",IF($B$938="Лікар-терапевт",AD940/AG940,IF($B$938="Лікар загальної практики - сімейний лікар",AD940/AG940,0)))</f>
        <v>0</v>
      </c>
      <c r="AE941" s="203">
        <f>IF($B$938="Лікар-педіатр","x",IF($B$938="Лікар-терапевт",AE940/AG940,IF($B$938="Лікар загальної практики - сімейний лікар",AE940/AG940,0)))</f>
        <v>0</v>
      </c>
      <c r="AF941" s="203">
        <f>IF($B$938="Лікар-педіатр","x",IF($B$938="Лікар-терапевт",AF940/AG940,IF($B$938="Лікар загальної практики - сімейний лікар",AF940/AG940,0)))</f>
        <v>0</v>
      </c>
      <c r="AG941" s="203">
        <f>SUM(AB941:AF941)</f>
        <v>0</v>
      </c>
      <c r="AH941" s="942"/>
      <c r="AI941" s="201"/>
      <c r="AJ941" s="945"/>
      <c r="AK941" s="960"/>
      <c r="AL941" s="960"/>
      <c r="AM941" s="930"/>
      <c r="AN941" s="948"/>
      <c r="AO941" s="948"/>
      <c r="AP941" s="948"/>
      <c r="AQ941" s="948"/>
      <c r="AR941" s="963"/>
    </row>
    <row r="942" spans="1:44" s="50" customFormat="1" ht="45" hidden="1" customHeight="1" thickBot="1">
      <c r="A942" s="197"/>
      <c r="B942" s="951"/>
      <c r="C942" s="954"/>
      <c r="D942" s="957"/>
      <c r="E942" s="939"/>
      <c r="F942" s="204" t="s">
        <v>662</v>
      </c>
      <c r="G942" s="205">
        <f>IF($B$938="Лікар загальної практики - сімейний лікар",AVERAGE(G938:G940),IF($B$938="Лікар-педіатр",AVERAGE(G938:G940),IF($B$938="Лікар-терапевт","х",0)))</f>
        <v>0</v>
      </c>
      <c r="H942" s="205">
        <f>IF($B$938="Лікар загальної практики - сімейний лікар",AVERAGE(H938:H940),IF($B$938="Лікар-педіатр",AVERAGE(H938:H940),IF($B$938="Лікар-терапевт","х",0)))</f>
        <v>0</v>
      </c>
      <c r="I942" s="205">
        <f>IF($B$938="Лікар загальної практики - сімейний лікар",AVERAGE(I938:I940),IF($B$938="Лікар-педіатр","x",IF($B$938="Лікар-терапевт",AVERAGE(I938:I940),0)))</f>
        <v>0</v>
      </c>
      <c r="J942" s="205">
        <f>IF($B$938="Лікар загальної практики - сімейний лікар",AVERAGE(J938:J940),IF($B$938="Лікар-педіатр","x",IF($B$938="Лікар-терапевт",AVERAGE(J938:J940),0)))</f>
        <v>0</v>
      </c>
      <c r="K942" s="205">
        <f>IF($B$938="Лікар загальної практики - сімейний лікар",AVERAGE(K938:K940),IF($B$938="Лікар-педіатр","x",IF($B$938="Лікар-терапевт",AVERAGE(K938:K940),0)))</f>
        <v>0</v>
      </c>
      <c r="L942" s="206">
        <f>SUM(G942:K942)</f>
        <v>0</v>
      </c>
      <c r="M942" s="942"/>
      <c r="N942" s="205">
        <f>IF($B$938="Лікар загальної практики - сімейний лікар",AVERAGE(N938:N940),IF($B$938="Лікар-педіатр",AVERAGE(N938:N940),IF($B$938="Лікар-терапевт","х",0)))</f>
        <v>0</v>
      </c>
      <c r="O942" s="205">
        <f>IF($B$938="Лікар загальної практики - сімейний лікар",AVERAGE(O938:O940),IF($B$938="Лікар-педіатр",AVERAGE(O938:O940),IF($B$938="Лікар-терапевт","х",0)))</f>
        <v>0</v>
      </c>
      <c r="P942" s="205">
        <f>IF($B$938="Лікар загальної практики - сімейний лікар",AVERAGE(P938:P940),IF($B$938="Лікар-педіатр","x",IF($B$938="Лікар-терапевт",AVERAGE(P938:P940),0)))</f>
        <v>0</v>
      </c>
      <c r="Q942" s="205">
        <f>IF($B$938="Лікар загальної практики - сімейний лікар",AVERAGE(Q938:Q940),IF($B$938="Лікар-педіатр","x",IF($B$938="Лікар-терапевт",AVERAGE(Q938:Q940),0)))</f>
        <v>0</v>
      </c>
      <c r="R942" s="205">
        <f>IF($B$938="Лікар загальної практики - сімейний лікар",AVERAGE(R938:R940),IF($B$938="Лікар-педіатр","x",IF($B$938="Лікар-терапевт",AVERAGE(R938:R940),0)))</f>
        <v>0</v>
      </c>
      <c r="S942" s="206">
        <f>SUM(N942:R942)</f>
        <v>0</v>
      </c>
      <c r="T942" s="942"/>
      <c r="U942" s="205">
        <f>IF($B$938="Лікар загальної практики - сімейний лікар",AVERAGE(U938:U940),IF($B$938="Лікар-педіатр",AVERAGE(U938:U940),IF($B$938="Лікар-терапевт","х",0)))</f>
        <v>0</v>
      </c>
      <c r="V942" s="205">
        <f>IF($B$938="Лікар загальної практики - сімейний лікар",AVERAGE(V938:V940),IF($B$938="Лікар-педіатр",AVERAGE(V938:V940),IF($B$938="Лікар-терапевт","х",0)))</f>
        <v>0</v>
      </c>
      <c r="W942" s="205">
        <f>IF($B$938="Лікар загальної практики - сімейний лікар",AVERAGE(W938:W940),IF($B$938="Лікар-педіатр","x",IF($B$938="Лікар-терапевт",AVERAGE(W938:W940),0)))</f>
        <v>0</v>
      </c>
      <c r="X942" s="205">
        <f>IF($B$938="Лікар загальної практики - сімейний лікар",AVERAGE(X938:X940),IF($B$938="Лікар-педіатр","x",IF($B$938="Лікар-терапевт",AVERAGE(X938:X940),0)))</f>
        <v>0</v>
      </c>
      <c r="Y942" s="205">
        <f>IF($B$938="Лікар загальної практики - сімейний лікар",AVERAGE(Y938:Y940),IF($B$938="Лікар-педіатр","x",IF($B$938="Лікар-терапевт",AVERAGE(Y938:Y940),0)))</f>
        <v>0</v>
      </c>
      <c r="Z942" s="206">
        <f>SUM(U942:Y942)</f>
        <v>0</v>
      </c>
      <c r="AA942" s="942"/>
      <c r="AB942" s="205">
        <f>IF($B$938="Лікар загальної практики - сімейний лікар",AVERAGE(AB938:AB940),IF($B$938="Лікар-педіатр",AVERAGE(AB938:AB940),IF($B$938="Лікар-терапевт","х",0)))</f>
        <v>0</v>
      </c>
      <c r="AC942" s="205">
        <f>IF($B$938="Лікар загальної практики - сімейний лікар",AVERAGE(AC938:AC940),IF($B$938="Лікар-педіатр",AVERAGE(AC938:AC940),IF($B$938="Лікар-терапевт","х",0)))</f>
        <v>0</v>
      </c>
      <c r="AD942" s="205">
        <f>IF($B$938="Лікар загальної практики - сімейний лікар",AVERAGE(AD938:AD940),IF($B$938="Лікар-педіатр","x",IF($B$938="Лікар-терапевт",AVERAGE(AD938:AD940),0)))</f>
        <v>0</v>
      </c>
      <c r="AE942" s="205">
        <f>IF($B$938="Лікар загальної практики - сімейний лікар",AVERAGE(AE938:AE940),IF($B$938="Лікар-педіатр","x",IF($B$938="Лікар-терапевт",AVERAGE(AE938:AE940),0)))</f>
        <v>0</v>
      </c>
      <c r="AF942" s="205">
        <f>IF($B$938="Лікар загальної практики - сімейний лікар",AVERAGE(AF938:AF940),IF($B$938="Лікар-педіатр","x",IF($B$938="Лікар-терапевт",AVERAGE(AF938:AF940),0)))</f>
        <v>0</v>
      </c>
      <c r="AG942" s="206">
        <f>SUM(AB942:AF942)</f>
        <v>0</v>
      </c>
      <c r="AH942" s="942"/>
      <c r="AI942" s="201"/>
      <c r="AJ942" s="945"/>
      <c r="AK942" s="960"/>
      <c r="AL942" s="960"/>
      <c r="AM942" s="931"/>
      <c r="AN942" s="949"/>
      <c r="AO942" s="949"/>
      <c r="AP942" s="949"/>
      <c r="AQ942" s="949"/>
      <c r="AR942" s="964"/>
    </row>
    <row r="943" spans="1:44" s="50" customFormat="1" ht="40.5" hidden="1">
      <c r="A943" s="197"/>
      <c r="B943" s="951"/>
      <c r="C943" s="954"/>
      <c r="D943" s="957"/>
      <c r="E943" s="939"/>
      <c r="F943" s="237" t="str">
        <f ca="1">IF(B938="Лікар-педіатр",Законод!$C$17,IF(B938="Лікар загальної практики - сімейний лікар",Законод!$C$21,IF(B938="Лікар-терапевт",Законод!$C$25,"х")))</f>
        <v>х</v>
      </c>
      <c r="G943" s="208">
        <f ca="1">IF($B$938="Лікар загальної практики - сімейний лікар",IF(L942&lt;=Законод!$C$22,G942,Законод!$C$22*'01_Доходи'!G941),IF($B$938="Лікар-педіатр",IF(L942&lt;=Законод!$C$18,G942,Законод!$C$18*'01_Доходи'!G941),IF($B$938="Лікар-терапевт","x",0)))</f>
        <v>0</v>
      </c>
      <c r="H943" s="208">
        <f ca="1">IF($B$938="Лікар загальної практики - сімейний лікар",IF(L942&lt;=Законод!$C$22,H942,Законод!$C$22*'01_Доходи'!H941),IF($B$938="Лікар-педіатр",IF(L942&lt;=Законод!$C$18,H942,Законод!$C$18*'01_Доходи'!H941),IF($B$938="Лікар-терапевт","x",0)))</f>
        <v>0</v>
      </c>
      <c r="I943" s="208">
        <f ca="1">IF($B$938="Лікар загальної практики - сімейний лікар",IF(L942&lt;=Законод!$C$22,I942,Законод!$C$22*'01_Доходи'!I941),IF($B$938="Лікар-педіатр","x",IF($B$938="Лікар-терапевт",IF(L942&lt;=Законод!$C$26,I942,Законод!$C$26*'01_Доходи'!I941),0)))</f>
        <v>0</v>
      </c>
      <c r="J943" s="208">
        <f ca="1">IF($B$938="Лікар загальної практики - сімейний лікар",IF(L942&lt;=Законод!$C$22,J942,Законод!$C$22*'01_Доходи'!J941),IF($B$938="Лікар-педіатр","x",IF($B$938="Лікар-терапевт",IF(L942&lt;=Законод!$C$26,J942,Законод!$C$26*'01_Доходи'!J941),0)))</f>
        <v>0</v>
      </c>
      <c r="K943" s="208">
        <f ca="1">IF($B$938="Лікар загальної практики - сімейний лікар",IF(L942&lt;=Законод!$C$22,K942,Законод!$C$22*'01_Доходи'!K941),IF($B$938="Лікар-педіатр","x",IF($B$938="Лікар-терапевт",IF(L942&lt;=Законод!$C$26,K942,Законод!$C$26*'01_Доходи'!K941),0)))</f>
        <v>0</v>
      </c>
      <c r="L943" s="209">
        <f ca="1">SUM(G943:K943)</f>
        <v>0</v>
      </c>
      <c r="M943" s="942"/>
      <c r="N943" s="208">
        <f ca="1">IF($B$938="Лікар загальної практики - сімейний лікар",IF(S942&lt;=Законод!$C$22,N942,Законод!$C$22*'01_Доходи'!N941),IF($B$938="Лікар-педіатр",IF(S942&lt;=Законод!$C$18,N942,Законод!$C$18*'01_Доходи'!N941),IF($B$938="Лікар-терапевт","x",0)))</f>
        <v>0</v>
      </c>
      <c r="O943" s="208">
        <f ca="1">IF($B$938="Лікар загальної практики - сімейний лікар",IF(S942&lt;=Законод!$C$22,O942,Законод!$C$22*'01_Доходи'!O941),IF($B$938="Лікар-педіатр",IF(S942&lt;=Законод!$C$18,O942,Законод!$C$18*'01_Доходи'!O941),IF($B$938="Лікар-терапевт","x",0)))</f>
        <v>0</v>
      </c>
      <c r="P943" s="208">
        <f ca="1">IF($B$938="Лікар загальної практики - сімейний лікар",IF(S942&lt;=Законод!$C$22,P942,Законод!$C$22*'01_Доходи'!P941),IF($B$938="Лікар-педіатр","x",IF($B$938="Лікар-терапевт",IF(S942&lt;=Законод!$C$26,P942,Законод!$C$26*'01_Доходи'!P941),0)))</f>
        <v>0</v>
      </c>
      <c r="Q943" s="208">
        <f ca="1">IF($B$938="Лікар загальної практики - сімейний лікар",IF(S942&lt;=Законод!$C$22,Q942,Законод!$C$22*'01_Доходи'!Q941),IF($B$938="Лікар-педіатр","x",IF($B$938="Лікар-терапевт",IF(S942&lt;=Законод!$C$26,Q942,Законод!$C$26*'01_Доходи'!Q941),0)))</f>
        <v>0</v>
      </c>
      <c r="R943" s="208">
        <f ca="1">IF($B$938="Лікар загальної практики - сімейний лікар",IF(S942&lt;=Законод!$C$22,R942,Законод!$C$22*'01_Доходи'!R941),IF($B$938="Лікар-педіатр","x",IF($B$938="Лікар-терапевт",IF(S942&lt;=Законод!$C$26,R942,Законод!$C$26*'01_Доходи'!R941),0)))</f>
        <v>0</v>
      </c>
      <c r="S943" s="209">
        <f ca="1">SUM(N943:R943)</f>
        <v>0</v>
      </c>
      <c r="T943" s="942"/>
      <c r="U943" s="208">
        <f ca="1">IF($B$938="Лікар загальної практики - сімейний лікар",IF(Z942&lt;=Законод!$C$22,U942,Законод!$C$22*'01_Доходи'!U941),IF($B$938="Лікар-педіатр",IF(Z942&lt;=Законод!$C$18,U942,Законод!$C$18*'01_Доходи'!U941),IF($B$938="Лікар-терапевт","x",0)))</f>
        <v>0</v>
      </c>
      <c r="V943" s="208">
        <f ca="1">IF($B$938="Лікар загальної практики - сімейний лікар",IF(Z942&lt;=Законод!$C$22,V942,Законод!$C$22*'01_Доходи'!V941),IF($B$938="Лікар-педіатр",IF(Z942&lt;=Законод!$C$18,V942,Законод!$C$18*'01_Доходи'!V941),IF($B$938="Лікар-терапевт","x",0)))</f>
        <v>0</v>
      </c>
      <c r="W943" s="208">
        <f ca="1">IF($B$938="Лікар загальної практики - сімейний лікар",IF(Z942&lt;=Законод!$C$22,W942,Законод!$C$22*'01_Доходи'!W941),IF($B$938="Лікар-педіатр","x",IF($B$938="Лікар-терапевт",IF(Z942&lt;=Законод!$C$26,W942,Законод!$C$26*'01_Доходи'!W941),0)))</f>
        <v>0</v>
      </c>
      <c r="X943" s="208">
        <f ca="1">IF($B$938="Лікар загальної практики - сімейний лікар",IF(Z942&lt;=Законод!$C$22,X942,Законод!$C$22*'01_Доходи'!X941),IF($B$938="Лікар-педіатр","x",IF($B$938="Лікар-терапевт",IF(Z942&lt;=Законод!$C$26,X942,Законод!$C$26*'01_Доходи'!X941),0)))</f>
        <v>0</v>
      </c>
      <c r="Y943" s="208">
        <f ca="1">IF($B$938="Лікар загальної практики - сімейний лікар",IF(Z942&lt;=Законод!$C$22,Y942,Законод!$C$22*'01_Доходи'!Y941),IF($B$938="Лікар-педіатр","x",IF($B$938="Лікар-терапевт",IF(Z942&lt;=Законод!$C$26,Y942,Законод!$C$26*'01_Доходи'!Y941),0)))</f>
        <v>0</v>
      </c>
      <c r="Z943" s="209">
        <f ca="1">SUM(U943:Y943)</f>
        <v>0</v>
      </c>
      <c r="AA943" s="942"/>
      <c r="AB943" s="208">
        <f ca="1">IF($B$938="Лікар загальної практики - сімейний лікар",IF(AG942&lt;=Законод!$C$22,AB942,Законод!$C$22*'01_Доходи'!AB941),IF($B$938="Лікар-педіатр",IF(AG942&lt;=Законод!$C$18,AB942,Законод!$C$18*'01_Доходи'!AB941),IF($B$938="Лікар-терапевт","x",0)))</f>
        <v>0</v>
      </c>
      <c r="AC943" s="208">
        <f ca="1">IF($B$938="Лікар загальної практики - сімейний лікар",IF(AG942&lt;=Законод!$C$22,AC942,Законод!$C$22*'01_Доходи'!AC941),IF($B$938="Лікар-педіатр",IF(AG942&lt;=Законод!$C$18,AC942,Законод!$C$18*'01_Доходи'!AC941),IF($B$938="Лікар-терапевт","x",0)))</f>
        <v>0</v>
      </c>
      <c r="AD943" s="208">
        <f ca="1">IF($B$938="Лікар загальної практики - сімейний лікар",IF(AG942&lt;=Законод!$C$22,AD942,Законод!$C$22*'01_Доходи'!AD941),IF($B$938="Лікар-педіатр","x",IF($B$938="Лікар-терапевт",IF(AG942&lt;=Законод!$C$26,AD942,Законод!$C$26*'01_Доходи'!AD941),0)))</f>
        <v>0</v>
      </c>
      <c r="AE943" s="208">
        <f ca="1">IF($B$938="Лікар загальної практики - сімейний лікар",IF(AG942&lt;=Законод!$C$22,AE942,Законод!$C$22*'01_Доходи'!AE941),IF($B$938="Лікар-педіатр","x",IF($B$938="Лікар-терапевт",IF(AG942&lt;=Законод!$C$26,AE942,Законод!$C$26*'01_Доходи'!AE941),0)))</f>
        <v>0</v>
      </c>
      <c r="AF943" s="208">
        <f ca="1">IF($B$938="Лікар загальної практики - сімейний лікар",IF(AG942&lt;=Законод!$C$22,AF942,Законод!$C$22*'01_Доходи'!AF941),IF($B$938="Лікар-педіатр","x",IF($B$938="Лікар-терапевт",IF(AG942&lt;=Законод!$C$26,AF942,Законод!$C$26*'01_Доходи'!AF941),0)))</f>
        <v>0</v>
      </c>
      <c r="AG943" s="209">
        <f ca="1">SUM(AB943:AF943)</f>
        <v>0</v>
      </c>
      <c r="AH943" s="942"/>
      <c r="AI943" s="201"/>
      <c r="AJ943" s="945"/>
      <c r="AK943" s="960"/>
      <c r="AL943" s="960"/>
      <c r="AM943" s="348" t="s">
        <v>451</v>
      </c>
      <c r="AN943" s="210">
        <f ca="1">IF(B938="Лікар загальної практики - сімейний лікар",G943*Законод!$C$11+'01_Доходи'!H943*Законод!$D$11+'01_Доходи'!I943*Законод!$E$11+'01_Доходи'!J943*Законод!$F$11+'01_Доходи'!K943*Законод!$G$11,IF(B938="Лікар-педіатр",G943*Законод!$C$11+'01_Доходи'!H943*Законод!$D$11,IF(B938="Лікар-терапевт",'01_Доходи'!I943*Законод!$E$11+'01_Доходи'!J943*Законод!$F$11+'01_Доходи'!K943*Законод!$G$11,0)))</f>
        <v>0</v>
      </c>
      <c r="AO943" s="210">
        <f ca="1">IF(B938="Лікар загальної практики - сімейний лікар",N943*Законод!$C$11+'01_Доходи'!O943*Законод!$D$11+'01_Доходи'!P943*Законод!$E$11+'01_Доходи'!Q943*Законод!$F$11+'01_Доходи'!R943*Законод!$G$11,IF(B938="Лікар-педіатр",N943*Законод!$C$11+'01_Доходи'!O943*Законод!$D$11,IF(B938="Лікар-терапевт",'01_Доходи'!P943*Законод!$E$11+'01_Доходи'!Q943*Законод!$F$11+'01_Доходи'!R943*Законод!$G$11,0)))</f>
        <v>0</v>
      </c>
      <c r="AP943" s="210">
        <f ca="1">IF(B938="Лікар загальної практики - сімейний лікар",U943*Законод!$C$11+'01_Доходи'!V943*Законод!$D$11+'01_Доходи'!W943*Законод!$E$11+'01_Доходи'!X943*Законод!$F$11+'01_Доходи'!Y943*Законод!$G$11,IF(B938="Лікар-педіатр",U943*Законод!$C$11+'01_Доходи'!V943*Законод!$D$11,IF(B938="Лікар-терапевт",'01_Доходи'!W943*Законод!$E$11+'01_Доходи'!X943*Законод!$F$11+'01_Доходи'!Y943*Законод!$G$11,0)))</f>
        <v>0</v>
      </c>
      <c r="AQ943" s="210">
        <f ca="1">IF(B938="Лікар загальної практики - сімейний лікар",AB943*Законод!$C$11+'01_Доходи'!AC943*Законод!$D$11+'01_Доходи'!AD943*Законод!$E$11+'01_Доходи'!AE943*Законод!$F$11+'01_Доходи'!AF943*Законод!$G$11,IF(B938="Лікар-педіатр",AB943*Законод!$C$11+'01_Доходи'!AC943*Законод!$D$11,IF(B938="Лікар-терапевт",'01_Доходи'!AD943*Законод!$E$11+'01_Доходи'!AE943*Законод!$F$11+'01_Доходи'!AF943*Законод!$G$11,0)))</f>
        <v>0</v>
      </c>
      <c r="AR943" s="211">
        <f t="shared" ref="AR943:AR949" si="112">SUM(AN943:AQ943)</f>
        <v>0</v>
      </c>
    </row>
    <row r="944" spans="1:44" s="50" customFormat="1" ht="31.9" hidden="1" customHeight="1">
      <c r="A944" s="197"/>
      <c r="B944" s="951"/>
      <c r="C944" s="954"/>
      <c r="D944" s="957"/>
      <c r="E944" s="939"/>
      <c r="F944" s="238" t="str">
        <f ca="1">IF(B938="Лікар-педіатр",Законод!$E$17,IF(B938="Лікар загальної практики - сімейний лікар",Законод!$E$21,IF(B938="Лікар-терапевт",Законод!$E$25,"х")))</f>
        <v>х</v>
      </c>
      <c r="G944" s="935" t="s">
        <v>423</v>
      </c>
      <c r="H944" s="936"/>
      <c r="I944" s="936"/>
      <c r="J944" s="936"/>
      <c r="K944" s="937"/>
      <c r="L944" s="196">
        <f ca="1">IF($B$938="Лікар загальної практики - сімейний лікар",IF(L942&lt;Законод!$C$22,0,(IF(AND(L942&gt;=Законод!$E$22,L942&lt;=Законод!$E$23),L942-Законод!$C$22,IF('01_Доходи'!L942&gt;=Законод!$F$22,Законод!$E$24,0)))),IF($B$938="Лікар-педіатр",IF(L942&lt;Законод!$C$18,0,(IF(AND(L942&gt;=Законод!$E$18,L942&lt;=Законод!$E$19),L942-Законод!$C$18,IF('01_Доходи'!L942&gt;=Законод!$F$18,Законод!$E$20,0)))),IF($B$938="Лікар-терапевт",IF(L942&lt;Законод!$C$26,0,(IF(AND(L942&gt;=Законод!$E$26,L942&lt;=Законод!$E$27),L942-Законод!$C$26,IF('01_Доходи'!L942&gt;=Законод!$F$26,Законод!$E$28,0)))),0)))</f>
        <v>0</v>
      </c>
      <c r="M944" s="942"/>
      <c r="N944" s="935" t="s">
        <v>423</v>
      </c>
      <c r="O944" s="936"/>
      <c r="P944" s="936"/>
      <c r="Q944" s="936"/>
      <c r="R944" s="937"/>
      <c r="S944" s="196">
        <f ca="1">IF($B$938="Лікар загальної практики - сімейний лікар",IF(S942&lt;Законод!$C$22,0,(IF(AND(S942&gt;=Законод!$E$22,S942&lt;=Законод!$E$23),S942-Законод!$C$22,IF('01_Доходи'!S942&gt;=Законод!$F$22,Законод!$E$24,0)))),IF($B$938="Лікар-педіатр",IF(S942&lt;Законод!$C$18,0,(IF(AND(S942&gt;=Законод!$E$18,S942&lt;=Законод!$E$19),S942-Законод!$C$18,IF('01_Доходи'!S942&gt;=Законод!$F$18,Законод!$E$20,0)))),IF($B$938="Лікар-терапевт",IF(S942&lt;Законод!$C$26,0,(IF(AND(S942&gt;=Законод!$E$26,S942&lt;=Законод!$E$27),S942-Законод!$C$26,IF('01_Доходи'!S942&gt;=Законод!$F$26,Законод!$E$28,0)))),0)))</f>
        <v>0</v>
      </c>
      <c r="T944" s="942"/>
      <c r="U944" s="935" t="s">
        <v>423</v>
      </c>
      <c r="V944" s="936"/>
      <c r="W944" s="936"/>
      <c r="X944" s="936"/>
      <c r="Y944" s="937"/>
      <c r="Z944" s="196">
        <f ca="1">IF($B$938="Лікар загальної практики - сімейний лікар",IF(Z942&lt;Законод!$C$22,0,(IF(AND(Z942&gt;=Законод!$E$22,Z942&lt;=Законод!$E$23),Z942-Законод!$C$22,IF('01_Доходи'!Z942&gt;=Законод!$F$22,Законод!$E$24,0)))),IF($B$938="Лікар-педіатр",IF(Z942&lt;Законод!$C$18,0,(IF(AND(Z942&gt;=Законод!$E$18,Z942&lt;=Законод!$E$19),Z942-Законод!$C$18,IF('01_Доходи'!Z942&gt;=Законод!$F$18,Законод!$E$20,0)))),IF($B$938="Лікар-терапевт",IF(Z942&lt;Законод!$C$26,0,(IF(AND(Z942&gt;=Законод!$E$26,Z942&lt;=Законод!$E$27),Z942-Законод!$C$26,IF('01_Доходи'!Z942&gt;=Законод!$F$26,Законод!$E$28,0)))),0)))</f>
        <v>0</v>
      </c>
      <c r="AA944" s="942"/>
      <c r="AB944" s="935" t="s">
        <v>423</v>
      </c>
      <c r="AC944" s="936"/>
      <c r="AD944" s="936"/>
      <c r="AE944" s="936"/>
      <c r="AF944" s="937"/>
      <c r="AG944" s="196">
        <f ca="1">IF($B$938="Лікар загальної практики - сімейний лікар",IF(AG942&lt;Законод!$C$22,0,(IF(AND(AG942&gt;=Законод!$E$22,AG942&lt;=Законод!$E$23),AG942-Законод!$C$22,IF('01_Доходи'!AG942&gt;=Законод!$F$22,Законод!$E$24,0)))),IF($B$938="Лікар-педіатр",IF(AG942&lt;Законод!$C$18,0,(IF(AND(AG942&gt;=Законод!$E$18,AG942&lt;=Законод!$E$19),AG942-Законод!$C$18,IF('01_Доходи'!AG942&gt;=Законод!$F$18,Законод!$E$20,0)))),IF($B$938="Лікар-терапевт",IF(AG942&lt;Законод!$C$26,0,(IF(AND(AG942&gt;=Законод!$E$26,AG942&lt;=Законод!$E$27),AG942-Законод!$C$26,IF('01_Доходи'!AG942&gt;=Законод!$F$26,Законод!$E$28,0)))),0)))</f>
        <v>0</v>
      </c>
      <c r="AH944" s="942"/>
      <c r="AI944" s="201"/>
      <c r="AJ944" s="945"/>
      <c r="AK944" s="960"/>
      <c r="AL944" s="960"/>
      <c r="AM944" s="926" t="s">
        <v>452</v>
      </c>
      <c r="AN944" s="210">
        <f ca="1">IF(B938="Лікар загальної практики - сімейний лікар",L944*Законод!$C$9/4*Законод!$E$16,IF(B938="Лікар-педіатр",L944*Законод!$C$9/4*Законод!$E$16,IF(B938="Лікар-терапевт",L944*Законод!$C$9/4*Законод!$E$16,0)))</f>
        <v>0</v>
      </c>
      <c r="AO944" s="210">
        <f ca="1">IF(B938="Лікар загальної практики - сімейний лікар",S944*Законод!$C$9/4*Законод!$E$16,IF(B938="Лікар-педіатр",S944*Законод!$C$9/4*Законод!$E$16,IF(B938="Лікар-терапевт",S944*Законод!$C$9/4*Законод!$E$16,0)))</f>
        <v>0</v>
      </c>
      <c r="AP944" s="210">
        <f ca="1">IF(B938="Лікар загальної практики - сімейний лікар",Z944*Законод!$C$9/4*Законод!$E$16,IF(B938="Лікар-педіатр",Z944*Законод!$C$9/4*Законод!$E$16,IF(B938="Лікар-терапевт",Z944*Законод!$C$9/4*Законод!$E$16,0)))</f>
        <v>0</v>
      </c>
      <c r="AQ944" s="210">
        <f ca="1">IF(B938="Лікар загальної практики - сімейний лікар",AG944*Законод!$C$9/4*Законод!$E$16,IF(B938="Лікар-педіатр",AG944*Законод!$C$9/4*Законод!$E$16,IF(B938="Лікар-терапевт",AG944*Законод!$C$9/4*Законод!$E$16,0)))</f>
        <v>0</v>
      </c>
      <c r="AR944" s="211">
        <f t="shared" si="112"/>
        <v>0</v>
      </c>
    </row>
    <row r="945" spans="1:44" s="50" customFormat="1" ht="31.9" hidden="1" customHeight="1">
      <c r="A945" s="197"/>
      <c r="B945" s="951"/>
      <c r="C945" s="954"/>
      <c r="D945" s="957"/>
      <c r="E945" s="939"/>
      <c r="F945" s="238" t="str">
        <f ca="1">IF(B938="Лікар-педіатр",Законод!$F$17,IF(B938="Лікар загальної практики - сімейний лікар",Законод!$F$21,IF(B938="Лікар-терапевт",Законод!$F$25,"х")))</f>
        <v>х</v>
      </c>
      <c r="G945" s="935" t="s">
        <v>423</v>
      </c>
      <c r="H945" s="936"/>
      <c r="I945" s="936"/>
      <c r="J945" s="936"/>
      <c r="K945" s="937"/>
      <c r="L945" s="196">
        <f ca="1">IF($B$938="Лікар загальної практики - сімейний лікар",IF(L942&lt;Законод!$C$22,0,(IF(AND(L942&gt;=Законод!$F$22,L942&lt;=Законод!$F$23),L942-Законод!$E$23,IF('01_Доходи'!L942&gt;=Законод!$G$22,Законод!$F$24,0)))),IF($B$938="Лікар-педіатр",IF(L942&lt;Законод!$C$18,0,(IF(AND(L942&gt;=Законод!$F$18,L942&lt;=Законод!$F$19),L942-Законод!$E$19,IF('01_Доходи'!L942&gt;=Законод!$G$18,Законод!$F$20,0)))),IF($B$938="Лікар-терапевт",IF(L942&lt;Законод!$C$26,0,(IF(AND(L942&gt;=Законод!$F$26,L942&lt;=Законод!$F$27),L942-Законод!$E$27,IF('01_Доходи'!L942&gt;=Законод!$G$26,Законод!$F$28,0)))),0)))</f>
        <v>0</v>
      </c>
      <c r="M945" s="942"/>
      <c r="N945" s="935" t="s">
        <v>423</v>
      </c>
      <c r="O945" s="936"/>
      <c r="P945" s="936"/>
      <c r="Q945" s="936"/>
      <c r="R945" s="937"/>
      <c r="S945" s="196">
        <f ca="1">IF($B$938="Лікар загальної практики - сімейний лікар",IF(S942&lt;Законод!$C$22,0,(IF(AND(S942&gt;=Законод!$F$22,S942&lt;=Законод!$F$23),S942-Законод!$E$23,IF('01_Доходи'!S942&gt;=Законод!$G$22,Законод!$F$24,0)))),IF($B$938="Лікар-педіатр",IF(S942&lt;Законод!$C$18,0,(IF(AND(S942&gt;=Законод!$F$18,S942&lt;=Законод!$F$19),S942-Законод!$E$19,IF('01_Доходи'!S942&gt;=Законод!$G$18,Законод!$F$20,0)))),IF($B$938="Лікар-терапевт",IF(S942&lt;Законод!$C$26,0,(IF(AND(S942&gt;=Законод!$F$26,S942&lt;=Законод!$F$27),S942-Законод!$E$27,IF('01_Доходи'!S942&gt;=Законод!$G$26,Законод!$F$28,0)))),0)))</f>
        <v>0</v>
      </c>
      <c r="T945" s="942"/>
      <c r="U945" s="935" t="s">
        <v>423</v>
      </c>
      <c r="V945" s="936"/>
      <c r="W945" s="936"/>
      <c r="X945" s="936"/>
      <c r="Y945" s="937"/>
      <c r="Z945" s="196">
        <f ca="1">IF($B$938="Лікар загальної практики - сімейний лікар",IF(Z942&lt;Законод!$C$22,0,(IF(AND(Z942&gt;=Законод!$F$22,Z942&lt;=Законод!$F$23),Z942-Законод!$E$23,IF('01_Доходи'!Z942&gt;=Законод!$G$22,Законод!$F$24,0)))),IF($B$938="Лікар-педіатр",IF(Z942&lt;Законод!$C$18,0,(IF(AND(Z942&gt;=Законод!$F$18,Z942&lt;=Законод!$F$19),Z942-Законод!$E$19,IF('01_Доходи'!Z942&gt;=Законод!$G$18,Законод!$F$20,0)))),IF($B$938="Лікар-терапевт",IF(Z942&lt;Законод!$C$26,0,(IF(AND(Z942&gt;=Законод!$F$26,Z942&lt;=Законод!$F$27),Z942-Законод!$E$27,IF('01_Доходи'!Z942&gt;=Законод!$G$26,Законод!$F$28,0)))),0)))</f>
        <v>0</v>
      </c>
      <c r="AA945" s="942"/>
      <c r="AB945" s="935" t="s">
        <v>423</v>
      </c>
      <c r="AC945" s="936"/>
      <c r="AD945" s="936"/>
      <c r="AE945" s="936"/>
      <c r="AF945" s="937"/>
      <c r="AG945" s="196">
        <f ca="1">IF($B$938="Лікар загальної практики - сімейний лікар",IF(AG942&lt;Законод!$C$22,0,(IF(AND(AG942&gt;=Законод!$F$22,AG942&lt;=Законод!$F$23),AG942-Законод!$E$23,IF('01_Доходи'!AG942&gt;=Законод!$G$22,Законод!$F$24,0)))),IF($B$938="Лікар-педіатр",IF(AG942&lt;Законод!$C$18,0,(IF(AND(AG942&gt;=Законод!$F$18,AG942&lt;=Законод!$F$19),AG942-Законод!$E$19,IF('01_Доходи'!AG942&gt;=Законод!$G$18,Законод!$F$20,0)))),IF($B$938="Лікар-терапевт",IF(AG942&lt;Законод!$C$26,0,(IF(AND(AG942&gt;=Законод!$F$26,AG942&lt;=Законод!$F$27),AG942-Законод!$E$27,IF('01_Доходи'!AG942&gt;=Законод!$G$26,Законод!$F$28,0)))),0)))</f>
        <v>0</v>
      </c>
      <c r="AH945" s="942"/>
      <c r="AI945" s="201"/>
      <c r="AJ945" s="945"/>
      <c r="AK945" s="960"/>
      <c r="AL945" s="960"/>
      <c r="AM945" s="927"/>
      <c r="AN945" s="210">
        <f ca="1">IF(B938="Лікар загальної практики - сімейний лікар",L945*Законод!$C$9/4*Законод!$F$16,IF(B938="Лікар-педіатр",L945*Законод!$C$9/4*Законод!$F$16,IF(B938="Лікар-терапевт",L945*Законод!$C$9/4*Законод!$F$16,0)))</f>
        <v>0</v>
      </c>
      <c r="AO945" s="210">
        <f ca="1">IF(B938="Лікар загальної практики - сімейний лікар",S945*Законод!$C$9/4*Законод!$F$16,IF(B938="Лікар-педіатр",S945*Законод!$C$9/4*Законод!$F$16,IF(B938="Лікар-терапевт",S945*Законод!$C$9/4*Законод!$F$16,0)))</f>
        <v>0</v>
      </c>
      <c r="AP945" s="210">
        <f ca="1">IF(B938="Лікар загальної практики - сімейний лікар",Z945*Законод!$C$9/4*Законод!$F$16,IF(B938="Лікар-педіатр",Z945*Законод!$C$9/4*Законод!$F$16,IF(B938="Лікар-терапевт",Z945*Законод!$C$9/4*Законод!$F$16,0)))</f>
        <v>0</v>
      </c>
      <c r="AQ945" s="210">
        <f ca="1">IF(B938="Лікар загальної практики - сімейний лікар",AG945*Законод!$C$9/4*Законод!$F$16,IF(B938="Лікар-педіатр",AG945*Законод!$C$9/4*Законод!$F$16,IF(B938="Лікар-терапевт",AG945*Законод!$C$9/4*Законод!$F$16,0)))</f>
        <v>0</v>
      </c>
      <c r="AR945" s="211">
        <f t="shared" si="112"/>
        <v>0</v>
      </c>
    </row>
    <row r="946" spans="1:44" s="50" customFormat="1" ht="31.9" hidden="1" customHeight="1">
      <c r="A946" s="197"/>
      <c r="B946" s="951"/>
      <c r="C946" s="954"/>
      <c r="D946" s="957"/>
      <c r="E946" s="939"/>
      <c r="F946" s="238" t="str">
        <f ca="1">IF(B938="Лікар-педіатр",Законод!$G$17,IF(B938="Лікар загальної практики - сімейний лікар",Законод!$G$21,IF(B938="Лікар-терапевт",Законод!$G$25,"х")))</f>
        <v>х</v>
      </c>
      <c r="G946" s="935" t="s">
        <v>423</v>
      </c>
      <c r="H946" s="936"/>
      <c r="I946" s="936"/>
      <c r="J946" s="936"/>
      <c r="K946" s="937"/>
      <c r="L946" s="196">
        <f ca="1">IF($B$938="Лікар загальної практики - сімейний лікар",IF(L942&lt;Законод!$C$22,0,(IF(AND(L942&gt;=Законод!$G$22,L942&lt;=Законод!$G$23),L942-Законод!$F$23,IF('01_Доходи'!L942&gt;=Законод!$H$22,Законод!$G$24,0)))),IF($B$938="Лікар-педіатр",IF(L942&lt;Законод!$C$18,0,(IF(AND(L942&gt;=Законод!$G$18,L942&lt;=Законод!$G$19),L942-Законод!$F$19,IF('01_Доходи'!L942&gt;=Законод!$H$18,Законод!$G$20,0)))),IF($B$938="Лікар-терапевт",IF(L942&lt;Законод!$C$26,0,(IF(AND(L942&gt;=Законод!$G$26,L942&lt;=Законод!$G$27),L942-Законод!$F$27,IF('01_Доходи'!L942&gt;=Законод!$H$26,Законод!$G$28,0)))),0)))</f>
        <v>0</v>
      </c>
      <c r="M946" s="942"/>
      <c r="N946" s="935" t="s">
        <v>423</v>
      </c>
      <c r="O946" s="936"/>
      <c r="P946" s="936"/>
      <c r="Q946" s="936"/>
      <c r="R946" s="937"/>
      <c r="S946" s="196">
        <f ca="1">IF($B$938="Лікар загальної практики - сімейний лікар",IF(S942&lt;Законод!$C$22,0,(IF(AND(S942&gt;=Законод!$G$22,S942&lt;=Законод!$G$23),S942-Законод!$F$23,IF('01_Доходи'!S942&gt;=Законод!$H$22,Законод!$G$24,0)))),IF($B$938="Лікар-педіатр",IF(S942&lt;Законод!$C$18,0,(IF(AND(S942&gt;=Законод!$G$18,S942&lt;=Законод!$G$19),S942-Законод!$F$19,IF('01_Доходи'!S942&gt;=Законод!$H$18,Законод!$G$20,0)))),IF($B$938="Лікар-терапевт",IF(S942&lt;Законод!$C$26,0,(IF(AND(S942&gt;=Законод!$G$26,S942&lt;=Законод!$G$27),S942-Законод!$F$27,IF('01_Доходи'!S942&gt;=Законод!$H$26,Законод!$G$28,0)))),0)))</f>
        <v>0</v>
      </c>
      <c r="T946" s="942"/>
      <c r="U946" s="935" t="s">
        <v>423</v>
      </c>
      <c r="V946" s="936"/>
      <c r="W946" s="936"/>
      <c r="X946" s="936"/>
      <c r="Y946" s="937"/>
      <c r="Z946" s="196">
        <f ca="1">IF($B$938="Лікар загальної практики - сімейний лікар",IF(Z942&lt;Законод!$C$22,0,(IF(AND(Z942&gt;=Законод!$G$22,Z942&lt;=Законод!$G$23),Z942-Законод!$F$23,IF('01_Доходи'!Z942&gt;=Законод!$H$22,Законод!$G$24,0)))),IF($B$938="Лікар-педіатр",IF(Z942&lt;Законод!$C$18,0,(IF(AND(Z942&gt;=Законод!$G$18,Z942&lt;=Законод!$G$19),Z942-Законод!$F$19,IF('01_Доходи'!Z942&gt;=Законод!$H$18,Законод!$G$20,0)))),IF($B$938="Лікар-терапевт",IF(Z942&lt;Законод!$C$26,0,(IF(AND(Z942&gt;=Законод!$G$26,Z942&lt;=Законод!$G$27),Z942-Законод!$F$27,IF('01_Доходи'!Z942&gt;=Законод!$H$26,Законод!$G$28,0)))),0)))</f>
        <v>0</v>
      </c>
      <c r="AA946" s="942"/>
      <c r="AB946" s="935" t="s">
        <v>423</v>
      </c>
      <c r="AC946" s="936"/>
      <c r="AD946" s="936"/>
      <c r="AE946" s="936"/>
      <c r="AF946" s="937"/>
      <c r="AG946" s="196">
        <f ca="1">IF($B$938="Лікар загальної практики - сімейний лікар",IF(AG942&lt;Законод!$C$22,0,(IF(AND(AG942&gt;=Законод!$G$22,AG942&lt;=Законод!$G$23),AG942-Законод!$F$23,IF('01_Доходи'!AG942&gt;=Законод!$H$22,Законод!$G$24,0)))),IF($B$938="Лікар-педіатр",IF(AG942&lt;Законод!$C$18,0,(IF(AND(AG942&gt;=Законод!$G$18,AG942&lt;=Законод!$G$19),AG942-Законод!$F$19,IF('01_Доходи'!AG942&gt;=Законод!$H$18,Законод!$G$20,0)))),IF($B$938="Лікар-терапевт",IF(AG942&lt;Законод!$C$26,0,(IF(AND(AG942&gt;=Законод!$G$26,AG942&lt;=Законод!$G$27),AG942-Законод!$F$27,IF('01_Доходи'!AG942&gt;=Законод!$H$26,Законод!$G$28,0)))),0)))</f>
        <v>0</v>
      </c>
      <c r="AH946" s="942"/>
      <c r="AI946" s="201"/>
      <c r="AJ946" s="945"/>
      <c r="AK946" s="960"/>
      <c r="AL946" s="960"/>
      <c r="AM946" s="927"/>
      <c r="AN946" s="210">
        <f ca="1">IF(B938="Лікар загальної практики - сімейний лікар",L946*Законод!$C$9/4*Законод!$G$16,IF(B938="Лікар-педіатр",L946*Законод!$C$9/4*Законод!$G$16,IF(B938="Лікар-терапевт",L946*Законод!$C$9/4*Законод!$G$16,0)))</f>
        <v>0</v>
      </c>
      <c r="AO946" s="210">
        <f ca="1">IF(B938="Лікар загальної практики - сімейний лікар",S946*Законод!$C$9/4*Законод!$G$16,IF(B938="Лікар-педіатр",S946*Законод!$C$9/4*Законод!$G$16,IF(B938="Лікар-терапевт",S946*Законод!$C$9/4*Законод!$G$16,0)))</f>
        <v>0</v>
      </c>
      <c r="AP946" s="210">
        <f ca="1">IF(B938="Лікар загальної практики - сімейний лікар",Z946*Законод!$C$9/4*Законод!$G$16,IF(B938="Лікар-педіатр",Z946*Законод!$C$9/4*Законод!$G$16,IF(B938="Лікар-терапевт",Z946*Законод!$C$9/4*Законод!$G$16,0)))</f>
        <v>0</v>
      </c>
      <c r="AQ946" s="210">
        <f ca="1">IF(B938="Лікар загальної практики - сімейний лікар",AG946*Законод!$C$9/4*Законод!$G$16,IF(B938="Лікар-педіатр",AG946*Законод!$C$9/4*Законод!$G$16,IF(B938="Лікар-терапевт",AG946*Законод!$C$9/4*Законод!$G$16,0)))</f>
        <v>0</v>
      </c>
      <c r="AR946" s="211">
        <f t="shared" si="112"/>
        <v>0</v>
      </c>
    </row>
    <row r="947" spans="1:44" s="50" customFormat="1" ht="31.9" hidden="1" customHeight="1">
      <c r="A947" s="197"/>
      <c r="B947" s="951"/>
      <c r="C947" s="954"/>
      <c r="D947" s="957"/>
      <c r="E947" s="939"/>
      <c r="F947" s="238" t="str">
        <f ca="1">IF(B938="Лікар-педіатр",Законод!$H$17,IF(B938="Лікар загальної практики - сімейний лікар",Законод!$H$21,IF(B938="Лікар-терапевт",Законод!$H$25,"х")))</f>
        <v>х</v>
      </c>
      <c r="G947" s="935" t="s">
        <v>423</v>
      </c>
      <c r="H947" s="936"/>
      <c r="I947" s="936"/>
      <c r="J947" s="936"/>
      <c r="K947" s="937"/>
      <c r="L947" s="196">
        <f ca="1">IF($B$938="Лікар загальної практики - сімейний лікар",IF(L942&lt;Законод!$C$22,0,(IF(AND(L942&gt;=Законод!$H$22,L942&lt;=Законод!$H$23),L942-Законод!$G$23,IF('01_Доходи'!L942&gt;=Законод!$I$22,Законод!$H$24,0)))),IF($B$938="Лікар-педіатр",IF(L942&lt;Законод!$C$18,0,(IF(AND(L942&gt;=Законод!$H$18,L942&lt;=Законод!$H$19),L942-Законод!$G$19,IF('01_Доходи'!L942&gt;=Законод!$I$18,Законод!$H$20,0)))),IF($B$938="Лікар-терапевт",IF(L942&lt;Законод!$C$26,0,(IF(AND(L942&gt;=Законод!$H$26,L942&lt;=Законод!$H$27),L942-Законод!$G$27,IF(L942&gt;=Законод!$I$26,Законод!$H$28,0)))),0)))</f>
        <v>0</v>
      </c>
      <c r="M947" s="942"/>
      <c r="N947" s="935" t="s">
        <v>423</v>
      </c>
      <c r="O947" s="936"/>
      <c r="P947" s="936"/>
      <c r="Q947" s="936"/>
      <c r="R947" s="937"/>
      <c r="S947" s="196">
        <f ca="1">IF($B$938="Лікар загальної практики - сімейний лікар",IF(S942&lt;Законод!$C$22,0,(IF(AND(S942&gt;=Законод!$H$22,S942&lt;=Законод!$H$23),S942-Законод!$G$23,IF('01_Доходи'!S942&gt;=Законод!$I$22,Законод!$H$24,0)))),IF($B$938="Лікар-педіатр",IF(S942&lt;Законод!$C$18,0,(IF(AND(S942&gt;=Законод!$H$18,S942&lt;=Законод!$H$19),S942-Законод!$G$19,IF('01_Доходи'!S942&gt;=Законод!$I$18,Законод!$H$20,0)))),IF($B$938="Лікар-терапевт",IF(S942&lt;Законод!$C$26,0,(IF(AND(S942&gt;=Законод!$H$26,S942&lt;=Законод!$H$27),S942-Законод!$G$27,IF(S942&gt;=Законод!$I$26,Законод!$H$28,0)))),0)))</f>
        <v>0</v>
      </c>
      <c r="T947" s="942"/>
      <c r="U947" s="935" t="s">
        <v>423</v>
      </c>
      <c r="V947" s="936"/>
      <c r="W947" s="936"/>
      <c r="X947" s="936"/>
      <c r="Y947" s="937"/>
      <c r="Z947" s="196">
        <f ca="1">IF($B$938="Лікар загальної практики - сімейний лікар",IF(Z942&lt;Законод!$C$22,0,(IF(AND(Z942&gt;=Законод!$H$22,Z942&lt;=Законод!$H$23),Z942-Законод!$G$23,IF('01_Доходи'!Z942&gt;=Законод!$I$22,Законод!$H$24,0)))),IF($B$938="Лікар-педіатр",IF(Z942&lt;Законод!$C$18,0,(IF(AND(Z942&gt;=Законод!$H$18,Z942&lt;=Законод!$H$19),Z942-Законод!$G$19,IF('01_Доходи'!Z942&gt;=Законод!$I$18,Законод!$H$20,0)))),IF($B$938="Лікар-терапевт",IF(Z942&lt;Законод!$C$26,0,(IF(AND(Z942&gt;=Законод!$H$26,Z942&lt;=Законод!$H$27),Z942-Законод!$G$27,IF(Z942&gt;=Законод!$I$26,Законод!$H$28,0)))),0)))</f>
        <v>0</v>
      </c>
      <c r="AA947" s="942"/>
      <c r="AB947" s="935" t="s">
        <v>423</v>
      </c>
      <c r="AC947" s="936"/>
      <c r="AD947" s="936"/>
      <c r="AE947" s="936"/>
      <c r="AF947" s="937"/>
      <c r="AG947" s="196">
        <f ca="1">IF($B$938="Лікар загальної практики - сімейний лікар",IF(AG942&lt;Законод!$C$22,0,(IF(AND(AG942&gt;=Законод!$H$22,AG942&lt;=Законод!$H$23),AG942-Законод!$G$23,IF('01_Доходи'!AG942&gt;=Законод!$I$22,Законод!$H$24,0)))),IF($B$938="Лікар-педіатр",IF(AG942&lt;Законод!$C$18,0,(IF(AND(AG942&gt;=Законод!$H$18,AG942&lt;=Законод!$H$19),AG942-Законод!$G$19,IF('01_Доходи'!AG942&gt;=Законод!$I$18,Законод!$H$20,0)))),IF($B$938="Лікар-терапевт",IF(AG942&lt;Законод!$C$26,0,(IF(AND(AG942&gt;=Законод!$H$26,AG942&lt;=Законод!$H$27),AG942-Законод!$G$27,IF(AG942&gt;=Законод!$I$26,Законод!$H$28,0)))),0)))</f>
        <v>0</v>
      </c>
      <c r="AH947" s="942"/>
      <c r="AI947" s="201"/>
      <c r="AJ947" s="945"/>
      <c r="AK947" s="960"/>
      <c r="AL947" s="960"/>
      <c r="AM947" s="927"/>
      <c r="AN947" s="210">
        <f ca="1">IF(B938="Лікар загальної практики - сімейний лікар",L947*Законод!$C$9/4*Законод!$H$16,IF(B938="Лікар-педіатр",L947*Законод!$C$9/4*Законод!$H$16,IF(B938="Лікар-терапевт",L947*Законод!$C$9/4*Законод!$H$16,0)))</f>
        <v>0</v>
      </c>
      <c r="AO947" s="210">
        <f ca="1">IF(B938="Лікар загальної практики - сімейний лікар",S947*Законод!$C$9/4*Законод!$H$16,IF(B938="Лікар-педіатр",S947*Законод!$C$9/4*Законод!$H$16,IF(B938="Лікар-терапевт",S947*Законод!$C$9/4*Законод!$H$16,0)))</f>
        <v>0</v>
      </c>
      <c r="AP947" s="210">
        <f ca="1">IF(B938="Лікар загальної практики - сімейний лікар",Z947*Законод!$C$9/4*Законод!$H$16,IF(B938="Лікар-педіатр",Z947*Законод!$C$9/4*Законод!$H$16,IF(B938="Лікар-терапевт",Z947*Законод!$C$9/4*Законод!$H$16,0)))</f>
        <v>0</v>
      </c>
      <c r="AQ947" s="210">
        <f ca="1">IF(B938="Лікар загальної практики - сімейний лікар",AG947*Законод!$C$9/4*Законод!$H$16,IF(B938="Лікар-педіатр",AG947*Законод!$C$9/4*Законод!$H$16,IF(B938="Лікар-терапевт",AG947*Законод!$C$9/4*Законод!$H$16,0)))</f>
        <v>0</v>
      </c>
      <c r="AR947" s="211">
        <f t="shared" si="112"/>
        <v>0</v>
      </c>
    </row>
    <row r="948" spans="1:44" s="50" customFormat="1" ht="31.9" hidden="1" customHeight="1">
      <c r="A948" s="197"/>
      <c r="B948" s="951"/>
      <c r="C948" s="954"/>
      <c r="D948" s="957"/>
      <c r="E948" s="939"/>
      <c r="F948" s="238" t="str">
        <f ca="1">IF(B938="Лікар-педіатр",Законод!$I$17,IF(B938="Лікар загальної практики - сімейний лікар",Законод!$I$21,IF(B938="Лікар-терапевт",Законод!$I$25,"х")))</f>
        <v>х</v>
      </c>
      <c r="G948" s="935" t="s">
        <v>423</v>
      </c>
      <c r="H948" s="936"/>
      <c r="I948" s="936"/>
      <c r="J948" s="936"/>
      <c r="K948" s="937"/>
      <c r="L948" s="196">
        <f ca="1">IF($B$938="Лікар загальної практики - сімейний лікар",IF(L942&lt;Законод!$C$22,0,(IF(AND(L942&gt;=Законод!$I$22,L942&lt;=Законод!$I$23),L942-Законод!$H$23,IF('01_Доходи'!L942&gt;=Законод!$I$22,Законод!$I$24,0)))),IF($B$938="Лікар-педіатр",IF(L942&lt;Законод!$C$18,0,(IF(AND(L942&gt;=Законод!$I$18,L942&lt;=Законод!$I$19),L942-Законод!$H$19,IF('01_Доходи'!L942&gt;=Законод!$I$18,Законод!$H$20,0)))),IF($B$938="Лікар-терапевт",IF(L942&lt;Законод!$C$26,0,(IF(AND(L942&gt;=Законод!$I$26,L942&lt;=Законод!$I$27),L942-Законод!$H$27,IF('01_Доходи'!L942&gt;=Законод!$I$26,Законод!$H$28,0)))),0)))</f>
        <v>0</v>
      </c>
      <c r="M948" s="942"/>
      <c r="N948" s="935" t="s">
        <v>423</v>
      </c>
      <c r="O948" s="936"/>
      <c r="P948" s="936"/>
      <c r="Q948" s="936"/>
      <c r="R948" s="937"/>
      <c r="S948" s="196">
        <f ca="1">IF($B$938="Лікар загальної практики - сімейний лікар",IF(S942&lt;Законод!$C$22,0,(IF(AND(S942&gt;=Законод!$I$22,S942&lt;=Законод!$I$23),S942-Законод!$H$23,IF('01_Доходи'!S942&gt;=Законод!$I$22,Законод!$I$24,0)))),IF($B$938="Лікар-педіатр",IF(S942&lt;Законод!$C$18,0,(IF(AND(S942&gt;=Законод!$I$18,S942&lt;=Законод!$I$19),S942-Законод!$H$19,IF('01_Доходи'!S942&gt;=Законод!$I$18,Законод!$H$20,0)))),IF($B$938="Лікар-терапевт",IF(S942&lt;Законод!$C$26,0,(IF(AND(S942&gt;=Законод!$I$26,S942&lt;=Законод!$I$27),S942-Законод!$H$27,IF('01_Доходи'!S942&gt;=Законод!$I$26,Законод!$H$28,0)))),0)))</f>
        <v>0</v>
      </c>
      <c r="T948" s="942"/>
      <c r="U948" s="935" t="s">
        <v>423</v>
      </c>
      <c r="V948" s="936"/>
      <c r="W948" s="936"/>
      <c r="X948" s="936"/>
      <c r="Y948" s="937"/>
      <c r="Z948" s="196">
        <f ca="1">IF($B$938="Лікар загальної практики - сімейний лікар",IF(Z942&lt;Законод!$C$22,0,(IF(AND(Z942&gt;=Законод!$I$22,Z942&lt;=Законод!$I$23),Z942-Законод!$H$23,IF('01_Доходи'!Z942&gt;=Законод!$I$22,Законод!$I$24,0)))),IF($B$938="Лікар-педіатр",IF(Z942&lt;Законод!$C$18,0,(IF(AND(Z942&gt;=Законод!$I$18,Z942&lt;=Законод!$I$19),Z942-Законод!$H$19,IF('01_Доходи'!Z942&gt;=Законод!$I$18,Законод!$H$20,0)))),IF($B$938="Лікар-терапевт",IF(Z942&lt;Законод!$C$26,0,(IF(AND(Z942&gt;=Законод!$I$26,Z942&lt;=Законод!$I$27),Z942-Законод!$H$27,IF('01_Доходи'!Z942&gt;=Законод!$I$26,Законод!$H$28,0)))),0)))</f>
        <v>0</v>
      </c>
      <c r="AA948" s="942"/>
      <c r="AB948" s="935" t="s">
        <v>423</v>
      </c>
      <c r="AC948" s="936"/>
      <c r="AD948" s="936"/>
      <c r="AE948" s="936"/>
      <c r="AF948" s="937"/>
      <c r="AG948" s="196">
        <f ca="1">IF($B$938="Лікар загальної практики - сімейний лікар",IF(AG942&lt;Законод!$C$22,0,(IF(AND(AG942&gt;=Законод!$I$22,AG942&lt;=Законод!$I$23),AG942-Законод!$H$23,IF('01_Доходи'!AG942&gt;=Законод!$I$22,Законод!$I$24,0)))),IF($B$938="Лікар-педіатр",IF(AG942&lt;Законод!$C$18,0,(IF(AND(AG942&gt;=Законод!$I$18,AG942&lt;=Законод!$I$19),AG942-Законод!$H$19,IF('01_Доходи'!AG942&gt;=Законод!$I$18,Законод!$H$20,0)))),IF($B$938="Лікар-терапевт",IF(AG942&lt;Законод!$C$26,0,(IF(AND(AG942&gt;=Законод!$I$26,AG942&lt;=Законод!$I$27),AG942-Законод!$H$27,IF('01_Доходи'!AG942&gt;=Законод!$I$26,Законод!$H$28,0)))),0)))</f>
        <v>0</v>
      </c>
      <c r="AH948" s="942"/>
      <c r="AI948" s="201"/>
      <c r="AJ948" s="945"/>
      <c r="AK948" s="960"/>
      <c r="AL948" s="960"/>
      <c r="AM948" s="927"/>
      <c r="AN948" s="210">
        <f ca="1">IF(B938="Лікар загальної практики - сімейний лікар",L948*Законод!$C$9/4*Законод!$I$16,IF(B938="Лікар-педіатр",L948*Законод!$C$9/4*Законод!$I$16,IF(B938="Лікар-терапевт",L948*Законод!$C$9/4*Законод!$I$16,0)))</f>
        <v>0</v>
      </c>
      <c r="AO948" s="210">
        <f ca="1">IF(B938="Лікар загальної практики - сімейний лікар",S948*Законод!$C$9/4*Законод!$I$16,IF(B938="Лікар-педіатр",S948*Законод!$C$9/4*Законод!$I$16,IF(B938="Лікар-терапевт",S948*Законод!$C$9/4*Законод!$I$16,0)))</f>
        <v>0</v>
      </c>
      <c r="AP948" s="210">
        <f ca="1">IF(B938="Лікар загальної практики - сімейний лікар",Z948*Законод!$C$9/4*Законод!$I$16,IF(B938="Лікар-педіатр",Z948*Законод!$C$9/4*Законод!$I$16,IF(B938="Лікар-терапевт",Z948*Законод!$C$9/4*Законод!$I$16,0)))</f>
        <v>0</v>
      </c>
      <c r="AQ948" s="210">
        <f ca="1">IF(B938="Лікар загальної практики - сімейний лікар",AG948*Законод!$C$9/4*Законод!$I$16,IF(B938="Лікар-педіатр",AG948*Законод!$C$9/4*Законод!$I$16,IF(B938="Лікар-терапевт",AG948*Законод!$C$9/4*Законод!$I$16,0)))</f>
        <v>0</v>
      </c>
      <c r="AR948" s="211">
        <f t="shared" si="112"/>
        <v>0</v>
      </c>
    </row>
    <row r="949" spans="1:44" s="218" customFormat="1" ht="31.9" hidden="1" customHeight="1" thickBot="1">
      <c r="A949" s="213"/>
      <c r="B949" s="952"/>
      <c r="C949" s="955"/>
      <c r="D949" s="958"/>
      <c r="E949" s="940"/>
      <c r="F949" s="239" t="str">
        <f ca="1">IF(B938="Лікар-педіатр",Законод!$J$17,IF(B938="Лікар загальної практики - сімейний лікар",Законод!$J$21,IF(B938="Лікар-терапевт",Законод!$J$25,"х")))</f>
        <v>х</v>
      </c>
      <c r="G949" s="932" t="s">
        <v>423</v>
      </c>
      <c r="H949" s="933"/>
      <c r="I949" s="933"/>
      <c r="J949" s="933"/>
      <c r="K949" s="934"/>
      <c r="L949" s="196">
        <f ca="1">IF($B$938="Лікар загальної практики - сімейний лікар",IF(L942&gt;=Законод!$J$22,'01_Доходи'!L942-('01_Доходи'!L943+'01_Доходи'!L944+'01_Доходи'!L945+'01_Доходи'!L946+'01_Доходи'!L947+'01_Доходи'!L948),0),IF($B$938="Лікар-педіатр",IF(L942&gt;=Законод!$J$18,'01_Доходи'!L942-('01_Доходи'!L943+'01_Доходи'!L944+'01_Доходи'!L945+'01_Доходи'!L946+'01_Доходи'!L947+'01_Доходи'!L948),0),IF($B$938="Лікар-терапевт",IF('01_Доходи'!L942&gt;=Законод!$J$26,L942-Законод!$I$27,0),0)))</f>
        <v>0</v>
      </c>
      <c r="M949" s="943"/>
      <c r="N949" s="932" t="s">
        <v>423</v>
      </c>
      <c r="O949" s="933"/>
      <c r="P949" s="933"/>
      <c r="Q949" s="933"/>
      <c r="R949" s="934"/>
      <c r="S949" s="196">
        <f ca="1">IF($B$938="Лікар загальної практики - сімейний лікар",IF(S942&gt;=Законод!$J$22,'01_Доходи'!S942-('01_Доходи'!S943+'01_Доходи'!S944+'01_Доходи'!S945+'01_Доходи'!S946+'01_Доходи'!S947+'01_Доходи'!S948),0),IF($B$938="Лікар-педіатр",IF(S942&gt;=Законод!$J$18,'01_Доходи'!S942-('01_Доходи'!S943+'01_Доходи'!S944+'01_Доходи'!S945+'01_Доходи'!S946+'01_Доходи'!S947+'01_Доходи'!S948),0),IF($B$938="Лікар-терапевт",IF('01_Доходи'!S942&gt;=Законод!$J$26,S942-Законод!$I$27,0),0)))</f>
        <v>0</v>
      </c>
      <c r="T949" s="943"/>
      <c r="U949" s="932" t="s">
        <v>423</v>
      </c>
      <c r="V949" s="933"/>
      <c r="W949" s="933"/>
      <c r="X949" s="933"/>
      <c r="Y949" s="934"/>
      <c r="Z949" s="196">
        <f ca="1">IF($B$938="Лікар загальної практики - сімейний лікар",IF(Z942&gt;=Законод!$J$22,'01_Доходи'!Z942-('01_Доходи'!Z943+'01_Доходи'!Z944+'01_Доходи'!Z945+'01_Доходи'!Z946+'01_Доходи'!Z947+'01_Доходи'!Z948),0),IF($B$938="Лікар-педіатр",IF(Z942&gt;=Законод!$J$18,'01_Доходи'!Z942-('01_Доходи'!Z943+'01_Доходи'!Z944+'01_Доходи'!Z945+'01_Доходи'!Z946+'01_Доходи'!Z947+'01_Доходи'!Z948),0),IF($B$938="Лікар-терапевт",IF('01_Доходи'!Z942&gt;=Законод!$J$26,Z942-Законод!$I$27,0),0)))</f>
        <v>0</v>
      </c>
      <c r="AA949" s="943"/>
      <c r="AB949" s="932" t="s">
        <v>423</v>
      </c>
      <c r="AC949" s="933"/>
      <c r="AD949" s="933"/>
      <c r="AE949" s="933"/>
      <c r="AF949" s="934"/>
      <c r="AG949" s="196">
        <f ca="1">IF($B$938="Лікар загальної практики - сімейний лікар",IF(AG942&gt;=Законод!$J$22,'01_Доходи'!AG942-('01_Доходи'!AG943+'01_Доходи'!AG944+'01_Доходи'!AG945+'01_Доходи'!AG946+'01_Доходи'!AG947+'01_Доходи'!AG948),0),IF($B$938="Лікар-педіатр",IF(AG942&gt;=Законод!$J$18,'01_Доходи'!AG942-('01_Доходи'!AG943+'01_Доходи'!AG944+'01_Доходи'!AG945+'01_Доходи'!AG946+'01_Доходи'!AG947+'01_Доходи'!AG948),0),IF($B$938="Лікар-терапевт",IF('01_Доходи'!AG942&gt;=Законод!$J$26,AG942-Законод!$I$27,0),0)))</f>
        <v>0</v>
      </c>
      <c r="AH949" s="943"/>
      <c r="AI949" s="215"/>
      <c r="AJ949" s="946"/>
      <c r="AK949" s="961"/>
      <c r="AL949" s="961"/>
      <c r="AM949" s="928"/>
      <c r="AN949" s="216">
        <f ca="1">IF(B938="Лікар загальної практики - сімейний лікар",L949*Законод!$C$9/4*Законод!$J$16,IF(B938="Лікар-педіатр",L949*Законод!$C$9/4*Законод!$J$16,IF(B938="Лікар-терапевт",L949*Законод!$C$9/4*Законод!$J$16,0)))</f>
        <v>0</v>
      </c>
      <c r="AO949" s="216">
        <f ca="1">IF(B938="Лікар загальної практики - сімейний лікар",S949*Законод!$C$9/4*Законод!$J$16,IF(B938="Лікар-педіатр",S949*Законод!$C$9/4*Законод!$J$16,IF(B938="Лікар-терапевт",S949*Законод!$C$9/4*Законод!$J$16,0)))</f>
        <v>0</v>
      </c>
      <c r="AP949" s="216">
        <f ca="1">IF(B938="Лікар загальної практики - сімейний лікар",S949*Законод!$C$9/4*Законод!$J$16,IF(B938="Лікар-педіатр",S949*Законод!$C$9/4*Законод!$J$16,IF(B938="Лікар-терапевт",S949*Законод!$C$9/4*Законод!$J$16,0)))</f>
        <v>0</v>
      </c>
      <c r="AQ949" s="216">
        <f ca="1">IF(B938="Лікар загальної практики - сімейний лікар",AG949*Законод!$C$9/4*Законод!$J$16,IF(B938="Лікар-педіатр",AG949*Законод!$C$9/4*Законод!$J$16,IF(B938="Лікар-терапевт",AG949*Законод!$C$9/4*Законод!$J$16,0)))</f>
        <v>0</v>
      </c>
      <c r="AR949" s="217">
        <f t="shared" si="112"/>
        <v>0</v>
      </c>
    </row>
    <row r="950" spans="1:44" s="247" customFormat="1" ht="23.45" hidden="1" customHeight="1" thickBot="1">
      <c r="A950" s="243"/>
      <c r="B950" s="244"/>
      <c r="C950" s="244"/>
      <c r="D950" s="244"/>
      <c r="E950" s="244"/>
      <c r="F950" s="245"/>
      <c r="G950" s="246"/>
      <c r="H950" s="246"/>
      <c r="L950" s="248"/>
      <c r="S950" s="248"/>
      <c r="Z950" s="248"/>
      <c r="AG950" s="248"/>
      <c r="AM950" s="249"/>
      <c r="AR950" s="250"/>
    </row>
    <row r="951" spans="1:44" s="191" customFormat="1" ht="24.6" hidden="1" customHeight="1">
      <c r="A951" s="194">
        <f>A938+1</f>
        <v>71</v>
      </c>
      <c r="B951" s="950"/>
      <c r="C951" s="953"/>
      <c r="D951" s="956"/>
      <c r="E951" s="938"/>
      <c r="F951" s="234" t="s">
        <v>659</v>
      </c>
      <c r="G951" s="196">
        <f>IF($B$951="Лікар-педіатр",G954*L951,IF($B$951="Лікар-терапевт","х",IF($B$951="Лікар загальної практики - сімейний лікар",G954*L951,0)))</f>
        <v>0</v>
      </c>
      <c r="H951" s="196">
        <f>IF($B$951="Лікар-педіатр",H954*L951,IF($B$951="Лікар-терапевт","х",IF($B$951="Лікар загальної практики - сімейний лікар",H954*L951,0)))</f>
        <v>0</v>
      </c>
      <c r="I951" s="196">
        <f>IF($B$951="Лікар-педіатр","x",IF($B$951="Лікар-терапевт",I954*L951,IF($B$951="Лікар загальної практики - сімейний лікар",I954*L951,0)))</f>
        <v>0</v>
      </c>
      <c r="J951" s="196">
        <f>IF($B$951="Лікар-педіатр","x",IF($B$951="Лікар-терапевт",J954*L951,IF($B$951="Лікар загальної практики - сімейний лікар",J954*L951,0)))</f>
        <v>0</v>
      </c>
      <c r="K951" s="196">
        <f>IF($B$951="Лікар-педіатр","x",IF($B$951="Лікар-терапевт",K954*L951,IF($B$951="Лікар загальної практики - сімейний лікар",K954*L951,0)))</f>
        <v>0</v>
      </c>
      <c r="L951" s="557"/>
      <c r="M951" s="941"/>
      <c r="N951" s="196">
        <f>IF($B$951="Лікар-педіатр",N954*S951,IF($B$951="Лікар-терапевт","х",IF($B$951="Лікар загальної практики - сімейний лікар",N954*S951,0)))</f>
        <v>0</v>
      </c>
      <c r="O951" s="196">
        <f>IF($B$951="Лікар-педіатр",O954*S951,IF($B$951="Лікар-терапевт","х",IF($B$951="Лікар загальної практики - сімейний лікар",O954*S951,0)))</f>
        <v>0</v>
      </c>
      <c r="P951" s="196">
        <f>IF($B$951="Лікар-педіатр","x",IF($B$951="Лікар-терапевт",P954*S951,IF($B$951="Лікар загальної практики - сімейний лікар",P954*S951,0)))</f>
        <v>0</v>
      </c>
      <c r="Q951" s="196">
        <f>IF($B$951="Лікар-педіатр","x",IF($B$951="Лікар-терапевт",Q954*S951,IF($B$951="Лікар загальної практики - сімейний лікар",Q954*S951,0)))</f>
        <v>0</v>
      </c>
      <c r="R951" s="196">
        <f>IF($B$951="Лікар-педіатр","x",IF($B$951="Лікар-терапевт",R954*S951,IF($B$951="Лікар загальної практики - сімейний лікар",R954*S951,0)))</f>
        <v>0</v>
      </c>
      <c r="S951" s="557"/>
      <c r="T951" s="941"/>
      <c r="U951" s="196">
        <f>IF($B$951="Лікар-педіатр",U954*Z951,IF($B$951="Лікар-терапевт","х",IF($B$951="Лікар загальної практики - сімейний лікар",U954*Z951,0)))</f>
        <v>0</v>
      </c>
      <c r="V951" s="196">
        <f>IF($B$951="Лікар-педіатр",V954*Z951,IF($B$951="Лікар-терапевт","х",IF($B$951="Лікар загальної практики - сімейний лікар",V954*Z951,0)))</f>
        <v>0</v>
      </c>
      <c r="W951" s="196">
        <f>IF($B$951="Лікар-педіатр","x",IF($B$951="Лікар-терапевт",W954*Z951,IF($B$951="Лікар загальної практики - сімейний лікар",W954*Z951,0)))</f>
        <v>0</v>
      </c>
      <c r="X951" s="196">
        <f>IF($B$951="Лікар-педіатр","x",IF($B$951="Лікар-терапевт",X954*Z951,IF($B$951="Лікар загальної практики - сімейний лікар",X954*Z951,0)))</f>
        <v>0</v>
      </c>
      <c r="Y951" s="196">
        <f>IF($B$951="Лікар-педіатр","x",IF($B$951="Лікар-терапевт",Y954*Z951,IF($B$951="Лікар загальної практики - сімейний лікар",Y954*Z951,0)))</f>
        <v>0</v>
      </c>
      <c r="Z951" s="557"/>
      <c r="AA951" s="941"/>
      <c r="AB951" s="196">
        <f>IF($B$951="Лікар-педіатр",AB954*AG951,IF($B$951="Лікар-терапевт","х",IF($B$951="Лікар загальної практики - сімейний лікар",AB954*AG951,0)))</f>
        <v>0</v>
      </c>
      <c r="AC951" s="196">
        <f>IF($B$951="Лікар-педіатр",AC954*AG951,IF($B$951="Лікар-терапевт","х",IF($B$951="Лікар загальної практики - сімейний лікар",AC954*AG951,0)))</f>
        <v>0</v>
      </c>
      <c r="AD951" s="196">
        <f>IF($B$951="Лікар-педіатр","x",IF($B$951="Лікар-терапевт",AD954*AG951,IF($B$951="Лікар загальної практики - сімейний лікар",AD954*AG951,0)))</f>
        <v>0</v>
      </c>
      <c r="AE951" s="196">
        <f>IF($B$951="Лікар-педіатр","x",IF($B$951="Лікар-терапевт",AE954*AG951,IF($B$951="Лікар загальної практики - сімейний лікар",AE954*AG951,0)))</f>
        <v>0</v>
      </c>
      <c r="AF951" s="196">
        <f>IF($B$951="Лікар-педіатр","x",IF($B$951="Лікар-терапевт",AF954*AG951,IF($B$951="Лікар загальної практики - сімейний лікар",AF954*AG951,0)))</f>
        <v>0</v>
      </c>
      <c r="AG951" s="557"/>
      <c r="AH951" s="941"/>
      <c r="AI951" s="540">
        <f>A951</f>
        <v>71</v>
      </c>
      <c r="AJ951" s="944">
        <f>B951</f>
        <v>0</v>
      </c>
      <c r="AK951" s="959">
        <f>C951</f>
        <v>0</v>
      </c>
      <c r="AL951" s="959">
        <f>D951</f>
        <v>0</v>
      </c>
      <c r="AM951" s="929" t="s">
        <v>79</v>
      </c>
      <c r="AN951" s="947">
        <f>SUM(AN956:AN962)</f>
        <v>0</v>
      </c>
      <c r="AO951" s="947">
        <f>SUM(AO956:AO962)</f>
        <v>0</v>
      </c>
      <c r="AP951" s="947">
        <f>SUM(AP956:AP962)</f>
        <v>0</v>
      </c>
      <c r="AQ951" s="947">
        <f>SUM(AQ956:AQ962)</f>
        <v>0</v>
      </c>
      <c r="AR951" s="962">
        <f>SUM(AN951:AQ955)</f>
        <v>0</v>
      </c>
    </row>
    <row r="952" spans="1:44" s="50" customFormat="1" ht="28.15" hidden="1" customHeight="1">
      <c r="A952" s="197"/>
      <c r="B952" s="951"/>
      <c r="C952" s="954"/>
      <c r="D952" s="957"/>
      <c r="E952" s="939"/>
      <c r="F952" s="234" t="s">
        <v>660</v>
      </c>
      <c r="G952" s="196">
        <f>IF($B$951="Лікар-педіатр",G954*L952,IF($B$951="Лікар-терапевт","х",IF($B$951="Лікар загальної практики - сімейний лікар",G954*L952,0)))</f>
        <v>0</v>
      </c>
      <c r="H952" s="196">
        <f>IF($B$951="Лікар-педіатр",H954*L952,IF($B$951="Лікар-терапевт","х",IF($B$951="Лікар загальної практики - сімейний лікар",H954*L952,0)))</f>
        <v>0</v>
      </c>
      <c r="I952" s="196">
        <f>IF($B$951="Лікар-педіатр","x",IF($B$951="Лікар-терапевт",I954*L952,IF($B$951="Лікар загальної практики - сімейний лікар",I954*L952,0)))</f>
        <v>0</v>
      </c>
      <c r="J952" s="196">
        <f>IF($B$951="Лікар-педіатр","x",IF($B$951="Лікар-терапевт",J954*L952,IF($B$951="Лікар загальної практики - сімейний лікар",J954*L952,0)))</f>
        <v>0</v>
      </c>
      <c r="K952" s="196">
        <f>IF($B$951="Лікар-педіатр","x",IF($B$951="Лікар-терапевт",K954*L952,IF($B$951="Лікар загальної практики - сімейний лікар",K954*L952,0)))</f>
        <v>0</v>
      </c>
      <c r="L952" s="557"/>
      <c r="M952" s="942"/>
      <c r="N952" s="196">
        <f>IF($B$951="Лікар-педіатр",N954*S952,IF($B$951="Лікар-терапевт","х",IF($B$951="Лікар загальної практики - сімейний лікар",N954*S952,0)))</f>
        <v>0</v>
      </c>
      <c r="O952" s="196">
        <f>IF($B$951="Лікар-педіатр",O954*S952,IF($B$951="Лікар-терапевт","х",IF($B$951="Лікар загальної практики - сімейний лікар",O954*S952,0)))</f>
        <v>0</v>
      </c>
      <c r="P952" s="196">
        <f>IF($B$951="Лікар-педіатр","x",IF($B$951="Лікар-терапевт",P954*S952,IF($B$951="Лікар загальної практики - сімейний лікар",P954*S952,0)))</f>
        <v>0</v>
      </c>
      <c r="Q952" s="196">
        <f>IF($B$951="Лікар-педіатр","x",IF($B$951="Лікар-терапевт",Q954*S952,IF($B$951="Лікар загальної практики - сімейний лікар",Q954*S952,0)))</f>
        <v>0</v>
      </c>
      <c r="R952" s="196">
        <f>IF($B$951="Лікар-педіатр","x",IF($B$951="Лікар-терапевт",R954*S952,IF($B$951="Лікар загальної практики - сімейний лікар",R954*S952,0)))</f>
        <v>0</v>
      </c>
      <c r="S952" s="557"/>
      <c r="T952" s="942"/>
      <c r="U952" s="196">
        <f>IF($B$951="Лікар-педіатр",U954*Z952,IF($B$951="Лікар-терапевт","х",IF($B$951="Лікар загальної практики - сімейний лікар",U954*Z952,0)))</f>
        <v>0</v>
      </c>
      <c r="V952" s="196">
        <f>IF($B$951="Лікар-педіатр",V954*Z952,IF($B$951="Лікар-терапевт","х",IF($B$951="Лікар загальної практики - сімейний лікар",V954*Z952,0)))</f>
        <v>0</v>
      </c>
      <c r="W952" s="196">
        <f>IF($B$951="Лікар-педіатр","x",IF($B$951="Лікар-терапевт",W954*Z952,IF($B$951="Лікар загальної практики - сімейний лікар",W954*Z952,0)))</f>
        <v>0</v>
      </c>
      <c r="X952" s="196">
        <f>IF($B$951="Лікар-педіатр","x",IF($B$951="Лікар-терапевт",X954*Z952,IF($B$951="Лікар загальної практики - сімейний лікар",X954*Z952,0)))</f>
        <v>0</v>
      </c>
      <c r="Y952" s="196">
        <f>IF($B$951="Лікар-педіатр","x",IF($B$951="Лікар-терапевт",Y954*Z952,IF($B$951="Лікар загальної практики - сімейний лікар",Y954*Z952,0)))</f>
        <v>0</v>
      </c>
      <c r="Z952" s="557"/>
      <c r="AA952" s="942"/>
      <c r="AB952" s="196">
        <f>IF($B$951="Лікар-педіатр",AB954*AG952,IF($B$951="Лікар-терапевт","х",IF($B$951="Лікар загальної практики - сімейний лікар",AB954*AG952,0)))</f>
        <v>0</v>
      </c>
      <c r="AC952" s="196">
        <f>IF($B$951="Лікар-педіатр",AC954*AG952,IF($B$951="Лікар-терапевт","х",IF($B$951="Лікар загальної практики - сімейний лікар",AC954*AG952,0)))</f>
        <v>0</v>
      </c>
      <c r="AD952" s="196">
        <f>IF($B$951="Лікар-педіатр","x",IF($B$951="Лікар-терапевт",AD954*AG952,IF($B$951="Лікар загальної практики - сімейний лікар",AD954*AG952,0)))</f>
        <v>0</v>
      </c>
      <c r="AE952" s="196">
        <f>IF($B$951="Лікар-педіатр","x",IF($B$951="Лікар-терапевт",AE954*AG952,IF($B$951="Лікар загальної практики - сімейний лікар",AE954*AG952,0)))</f>
        <v>0</v>
      </c>
      <c r="AF952" s="196">
        <f>IF($B$951="Лікар-педіатр","x",IF($B$951="Лікар-терапевт",AF954*AG952,IF($B$951="Лікар загальної практики - сімейний лікар",AF954*AG952,0)))</f>
        <v>0</v>
      </c>
      <c r="AG952" s="557"/>
      <c r="AH952" s="942"/>
      <c r="AI952" s="198"/>
      <c r="AJ952" s="945"/>
      <c r="AK952" s="960"/>
      <c r="AL952" s="960"/>
      <c r="AM952" s="930"/>
      <c r="AN952" s="948"/>
      <c r="AO952" s="948"/>
      <c r="AP952" s="948"/>
      <c r="AQ952" s="948"/>
      <c r="AR952" s="963"/>
    </row>
    <row r="953" spans="1:44" s="90" customFormat="1" ht="31.15" hidden="1" customHeight="1">
      <c r="A953" s="240"/>
      <c r="B953" s="951"/>
      <c r="C953" s="954"/>
      <c r="D953" s="957"/>
      <c r="E953" s="939"/>
      <c r="F953" s="241" t="s">
        <v>661</v>
      </c>
      <c r="G953" s="199">
        <f>IF(B951="Лікар загальної практики - сімейний лікар"," ",IF(B951="Лікар-педіатр"," ",IF(B951="Лікар-терапевт","х",0)))</f>
        <v>0</v>
      </c>
      <c r="H953" s="199">
        <f>IF(B951="Лікар загальної практики - сімейний лікар"," ",IF(B951="Лікар-педіатр"," ",IF(B951="Лікар-терапевт","х",0)))</f>
        <v>0</v>
      </c>
      <c r="I953" s="199">
        <f>IF(B951="Лікар загальної практики - сімейний лікар"," ",IF(B951="Лікар-педіатр","х",IF(B951="Лікар-терапевт"," ",0)))</f>
        <v>0</v>
      </c>
      <c r="J953" s="199">
        <f>IF(B951="Лікар загальної практики - сімейний лікар"," ",IF(B951="Лікар-педіатр","х",IF(B951="Лікар-терапевт"," ",0)))</f>
        <v>0</v>
      </c>
      <c r="K953" s="199">
        <f>IF(B951="Лікар загальної практики - сімейний лікар"," ",IF(B951="Лікар-педіатр","х",IF(B951="Лікар-терапевт"," ",0)))</f>
        <v>0</v>
      </c>
      <c r="L953" s="200">
        <f>SUM(G953:K953)</f>
        <v>0</v>
      </c>
      <c r="M953" s="942"/>
      <c r="N953" s="199">
        <f>IF(B951="Лікар загальної практики - сімейний лікар"," ",IF(B951="Лікар-педіатр"," ",IF(B951="Лікар-терапевт","х",0)))</f>
        <v>0</v>
      </c>
      <c r="O953" s="199">
        <f>IF(B951="Лікар загальної практики - сімейний лікар"," ",IF(B951="Лікар-педіатр"," ",IF(B951="Лікар-терапевт","х",0)))</f>
        <v>0</v>
      </c>
      <c r="P953" s="199">
        <f>IF(B951="Лікар загальної практики - сімейний лікар"," ",IF(B951="Лікар-педіатр","х",IF(B951="Лікар-терапевт"," ",0)))</f>
        <v>0</v>
      </c>
      <c r="Q953" s="199">
        <f>IF(B951="Лікар загальної практики - сімейний лікар"," ",IF(B951="Лікар-педіатр","х",IF(B951="Лікар-терапевт"," ",0)))</f>
        <v>0</v>
      </c>
      <c r="R953" s="199">
        <f>IF(B951="Лікар загальної практики - сімейний лікар"," ",IF(B951="Лікар-педіатр","х",IF(B951="Лікар-терапевт"," ",0)))</f>
        <v>0</v>
      </c>
      <c r="S953" s="200">
        <f>SUM(N953:R953)</f>
        <v>0</v>
      </c>
      <c r="T953" s="942"/>
      <c r="U953" s="199">
        <f>IF(B951="Лікар загальної практики - сімейний лікар"," ",IF(B951="Лікар-педіатр"," ",IF(B951="Лікар-терапевт","х",0)))</f>
        <v>0</v>
      </c>
      <c r="V953" s="199">
        <f>IF(B951="Лікар загальної практики - сімейний лікар"," ",IF(B951="Лікар-педіатр"," ",IF(B951="Лікар-терапевт","х",0)))</f>
        <v>0</v>
      </c>
      <c r="W953" s="199">
        <f>IF(B951="Лікар загальної практики - сімейний лікар"," ",IF(B951="Лікар-педіатр","х",IF(B951="Лікар-терапевт"," ",0)))</f>
        <v>0</v>
      </c>
      <c r="X953" s="199">
        <f>IF(B951="Лікар загальної практики - сімейний лікар"," ",IF(B951="Лікар-педіатр","х",IF(B951="Лікар-терапевт"," ",0)))</f>
        <v>0</v>
      </c>
      <c r="Y953" s="199">
        <f>IF(B951="Лікар загальної практики - сімейний лікар"," ",IF(B951="Лікар-педіатр","х",IF(B951="Лікар-терапевт"," ",0)))</f>
        <v>0</v>
      </c>
      <c r="Z953" s="200">
        <f>SUM(U953:Y953)</f>
        <v>0</v>
      </c>
      <c r="AA953" s="942"/>
      <c r="AB953" s="199">
        <f>IF(B951="Лікар загальної практики - сімейний лікар"," ",IF(B951="Лікар-педіатр"," ",IF(B951="Лікар-терапевт","х",0)))</f>
        <v>0</v>
      </c>
      <c r="AC953" s="199">
        <f>IF(B951="Лікар загальної практики - сімейний лікар"," ",IF(B951="Лікар-педіатр"," ",IF(B951="Лікар-терапевт","х",0)))</f>
        <v>0</v>
      </c>
      <c r="AD953" s="199">
        <f>IF(B951="Лікар загальної практики - сімейний лікар"," ",IF(B951="Лікар-педіатр","х",IF(B951="Лікар-терапевт"," ",0)))</f>
        <v>0</v>
      </c>
      <c r="AE953" s="199">
        <f>IF(B951="Лікар загальної практики - сімейний лікар"," ",IF(B951="Лікар-педіатр","х",IF(B951="Лікар-терапевт"," ",0)))</f>
        <v>0</v>
      </c>
      <c r="AF953" s="199">
        <f>IF(B951="Лікар загальної практики - сімейний лікар"," ",IF(B951="Лікар-педіатр","х",IF(B951="Лікар-терапевт"," ",0)))</f>
        <v>0</v>
      </c>
      <c r="AG953" s="200">
        <f>SUM(AB953:AF953)</f>
        <v>0</v>
      </c>
      <c r="AH953" s="942"/>
      <c r="AI953" s="242"/>
      <c r="AJ953" s="945"/>
      <c r="AK953" s="960"/>
      <c r="AL953" s="960"/>
      <c r="AM953" s="930"/>
      <c r="AN953" s="948"/>
      <c r="AO953" s="948"/>
      <c r="AP953" s="948"/>
      <c r="AQ953" s="948"/>
      <c r="AR953" s="963"/>
    </row>
    <row r="954" spans="1:44" s="50" customFormat="1" ht="31.9" hidden="1" customHeight="1" thickBot="1">
      <c r="A954" s="197"/>
      <c r="B954" s="951"/>
      <c r="C954" s="954"/>
      <c r="D954" s="957"/>
      <c r="E954" s="939"/>
      <c r="F954" s="236" t="s">
        <v>426</v>
      </c>
      <c r="G954" s="203">
        <f>IF($B$951="Лікар-педіатр",G953/L953,IF($B$951="Лікар-терапевт","х",IF($B$951="Лікар загальної практики - сімейний лікар",G953/L953,0)))</f>
        <v>0</v>
      </c>
      <c r="H954" s="203">
        <f>IF($B$951="Лікар-педіатр",H953/L953,IF($B$951="Лікар-терапевт","х",IF($B$951="Лікар загальної практики - сімейний лікар",H953/L953,0)))</f>
        <v>0</v>
      </c>
      <c r="I954" s="203">
        <f>IF($B$951="Лікар-педіатр","x",IF($B$951="Лікар-терапевт",I953/L953,IF($B$951="Лікар загальної практики - сімейний лікар",I953/L953,0)))</f>
        <v>0</v>
      </c>
      <c r="J954" s="203">
        <f>IF($B$951="Лікар-педіатр","x",IF($B$951="Лікар-терапевт",J953/L953,IF($B$951="Лікар загальної практики - сімейний лікар",J953/L953,0)))</f>
        <v>0</v>
      </c>
      <c r="K954" s="203">
        <f>IF($B$951="Лікар-педіатр","x",IF($B$951="Лікар-терапевт",K953/L953,IF($B$951="Лікар загальної практики - сімейний лікар",K953/L953,0)))</f>
        <v>0</v>
      </c>
      <c r="L954" s="203">
        <f>SUM(G954:K954)</f>
        <v>0</v>
      </c>
      <c r="M954" s="942"/>
      <c r="N954" s="203">
        <f>IF($B$951="Лікар-педіатр",N953/S953,IF($B$951="Лікар-терапевт","х",IF($B$951="Лікар загальної практики - сімейний лікар",N953/S953,0)))</f>
        <v>0</v>
      </c>
      <c r="O954" s="203">
        <f>IF($B$951="Лікар-педіатр",O953/S953,IF($B$951="Лікар-терапевт","х",IF($B$951="Лікар загальної практики - сімейний лікар",O953/S953,0)))</f>
        <v>0</v>
      </c>
      <c r="P954" s="203">
        <f>IF($B$951="Лікар-педіатр","x",IF($B$951="Лікар-терапевт",P953/S953,IF($B$951="Лікар загальної практики - сімейний лікар",P953/S953,0)))</f>
        <v>0</v>
      </c>
      <c r="Q954" s="203">
        <f>IF($B$951="Лікар-педіатр","x",IF($B$951="Лікар-терапевт",Q953/S953,IF($B$951="Лікар загальної практики - сімейний лікар",Q953/S953,0)))</f>
        <v>0</v>
      </c>
      <c r="R954" s="203">
        <f>IF($B$951="Лікар-педіатр","x",IF($B$951="Лікар-терапевт",R953/S953,IF($B$951="Лікар загальної практики - сімейний лікар",R953/S953,0)))</f>
        <v>0</v>
      </c>
      <c r="S954" s="203">
        <f>SUM(N954:R954)</f>
        <v>0</v>
      </c>
      <c r="T954" s="942"/>
      <c r="U954" s="203">
        <f>IF($B$951="Лікар-педіатр",U953/Z953,IF($B$951="Лікар-терапевт","х",IF($B$951="Лікар загальної практики - сімейний лікар",U953/Z953,0)))</f>
        <v>0</v>
      </c>
      <c r="V954" s="203">
        <f>IF($B$951="Лікар-педіатр",V953/Z953,IF($B$951="Лікар-терапевт","х",IF($B$951="Лікар загальної практики - сімейний лікар",V953/Z953,0)))</f>
        <v>0</v>
      </c>
      <c r="W954" s="203">
        <f>IF($B$951="Лікар-педіатр","x",IF($B$951="Лікар-терапевт",W953/Z953,IF($B$951="Лікар загальної практики - сімейний лікар",W953/Z953,0)))</f>
        <v>0</v>
      </c>
      <c r="X954" s="203">
        <f>IF($B$951="Лікар-педіатр","x",IF($B$951="Лікар-терапевт",X953/Z953,IF($B$951="Лікар загальної практики - сімейний лікар",X953/Z953,0)))</f>
        <v>0</v>
      </c>
      <c r="Y954" s="203">
        <f>IF($B$951="Лікар-педіатр","x",IF($B$951="Лікар-терапевт",Y953/Z953,IF($B$951="Лікар загальної практики - сімейний лікар",Y953/Z953,0)))</f>
        <v>0</v>
      </c>
      <c r="Z954" s="203">
        <f>SUM(U954:Y954)</f>
        <v>0</v>
      </c>
      <c r="AA954" s="942"/>
      <c r="AB954" s="203">
        <f>IF($B$951="Лікар-педіатр",AB953/AG953,IF($B$951="Лікар-терапевт","х",IF($B$951="Лікар загальної практики - сімейний лікар",AB953/AG953,0)))</f>
        <v>0</v>
      </c>
      <c r="AC954" s="203">
        <f>IF($B$951="Лікар-педіатр",AC953/AG953,IF($B$951="Лікар-терапевт","х",IF($B$951="Лікар загальної практики - сімейний лікар",AC953/AG953,0)))</f>
        <v>0</v>
      </c>
      <c r="AD954" s="203">
        <f>IF($B$951="Лікар-педіатр","x",IF($B$951="Лікар-терапевт",AD953/AG953,IF($B$951="Лікар загальної практики - сімейний лікар",AD953/AG953,0)))</f>
        <v>0</v>
      </c>
      <c r="AE954" s="203">
        <f>IF($B$951="Лікар-педіатр","x",IF($B$951="Лікар-терапевт",AE953/AG953,IF($B$951="Лікар загальної практики - сімейний лікар",AE953/AG953,0)))</f>
        <v>0</v>
      </c>
      <c r="AF954" s="203">
        <f>IF($B$951="Лікар-педіатр","x",IF($B$951="Лікар-терапевт",AF953/AG953,IF($B$951="Лікар загальної практики - сімейний лікар",AF953/AG953,0)))</f>
        <v>0</v>
      </c>
      <c r="AG954" s="203">
        <f>SUM(AB954:AF954)</f>
        <v>0</v>
      </c>
      <c r="AH954" s="942"/>
      <c r="AI954" s="201"/>
      <c r="AJ954" s="945"/>
      <c r="AK954" s="960"/>
      <c r="AL954" s="960"/>
      <c r="AM954" s="930"/>
      <c r="AN954" s="948"/>
      <c r="AO954" s="948"/>
      <c r="AP954" s="948"/>
      <c r="AQ954" s="948"/>
      <c r="AR954" s="963"/>
    </row>
    <row r="955" spans="1:44" s="50" customFormat="1" ht="45" hidden="1" customHeight="1" thickBot="1">
      <c r="A955" s="197"/>
      <c r="B955" s="951"/>
      <c r="C955" s="954"/>
      <c r="D955" s="957"/>
      <c r="E955" s="939"/>
      <c r="F955" s="204" t="s">
        <v>662</v>
      </c>
      <c r="G955" s="205">
        <f>IF($B$951="Лікар загальної практики - сімейний лікар",AVERAGE(G951:G953),IF($B$951="Лікар-педіатр",AVERAGE(G951:G953),IF($B$951="Лікар-терапевт","х",0)))</f>
        <v>0</v>
      </c>
      <c r="H955" s="205">
        <f>IF($B$951="Лікар загальної практики - сімейний лікар",AVERAGE(H951:H953),IF($B$951="Лікар-педіатр",AVERAGE(H951:H953),IF($B$951="Лікар-терапевт","х",0)))</f>
        <v>0</v>
      </c>
      <c r="I955" s="205">
        <f>IF($B$951="Лікар загальної практики - сімейний лікар",AVERAGE(I951:I953),IF($B$951="Лікар-педіатр","x",IF($B$951="Лікар-терапевт",AVERAGE(I951:I953),0)))</f>
        <v>0</v>
      </c>
      <c r="J955" s="205">
        <f>IF($B$951="Лікар загальної практики - сімейний лікар",AVERAGE(J951:J953),IF($B$951="Лікар-педіатр","x",IF($B$951="Лікар-терапевт",AVERAGE(J951:J953),0)))</f>
        <v>0</v>
      </c>
      <c r="K955" s="205">
        <f>IF($B$951="Лікар загальної практики - сімейний лікар",AVERAGE(K951:K953),IF($B$951="Лікар-педіатр","x",IF($B$951="Лікар-терапевт",AVERAGE(K951:K953),0)))</f>
        <v>0</v>
      </c>
      <c r="L955" s="206">
        <f>SUM(G955:K955)</f>
        <v>0</v>
      </c>
      <c r="M955" s="942"/>
      <c r="N955" s="205">
        <f>IF($B$951="Лікар загальної практики - сімейний лікар",AVERAGE(N951:N953),IF($B$951="Лікар-педіатр",AVERAGE(N951:N953),IF($B$951="Лікар-терапевт","х",0)))</f>
        <v>0</v>
      </c>
      <c r="O955" s="205">
        <f>IF($B$951="Лікар загальної практики - сімейний лікар",AVERAGE(O951:O953),IF($B$951="Лікар-педіатр",AVERAGE(O951:O953),IF($B$951="Лікар-терапевт","х",0)))</f>
        <v>0</v>
      </c>
      <c r="P955" s="205">
        <f>IF($B$951="Лікар загальної практики - сімейний лікар",AVERAGE(P951:P953),IF($B$951="Лікар-педіатр","x",IF($B$951="Лікар-терапевт",AVERAGE(P951:P953),0)))</f>
        <v>0</v>
      </c>
      <c r="Q955" s="205">
        <f>IF($B$951="Лікар загальної практики - сімейний лікар",AVERAGE(Q951:Q953),IF($B$951="Лікар-педіатр","x",IF($B$951="Лікар-терапевт",AVERAGE(Q951:Q953),0)))</f>
        <v>0</v>
      </c>
      <c r="R955" s="205">
        <f>IF($B$951="Лікар загальної практики - сімейний лікар",AVERAGE(R951:R953),IF($B$951="Лікар-педіатр","x",IF($B$951="Лікар-терапевт",AVERAGE(R951:R953),0)))</f>
        <v>0</v>
      </c>
      <c r="S955" s="206">
        <f>SUM(N955:R955)</f>
        <v>0</v>
      </c>
      <c r="T955" s="942"/>
      <c r="U955" s="205">
        <f>IF($B$951="Лікар загальної практики - сімейний лікар",AVERAGE(U951:U953),IF($B$951="Лікар-педіатр",AVERAGE(U951:U953),IF($B$951="Лікар-терапевт","х",0)))</f>
        <v>0</v>
      </c>
      <c r="V955" s="205">
        <f>IF($B$951="Лікар загальної практики - сімейний лікар",AVERAGE(V951:V953),IF($B$951="Лікар-педіатр",AVERAGE(V951:V953),IF($B$951="Лікар-терапевт","х",0)))</f>
        <v>0</v>
      </c>
      <c r="W955" s="205">
        <f>IF($B$951="Лікар загальної практики - сімейний лікар",AVERAGE(W951:W953),IF($B$951="Лікар-педіатр","x",IF($B$951="Лікар-терапевт",AVERAGE(W951:W953),0)))</f>
        <v>0</v>
      </c>
      <c r="X955" s="205">
        <f>IF($B$951="Лікар загальної практики - сімейний лікар",AVERAGE(X951:X953),IF($B$951="Лікар-педіатр","x",IF($B$951="Лікар-терапевт",AVERAGE(X951:X953),0)))</f>
        <v>0</v>
      </c>
      <c r="Y955" s="205">
        <f>IF($B$951="Лікар загальної практики - сімейний лікар",AVERAGE(Y951:Y953),IF($B$951="Лікар-педіатр","x",IF($B$951="Лікар-терапевт",AVERAGE(Y951:Y953),0)))</f>
        <v>0</v>
      </c>
      <c r="Z955" s="206">
        <f>SUM(U955:Y955)</f>
        <v>0</v>
      </c>
      <c r="AA955" s="942"/>
      <c r="AB955" s="205">
        <f>IF($B$951="Лікар загальної практики - сімейний лікар",AVERAGE(AB951:AB953),IF($B$951="Лікар-педіатр",AVERAGE(AB951:AB953),IF($B$951="Лікар-терапевт","х",0)))</f>
        <v>0</v>
      </c>
      <c r="AC955" s="205">
        <f>IF($B$951="Лікар загальної практики - сімейний лікар",AVERAGE(AC951:AC953),IF($B$951="Лікар-педіатр",AVERAGE(AC951:AC953),IF($B$951="Лікар-терапевт","х",0)))</f>
        <v>0</v>
      </c>
      <c r="AD955" s="205">
        <f>IF($B$951="Лікар загальної практики - сімейний лікар",AVERAGE(AD951:AD953),IF($B$951="Лікар-педіатр","x",IF($B$951="Лікар-терапевт",AVERAGE(AD951:AD953),0)))</f>
        <v>0</v>
      </c>
      <c r="AE955" s="205">
        <f>IF($B$951="Лікар загальної практики - сімейний лікар",AVERAGE(AE951:AE953),IF($B$951="Лікар-педіатр","x",IF($B$951="Лікар-терапевт",AVERAGE(AE951:AE953),0)))</f>
        <v>0</v>
      </c>
      <c r="AF955" s="205">
        <f>IF($B$951="Лікар загальної практики - сімейний лікар",AVERAGE(AF951:AF953),IF($B$951="Лікар-педіатр","x",IF($B$951="Лікар-терапевт",AVERAGE(AF951:AF953),0)))</f>
        <v>0</v>
      </c>
      <c r="AG955" s="206">
        <f>SUM(AB955:AF955)</f>
        <v>0</v>
      </c>
      <c r="AH955" s="942"/>
      <c r="AI955" s="201"/>
      <c r="AJ955" s="945"/>
      <c r="AK955" s="960"/>
      <c r="AL955" s="960"/>
      <c r="AM955" s="931"/>
      <c r="AN955" s="949"/>
      <c r="AO955" s="949"/>
      <c r="AP955" s="949"/>
      <c r="AQ955" s="949"/>
      <c r="AR955" s="964"/>
    </row>
    <row r="956" spans="1:44" s="50" customFormat="1" ht="40.5" hidden="1">
      <c r="A956" s="197"/>
      <c r="B956" s="951"/>
      <c r="C956" s="954"/>
      <c r="D956" s="957"/>
      <c r="E956" s="939"/>
      <c r="F956" s="237" t="str">
        <f ca="1">IF(B951="Лікар-педіатр",Законод!$C$17,IF(B951="Лікар загальної практики - сімейний лікар",Законод!$C$21,IF(B951="Лікар-терапевт",Законод!$C$25,"х")))</f>
        <v>х</v>
      </c>
      <c r="G956" s="208">
        <f ca="1">IF($B$951="Лікар загальної практики - сімейний лікар",IF(L955&lt;=Законод!$C$22,G955,Законод!$C$22*'01_Доходи'!G954),IF($B$951="Лікар-педіатр",IF(L955&lt;=Законод!$C$18,G955,Законод!$C$18*'01_Доходи'!G954),IF($B$951="Лікар-терапевт","x",0)))</f>
        <v>0</v>
      </c>
      <c r="H956" s="208">
        <f ca="1">IF($B$951="Лікар загальної практики - сімейний лікар",IF(L955&lt;=Законод!$C$22,H955,Законод!$C$22*'01_Доходи'!H954),IF($B$951="Лікар-педіатр",IF(L955&lt;=Законод!$C$18,H955,Законод!$C$18*'01_Доходи'!H954),IF($B$951="Лікар-терапевт","x",0)))</f>
        <v>0</v>
      </c>
      <c r="I956" s="208">
        <f ca="1">IF($B$951="Лікар загальної практики - сімейний лікар",IF(L955&lt;=Законод!$C$22,I955,Законод!$C$22*'01_Доходи'!I954),IF($B$951="Лікар-педіатр","x",IF($B$951="Лікар-терапевт",IF(L955&lt;=Законод!$C$26,I955,Законод!$C$26*'01_Доходи'!I954),0)))</f>
        <v>0</v>
      </c>
      <c r="J956" s="208">
        <f ca="1">IF($B$951="Лікар загальної практики - сімейний лікар",IF(L955&lt;=Законод!$C$22,J955,Законод!$C$22*'01_Доходи'!J954),IF($B$951="Лікар-педіатр","x",IF($B$951="Лікар-терапевт",IF(L955&lt;=Законод!$C$26,J955,Законод!$C$26*'01_Доходи'!J954),0)))</f>
        <v>0</v>
      </c>
      <c r="K956" s="208">
        <f ca="1">IF($B$951="Лікар загальної практики - сімейний лікар",IF(L955&lt;=Законод!$C$22,K955,Законод!$C$22*'01_Доходи'!K954),IF($B$951="Лікар-педіатр","x",IF($B$951="Лікар-терапевт",IF(L955&lt;=Законод!$C$26,K955,Законод!$C$26*'01_Доходи'!K954),0)))</f>
        <v>0</v>
      </c>
      <c r="L956" s="209">
        <f ca="1">SUM(G956:K956)</f>
        <v>0</v>
      </c>
      <c r="M956" s="942"/>
      <c r="N956" s="208">
        <f ca="1">IF($B$951="Лікар загальної практики - сімейний лікар",IF(S955&lt;=Законод!$C$22,N955,Законод!$C$22*'01_Доходи'!N954),IF($B$951="Лікар-педіатр",IF(S955&lt;=Законод!$C$18,N955,Законод!$C$18*'01_Доходи'!N954),IF($B$951="Лікар-терапевт","x",0)))</f>
        <v>0</v>
      </c>
      <c r="O956" s="208">
        <f ca="1">IF($B$951="Лікар загальної практики - сімейний лікар",IF(S955&lt;=Законод!$C$22,O955,Законод!$C$22*'01_Доходи'!O954),IF($B$951="Лікар-педіатр",IF(S955&lt;=Законод!$C$18,O955,Законод!$C$18*'01_Доходи'!O954),IF($B$951="Лікар-терапевт","x",0)))</f>
        <v>0</v>
      </c>
      <c r="P956" s="208">
        <f ca="1">IF($B$951="Лікар загальної практики - сімейний лікар",IF(S955&lt;=Законод!$C$22,P955,Законод!$C$22*'01_Доходи'!P954),IF($B$951="Лікар-педіатр","x",IF($B$951="Лікар-терапевт",IF(S955&lt;=Законод!$C$26,P955,Законод!$C$26*'01_Доходи'!P954),0)))</f>
        <v>0</v>
      </c>
      <c r="Q956" s="208">
        <f ca="1">IF($B$951="Лікар загальної практики - сімейний лікар",IF(S955&lt;=Законод!$C$22,Q955,Законод!$C$22*'01_Доходи'!Q954),IF($B$951="Лікар-педіатр","x",IF($B$951="Лікар-терапевт",IF(S955&lt;=Законод!$C$26,Q955,Законод!$C$26*'01_Доходи'!Q954),0)))</f>
        <v>0</v>
      </c>
      <c r="R956" s="208">
        <f ca="1">IF($B$951="Лікар загальної практики - сімейний лікар",IF(S955&lt;=Законод!$C$22,R955,Законод!$C$22*'01_Доходи'!R954),IF($B$951="Лікар-педіатр","x",IF($B$951="Лікар-терапевт",IF(S955&lt;=Законод!$C$26,R955,Законод!$C$26*'01_Доходи'!R954),0)))</f>
        <v>0</v>
      </c>
      <c r="S956" s="209">
        <f ca="1">SUM(N956:R956)</f>
        <v>0</v>
      </c>
      <c r="T956" s="942"/>
      <c r="U956" s="208">
        <f ca="1">IF($B$951="Лікар загальної практики - сімейний лікар",IF(Z955&lt;=Законод!$C$22,U955,Законод!$C$22*'01_Доходи'!U954),IF($B$951="Лікар-педіатр",IF(Z955&lt;=Законод!$C$18,U955,Законод!$C$18*'01_Доходи'!U954),IF($B$951="Лікар-терапевт","x",0)))</f>
        <v>0</v>
      </c>
      <c r="V956" s="208">
        <f ca="1">IF($B$951="Лікар загальної практики - сімейний лікар",IF(Z955&lt;=Законод!$C$22,V955,Законод!$C$22*'01_Доходи'!V954),IF($B$951="Лікар-педіатр",IF(Z955&lt;=Законод!$C$18,V955,Законод!$C$18*'01_Доходи'!V954),IF($B$951="Лікар-терапевт","x",0)))</f>
        <v>0</v>
      </c>
      <c r="W956" s="208">
        <f ca="1">IF($B$951="Лікар загальної практики - сімейний лікар",IF(Z955&lt;=Законод!$C$22,W955,Законод!$C$22*'01_Доходи'!W954),IF($B$951="Лікар-педіатр","x",IF($B$951="Лікар-терапевт",IF(Z955&lt;=Законод!$C$26,W955,Законод!$C$26*'01_Доходи'!W954),0)))</f>
        <v>0</v>
      </c>
      <c r="X956" s="208">
        <f ca="1">IF($B$951="Лікар загальної практики - сімейний лікар",IF(Z955&lt;=Законод!$C$22,X955,Законод!$C$22*'01_Доходи'!X954),IF($B$951="Лікар-педіатр","x",IF($B$951="Лікар-терапевт",IF(Z955&lt;=Законод!$C$26,X955,Законод!$C$26*'01_Доходи'!X954),0)))</f>
        <v>0</v>
      </c>
      <c r="Y956" s="208">
        <f ca="1">IF($B$951="Лікар загальної практики - сімейний лікар",IF(Z955&lt;=Законод!$C$22,Y955,Законод!$C$22*'01_Доходи'!Y954),IF($B$951="Лікар-педіатр","x",IF($B$951="Лікар-терапевт",IF(Z955&lt;=Законод!$C$26,Y955,Законод!$C$26*'01_Доходи'!Y954),0)))</f>
        <v>0</v>
      </c>
      <c r="Z956" s="209">
        <f ca="1">SUM(U956:Y956)</f>
        <v>0</v>
      </c>
      <c r="AA956" s="942"/>
      <c r="AB956" s="208">
        <f ca="1">IF($B$951="Лікар загальної практики - сімейний лікар",IF(AG955&lt;=Законод!$C$22,AB955,Законод!$C$22*'01_Доходи'!AB954),IF($B$951="Лікар-педіатр",IF(AG955&lt;=Законод!$C$18,AB955,Законод!$C$18*'01_Доходи'!AB954),IF($B$951="Лікар-терапевт","x",0)))</f>
        <v>0</v>
      </c>
      <c r="AC956" s="208">
        <f ca="1">IF($B$951="Лікар загальної практики - сімейний лікар",IF(AG955&lt;=Законод!$C$22,AC955,Законод!$C$22*'01_Доходи'!AC954),IF($B$951="Лікар-педіатр",IF(AG955&lt;=Законод!$C$18,AC955,Законод!$C$18*'01_Доходи'!AC954),IF($B$951="Лікар-терапевт","x",0)))</f>
        <v>0</v>
      </c>
      <c r="AD956" s="208">
        <f ca="1">IF($B$951="Лікар загальної практики - сімейний лікар",IF(AG955&lt;=Законод!$C$22,AD955,Законод!$C$22*'01_Доходи'!AD954),IF($B$951="Лікар-педіатр","x",IF($B$951="Лікар-терапевт",IF(AG955&lt;=Законод!$C$26,AD955,Законод!$C$26*'01_Доходи'!AD954),0)))</f>
        <v>0</v>
      </c>
      <c r="AE956" s="208">
        <f ca="1">IF($B$951="Лікар загальної практики - сімейний лікар",IF(AG955&lt;=Законод!$C$22,AE955,Законод!$C$22*'01_Доходи'!AE954),IF($B$951="Лікар-педіатр","x",IF($B$951="Лікар-терапевт",IF(AG955&lt;=Законод!$C$26,AE955,Законод!$C$26*'01_Доходи'!AE954),0)))</f>
        <v>0</v>
      </c>
      <c r="AF956" s="208">
        <f ca="1">IF($B$951="Лікар загальної практики - сімейний лікар",IF(AG955&lt;=Законод!$C$22,AF955,Законод!$C$22*'01_Доходи'!AF954),IF($B$951="Лікар-педіатр","x",IF($B$951="Лікар-терапевт",IF(AG955&lt;=Законод!$C$26,AF955,Законод!$C$26*'01_Доходи'!AF954),0)))</f>
        <v>0</v>
      </c>
      <c r="AG956" s="209">
        <f ca="1">SUM(AB956:AF956)</f>
        <v>0</v>
      </c>
      <c r="AH956" s="942"/>
      <c r="AI956" s="201"/>
      <c r="AJ956" s="945"/>
      <c r="AK956" s="960"/>
      <c r="AL956" s="960"/>
      <c r="AM956" s="348" t="s">
        <v>451</v>
      </c>
      <c r="AN956" s="210">
        <f ca="1">IF(B951="Лікар загальної практики - сімейний лікар",G956*Законод!$C$11+'01_Доходи'!H956*Законод!$D$11+'01_Доходи'!I956*Законод!$E$11+'01_Доходи'!J956*Законод!$F$11+'01_Доходи'!K956*Законод!$G$11,IF(B951="Лікар-педіатр",G956*Законод!$C$11+'01_Доходи'!H956*Законод!$D$11,IF(B951="Лікар-терапевт",'01_Доходи'!I956*Законод!$E$11+'01_Доходи'!J956*Законод!$F$11+'01_Доходи'!K956*Законод!$G$11,0)))</f>
        <v>0</v>
      </c>
      <c r="AO956" s="210">
        <f ca="1">IF(B951="Лікар загальної практики - сімейний лікар",N956*Законод!$C$11+'01_Доходи'!O956*Законод!$D$11+'01_Доходи'!P956*Законод!$E$11+'01_Доходи'!Q956*Законод!$F$11+'01_Доходи'!R956*Законод!$G$11,IF(B951="Лікар-педіатр",N956*Законод!$C$11+'01_Доходи'!O956*Законод!$D$11,IF(B951="Лікар-терапевт",'01_Доходи'!P956*Законод!$E$11+'01_Доходи'!Q956*Законод!$F$11+'01_Доходи'!R956*Законод!$G$11,0)))</f>
        <v>0</v>
      </c>
      <c r="AP956" s="210">
        <f ca="1">IF(B951="Лікар загальної практики - сімейний лікар",U956*Законод!$C$11+'01_Доходи'!V956*Законод!$D$11+'01_Доходи'!W956*Законод!$E$11+'01_Доходи'!X956*Законод!$F$11+'01_Доходи'!Y956*Законод!$G$11,IF(B951="Лікар-педіатр",U956*Законод!$C$11+'01_Доходи'!V956*Законод!$D$11,IF(B951="Лікар-терапевт",'01_Доходи'!W956*Законод!$E$11+'01_Доходи'!X956*Законод!$F$11+'01_Доходи'!Y956*Законод!$G$11,0)))</f>
        <v>0</v>
      </c>
      <c r="AQ956" s="210">
        <f ca="1">IF(B951="Лікар загальної практики - сімейний лікар",AB956*Законод!$C$11+'01_Доходи'!AC956*Законод!$D$11+'01_Доходи'!AD956*Законод!$E$11+'01_Доходи'!AE956*Законод!$F$11+'01_Доходи'!AF956*Законод!$G$11,IF(B951="Лікар-педіатр",AB956*Законод!$C$11+'01_Доходи'!AC956*Законод!$D$11,IF(B951="Лікар-терапевт",'01_Доходи'!AD956*Законод!$E$11+'01_Доходи'!AE956*Законод!$F$11+'01_Доходи'!AF956*Законод!$G$11,0)))</f>
        <v>0</v>
      </c>
      <c r="AR956" s="211">
        <f t="shared" ref="AR956:AR962" si="113">SUM(AN956:AQ956)</f>
        <v>0</v>
      </c>
    </row>
    <row r="957" spans="1:44" s="50" customFormat="1" ht="31.9" hidden="1" customHeight="1">
      <c r="A957" s="197"/>
      <c r="B957" s="951"/>
      <c r="C957" s="954"/>
      <c r="D957" s="957"/>
      <c r="E957" s="939"/>
      <c r="F957" s="238" t="str">
        <f ca="1">IF(B951="Лікар-педіатр",Законод!$E$17,IF(B951="Лікар загальної практики - сімейний лікар",Законод!$E$21,IF(B951="Лікар-терапевт",Законод!$E$25,"х")))</f>
        <v>х</v>
      </c>
      <c r="G957" s="935" t="s">
        <v>423</v>
      </c>
      <c r="H957" s="936"/>
      <c r="I957" s="936"/>
      <c r="J957" s="936"/>
      <c r="K957" s="937"/>
      <c r="L957" s="196">
        <f ca="1">IF($B$951="Лікар загальної практики - сімейний лікар",IF(L955&lt;Законод!$C$22,0,(IF(AND(L955&gt;=Законод!$E$22,L955&lt;=Законод!$E$23),L955-Законод!$C$22,IF('01_Доходи'!L955&gt;=Законод!$F$22,Законод!$E$24,0)))),IF($B$951="Лікар-педіатр",IF(L955&lt;Законод!$C$18,0,(IF(AND(L955&gt;=Законод!$E$18,L955&lt;=Законод!$E$19),L955-Законод!$C$18,IF('01_Доходи'!L955&gt;=Законод!$F$18,Законод!$E$20,0)))),IF($B$951="Лікар-терапевт",IF(L955&lt;Законод!$C$26,0,(IF(AND(L955&gt;=Законод!$E$26,L955&lt;=Законод!$E$27),L955-Законод!$C$26,IF('01_Доходи'!L955&gt;=Законод!$F$26,Законод!$E$28,0)))),0)))</f>
        <v>0</v>
      </c>
      <c r="M957" s="942"/>
      <c r="N957" s="935" t="s">
        <v>423</v>
      </c>
      <c r="O957" s="936"/>
      <c r="P957" s="936"/>
      <c r="Q957" s="936"/>
      <c r="R957" s="937"/>
      <c r="S957" s="196">
        <f ca="1">IF($B$951="Лікар загальної практики - сімейний лікар",IF(S955&lt;Законод!$C$22,0,(IF(AND(S955&gt;=Законод!$E$22,S955&lt;=Законод!$E$23),S955-Законод!$C$22,IF('01_Доходи'!S955&gt;=Законод!$F$22,Законод!$E$24,0)))),IF($B$951="Лікар-педіатр",IF(S955&lt;Законод!$C$18,0,(IF(AND(S955&gt;=Законод!$E$18,S955&lt;=Законод!$E$19),S955-Законод!$C$18,IF('01_Доходи'!S955&gt;=Законод!$F$18,Законод!$E$20,0)))),IF($B$951="Лікар-терапевт",IF(S955&lt;Законод!$C$26,0,(IF(AND(S955&gt;=Законод!$E$26,S955&lt;=Законод!$E$27),S955-Законод!$C$26,IF('01_Доходи'!S955&gt;=Законод!$F$26,Законод!$E$28,0)))),0)))</f>
        <v>0</v>
      </c>
      <c r="T957" s="942"/>
      <c r="U957" s="935" t="s">
        <v>423</v>
      </c>
      <c r="V957" s="936"/>
      <c r="W957" s="936"/>
      <c r="X957" s="936"/>
      <c r="Y957" s="937"/>
      <c r="Z957" s="196">
        <f ca="1">IF($B$951="Лікар загальної практики - сімейний лікар",IF(Z955&lt;Законод!$C$22,0,(IF(AND(Z955&gt;=Законод!$E$22,Z955&lt;=Законод!$E$23),Z955-Законод!$C$22,IF('01_Доходи'!Z955&gt;=Законод!$F$22,Законод!$E$24,0)))),IF($B$951="Лікар-педіатр",IF(Z955&lt;Законод!$C$18,0,(IF(AND(Z955&gt;=Законод!$E$18,Z955&lt;=Законод!$E$19),Z955-Законод!$C$18,IF('01_Доходи'!Z955&gt;=Законод!$F$18,Законод!$E$20,0)))),IF($B$951="Лікар-терапевт",IF(Z955&lt;Законод!$C$26,0,(IF(AND(Z955&gt;=Законод!$E$26,Z955&lt;=Законод!$E$27),Z955-Законод!$C$26,IF('01_Доходи'!Z955&gt;=Законод!$F$26,Законод!$E$28,0)))),0)))</f>
        <v>0</v>
      </c>
      <c r="AA957" s="942"/>
      <c r="AB957" s="935" t="s">
        <v>423</v>
      </c>
      <c r="AC957" s="936"/>
      <c r="AD957" s="936"/>
      <c r="AE957" s="936"/>
      <c r="AF957" s="937"/>
      <c r="AG957" s="196">
        <f ca="1">IF($B$951="Лікар загальної практики - сімейний лікар",IF(AG955&lt;Законод!$C$22,0,(IF(AND(AG955&gt;=Законод!$E$22,AG955&lt;=Законод!$E$23),AG955-Законод!$C$22,IF('01_Доходи'!AG955&gt;=Законод!$F$22,Законод!$E$24,0)))),IF($B$951="Лікар-педіатр",IF(AG955&lt;Законод!$C$18,0,(IF(AND(AG955&gt;=Законод!$E$18,AG955&lt;=Законод!$E$19),AG955-Законод!$C$18,IF('01_Доходи'!AG955&gt;=Законод!$F$18,Законод!$E$20,0)))),IF($B$951="Лікар-терапевт",IF(AG955&lt;Законод!$C$26,0,(IF(AND(AG955&gt;=Законод!$E$26,AG955&lt;=Законод!$E$27),AG955-Законод!$C$26,IF('01_Доходи'!AG955&gt;=Законод!$F$26,Законод!$E$28,0)))),0)))</f>
        <v>0</v>
      </c>
      <c r="AH957" s="942"/>
      <c r="AI957" s="201"/>
      <c r="AJ957" s="945"/>
      <c r="AK957" s="960"/>
      <c r="AL957" s="960"/>
      <c r="AM957" s="926" t="s">
        <v>452</v>
      </c>
      <c r="AN957" s="210">
        <f ca="1">IF(B951="Лікар загальної практики - сімейний лікар",L957*Законод!$C$9/4*Законод!$E$16,IF(B951="Лікар-педіатр",L957*Законод!$C$9/4*Законод!$E$16,IF(B951="Лікар-терапевт",L957*Законод!$C$9/4*Законод!$E$16,0)))</f>
        <v>0</v>
      </c>
      <c r="AO957" s="210">
        <f ca="1">IF(B951="Лікар загальної практики - сімейний лікар",S957*Законод!$C$9/4*Законод!$E$16,IF(B951="Лікар-педіатр",S957*Законод!$C$9/4*Законод!$E$16,IF(B951="Лікар-терапевт",S957*Законод!$C$9/4*Законод!$E$16,0)))</f>
        <v>0</v>
      </c>
      <c r="AP957" s="210">
        <f ca="1">IF(B951="Лікар загальної практики - сімейний лікар",Z957*Законод!$C$9/4*Законод!$E$16,IF(B951="Лікар-педіатр",Z957*Законод!$C$9/4*Законод!$E$16,IF(B951="Лікар-терапевт",Z957*Законод!$C$9/4*Законод!$E$16,0)))</f>
        <v>0</v>
      </c>
      <c r="AQ957" s="210">
        <f ca="1">IF(B951="Лікар загальної практики - сімейний лікар",AG957*Законод!$C$9/4*Законод!$E$16,IF(B951="Лікар-педіатр",AG957*Законод!$C$9/4*Законод!$E$16,IF(B951="Лікар-терапевт",AG957*Законод!$C$9/4*Законод!$E$16,0)))</f>
        <v>0</v>
      </c>
      <c r="AR957" s="211">
        <f t="shared" si="113"/>
        <v>0</v>
      </c>
    </row>
    <row r="958" spans="1:44" s="50" customFormat="1" ht="31.9" hidden="1" customHeight="1">
      <c r="A958" s="197"/>
      <c r="B958" s="951"/>
      <c r="C958" s="954"/>
      <c r="D958" s="957"/>
      <c r="E958" s="939"/>
      <c r="F958" s="238" t="str">
        <f ca="1">IF(B951="Лікар-педіатр",Законод!$F$17,IF(B951="Лікар загальної практики - сімейний лікар",Законод!$F$21,IF(B951="Лікар-терапевт",Законод!$F$25,"х")))</f>
        <v>х</v>
      </c>
      <c r="G958" s="935" t="s">
        <v>423</v>
      </c>
      <c r="H958" s="936"/>
      <c r="I958" s="936"/>
      <c r="J958" s="936"/>
      <c r="K958" s="937"/>
      <c r="L958" s="196">
        <f ca="1">IF($B$951="Лікар загальної практики - сімейний лікар",IF(L955&lt;Законод!$C$22,0,(IF(AND(L955&gt;=Законод!$F$22,L955&lt;=Законод!$F$23),L955-Законод!$E$23,IF('01_Доходи'!L955&gt;=Законод!$G$22,Законод!$F$24,0)))),IF($B$951="Лікар-педіатр",IF(L955&lt;Законод!$C$18,0,(IF(AND(L955&gt;=Законод!$F$18,L955&lt;=Законод!$F$19),L955-Законод!$E$19,IF('01_Доходи'!L955&gt;=Законод!$G$18,Законод!$F$20,0)))),IF($B$951="Лікар-терапевт",IF(L955&lt;Законод!$C$26,0,(IF(AND(L955&gt;=Законод!$F$26,L955&lt;=Законод!$F$27),L955-Законод!$E$27,IF('01_Доходи'!L955&gt;=Законод!$G$26,Законод!$F$28,0)))),0)))</f>
        <v>0</v>
      </c>
      <c r="M958" s="942"/>
      <c r="N958" s="935" t="s">
        <v>423</v>
      </c>
      <c r="O958" s="936"/>
      <c r="P958" s="936"/>
      <c r="Q958" s="936"/>
      <c r="R958" s="937"/>
      <c r="S958" s="196">
        <f ca="1">IF($B$951="Лікар загальної практики - сімейний лікар",IF(S955&lt;Законод!$C$22,0,(IF(AND(S955&gt;=Законод!$F$22,S955&lt;=Законод!$F$23),S955-Законод!$E$23,IF('01_Доходи'!S955&gt;=Законод!$G$22,Законод!$F$24,0)))),IF($B$951="Лікар-педіатр",IF(S955&lt;Законод!$C$18,0,(IF(AND(S955&gt;=Законод!$F$18,S955&lt;=Законод!$F$19),S955-Законод!$E$19,IF('01_Доходи'!S955&gt;=Законод!$G$18,Законод!$F$20,0)))),IF($B$951="Лікар-терапевт",IF(S955&lt;Законод!$C$26,0,(IF(AND(S955&gt;=Законод!$F$26,S955&lt;=Законод!$F$27),S955-Законод!$E$27,IF('01_Доходи'!S955&gt;=Законод!$G$26,Законод!$F$28,0)))),0)))</f>
        <v>0</v>
      </c>
      <c r="T958" s="942"/>
      <c r="U958" s="935" t="s">
        <v>423</v>
      </c>
      <c r="V958" s="936"/>
      <c r="W958" s="936"/>
      <c r="X958" s="936"/>
      <c r="Y958" s="937"/>
      <c r="Z958" s="196">
        <f ca="1">IF($B$951="Лікар загальної практики - сімейний лікар",IF(Z955&lt;Законод!$C$22,0,(IF(AND(Z955&gt;=Законод!$F$22,Z955&lt;=Законод!$F$23),Z955-Законод!$E$23,IF('01_Доходи'!Z955&gt;=Законод!$G$22,Законод!$F$24,0)))),IF($B$951="Лікар-педіатр",IF(Z955&lt;Законод!$C$18,0,(IF(AND(Z955&gt;=Законод!$F$18,Z955&lt;=Законод!$F$19),Z955-Законод!$E$19,IF('01_Доходи'!Z955&gt;=Законод!$G$18,Законод!$F$20,0)))),IF($B$951="Лікар-терапевт",IF(Z955&lt;Законод!$C$26,0,(IF(AND(Z955&gt;=Законод!$F$26,Z955&lt;=Законод!$F$27),Z955-Законод!$E$27,IF('01_Доходи'!Z955&gt;=Законод!$G$26,Законод!$F$28,0)))),0)))</f>
        <v>0</v>
      </c>
      <c r="AA958" s="942"/>
      <c r="AB958" s="935" t="s">
        <v>423</v>
      </c>
      <c r="AC958" s="936"/>
      <c r="AD958" s="936"/>
      <c r="AE958" s="936"/>
      <c r="AF958" s="937"/>
      <c r="AG958" s="196">
        <f ca="1">IF($B$951="Лікар загальної практики - сімейний лікар",IF(AG955&lt;Законод!$C$22,0,(IF(AND(AG955&gt;=Законод!$F$22,AG955&lt;=Законод!$F$23),AG955-Законод!$E$23,IF('01_Доходи'!AG955&gt;=Законод!$G$22,Законод!$F$24,0)))),IF($B$951="Лікар-педіатр",IF(AG955&lt;Законод!$C$18,0,(IF(AND(AG955&gt;=Законод!$F$18,AG955&lt;=Законод!$F$19),AG955-Законод!$E$19,IF('01_Доходи'!AG955&gt;=Законод!$G$18,Законод!$F$20,0)))),IF($B$951="Лікар-терапевт",IF(AG955&lt;Законод!$C$26,0,(IF(AND(AG955&gt;=Законод!$F$26,AG955&lt;=Законод!$F$27),AG955-Законод!$E$27,IF('01_Доходи'!AG955&gt;=Законод!$G$26,Законод!$F$28,0)))),0)))</f>
        <v>0</v>
      </c>
      <c r="AH958" s="942"/>
      <c r="AI958" s="201"/>
      <c r="AJ958" s="945"/>
      <c r="AK958" s="960"/>
      <c r="AL958" s="960"/>
      <c r="AM958" s="927"/>
      <c r="AN958" s="210">
        <f ca="1">IF(B951="Лікар загальної практики - сімейний лікар",L958*Законод!$C$9/4*Законод!$F$16,IF(B951="Лікар-педіатр",L958*Законод!$C$9/4*Законод!$F$16,IF(B951="Лікар-терапевт",L958*Законод!$C$9/4*Законод!$F$16,0)))</f>
        <v>0</v>
      </c>
      <c r="AO958" s="210">
        <f ca="1">IF(B951="Лікар загальної практики - сімейний лікар",S958*Законод!$C$9/4*Законод!$F$16,IF(B951="Лікар-педіатр",S958*Законод!$C$9/4*Законод!$F$16,IF(B951="Лікар-терапевт",S958*Законод!$C$9/4*Законод!$F$16,0)))</f>
        <v>0</v>
      </c>
      <c r="AP958" s="210">
        <f ca="1">IF(B951="Лікар загальної практики - сімейний лікар",Z958*Законод!$C$9/4*Законод!$F$16,IF(B951="Лікар-педіатр",Z958*Законод!$C$9/4*Законод!$F$16,IF(B951="Лікар-терапевт",Z958*Законод!$C$9/4*Законод!$F$16,0)))</f>
        <v>0</v>
      </c>
      <c r="AQ958" s="210">
        <f ca="1">IF(B951="Лікар загальної практики - сімейний лікар",AG958*Законод!$C$9/4*Законод!$F$16,IF(B951="Лікар-педіатр",AG958*Законод!$C$9/4*Законод!$F$16,IF(B951="Лікар-терапевт",AG958*Законод!$C$9/4*Законод!$F$16,0)))</f>
        <v>0</v>
      </c>
      <c r="AR958" s="211">
        <f t="shared" si="113"/>
        <v>0</v>
      </c>
    </row>
    <row r="959" spans="1:44" s="50" customFormat="1" ht="31.9" hidden="1" customHeight="1">
      <c r="A959" s="197"/>
      <c r="B959" s="951"/>
      <c r="C959" s="954"/>
      <c r="D959" s="957"/>
      <c r="E959" s="939"/>
      <c r="F959" s="238" t="str">
        <f ca="1">IF(B951="Лікар-педіатр",Законод!$G$17,IF(B951="Лікар загальної практики - сімейний лікар",Законод!$G$21,IF(B951="Лікар-терапевт",Законод!$G$25,"х")))</f>
        <v>х</v>
      </c>
      <c r="G959" s="935" t="s">
        <v>423</v>
      </c>
      <c r="H959" s="936"/>
      <c r="I959" s="936"/>
      <c r="J959" s="936"/>
      <c r="K959" s="937"/>
      <c r="L959" s="196">
        <f ca="1">IF($B$951="Лікар загальної практики - сімейний лікар",IF(L955&lt;Законод!$C$22,0,(IF(AND(L955&gt;=Законод!$G$22,L955&lt;=Законод!$G$23),L955-Законод!$F$23,IF('01_Доходи'!L955&gt;=Законод!$H$22,Законод!$G$24,0)))),IF($B$951="Лікар-педіатр",IF(L955&lt;Законод!$C$18,0,(IF(AND(L955&gt;=Законод!$G$18,L955&lt;=Законод!$G$19),L955-Законод!$F$19,IF('01_Доходи'!L955&gt;=Законод!$H$18,Законод!$G$20,0)))),IF($B$951="Лікар-терапевт",IF(L955&lt;Законод!$C$26,0,(IF(AND(L955&gt;=Законод!$G$26,L955&lt;=Законод!$G$27),L955-Законод!$F$27,IF('01_Доходи'!L955&gt;=Законод!$H$26,Законод!$G$28,0)))),0)))</f>
        <v>0</v>
      </c>
      <c r="M959" s="942"/>
      <c r="N959" s="935" t="s">
        <v>423</v>
      </c>
      <c r="O959" s="936"/>
      <c r="P959" s="936"/>
      <c r="Q959" s="936"/>
      <c r="R959" s="937"/>
      <c r="S959" s="196">
        <f ca="1">IF($B$951="Лікар загальної практики - сімейний лікар",IF(S955&lt;Законод!$C$22,0,(IF(AND(S955&gt;=Законод!$G$22,S955&lt;=Законод!$G$23),S955-Законод!$F$23,IF('01_Доходи'!S955&gt;=Законод!$H$22,Законод!$G$24,0)))),IF($B$951="Лікар-педіатр",IF(S955&lt;Законод!$C$18,0,(IF(AND(S955&gt;=Законод!$G$18,S955&lt;=Законод!$G$19),S955-Законод!$F$19,IF('01_Доходи'!S955&gt;=Законод!$H$18,Законод!$G$20,0)))),IF($B$951="Лікар-терапевт",IF(S955&lt;Законод!$C$26,0,(IF(AND(S955&gt;=Законод!$G$26,S955&lt;=Законод!$G$27),S955-Законод!$F$27,IF('01_Доходи'!S955&gt;=Законод!$H$26,Законод!$G$28,0)))),0)))</f>
        <v>0</v>
      </c>
      <c r="T959" s="942"/>
      <c r="U959" s="935" t="s">
        <v>423</v>
      </c>
      <c r="V959" s="936"/>
      <c r="W959" s="936"/>
      <c r="X959" s="936"/>
      <c r="Y959" s="937"/>
      <c r="Z959" s="196">
        <f ca="1">IF($B$951="Лікар загальної практики - сімейний лікар",IF(Z955&lt;Законод!$C$22,0,(IF(AND(Z955&gt;=Законод!$G$22,Z955&lt;=Законод!$G$23),Z955-Законод!$F$23,IF('01_Доходи'!Z955&gt;=Законод!$H$22,Законод!$G$24,0)))),IF($B$951="Лікар-педіатр",IF(Z955&lt;Законод!$C$18,0,(IF(AND(Z955&gt;=Законод!$G$18,Z955&lt;=Законод!$G$19),Z955-Законод!$F$19,IF('01_Доходи'!Z955&gt;=Законод!$H$18,Законод!$G$20,0)))),IF($B$951="Лікар-терапевт",IF(Z955&lt;Законод!$C$26,0,(IF(AND(Z955&gt;=Законод!$G$26,Z955&lt;=Законод!$G$27),Z955-Законод!$F$27,IF('01_Доходи'!Z955&gt;=Законод!$H$26,Законод!$G$28,0)))),0)))</f>
        <v>0</v>
      </c>
      <c r="AA959" s="942"/>
      <c r="AB959" s="935" t="s">
        <v>423</v>
      </c>
      <c r="AC959" s="936"/>
      <c r="AD959" s="936"/>
      <c r="AE959" s="936"/>
      <c r="AF959" s="937"/>
      <c r="AG959" s="196">
        <f ca="1">IF($B$951="Лікар загальної практики - сімейний лікар",IF(AG955&lt;Законод!$C$22,0,(IF(AND(AG955&gt;=Законод!$G$22,AG955&lt;=Законод!$G$23),AG955-Законод!$F$23,IF('01_Доходи'!AG955&gt;=Законод!$H$22,Законод!$G$24,0)))),IF($B$951="Лікар-педіатр",IF(AG955&lt;Законод!$C$18,0,(IF(AND(AG955&gt;=Законод!$G$18,AG955&lt;=Законод!$G$19),AG955-Законод!$F$19,IF('01_Доходи'!AG955&gt;=Законод!$H$18,Законод!$G$20,0)))),IF($B$951="Лікар-терапевт",IF(AG955&lt;Законод!$C$26,0,(IF(AND(AG955&gt;=Законод!$G$26,AG955&lt;=Законод!$G$27),AG955-Законод!$F$27,IF('01_Доходи'!AG955&gt;=Законод!$H$26,Законод!$G$28,0)))),0)))</f>
        <v>0</v>
      </c>
      <c r="AH959" s="942"/>
      <c r="AI959" s="201"/>
      <c r="AJ959" s="945"/>
      <c r="AK959" s="960"/>
      <c r="AL959" s="960"/>
      <c r="AM959" s="927"/>
      <c r="AN959" s="210">
        <f ca="1">IF(B951="Лікар загальної практики - сімейний лікар",L959*Законод!$C$9/4*Законод!$G$16,IF(B951="Лікар-педіатр",L959*Законод!$C$9/4*Законод!$G$16,IF(B951="Лікар-терапевт",L959*Законод!$C$9/4*Законод!$G$16,0)))</f>
        <v>0</v>
      </c>
      <c r="AO959" s="210">
        <f ca="1">IF(B951="Лікар загальної практики - сімейний лікар",S959*Законод!$C$9/4*Законод!$G$16,IF(B951="Лікар-педіатр",S959*Законод!$C$9/4*Законод!$G$16,IF(B951="Лікар-терапевт",S959*Законод!$C$9/4*Законод!$G$16,0)))</f>
        <v>0</v>
      </c>
      <c r="AP959" s="210">
        <f ca="1">IF(B951="Лікар загальної практики - сімейний лікар",Z959*Законод!$C$9/4*Законод!$G$16,IF(B951="Лікар-педіатр",Z959*Законод!$C$9/4*Законод!$G$16,IF(B951="Лікар-терапевт",Z959*Законод!$C$9/4*Законод!$G$16,0)))</f>
        <v>0</v>
      </c>
      <c r="AQ959" s="210">
        <f ca="1">IF(B951="Лікар загальної практики - сімейний лікар",AG959*Законод!$C$9/4*Законод!$G$16,IF(B951="Лікар-педіатр",AG959*Законод!$C$9/4*Законод!$G$16,IF(B951="Лікар-терапевт",AG959*Законод!$C$9/4*Законод!$G$16,0)))</f>
        <v>0</v>
      </c>
      <c r="AR959" s="211">
        <f t="shared" si="113"/>
        <v>0</v>
      </c>
    </row>
    <row r="960" spans="1:44" s="50" customFormat="1" ht="31.9" hidden="1" customHeight="1">
      <c r="A960" s="197"/>
      <c r="B960" s="951"/>
      <c r="C960" s="954"/>
      <c r="D960" s="957"/>
      <c r="E960" s="939"/>
      <c r="F960" s="238" t="str">
        <f ca="1">IF(B951="Лікар-педіатр",Законод!$H$17,IF(B951="Лікар загальної практики - сімейний лікар",Законод!$H$21,IF(B951="Лікар-терапевт",Законод!$H$25,"х")))</f>
        <v>х</v>
      </c>
      <c r="G960" s="935" t="s">
        <v>423</v>
      </c>
      <c r="H960" s="936"/>
      <c r="I960" s="936"/>
      <c r="J960" s="936"/>
      <c r="K960" s="937"/>
      <c r="L960" s="196">
        <f ca="1">IF($B$951="Лікар загальної практики - сімейний лікар",IF(L955&lt;Законод!$C$22,0,(IF(AND(L955&gt;=Законод!$H$22,L955&lt;=Законод!$H$23),L955-Законод!$G$23,IF('01_Доходи'!L955&gt;=Законод!$I$22,Законод!$H$24,0)))),IF($B$951="Лікар-педіатр",IF(L955&lt;Законод!$C$18,0,(IF(AND(L955&gt;=Законод!$H$18,L955&lt;=Законод!$H$19),L955-Законод!$G$19,IF('01_Доходи'!L955&gt;=Законод!$I$18,Законод!$H$20,0)))),IF($B$951="Лікар-терапевт",IF(L955&lt;Законод!$C$26,0,(IF(AND(L955&gt;=Законод!$H$26,L955&lt;=Законод!$H$27),L955-Законод!$G$27,IF(L955&gt;=Законод!$I$26,Законод!$H$28,0)))),0)))</f>
        <v>0</v>
      </c>
      <c r="M960" s="942"/>
      <c r="N960" s="935" t="s">
        <v>423</v>
      </c>
      <c r="O960" s="936"/>
      <c r="P960" s="936"/>
      <c r="Q960" s="936"/>
      <c r="R960" s="937"/>
      <c r="S960" s="196">
        <f ca="1">IF($B$951="Лікар загальної практики - сімейний лікар",IF(S955&lt;Законод!$C$22,0,(IF(AND(S955&gt;=Законод!$H$22,S955&lt;=Законод!$H$23),S955-Законод!$G$23,IF('01_Доходи'!S955&gt;=Законод!$I$22,Законод!$H$24,0)))),IF($B$951="Лікар-педіатр",IF(S955&lt;Законод!$C$18,0,(IF(AND(S955&gt;=Законод!$H$18,S955&lt;=Законод!$H$19),S955-Законод!$G$19,IF('01_Доходи'!S955&gt;=Законод!$I$18,Законод!$H$20,0)))),IF($B$951="Лікар-терапевт",IF(S955&lt;Законод!$C$26,0,(IF(AND(S955&gt;=Законод!$H$26,S955&lt;=Законод!$H$27),S955-Законод!$G$27,IF(S955&gt;=Законод!$I$26,Законод!$H$28,0)))),0)))</f>
        <v>0</v>
      </c>
      <c r="T960" s="942"/>
      <c r="U960" s="935" t="s">
        <v>423</v>
      </c>
      <c r="V960" s="936"/>
      <c r="W960" s="936"/>
      <c r="X960" s="936"/>
      <c r="Y960" s="937"/>
      <c r="Z960" s="196">
        <f ca="1">IF($B$951="Лікар загальної практики - сімейний лікар",IF(Z955&lt;Законод!$C$22,0,(IF(AND(Z955&gt;=Законод!$H$22,Z955&lt;=Законод!$H$23),Z955-Законод!$G$23,IF('01_Доходи'!Z955&gt;=Законод!$I$22,Законод!$H$24,0)))),IF($B$951="Лікар-педіатр",IF(Z955&lt;Законод!$C$18,0,(IF(AND(Z955&gt;=Законод!$H$18,Z955&lt;=Законод!$H$19),Z955-Законод!$G$19,IF('01_Доходи'!Z955&gt;=Законод!$I$18,Законод!$H$20,0)))),IF($B$951="Лікар-терапевт",IF(Z955&lt;Законод!$C$26,0,(IF(AND(Z955&gt;=Законод!$H$26,Z955&lt;=Законод!$H$27),Z955-Законод!$G$27,IF(Z955&gt;=Законод!$I$26,Законод!$H$28,0)))),0)))</f>
        <v>0</v>
      </c>
      <c r="AA960" s="942"/>
      <c r="AB960" s="935" t="s">
        <v>423</v>
      </c>
      <c r="AC960" s="936"/>
      <c r="AD960" s="936"/>
      <c r="AE960" s="936"/>
      <c r="AF960" s="937"/>
      <c r="AG960" s="196">
        <f ca="1">IF($B$951="Лікар загальної практики - сімейний лікар",IF(AG955&lt;Законод!$C$22,0,(IF(AND(AG955&gt;=Законод!$H$22,AG955&lt;=Законод!$H$23),AG955-Законод!$G$23,IF('01_Доходи'!AG955&gt;=Законод!$I$22,Законод!$H$24,0)))),IF($B$951="Лікар-педіатр",IF(AG955&lt;Законод!$C$18,0,(IF(AND(AG955&gt;=Законод!$H$18,AG955&lt;=Законод!$H$19),AG955-Законод!$G$19,IF('01_Доходи'!AG955&gt;=Законод!$I$18,Законод!$H$20,0)))),IF($B$951="Лікар-терапевт",IF(AG955&lt;Законод!$C$26,0,(IF(AND(AG955&gt;=Законод!$H$26,AG955&lt;=Законод!$H$27),AG955-Законод!$G$27,IF(AG955&gt;=Законод!$I$26,Законод!$H$28,0)))),0)))</f>
        <v>0</v>
      </c>
      <c r="AH960" s="942"/>
      <c r="AI960" s="201"/>
      <c r="AJ960" s="945"/>
      <c r="AK960" s="960"/>
      <c r="AL960" s="960"/>
      <c r="AM960" s="927"/>
      <c r="AN960" s="210">
        <f ca="1">IF(B951="Лікар загальної практики - сімейний лікар",L960*Законод!$C$9/4*Законод!$H$16,IF(B951="Лікар-педіатр",L960*Законод!$C$9/4*Законод!$H$16,IF(B951="Лікар-терапевт",L960*Законод!$C$9/4*Законод!$H$16,0)))</f>
        <v>0</v>
      </c>
      <c r="AO960" s="210">
        <f ca="1">IF(B951="Лікар загальної практики - сімейний лікар",S960*Законод!$C$9/4*Законод!$H$16,IF(B951="Лікар-педіатр",S960*Законод!$C$9/4*Законод!$H$16,IF(B951="Лікар-терапевт",S960*Законод!$C$9/4*Законод!$H$16,0)))</f>
        <v>0</v>
      </c>
      <c r="AP960" s="210">
        <f ca="1">IF(B951="Лікар загальної практики - сімейний лікар",Z960*Законод!$C$9/4*Законод!$H$16,IF(B951="Лікар-педіатр",Z960*Законод!$C$9/4*Законод!$H$16,IF(B951="Лікар-терапевт",Z960*Законод!$C$9/4*Законод!$H$16,0)))</f>
        <v>0</v>
      </c>
      <c r="AQ960" s="210">
        <f ca="1">IF(B951="Лікар загальної практики - сімейний лікар",AG960*Законод!$C$9/4*Законод!$H$16,IF(B951="Лікар-педіатр",AG960*Законод!$C$9/4*Законод!$H$16,IF(B951="Лікар-терапевт",AG960*Законод!$C$9/4*Законод!$H$16,0)))</f>
        <v>0</v>
      </c>
      <c r="AR960" s="211">
        <f t="shared" si="113"/>
        <v>0</v>
      </c>
    </row>
    <row r="961" spans="1:44" s="50" customFormat="1" ht="31.9" hidden="1" customHeight="1">
      <c r="A961" s="197"/>
      <c r="B961" s="951"/>
      <c r="C961" s="954"/>
      <c r="D961" s="957"/>
      <c r="E961" s="939"/>
      <c r="F961" s="238" t="str">
        <f ca="1">IF(B951="Лікар-педіатр",Законод!$I$17,IF(B951="Лікар загальної практики - сімейний лікар",Законод!$I$21,IF(B951="Лікар-терапевт",Законод!$I$25,"х")))</f>
        <v>х</v>
      </c>
      <c r="G961" s="935" t="s">
        <v>423</v>
      </c>
      <c r="H961" s="936"/>
      <c r="I961" s="936"/>
      <c r="J961" s="936"/>
      <c r="K961" s="937"/>
      <c r="L961" s="196">
        <f ca="1">IF($B$951="Лікар загальної практики - сімейний лікар",IF(L955&lt;Законод!$C$22,0,(IF(AND(L955&gt;=Законод!$I$22,L955&lt;=Законод!$I$23),L955-Законод!$H$23,IF('01_Доходи'!L955&gt;=Законод!$I$22,Законод!$I$24,0)))),IF($B$951="Лікар-педіатр",IF(L955&lt;Законод!$C$18,0,(IF(AND(L955&gt;=Законод!$I$18,L955&lt;=Законод!$I$19),L955-Законод!$H$19,IF('01_Доходи'!L955&gt;=Законод!$I$18,Законод!$H$20,0)))),IF($B$951="Лікар-терапевт",IF(L955&lt;Законод!$C$26,0,(IF(AND(L955&gt;=Законод!$I$26,L955&lt;=Законод!$I$27),L955-Законод!$H$27,IF('01_Доходи'!L955&gt;=Законод!$I$26,Законод!$H$28,0)))),0)))</f>
        <v>0</v>
      </c>
      <c r="M961" s="942"/>
      <c r="N961" s="935" t="s">
        <v>423</v>
      </c>
      <c r="O961" s="936"/>
      <c r="P961" s="936"/>
      <c r="Q961" s="936"/>
      <c r="R961" s="937"/>
      <c r="S961" s="196">
        <f ca="1">IF($B$951="Лікар загальної практики - сімейний лікар",IF(S955&lt;Законод!$C$22,0,(IF(AND(S955&gt;=Законод!$I$22,S955&lt;=Законод!$I$23),S955-Законод!$H$23,IF('01_Доходи'!S955&gt;=Законод!$I$22,Законод!$I$24,0)))),IF($B$951="Лікар-педіатр",IF(S955&lt;Законод!$C$18,0,(IF(AND(S955&gt;=Законод!$I$18,S955&lt;=Законод!$I$19),S955-Законод!$H$19,IF('01_Доходи'!S955&gt;=Законод!$I$18,Законод!$H$20,0)))),IF($B$951="Лікар-терапевт",IF(S955&lt;Законод!$C$26,0,(IF(AND(S955&gt;=Законод!$I$26,S955&lt;=Законод!$I$27),S955-Законод!$H$27,IF('01_Доходи'!S955&gt;=Законод!$I$26,Законод!$H$28,0)))),0)))</f>
        <v>0</v>
      </c>
      <c r="T961" s="942"/>
      <c r="U961" s="935" t="s">
        <v>423</v>
      </c>
      <c r="V961" s="936"/>
      <c r="W961" s="936"/>
      <c r="X961" s="936"/>
      <c r="Y961" s="937"/>
      <c r="Z961" s="196">
        <f ca="1">IF($B$951="Лікар загальної практики - сімейний лікар",IF(Z955&lt;Законод!$C$22,0,(IF(AND(Z955&gt;=Законод!$I$22,Z955&lt;=Законод!$I$23),Z955-Законод!$H$23,IF('01_Доходи'!Z955&gt;=Законод!$I$22,Законод!$I$24,0)))),IF($B$951="Лікар-педіатр",IF(Z955&lt;Законод!$C$18,0,(IF(AND(Z955&gt;=Законод!$I$18,Z955&lt;=Законод!$I$19),Z955-Законод!$H$19,IF('01_Доходи'!Z955&gt;=Законод!$I$18,Законод!$H$20,0)))),IF($B$951="Лікар-терапевт",IF(Z955&lt;Законод!$C$26,0,(IF(AND(Z955&gt;=Законод!$I$26,Z955&lt;=Законод!$I$27),Z955-Законод!$H$27,IF('01_Доходи'!Z955&gt;=Законод!$I$26,Законод!$H$28,0)))),0)))</f>
        <v>0</v>
      </c>
      <c r="AA961" s="942"/>
      <c r="AB961" s="935" t="s">
        <v>423</v>
      </c>
      <c r="AC961" s="936"/>
      <c r="AD961" s="936"/>
      <c r="AE961" s="936"/>
      <c r="AF961" s="937"/>
      <c r="AG961" s="196">
        <f ca="1">IF($B$951="Лікар загальної практики - сімейний лікар",IF(AG955&lt;Законод!$C$22,0,(IF(AND(AG955&gt;=Законод!$I$22,AG955&lt;=Законод!$I$23),AG955-Законод!$H$23,IF('01_Доходи'!AG955&gt;=Законод!$I$22,Законод!$I$24,0)))),IF($B$951="Лікар-педіатр",IF(AG955&lt;Законод!$C$18,0,(IF(AND(AG955&gt;=Законод!$I$18,AG955&lt;=Законод!$I$19),AG955-Законод!$H$19,IF('01_Доходи'!AG955&gt;=Законод!$I$18,Законод!$H$20,0)))),IF($B$951="Лікар-терапевт",IF(AG955&lt;Законод!$C$26,0,(IF(AND(AG955&gt;=Законод!$I$26,AG955&lt;=Законод!$I$27),AG955-Законод!$H$27,IF('01_Доходи'!AG955&gt;=Законод!$I$26,Законод!$H$28,0)))),0)))</f>
        <v>0</v>
      </c>
      <c r="AH961" s="942"/>
      <c r="AI961" s="201"/>
      <c r="AJ961" s="945"/>
      <c r="AK961" s="960"/>
      <c r="AL961" s="960"/>
      <c r="AM961" s="927"/>
      <c r="AN961" s="210">
        <f ca="1">IF(B951="Лікар загальної практики - сімейний лікар",L961*Законод!$C$9/4*Законод!$I$16,IF(B951="Лікар-педіатр",L961*Законод!$C$9/4*Законод!$I$16,IF(B951="Лікар-терапевт",L961*Законод!$C$9/4*Законод!$I$16,0)))</f>
        <v>0</v>
      </c>
      <c r="AO961" s="210">
        <f ca="1">IF(B951="Лікар загальної практики - сімейний лікар",S961*Законод!$C$9/4*Законод!$I$16,IF(B951="Лікар-педіатр",S961*Законод!$C$9/4*Законод!$I$16,IF(B951="Лікар-терапевт",S961*Законод!$C$9/4*Законод!$I$16,0)))</f>
        <v>0</v>
      </c>
      <c r="AP961" s="210">
        <f ca="1">IF(B951="Лікар загальної практики - сімейний лікар",Z961*Законод!$C$9/4*Законод!$I$16,IF(B951="Лікар-педіатр",Z961*Законод!$C$9/4*Законод!$I$16,IF(B951="Лікар-терапевт",Z961*Законод!$C$9/4*Законод!$I$16,0)))</f>
        <v>0</v>
      </c>
      <c r="AQ961" s="210">
        <f ca="1">IF(B951="Лікар загальної практики - сімейний лікар",AG961*Законод!$C$9/4*Законод!$I$16,IF(B951="Лікар-педіатр",AG961*Законод!$C$9/4*Законод!$I$16,IF(B951="Лікар-терапевт",AG961*Законод!$C$9/4*Законод!$I$16,0)))</f>
        <v>0</v>
      </c>
      <c r="AR961" s="211">
        <f t="shared" si="113"/>
        <v>0</v>
      </c>
    </row>
    <row r="962" spans="1:44" s="218" customFormat="1" ht="31.9" hidden="1" customHeight="1" thickBot="1">
      <c r="A962" s="213"/>
      <c r="B962" s="952"/>
      <c r="C962" s="955"/>
      <c r="D962" s="958"/>
      <c r="E962" s="940"/>
      <c r="F962" s="239" t="str">
        <f ca="1">IF(B951="Лікар-педіатр",Законод!$J$17,IF(B951="Лікар загальної практики - сімейний лікар",Законод!$J$21,IF(B951="Лікар-терапевт",Законод!$J$25,"х")))</f>
        <v>х</v>
      </c>
      <c r="G962" s="932" t="s">
        <v>423</v>
      </c>
      <c r="H962" s="933"/>
      <c r="I962" s="933"/>
      <c r="J962" s="933"/>
      <c r="K962" s="934"/>
      <c r="L962" s="196">
        <f ca="1">IF($B$951="Лікар загальної практики - сімейний лікар",IF(L955&gt;=Законод!$J$22,'01_Доходи'!L955-('01_Доходи'!L956+'01_Доходи'!L957+'01_Доходи'!L958+'01_Доходи'!L959+'01_Доходи'!L960+'01_Доходи'!L961),0),IF($B$951="Лікар-педіатр",IF(L955&gt;=Законод!$J$18,'01_Доходи'!L955-('01_Доходи'!L956+'01_Доходи'!L957+'01_Доходи'!L958+'01_Доходи'!L959+'01_Доходи'!L960+'01_Доходи'!L961),0),IF($B$951="Лікар-терапевт",IF('01_Доходи'!L955&gt;=Законод!$J$26,L955-Законод!$I$27,0),0)))</f>
        <v>0</v>
      </c>
      <c r="M962" s="943"/>
      <c r="N962" s="932" t="s">
        <v>423</v>
      </c>
      <c r="O962" s="933"/>
      <c r="P962" s="933"/>
      <c r="Q962" s="933"/>
      <c r="R962" s="934"/>
      <c r="S962" s="196">
        <f ca="1">IF($B$951="Лікар загальної практики - сімейний лікар",IF(S955&gt;=Законод!$J$22,'01_Доходи'!S955-('01_Доходи'!S956+'01_Доходи'!S957+'01_Доходи'!S958+'01_Доходи'!S959+'01_Доходи'!S960+'01_Доходи'!S961),0),IF($B$951="Лікар-педіатр",IF(S955&gt;=Законод!$J$18,'01_Доходи'!S955-('01_Доходи'!S956+'01_Доходи'!S957+'01_Доходи'!S958+'01_Доходи'!S959+'01_Доходи'!S960+'01_Доходи'!S961),0),IF($B$951="Лікар-терапевт",IF('01_Доходи'!S955&gt;=Законод!$J$26,S955-Законод!$I$27,0),0)))</f>
        <v>0</v>
      </c>
      <c r="T962" s="943"/>
      <c r="U962" s="932" t="s">
        <v>423</v>
      </c>
      <c r="V962" s="933"/>
      <c r="W962" s="933"/>
      <c r="X962" s="933"/>
      <c r="Y962" s="934"/>
      <c r="Z962" s="196">
        <f ca="1">IF($B$951="Лікар загальної практики - сімейний лікар",IF(Z955&gt;=Законод!$J$22,'01_Доходи'!Z955-('01_Доходи'!Z956+'01_Доходи'!Z957+'01_Доходи'!Z958+'01_Доходи'!Z959+'01_Доходи'!Z960+'01_Доходи'!Z961),0),IF($B$951="Лікар-педіатр",IF(Z955&gt;=Законод!$J$18,'01_Доходи'!Z955-('01_Доходи'!Z956+'01_Доходи'!Z957+'01_Доходи'!Z958+'01_Доходи'!Z959+'01_Доходи'!Z960+'01_Доходи'!Z961),0),IF($B$951="Лікар-терапевт",IF('01_Доходи'!Z955&gt;=Законод!$J$26,Z955-Законод!$I$27,0),0)))</f>
        <v>0</v>
      </c>
      <c r="AA962" s="943"/>
      <c r="AB962" s="932" t="s">
        <v>423</v>
      </c>
      <c r="AC962" s="933"/>
      <c r="AD962" s="933"/>
      <c r="AE962" s="933"/>
      <c r="AF962" s="934"/>
      <c r="AG962" s="196">
        <f ca="1">IF($B$951="Лікар загальної практики - сімейний лікар",IF(AG955&gt;=Законод!$J$22,'01_Доходи'!AG955-('01_Доходи'!AG956+'01_Доходи'!AG957+'01_Доходи'!AG958+'01_Доходи'!AG959+'01_Доходи'!AG960+'01_Доходи'!AG961),0),IF($B$951="Лікар-педіатр",IF(AG955&gt;=Законод!$J$18,'01_Доходи'!AG955-('01_Доходи'!AG956+'01_Доходи'!AG957+'01_Доходи'!AG958+'01_Доходи'!AG959+'01_Доходи'!AG960+'01_Доходи'!AG961),0),IF($B$951="Лікар-терапевт",IF('01_Доходи'!AG955&gt;=Законод!$J$26,AG955-Законод!$I$27,0),0)))</f>
        <v>0</v>
      </c>
      <c r="AH962" s="943"/>
      <c r="AI962" s="215"/>
      <c r="AJ962" s="946"/>
      <c r="AK962" s="961"/>
      <c r="AL962" s="961"/>
      <c r="AM962" s="928"/>
      <c r="AN962" s="216">
        <f ca="1">IF(B951="Лікар загальної практики - сімейний лікар",L962*Законод!$C$9/4*Законод!$J$16,IF(B951="Лікар-педіатр",L962*Законод!$C$9/4*Законод!$J$16,IF(B951="Лікар-терапевт",L962*Законод!$C$9/4*Законод!$J$16,0)))</f>
        <v>0</v>
      </c>
      <c r="AO962" s="216">
        <f ca="1">IF(B951="Лікар загальної практики - сімейний лікар",S962*Законод!$C$9/4*Законод!$J$16,IF(B951="Лікар-педіатр",S962*Законод!$C$9/4*Законод!$J$16,IF(B951="Лікар-терапевт",S962*Законод!$C$9/4*Законод!$J$16,0)))</f>
        <v>0</v>
      </c>
      <c r="AP962" s="216">
        <f ca="1">IF(B951="Лікар загальної практики - сімейний лікар",S962*Законод!$C$9/4*Законод!$J$16,IF(B951="Лікар-педіатр",S962*Законод!$C$9/4*Законод!$J$16,IF(B951="Лікар-терапевт",S962*Законод!$C$9/4*Законод!$J$16,0)))</f>
        <v>0</v>
      </c>
      <c r="AQ962" s="216">
        <f ca="1">IF(B951="Лікар загальної практики - сімейний лікар",AG962*Законод!$C$9/4*Законод!$J$16,IF(B951="Лікар-педіатр",AG962*Законод!$C$9/4*Законод!$J$16,IF(B951="Лікар-терапевт",AG962*Законод!$C$9/4*Законод!$J$16,0)))</f>
        <v>0</v>
      </c>
      <c r="AR962" s="217">
        <f t="shared" si="113"/>
        <v>0</v>
      </c>
    </row>
    <row r="963" spans="1:44" s="247" customFormat="1" ht="23.45" hidden="1" customHeight="1" thickBot="1">
      <c r="A963" s="243"/>
      <c r="B963" s="244"/>
      <c r="C963" s="244"/>
      <c r="D963" s="244"/>
      <c r="E963" s="244"/>
      <c r="F963" s="245"/>
      <c r="G963" s="246"/>
      <c r="H963" s="246"/>
      <c r="L963" s="248"/>
      <c r="S963" s="248"/>
      <c r="Z963" s="248"/>
      <c r="AG963" s="248"/>
      <c r="AM963" s="249"/>
      <c r="AR963" s="250"/>
    </row>
    <row r="964" spans="1:44" s="191" customFormat="1" ht="24.6" hidden="1" customHeight="1">
      <c r="A964" s="194">
        <f>A951+1</f>
        <v>72</v>
      </c>
      <c r="B964" s="950"/>
      <c r="C964" s="953"/>
      <c r="D964" s="956"/>
      <c r="E964" s="938"/>
      <c r="F964" s="234" t="s">
        <v>659</v>
      </c>
      <c r="G964" s="196">
        <f>IF($B$964="Лікар-педіатр",G967*L964,IF($B$964="Лікар-терапевт","х",IF($B$964="Лікар загальної практики - сімейний лікар",G967*L964,0)))</f>
        <v>0</v>
      </c>
      <c r="H964" s="196">
        <f>IF($B$964="Лікар-педіатр",H967*L964,IF($B$964="Лікар-терапевт","х",IF($B$964="Лікар загальної практики - сімейний лікар",H967*L964,0)))</f>
        <v>0</v>
      </c>
      <c r="I964" s="196">
        <f>IF($B$964="Лікар-педіатр","x",IF($B$964="Лікар-терапевт",I967*L964,IF($B$964="Лікар загальної практики - сімейний лікар",I967*L964,0)))</f>
        <v>0</v>
      </c>
      <c r="J964" s="196">
        <f>IF($B$964="Лікар-педіатр","x",IF($B$964="Лікар-терапевт",J967*L964,IF($B$964="Лікар загальної практики - сімейний лікар",J967*L964,0)))</f>
        <v>0</v>
      </c>
      <c r="K964" s="196">
        <f>IF($B$964="Лікар-педіатр","x",IF($B$964="Лікар-терапевт",K967*L964,IF($B$964="Лікар загальної практики - сімейний лікар",K967*L964,0)))</f>
        <v>0</v>
      </c>
      <c r="L964" s="557"/>
      <c r="M964" s="941"/>
      <c r="N964" s="196">
        <f>IF($B$964="Лікар-педіатр",N967*S964,IF($B$964="Лікар-терапевт","х",IF($B$964="Лікар загальної практики - сімейний лікар",N967*S964,0)))</f>
        <v>0</v>
      </c>
      <c r="O964" s="196">
        <f>IF($B$964="Лікар-педіатр",O967*S964,IF($B$964="Лікар-терапевт","х",IF($B$964="Лікар загальної практики - сімейний лікар",O967*S964,0)))</f>
        <v>0</v>
      </c>
      <c r="P964" s="196">
        <f>IF($B$964="Лікар-педіатр","x",IF($B$964="Лікар-терапевт",P967*S964,IF($B$964="Лікар загальної практики - сімейний лікар",P967*S964,0)))</f>
        <v>0</v>
      </c>
      <c r="Q964" s="196">
        <f>IF($B$964="Лікар-педіатр","x",IF($B$964="Лікар-терапевт",Q967*S964,IF($B$964="Лікар загальної практики - сімейний лікар",Q967*S964,0)))</f>
        <v>0</v>
      </c>
      <c r="R964" s="196">
        <f>IF($B$964="Лікар-педіатр","x",IF($B$964="Лікар-терапевт",R967*S964,IF($B$964="Лікар загальної практики - сімейний лікар",R967*S964,0)))</f>
        <v>0</v>
      </c>
      <c r="S964" s="557"/>
      <c r="T964" s="941"/>
      <c r="U964" s="196">
        <f>IF($B$964="Лікар-педіатр",U967*Z964,IF($B$964="Лікар-терапевт","х",IF($B$964="Лікар загальної практики - сімейний лікар",U967*Z964,0)))</f>
        <v>0</v>
      </c>
      <c r="V964" s="196">
        <f>IF($B$964="Лікар-педіатр",V967*Z964,IF($B$964="Лікар-терапевт","х",IF($B$964="Лікар загальної практики - сімейний лікар",V967*Z964,0)))</f>
        <v>0</v>
      </c>
      <c r="W964" s="196">
        <f>IF($B$964="Лікар-педіатр","x",IF($B$964="Лікар-терапевт",W967*Z964,IF($B$964="Лікар загальної практики - сімейний лікар",W967*Z964,0)))</f>
        <v>0</v>
      </c>
      <c r="X964" s="196">
        <f>IF($B$964="Лікар-педіатр","x",IF($B$964="Лікар-терапевт",X967*Z964,IF($B$964="Лікар загальної практики - сімейний лікар",X967*Z964,0)))</f>
        <v>0</v>
      </c>
      <c r="Y964" s="196">
        <f>IF($B$964="Лікар-педіатр","x",IF($B$964="Лікар-терапевт",Y967*Z964,IF($B$964="Лікар загальної практики - сімейний лікар",Y967*Z964,0)))</f>
        <v>0</v>
      </c>
      <c r="Z964" s="557"/>
      <c r="AA964" s="941"/>
      <c r="AB964" s="196">
        <f>IF($B$964="Лікар-педіатр",AB967*AG964,IF($B$964="Лікар-терапевт","х",IF($B$964="Лікар загальної практики - сімейний лікар",AB967*AG964,0)))</f>
        <v>0</v>
      </c>
      <c r="AC964" s="196">
        <f>IF($B$964="Лікар-педіатр",AC967*AG964,IF($B$964="Лікар-терапевт","х",IF($B$964="Лікар загальної практики - сімейний лікар",AC967*AG964,0)))</f>
        <v>0</v>
      </c>
      <c r="AD964" s="196">
        <f>IF($B$964="Лікар-педіатр","x",IF($B$964="Лікар-терапевт",AD967*AG964,IF($B$964="Лікар загальної практики - сімейний лікар",AD967*AG964,0)))</f>
        <v>0</v>
      </c>
      <c r="AE964" s="196">
        <f>IF($B$964="Лікар-педіатр","x",IF($B$964="Лікар-терапевт",AE967*AG964,IF($B$964="Лікар загальної практики - сімейний лікар",AE967*AG964,0)))</f>
        <v>0</v>
      </c>
      <c r="AF964" s="196">
        <f>IF($B$964="Лікар-педіатр","x",IF($B$964="Лікар-терапевт",AF967*AG964,IF($B$964="Лікар загальної практики - сімейний лікар",AF967*AG964,0)))</f>
        <v>0</v>
      </c>
      <c r="AG964" s="557"/>
      <c r="AH964" s="941"/>
      <c r="AI964" s="540">
        <f>A964</f>
        <v>72</v>
      </c>
      <c r="AJ964" s="944">
        <f>B964</f>
        <v>0</v>
      </c>
      <c r="AK964" s="959">
        <f>C964</f>
        <v>0</v>
      </c>
      <c r="AL964" s="959">
        <f>D964</f>
        <v>0</v>
      </c>
      <c r="AM964" s="929" t="s">
        <v>79</v>
      </c>
      <c r="AN964" s="947">
        <f>SUM(AN969:AN975)</f>
        <v>0</v>
      </c>
      <c r="AO964" s="947">
        <f>SUM(AO969:AO975)</f>
        <v>0</v>
      </c>
      <c r="AP964" s="947">
        <f>SUM(AP969:AP975)</f>
        <v>0</v>
      </c>
      <c r="AQ964" s="947">
        <f>SUM(AQ969:AQ975)</f>
        <v>0</v>
      </c>
      <c r="AR964" s="962">
        <f>SUM(AN964:AQ968)</f>
        <v>0</v>
      </c>
    </row>
    <row r="965" spans="1:44" s="50" customFormat="1" ht="28.15" hidden="1" customHeight="1">
      <c r="A965" s="197"/>
      <c r="B965" s="951"/>
      <c r="C965" s="954"/>
      <c r="D965" s="957"/>
      <c r="E965" s="939"/>
      <c r="F965" s="234" t="s">
        <v>660</v>
      </c>
      <c r="G965" s="196">
        <f>IF($B$964="Лікар-педіатр",G967*L965,IF($B$964="Лікар-терапевт","х",IF($B$964="Лікар загальної практики - сімейний лікар",G967*L965,0)))</f>
        <v>0</v>
      </c>
      <c r="H965" s="196">
        <f>IF($B$964="Лікар-педіатр",H967*L965,IF($B$964="Лікар-терапевт","х",IF($B$964="Лікар загальної практики - сімейний лікар",H967*L965,0)))</f>
        <v>0</v>
      </c>
      <c r="I965" s="196">
        <f>IF($B$964="Лікар-педіатр","x",IF($B$964="Лікар-терапевт",I967*L965,IF($B$964="Лікар загальної практики - сімейний лікар",I967*L965,0)))</f>
        <v>0</v>
      </c>
      <c r="J965" s="196">
        <f>IF($B$964="Лікар-педіатр","x",IF($B$964="Лікар-терапевт",J967*L965,IF($B$964="Лікар загальної практики - сімейний лікар",J967*L965,0)))</f>
        <v>0</v>
      </c>
      <c r="K965" s="196">
        <f>IF($B$964="Лікар-педіатр","x",IF($B$964="Лікар-терапевт",K967*L965,IF($B$964="Лікар загальної практики - сімейний лікар",K967*L965,0)))</f>
        <v>0</v>
      </c>
      <c r="L965" s="557"/>
      <c r="M965" s="942"/>
      <c r="N965" s="196">
        <f>IF($B$964="Лікар-педіатр",N967*S965,IF($B$964="Лікар-терапевт","х",IF($B$964="Лікар загальної практики - сімейний лікар",N967*S965,0)))</f>
        <v>0</v>
      </c>
      <c r="O965" s="196">
        <f>IF($B$964="Лікар-педіатр",O967*S965,IF($B$964="Лікар-терапевт","х",IF($B$964="Лікар загальної практики - сімейний лікар",O967*S965,0)))</f>
        <v>0</v>
      </c>
      <c r="P965" s="196">
        <f>IF($B$964="Лікар-педіатр","x",IF($B$964="Лікар-терапевт",P967*S965,IF($B$964="Лікар загальної практики - сімейний лікар",P967*S965,0)))</f>
        <v>0</v>
      </c>
      <c r="Q965" s="196">
        <f>IF($B$964="Лікар-педіатр","x",IF($B$964="Лікар-терапевт",Q967*S965,IF($B$964="Лікар загальної практики - сімейний лікар",Q967*S965,0)))</f>
        <v>0</v>
      </c>
      <c r="R965" s="196">
        <f>IF($B$964="Лікар-педіатр","x",IF($B$964="Лікар-терапевт",R967*S965,IF($B$964="Лікар загальної практики - сімейний лікар",R967*S965,0)))</f>
        <v>0</v>
      </c>
      <c r="S965" s="557"/>
      <c r="T965" s="942"/>
      <c r="U965" s="196">
        <f>IF($B$964="Лікар-педіатр",U967*Z965,IF($B$964="Лікар-терапевт","х",IF($B$964="Лікар загальної практики - сімейний лікар",U967*Z965,0)))</f>
        <v>0</v>
      </c>
      <c r="V965" s="196">
        <f>IF($B$964="Лікар-педіатр",V967*Z965,IF($B$964="Лікар-терапевт","х",IF($B$964="Лікар загальної практики - сімейний лікар",V967*Z965,0)))</f>
        <v>0</v>
      </c>
      <c r="W965" s="196">
        <f>IF($B$964="Лікар-педіатр","x",IF($B$964="Лікар-терапевт",W967*Z965,IF($B$964="Лікар загальної практики - сімейний лікар",W967*Z965,0)))</f>
        <v>0</v>
      </c>
      <c r="X965" s="196">
        <f>IF($B$964="Лікар-педіатр","x",IF($B$964="Лікар-терапевт",X967*Z965,IF($B$964="Лікар загальної практики - сімейний лікар",X967*Z965,0)))</f>
        <v>0</v>
      </c>
      <c r="Y965" s="196">
        <f>IF($B$964="Лікар-педіатр","x",IF($B$964="Лікар-терапевт",Y967*Z965,IF($B$964="Лікар загальної практики - сімейний лікар",Y967*Z965,0)))</f>
        <v>0</v>
      </c>
      <c r="Z965" s="557"/>
      <c r="AA965" s="942"/>
      <c r="AB965" s="196">
        <f>IF($B$964="Лікар-педіатр",AB967*AG965,IF($B$964="Лікар-терапевт","х",IF($B$964="Лікар загальної практики - сімейний лікар",AB967*AG965,0)))</f>
        <v>0</v>
      </c>
      <c r="AC965" s="196">
        <f>IF($B$964="Лікар-педіатр",AC967*AG965,IF($B$964="Лікар-терапевт","х",IF($B$964="Лікар загальної практики - сімейний лікар",AC967*AG965,0)))</f>
        <v>0</v>
      </c>
      <c r="AD965" s="196">
        <f>IF($B$964="Лікар-педіатр","x",IF($B$964="Лікар-терапевт",AD967*AG965,IF($B$964="Лікар загальної практики - сімейний лікар",AD967*AG965,0)))</f>
        <v>0</v>
      </c>
      <c r="AE965" s="196">
        <f>IF($B$964="Лікар-педіатр","x",IF($B$964="Лікар-терапевт",AE967*AG965,IF($B$964="Лікар загальної практики - сімейний лікар",AE967*AG965,0)))</f>
        <v>0</v>
      </c>
      <c r="AF965" s="196">
        <f>IF($B$964="Лікар-педіатр","x",IF($B$964="Лікар-терапевт",AF967*AG965,IF($B$964="Лікар загальної практики - сімейний лікар",AF967*AG965,0)))</f>
        <v>0</v>
      </c>
      <c r="AG965" s="557"/>
      <c r="AH965" s="942"/>
      <c r="AI965" s="198"/>
      <c r="AJ965" s="945"/>
      <c r="AK965" s="960"/>
      <c r="AL965" s="960"/>
      <c r="AM965" s="930"/>
      <c r="AN965" s="948"/>
      <c r="AO965" s="948"/>
      <c r="AP965" s="948"/>
      <c r="AQ965" s="948"/>
      <c r="AR965" s="963"/>
    </row>
    <row r="966" spans="1:44" s="90" customFormat="1" ht="31.15" hidden="1" customHeight="1">
      <c r="A966" s="240"/>
      <c r="B966" s="951"/>
      <c r="C966" s="954"/>
      <c r="D966" s="957"/>
      <c r="E966" s="939"/>
      <c r="F966" s="241" t="s">
        <v>661</v>
      </c>
      <c r="G966" s="199">
        <f>IF(B964="Лікар загальної практики - сімейний лікар"," ",IF(B964="Лікар-педіатр"," ",IF(B964="Лікар-терапевт","х",0)))</f>
        <v>0</v>
      </c>
      <c r="H966" s="199">
        <f>IF(B964="Лікар загальної практики - сімейний лікар"," ",IF(B964="Лікар-педіатр"," ",IF(B964="Лікар-терапевт","х",0)))</f>
        <v>0</v>
      </c>
      <c r="I966" s="199">
        <f>IF(B964="Лікар загальної практики - сімейний лікар"," ",IF(B964="Лікар-педіатр","х",IF(B964="Лікар-терапевт"," ",0)))</f>
        <v>0</v>
      </c>
      <c r="J966" s="199">
        <f>IF(B964="Лікар загальної практики - сімейний лікар"," ",IF(B964="Лікар-педіатр","х",IF(B964="Лікар-терапевт"," ",0)))</f>
        <v>0</v>
      </c>
      <c r="K966" s="199">
        <f>IF(B964="Лікар загальної практики - сімейний лікар"," ",IF(B964="Лікар-педіатр","х",IF(B964="Лікар-терапевт"," ",0)))</f>
        <v>0</v>
      </c>
      <c r="L966" s="200">
        <f>SUM(G966:K966)</f>
        <v>0</v>
      </c>
      <c r="M966" s="942"/>
      <c r="N966" s="199">
        <f>IF(B964="Лікар загальної практики - сімейний лікар"," ",IF(B964="Лікар-педіатр"," ",IF(B964="Лікар-терапевт","х",0)))</f>
        <v>0</v>
      </c>
      <c r="O966" s="199">
        <f>IF(B964="Лікар загальної практики - сімейний лікар"," ",IF(B964="Лікар-педіатр"," ",IF(B964="Лікар-терапевт","х",0)))</f>
        <v>0</v>
      </c>
      <c r="P966" s="199">
        <f>IF(B964="Лікар загальної практики - сімейний лікар"," ",IF(B964="Лікар-педіатр","х",IF(B964="Лікар-терапевт"," ",0)))</f>
        <v>0</v>
      </c>
      <c r="Q966" s="199">
        <f>IF(B964="Лікар загальної практики - сімейний лікар"," ",IF(B964="Лікар-педіатр","х",IF(B964="Лікар-терапевт"," ",0)))</f>
        <v>0</v>
      </c>
      <c r="R966" s="199">
        <f>IF(B964="Лікар загальної практики - сімейний лікар"," ",IF(B964="Лікар-педіатр","х",IF(B964="Лікар-терапевт"," ",0)))</f>
        <v>0</v>
      </c>
      <c r="S966" s="200">
        <f>SUM(N966:R966)</f>
        <v>0</v>
      </c>
      <c r="T966" s="942"/>
      <c r="U966" s="199">
        <f>IF(B964="Лікар загальної практики - сімейний лікар"," ",IF(B964="Лікар-педіатр"," ",IF(B964="Лікар-терапевт","х",0)))</f>
        <v>0</v>
      </c>
      <c r="V966" s="199">
        <f>IF(B964="Лікар загальної практики - сімейний лікар"," ",IF(B964="Лікар-педіатр"," ",IF(B964="Лікар-терапевт","х",0)))</f>
        <v>0</v>
      </c>
      <c r="W966" s="199">
        <f>IF(B964="Лікар загальної практики - сімейний лікар"," ",IF(B964="Лікар-педіатр","х",IF(B964="Лікар-терапевт"," ",0)))</f>
        <v>0</v>
      </c>
      <c r="X966" s="199">
        <f>IF(B964="Лікар загальної практики - сімейний лікар"," ",IF(B964="Лікар-педіатр","х",IF(B964="Лікар-терапевт"," ",0)))</f>
        <v>0</v>
      </c>
      <c r="Y966" s="199">
        <f>IF(B964="Лікар загальної практики - сімейний лікар"," ",IF(B964="Лікар-педіатр","х",IF(B964="Лікар-терапевт"," ",0)))</f>
        <v>0</v>
      </c>
      <c r="Z966" s="200">
        <f>SUM(U966:Y966)</f>
        <v>0</v>
      </c>
      <c r="AA966" s="942"/>
      <c r="AB966" s="199">
        <f>IF(B964="Лікар загальної практики - сімейний лікар"," ",IF(B964="Лікар-педіатр"," ",IF(B964="Лікар-терапевт","х",0)))</f>
        <v>0</v>
      </c>
      <c r="AC966" s="199">
        <f>IF(B964="Лікар загальної практики - сімейний лікар"," ",IF(B964="Лікар-педіатр"," ",IF(B964="Лікар-терапевт","х",0)))</f>
        <v>0</v>
      </c>
      <c r="AD966" s="199">
        <f>IF(B964="Лікар загальної практики - сімейний лікар"," ",IF(B964="Лікар-педіатр","х",IF(B964="Лікар-терапевт"," ",0)))</f>
        <v>0</v>
      </c>
      <c r="AE966" s="199">
        <f>IF(B964="Лікар загальної практики - сімейний лікар"," ",IF(B964="Лікар-педіатр","х",IF(B964="Лікар-терапевт"," ",0)))</f>
        <v>0</v>
      </c>
      <c r="AF966" s="199">
        <f>IF(B964="Лікар загальної практики - сімейний лікар"," ",IF(B964="Лікар-педіатр","х",IF(B964="Лікар-терапевт"," ",0)))</f>
        <v>0</v>
      </c>
      <c r="AG966" s="200">
        <f>SUM(AB966:AF966)</f>
        <v>0</v>
      </c>
      <c r="AH966" s="942"/>
      <c r="AI966" s="242"/>
      <c r="AJ966" s="945"/>
      <c r="AK966" s="960"/>
      <c r="AL966" s="960"/>
      <c r="AM966" s="930"/>
      <c r="AN966" s="948"/>
      <c r="AO966" s="948"/>
      <c r="AP966" s="948"/>
      <c r="AQ966" s="948"/>
      <c r="AR966" s="963"/>
    </row>
    <row r="967" spans="1:44" s="50" customFormat="1" ht="31.9" hidden="1" customHeight="1" thickBot="1">
      <c r="A967" s="197"/>
      <c r="B967" s="951"/>
      <c r="C967" s="954"/>
      <c r="D967" s="957"/>
      <c r="E967" s="939"/>
      <c r="F967" s="236" t="s">
        <v>426</v>
      </c>
      <c r="G967" s="203">
        <f>IF($B$964="Лікар-педіатр",G966/L966,IF($B$964="Лікар-терапевт","х",IF($B$964="Лікар загальної практики - сімейний лікар",G966/L966,0)))</f>
        <v>0</v>
      </c>
      <c r="H967" s="203">
        <f>IF($B$964="Лікар-педіатр",H966/L966,IF($B$964="Лікар-терапевт","х",IF($B$964="Лікар загальної практики - сімейний лікар",H966/L966,0)))</f>
        <v>0</v>
      </c>
      <c r="I967" s="203">
        <f>IF($B$964="Лікар-педіатр","x",IF($B$964="Лікар-терапевт",I966/L966,IF($B$964="Лікар загальної практики - сімейний лікар",I966/L966,0)))</f>
        <v>0</v>
      </c>
      <c r="J967" s="203">
        <f>IF($B$964="Лікар-педіатр","x",IF($B$964="Лікар-терапевт",J966/L966,IF($B$964="Лікар загальної практики - сімейний лікар",J966/L966,0)))</f>
        <v>0</v>
      </c>
      <c r="K967" s="203">
        <f>IF($B$964="Лікар-педіатр","x",IF($B$964="Лікар-терапевт",K966/L966,IF($B$964="Лікар загальної практики - сімейний лікар",K966/L966,0)))</f>
        <v>0</v>
      </c>
      <c r="L967" s="203">
        <f>SUM(G967:K967)</f>
        <v>0</v>
      </c>
      <c r="M967" s="942"/>
      <c r="N967" s="203">
        <f>IF($B$964="Лікар-педіатр",N966/S966,IF($B$964="Лікар-терапевт","х",IF($B$964="Лікар загальної практики - сімейний лікар",N966/S966,0)))</f>
        <v>0</v>
      </c>
      <c r="O967" s="203">
        <f>IF($B$964="Лікар-педіатр",O966/S966,IF($B$964="Лікар-терапевт","х",IF($B$964="Лікар загальної практики - сімейний лікар",O966/S966,0)))</f>
        <v>0</v>
      </c>
      <c r="P967" s="203">
        <f>IF($B$964="Лікар-педіатр","x",IF($B$964="Лікар-терапевт",P966/S966,IF($B$964="Лікар загальної практики - сімейний лікар",P966/S966,0)))</f>
        <v>0</v>
      </c>
      <c r="Q967" s="203">
        <f>IF($B$964="Лікар-педіатр","x",IF($B$964="Лікар-терапевт",Q966/S966,IF($B$964="Лікар загальної практики - сімейний лікар",Q966/S966,0)))</f>
        <v>0</v>
      </c>
      <c r="R967" s="203">
        <f>IF($B$964="Лікар-педіатр","x",IF($B$964="Лікар-терапевт",R966/S966,IF($B$964="Лікар загальної практики - сімейний лікар",R966/S966,0)))</f>
        <v>0</v>
      </c>
      <c r="S967" s="203">
        <f>SUM(N967:R967)</f>
        <v>0</v>
      </c>
      <c r="T967" s="942"/>
      <c r="U967" s="203">
        <f>IF($B$964="Лікар-педіатр",U966/Z966,IF($B$964="Лікар-терапевт","х",IF($B$964="Лікар загальної практики - сімейний лікар",U966/Z966,0)))</f>
        <v>0</v>
      </c>
      <c r="V967" s="203">
        <f>IF($B$964="Лікар-педіатр",V966/Z966,IF($B$964="Лікар-терапевт","х",IF($B$964="Лікар загальної практики - сімейний лікар",V966/Z966,0)))</f>
        <v>0</v>
      </c>
      <c r="W967" s="203">
        <f>IF($B$964="Лікар-педіатр","x",IF($B$964="Лікар-терапевт",W966/Z966,IF($B$964="Лікар загальної практики - сімейний лікар",W966/Z966,0)))</f>
        <v>0</v>
      </c>
      <c r="X967" s="203">
        <f>IF($B$964="Лікар-педіатр","x",IF($B$964="Лікар-терапевт",X966/Z966,IF($B$964="Лікар загальної практики - сімейний лікар",X966/Z966,0)))</f>
        <v>0</v>
      </c>
      <c r="Y967" s="203">
        <f>IF($B$964="Лікар-педіатр","x",IF($B$964="Лікар-терапевт",Y966/Z966,IF($B$964="Лікар загальної практики - сімейний лікар",Y966/Z966,0)))</f>
        <v>0</v>
      </c>
      <c r="Z967" s="203">
        <f>SUM(U967:Y967)</f>
        <v>0</v>
      </c>
      <c r="AA967" s="942"/>
      <c r="AB967" s="203">
        <f>IF($B$964="Лікар-педіатр",AB966/AG966,IF($B$964="Лікар-терапевт","х",IF($B$964="Лікар загальної практики - сімейний лікар",AB966/AG966,0)))</f>
        <v>0</v>
      </c>
      <c r="AC967" s="203">
        <f>IF($B$964="Лікар-педіатр",AC966/AG966,IF($B$964="Лікар-терапевт","х",IF($B$964="Лікар загальної практики - сімейний лікар",AC966/AG966,0)))</f>
        <v>0</v>
      </c>
      <c r="AD967" s="203">
        <f>IF($B$964="Лікар-педіатр","x",IF($B$964="Лікар-терапевт",AD966/AG966,IF($B$964="Лікар загальної практики - сімейний лікар",AD966/AG966,0)))</f>
        <v>0</v>
      </c>
      <c r="AE967" s="203">
        <f>IF($B$964="Лікар-педіатр","x",IF($B$964="Лікар-терапевт",AE966/AG966,IF($B$964="Лікар загальної практики - сімейний лікар",AE966/AG966,0)))</f>
        <v>0</v>
      </c>
      <c r="AF967" s="203">
        <f>IF($B$964="Лікар-педіатр","x",IF($B$964="Лікар-терапевт",AF966/AG966,IF($B$964="Лікар загальної практики - сімейний лікар",AF966/AG966,0)))</f>
        <v>0</v>
      </c>
      <c r="AG967" s="203">
        <f>SUM(AB967:AF967)</f>
        <v>0</v>
      </c>
      <c r="AH967" s="942"/>
      <c r="AI967" s="201"/>
      <c r="AJ967" s="945"/>
      <c r="AK967" s="960"/>
      <c r="AL967" s="960"/>
      <c r="AM967" s="930"/>
      <c r="AN967" s="948"/>
      <c r="AO967" s="948"/>
      <c r="AP967" s="948"/>
      <c r="AQ967" s="948"/>
      <c r="AR967" s="963"/>
    </row>
    <row r="968" spans="1:44" s="50" customFormat="1" ht="45" hidden="1" customHeight="1" thickBot="1">
      <c r="A968" s="197"/>
      <c r="B968" s="951"/>
      <c r="C968" s="954"/>
      <c r="D968" s="957"/>
      <c r="E968" s="939"/>
      <c r="F968" s="204" t="s">
        <v>662</v>
      </c>
      <c r="G968" s="205">
        <f>IF($B$964="Лікар загальної практики - сімейний лікар",AVERAGE(G964:G966),IF($B$964="Лікар-педіатр",AVERAGE(G964:G966),IF($B$964="Лікар-терапевт","х",0)))</f>
        <v>0</v>
      </c>
      <c r="H968" s="205">
        <f>IF($B$964="Лікар загальної практики - сімейний лікар",AVERAGE(H964:H966),IF($B$964="Лікар-педіатр",AVERAGE(H964:H966),IF($B$964="Лікар-терапевт","х",0)))</f>
        <v>0</v>
      </c>
      <c r="I968" s="205">
        <f>IF($B$964="Лікар загальної практики - сімейний лікар",AVERAGE(I964:I966),IF($B$964="Лікар-педіатр","x",IF($B$964="Лікар-терапевт",AVERAGE(I964:I966),0)))</f>
        <v>0</v>
      </c>
      <c r="J968" s="205">
        <f>IF($B$964="Лікар загальної практики - сімейний лікар",AVERAGE(J964:J966),IF($B$964="Лікар-педіатр","x",IF($B$964="Лікар-терапевт",AVERAGE(J964:J966),0)))</f>
        <v>0</v>
      </c>
      <c r="K968" s="205">
        <f>IF($B$964="Лікар загальної практики - сімейний лікар",AVERAGE(K964:K966),IF($B$964="Лікар-педіатр","x",IF($B$964="Лікар-терапевт",AVERAGE(K964:K966),0)))</f>
        <v>0</v>
      </c>
      <c r="L968" s="206">
        <f>SUM(G968:K968)</f>
        <v>0</v>
      </c>
      <c r="M968" s="942"/>
      <c r="N968" s="205">
        <f>IF($B$964="Лікар загальної практики - сімейний лікар",AVERAGE(N964:N966),IF($B$964="Лікар-педіатр",AVERAGE(N964:N966),IF($B$964="Лікар-терапевт","х",0)))</f>
        <v>0</v>
      </c>
      <c r="O968" s="205">
        <f>IF($B$964="Лікар загальної практики - сімейний лікар",AVERAGE(O964:O966),IF($B$964="Лікар-педіатр",AVERAGE(O964:O966),IF($B$964="Лікар-терапевт","х",0)))</f>
        <v>0</v>
      </c>
      <c r="P968" s="205">
        <f>IF($B$964="Лікар загальної практики - сімейний лікар",AVERAGE(P964:P966),IF($B$964="Лікар-педіатр","x",IF($B$964="Лікар-терапевт",AVERAGE(P964:P966),0)))</f>
        <v>0</v>
      </c>
      <c r="Q968" s="205">
        <f>IF($B$964="Лікар загальної практики - сімейний лікар",AVERAGE(Q964:Q966),IF($B$964="Лікар-педіатр","x",IF($B$964="Лікар-терапевт",AVERAGE(Q964:Q966),0)))</f>
        <v>0</v>
      </c>
      <c r="R968" s="205">
        <f>IF($B$964="Лікар загальної практики - сімейний лікар",AVERAGE(R964:R966),IF($B$964="Лікар-педіатр","x",IF($B$964="Лікар-терапевт",AVERAGE(R964:R966),0)))</f>
        <v>0</v>
      </c>
      <c r="S968" s="206">
        <f>SUM(N968:R968)</f>
        <v>0</v>
      </c>
      <c r="T968" s="942"/>
      <c r="U968" s="205">
        <f>IF($B$964="Лікар загальної практики - сімейний лікар",AVERAGE(U964:U966),IF($B$964="Лікар-педіатр",AVERAGE(U964:U966),IF($B$964="Лікар-терапевт","х",0)))</f>
        <v>0</v>
      </c>
      <c r="V968" s="205">
        <f>IF($B$964="Лікар загальної практики - сімейний лікар",AVERAGE(V964:V966),IF($B$964="Лікар-педіатр",AVERAGE(V964:V966),IF($B$964="Лікар-терапевт","х",0)))</f>
        <v>0</v>
      </c>
      <c r="W968" s="205">
        <f>IF($B$964="Лікар загальної практики - сімейний лікар",AVERAGE(W964:W966),IF($B$964="Лікар-педіатр","x",IF($B$964="Лікар-терапевт",AVERAGE(W964:W966),0)))</f>
        <v>0</v>
      </c>
      <c r="X968" s="205">
        <f>IF($B$964="Лікар загальної практики - сімейний лікар",AVERAGE(X964:X966),IF($B$964="Лікар-педіатр","x",IF($B$964="Лікар-терапевт",AVERAGE(X964:X966),0)))</f>
        <v>0</v>
      </c>
      <c r="Y968" s="205">
        <f>IF($B$964="Лікар загальної практики - сімейний лікар",AVERAGE(Y964:Y966),IF($B$964="Лікар-педіатр","x",IF($B$964="Лікар-терапевт",AVERAGE(Y964:Y966),0)))</f>
        <v>0</v>
      </c>
      <c r="Z968" s="206">
        <f>SUM(U968:Y968)</f>
        <v>0</v>
      </c>
      <c r="AA968" s="942"/>
      <c r="AB968" s="205">
        <f>IF($B$964="Лікар загальної практики - сімейний лікар",AVERAGE(AB964:AB966),IF($B$964="Лікар-педіатр",AVERAGE(AB964:AB966),IF($B$964="Лікар-терапевт","х",0)))</f>
        <v>0</v>
      </c>
      <c r="AC968" s="205">
        <f>IF($B$964="Лікар загальної практики - сімейний лікар",AVERAGE(AC964:AC966),IF($B$964="Лікар-педіатр",AVERAGE(AC964:AC966),IF($B$964="Лікар-терапевт","х",0)))</f>
        <v>0</v>
      </c>
      <c r="AD968" s="205">
        <f>IF($B$964="Лікар загальної практики - сімейний лікар",AVERAGE(AD964:AD966),IF($B$964="Лікар-педіатр","x",IF($B$964="Лікар-терапевт",AVERAGE(AD964:AD966),0)))</f>
        <v>0</v>
      </c>
      <c r="AE968" s="205">
        <f>IF($B$964="Лікар загальної практики - сімейний лікар",AVERAGE(AE964:AE966),IF($B$964="Лікар-педіатр","x",IF($B$964="Лікар-терапевт",AVERAGE(AE964:AE966),0)))</f>
        <v>0</v>
      </c>
      <c r="AF968" s="205">
        <f>IF($B$964="Лікар загальної практики - сімейний лікар",AVERAGE(AF964:AF966),IF($B$964="Лікар-педіатр","x",IF($B$964="Лікар-терапевт",AVERAGE(AF964:AF966),0)))</f>
        <v>0</v>
      </c>
      <c r="AG968" s="206">
        <f>SUM(AB968:AF968)</f>
        <v>0</v>
      </c>
      <c r="AH968" s="942"/>
      <c r="AI968" s="201"/>
      <c r="AJ968" s="945"/>
      <c r="AK968" s="960"/>
      <c r="AL968" s="960"/>
      <c r="AM968" s="931"/>
      <c r="AN968" s="949"/>
      <c r="AO968" s="949"/>
      <c r="AP968" s="949"/>
      <c r="AQ968" s="949"/>
      <c r="AR968" s="964"/>
    </row>
    <row r="969" spans="1:44" s="50" customFormat="1" ht="40.5" hidden="1">
      <c r="A969" s="197"/>
      <c r="B969" s="951"/>
      <c r="C969" s="954"/>
      <c r="D969" s="957"/>
      <c r="E969" s="939"/>
      <c r="F969" s="237" t="str">
        <f ca="1">IF(B964="Лікар-педіатр",Законод!$C$17,IF(B964="Лікар загальної практики - сімейний лікар",Законод!$C$21,IF(B964="Лікар-терапевт",Законод!$C$25,"х")))</f>
        <v>х</v>
      </c>
      <c r="G969" s="208">
        <f ca="1">IF($B$964="Лікар загальної практики - сімейний лікар",IF(L968&lt;=Законод!$C$22,G968,Законод!$C$22*'01_Доходи'!G967),IF($B$964="Лікар-педіатр",IF(L968&lt;=Законод!$C$18,G968,Законод!$C$18*'01_Доходи'!G967),IF($B$964="Лікар-терапевт","x",0)))</f>
        <v>0</v>
      </c>
      <c r="H969" s="208">
        <f ca="1">IF($B$964="Лікар загальної практики - сімейний лікар",IF(L968&lt;=Законод!$C$22,H968,Законод!$C$22*'01_Доходи'!H967),IF($B$964="Лікар-педіатр",IF(L968&lt;=Законод!$C$18,H968,Законод!$C$18*'01_Доходи'!H967),IF($B$964="Лікар-терапевт","x",0)))</f>
        <v>0</v>
      </c>
      <c r="I969" s="208">
        <f ca="1">IF($B$964="Лікар загальної практики - сімейний лікар",IF(L968&lt;=Законод!$C$22,I968,Законод!$C$22*'01_Доходи'!I967),IF($B$964="Лікар-педіатр","x",IF($B$964="Лікар-терапевт",IF(L968&lt;=Законод!$C$26,I968,Законод!$C$26*'01_Доходи'!I967),0)))</f>
        <v>0</v>
      </c>
      <c r="J969" s="208">
        <f ca="1">IF($B$964="Лікар загальної практики - сімейний лікар",IF(L968&lt;=Законод!$C$22,J968,Законод!$C$22*'01_Доходи'!J967),IF($B$964="Лікар-педіатр","x",IF($B$964="Лікар-терапевт",IF(L968&lt;=Законод!$C$26,J968,Законод!$C$26*'01_Доходи'!J967),0)))</f>
        <v>0</v>
      </c>
      <c r="K969" s="208">
        <f ca="1">IF($B$964="Лікар загальної практики - сімейний лікар",IF(L968&lt;=Законод!$C$22,K968,Законод!$C$22*'01_Доходи'!K967),IF($B$964="Лікар-педіатр","x",IF($B$964="Лікар-терапевт",IF(L968&lt;=Законод!$C$26,K968,Законод!$C$26*'01_Доходи'!K967),0)))</f>
        <v>0</v>
      </c>
      <c r="L969" s="209">
        <f ca="1">SUM(G969:K969)</f>
        <v>0</v>
      </c>
      <c r="M969" s="942"/>
      <c r="N969" s="208">
        <f ca="1">IF($B$964="Лікар загальної практики - сімейний лікар",IF(S968&lt;=Законод!$C$22,N968,Законод!$C$22*'01_Доходи'!N967),IF($B$964="Лікар-педіатр",IF(S968&lt;=Законод!$C$18,N968,Законод!$C$18*'01_Доходи'!N967),IF($B$964="Лікар-терапевт","x",0)))</f>
        <v>0</v>
      </c>
      <c r="O969" s="208">
        <f ca="1">IF($B$964="Лікар загальної практики - сімейний лікар",IF(S968&lt;=Законод!$C$22,O968,Законод!$C$22*'01_Доходи'!O967),IF($B$964="Лікар-педіатр",IF(S968&lt;=Законод!$C$18,O968,Законод!$C$18*'01_Доходи'!O967),IF($B$964="Лікар-терапевт","x",0)))</f>
        <v>0</v>
      </c>
      <c r="P969" s="208">
        <f ca="1">IF($B$964="Лікар загальної практики - сімейний лікар",IF(S968&lt;=Законод!$C$22,P968,Законод!$C$22*'01_Доходи'!P967),IF($B$964="Лікар-педіатр","x",IF($B$964="Лікар-терапевт",IF(S968&lt;=Законод!$C$26,P968,Законод!$C$26*'01_Доходи'!P967),0)))</f>
        <v>0</v>
      </c>
      <c r="Q969" s="208">
        <f ca="1">IF($B$964="Лікар загальної практики - сімейний лікар",IF(S968&lt;=Законод!$C$22,Q968,Законод!$C$22*'01_Доходи'!Q967),IF($B$964="Лікар-педіатр","x",IF($B$964="Лікар-терапевт",IF(S968&lt;=Законод!$C$26,Q968,Законод!$C$26*'01_Доходи'!Q967),0)))</f>
        <v>0</v>
      </c>
      <c r="R969" s="208">
        <f ca="1">IF($B$964="Лікар загальної практики - сімейний лікар",IF(S968&lt;=Законод!$C$22,R968,Законод!$C$22*'01_Доходи'!R967),IF($B$964="Лікар-педіатр","x",IF($B$964="Лікар-терапевт",IF(S968&lt;=Законод!$C$26,R968,Законод!$C$26*'01_Доходи'!R967),0)))</f>
        <v>0</v>
      </c>
      <c r="S969" s="209">
        <f ca="1">SUM(N969:R969)</f>
        <v>0</v>
      </c>
      <c r="T969" s="942"/>
      <c r="U969" s="208">
        <f ca="1">IF($B$964="Лікар загальної практики - сімейний лікар",IF(Z968&lt;=Законод!$C$22,U968,Законод!$C$22*'01_Доходи'!U967),IF($B$964="Лікар-педіатр",IF(Z968&lt;=Законод!$C$18,U968,Законод!$C$18*'01_Доходи'!U967),IF($B$964="Лікар-терапевт","x",0)))</f>
        <v>0</v>
      </c>
      <c r="V969" s="208">
        <f ca="1">IF($B$964="Лікар загальної практики - сімейний лікар",IF(Z968&lt;=Законод!$C$22,V968,Законод!$C$22*'01_Доходи'!V967),IF($B$964="Лікар-педіатр",IF(Z968&lt;=Законод!$C$18,V968,Законод!$C$18*'01_Доходи'!V967),IF($B$964="Лікар-терапевт","x",0)))</f>
        <v>0</v>
      </c>
      <c r="W969" s="208">
        <f ca="1">IF($B$964="Лікар загальної практики - сімейний лікар",IF(Z968&lt;=Законод!$C$22,W968,Законод!$C$22*'01_Доходи'!W967),IF($B$964="Лікар-педіатр","x",IF($B$964="Лікар-терапевт",IF(Z968&lt;=Законод!$C$26,W968,Законод!$C$26*'01_Доходи'!W967),0)))</f>
        <v>0</v>
      </c>
      <c r="X969" s="208">
        <f ca="1">IF($B$964="Лікар загальної практики - сімейний лікар",IF(Z968&lt;=Законод!$C$22,X968,Законод!$C$22*'01_Доходи'!X967),IF($B$964="Лікар-педіатр","x",IF($B$964="Лікар-терапевт",IF(Z968&lt;=Законод!$C$26,X968,Законод!$C$26*'01_Доходи'!X967),0)))</f>
        <v>0</v>
      </c>
      <c r="Y969" s="208">
        <f ca="1">IF($B$964="Лікар загальної практики - сімейний лікар",IF(Z968&lt;=Законод!$C$22,Y968,Законод!$C$22*'01_Доходи'!Y967),IF($B$964="Лікар-педіатр","x",IF($B$964="Лікар-терапевт",IF(Z968&lt;=Законод!$C$26,Y968,Законод!$C$26*'01_Доходи'!Y967),0)))</f>
        <v>0</v>
      </c>
      <c r="Z969" s="209">
        <f ca="1">SUM(U969:Y969)</f>
        <v>0</v>
      </c>
      <c r="AA969" s="942"/>
      <c r="AB969" s="208">
        <f ca="1">IF($B$964="Лікар загальної практики - сімейний лікар",IF(AG968&lt;=Законод!$C$22,AB968,Законод!$C$22*'01_Доходи'!AB967),IF($B$964="Лікар-педіатр",IF(AG968&lt;=Законод!$C$18,AB968,Законод!$C$18*'01_Доходи'!AB967),IF($B$964="Лікар-терапевт","x",0)))</f>
        <v>0</v>
      </c>
      <c r="AC969" s="208">
        <f ca="1">IF($B$964="Лікар загальної практики - сімейний лікар",IF(AG968&lt;=Законод!$C$22,AC968,Законод!$C$22*'01_Доходи'!AC967),IF($B$964="Лікар-педіатр",IF(AG968&lt;=Законод!$C$18,AC968,Законод!$C$18*'01_Доходи'!AC967),IF($B$964="Лікар-терапевт","x",0)))</f>
        <v>0</v>
      </c>
      <c r="AD969" s="208">
        <f ca="1">IF($B$964="Лікар загальної практики - сімейний лікар",IF(AG968&lt;=Законод!$C$22,AD968,Законод!$C$22*'01_Доходи'!AD967),IF($B$964="Лікар-педіатр","x",IF($B$964="Лікар-терапевт",IF(AG968&lt;=Законод!$C$26,AD968,Законод!$C$26*'01_Доходи'!AD967),0)))</f>
        <v>0</v>
      </c>
      <c r="AE969" s="208">
        <f ca="1">IF($B$964="Лікар загальної практики - сімейний лікар",IF(AG968&lt;=Законод!$C$22,AE968,Законод!$C$22*'01_Доходи'!AE967),IF($B$964="Лікар-педіатр","x",IF($B$964="Лікар-терапевт",IF(AG968&lt;=Законод!$C$26,AE968,Законод!$C$26*'01_Доходи'!AE967),0)))</f>
        <v>0</v>
      </c>
      <c r="AF969" s="208">
        <f ca="1">IF($B$964="Лікар загальної практики - сімейний лікар",IF(AG968&lt;=Законод!$C$22,AF968,Законод!$C$22*'01_Доходи'!AF967),IF($B$964="Лікар-педіатр","x",IF($B$964="Лікар-терапевт",IF(AG968&lt;=Законод!$C$26,AF968,Законод!$C$26*'01_Доходи'!AF967),0)))</f>
        <v>0</v>
      </c>
      <c r="AG969" s="209">
        <f ca="1">SUM(AB969:AF969)</f>
        <v>0</v>
      </c>
      <c r="AH969" s="942"/>
      <c r="AI969" s="201"/>
      <c r="AJ969" s="945"/>
      <c r="AK969" s="960"/>
      <c r="AL969" s="960"/>
      <c r="AM969" s="348" t="s">
        <v>451</v>
      </c>
      <c r="AN969" s="210">
        <f ca="1">IF(B964="Лікар загальної практики - сімейний лікар",G969*Законод!$C$11+'01_Доходи'!H969*Законод!$D$11+'01_Доходи'!I969*Законод!$E$11+'01_Доходи'!J969*Законод!$F$11+'01_Доходи'!K969*Законод!$G$11,IF(B964="Лікар-педіатр",G969*Законод!$C$11+'01_Доходи'!H969*Законод!$D$11,IF(B964="Лікар-терапевт",'01_Доходи'!I969*Законод!$E$11+'01_Доходи'!J969*Законод!$F$11+'01_Доходи'!K969*Законод!$G$11,0)))</f>
        <v>0</v>
      </c>
      <c r="AO969" s="210">
        <f ca="1">IF(B964="Лікар загальної практики - сімейний лікар",N969*Законод!$C$11+'01_Доходи'!O969*Законод!$D$11+'01_Доходи'!P969*Законод!$E$11+'01_Доходи'!Q969*Законод!$F$11+'01_Доходи'!R969*Законод!$G$11,IF(B964="Лікар-педіатр",N969*Законод!$C$11+'01_Доходи'!O969*Законод!$D$11,IF(B964="Лікар-терапевт",'01_Доходи'!P969*Законод!$E$11+'01_Доходи'!Q969*Законод!$F$11+'01_Доходи'!R969*Законод!$G$11,0)))</f>
        <v>0</v>
      </c>
      <c r="AP969" s="210">
        <f ca="1">IF(B964="Лікар загальної практики - сімейний лікар",U969*Законод!$C$11+'01_Доходи'!V969*Законод!$D$11+'01_Доходи'!W969*Законод!$E$11+'01_Доходи'!X969*Законод!$F$11+'01_Доходи'!Y969*Законод!$G$11,IF(B964="Лікар-педіатр",U969*Законод!$C$11+'01_Доходи'!V969*Законод!$D$11,IF(B964="Лікар-терапевт",'01_Доходи'!W969*Законод!$E$11+'01_Доходи'!X969*Законод!$F$11+'01_Доходи'!Y969*Законод!$G$11,0)))</f>
        <v>0</v>
      </c>
      <c r="AQ969" s="210">
        <f ca="1">IF(B964="Лікар загальної практики - сімейний лікар",AB969*Законод!$C$11+'01_Доходи'!AC969*Законод!$D$11+'01_Доходи'!AD969*Законод!$E$11+'01_Доходи'!AE969*Законод!$F$11+'01_Доходи'!AF969*Законод!$G$11,IF(B964="Лікар-педіатр",AB969*Законод!$C$11+'01_Доходи'!AC969*Законод!$D$11,IF(B964="Лікар-терапевт",'01_Доходи'!AD969*Законод!$E$11+'01_Доходи'!AE969*Законод!$F$11+'01_Доходи'!AF969*Законод!$G$11,0)))</f>
        <v>0</v>
      </c>
      <c r="AR969" s="211">
        <f t="shared" ref="AR969:AR975" si="114">SUM(AN969:AQ969)</f>
        <v>0</v>
      </c>
    </row>
    <row r="970" spans="1:44" s="50" customFormat="1" ht="31.9" hidden="1" customHeight="1">
      <c r="A970" s="197"/>
      <c r="B970" s="951"/>
      <c r="C970" s="954"/>
      <c r="D970" s="957"/>
      <c r="E970" s="939"/>
      <c r="F970" s="238" t="str">
        <f ca="1">IF(B964="Лікар-педіатр",Законод!$E$17,IF(B964="Лікар загальної практики - сімейний лікар",Законод!$E$21,IF(B964="Лікар-терапевт",Законод!$E$25,"х")))</f>
        <v>х</v>
      </c>
      <c r="G970" s="935" t="s">
        <v>423</v>
      </c>
      <c r="H970" s="936"/>
      <c r="I970" s="936"/>
      <c r="J970" s="936"/>
      <c r="K970" s="937"/>
      <c r="L970" s="196">
        <f ca="1">IF($B$964="Лікар загальної практики - сімейний лікар",IF(L968&lt;Законод!$C$22,0,(IF(AND(L968&gt;=Законод!$E$22,L968&lt;=Законод!$E$23),L968-Законод!$C$22,IF('01_Доходи'!L968&gt;=Законод!$F$22,Законод!$E$24,0)))),IF($B$964="Лікар-педіатр",IF(L968&lt;Законод!$C$18,0,(IF(AND(L968&gt;=Законод!$E$18,L968&lt;=Законод!$E$19),L968-Законод!$C$18,IF('01_Доходи'!L968&gt;=Законод!$F$18,Законод!$E$20,0)))),IF($B$964="Лікар-терапевт",IF(L968&lt;Законод!$C$26,0,(IF(AND(L968&gt;=Законод!$E$26,L968&lt;=Законод!$E$27),L968-Законод!$C$26,IF('01_Доходи'!L968&gt;=Законод!$F$26,Законод!$E$28,0)))),0)))</f>
        <v>0</v>
      </c>
      <c r="M970" s="942"/>
      <c r="N970" s="935" t="s">
        <v>423</v>
      </c>
      <c r="O970" s="936"/>
      <c r="P970" s="936"/>
      <c r="Q970" s="936"/>
      <c r="R970" s="937"/>
      <c r="S970" s="196">
        <f ca="1">IF($B$964="Лікар загальної практики - сімейний лікар",IF(S968&lt;Законод!$C$22,0,(IF(AND(S968&gt;=Законод!$E$22,S968&lt;=Законод!$E$23),S968-Законод!$C$22,IF('01_Доходи'!S968&gt;=Законод!$F$22,Законод!$E$24,0)))),IF($B$964="Лікар-педіатр",IF(S968&lt;Законод!$C$18,0,(IF(AND(S968&gt;=Законод!$E$18,S968&lt;=Законод!$E$19),S968-Законод!$C$18,IF('01_Доходи'!S968&gt;=Законод!$F$18,Законод!$E$20,0)))),IF($B$964="Лікар-терапевт",IF(S968&lt;Законод!$C$26,0,(IF(AND(S968&gt;=Законод!$E$26,S968&lt;=Законод!$E$27),S968-Законод!$C$26,IF('01_Доходи'!S968&gt;=Законод!$F$26,Законод!$E$28,0)))),0)))</f>
        <v>0</v>
      </c>
      <c r="T970" s="942"/>
      <c r="U970" s="935" t="s">
        <v>423</v>
      </c>
      <c r="V970" s="936"/>
      <c r="W970" s="936"/>
      <c r="X970" s="936"/>
      <c r="Y970" s="937"/>
      <c r="Z970" s="196">
        <f ca="1">IF($B$964="Лікар загальної практики - сімейний лікар",IF(Z968&lt;Законод!$C$22,0,(IF(AND(Z968&gt;=Законод!$E$22,Z968&lt;=Законод!$E$23),Z968-Законод!$C$22,IF('01_Доходи'!Z968&gt;=Законод!$F$22,Законод!$E$24,0)))),IF($B$964="Лікар-педіатр",IF(Z968&lt;Законод!$C$18,0,(IF(AND(Z968&gt;=Законод!$E$18,Z968&lt;=Законод!$E$19),Z968-Законод!$C$18,IF('01_Доходи'!Z968&gt;=Законод!$F$18,Законод!$E$20,0)))),IF($B$964="Лікар-терапевт",IF(Z968&lt;Законод!$C$26,0,(IF(AND(Z968&gt;=Законод!$E$26,Z968&lt;=Законод!$E$27),Z968-Законод!$C$26,IF('01_Доходи'!Z968&gt;=Законод!$F$26,Законод!$E$28,0)))),0)))</f>
        <v>0</v>
      </c>
      <c r="AA970" s="942"/>
      <c r="AB970" s="935" t="s">
        <v>423</v>
      </c>
      <c r="AC970" s="936"/>
      <c r="AD970" s="936"/>
      <c r="AE970" s="936"/>
      <c r="AF970" s="937"/>
      <c r="AG970" s="196">
        <f ca="1">IF($B$964="Лікар загальної практики - сімейний лікар",IF(AG968&lt;Законод!$C$22,0,(IF(AND(AG968&gt;=Законод!$E$22,AG968&lt;=Законод!$E$23),AG968-Законод!$C$22,IF('01_Доходи'!AG968&gt;=Законод!$F$22,Законод!$E$24,0)))),IF($B$964="Лікар-педіатр",IF(AG968&lt;Законод!$C$18,0,(IF(AND(AG968&gt;=Законод!$E$18,AG968&lt;=Законод!$E$19),AG968-Законод!$C$18,IF('01_Доходи'!AG968&gt;=Законод!$F$18,Законод!$E$20,0)))),IF($B$964="Лікар-терапевт",IF(AG968&lt;Законод!$C$26,0,(IF(AND(AG968&gt;=Законод!$E$26,AG968&lt;=Законод!$E$27),AG968-Законод!$C$26,IF('01_Доходи'!AG968&gt;=Законод!$F$26,Законод!$E$28,0)))),0)))</f>
        <v>0</v>
      </c>
      <c r="AH970" s="942"/>
      <c r="AI970" s="201"/>
      <c r="AJ970" s="945"/>
      <c r="AK970" s="960"/>
      <c r="AL970" s="960"/>
      <c r="AM970" s="926" t="s">
        <v>452</v>
      </c>
      <c r="AN970" s="210">
        <f ca="1">IF(B964="Лікар загальної практики - сімейний лікар",L970*Законод!$C$9/4*Законод!$E$16,IF(B964="Лікар-педіатр",L970*Законод!$C$9/4*Законод!$E$16,IF(B964="Лікар-терапевт",L970*Законод!$C$9/4*Законод!$E$16,0)))</f>
        <v>0</v>
      </c>
      <c r="AO970" s="210">
        <f ca="1">IF(B964="Лікар загальної практики - сімейний лікар",S970*Законод!$C$9/4*Законод!$E$16,IF(B964="Лікар-педіатр",S970*Законод!$C$9/4*Законод!$E$16,IF(B964="Лікар-терапевт",S970*Законод!$C$9/4*Законод!$E$16,0)))</f>
        <v>0</v>
      </c>
      <c r="AP970" s="210">
        <f ca="1">IF(B964="Лікар загальної практики - сімейний лікар",Z970*Законод!$C$9/4*Законод!$E$16,IF(B964="Лікар-педіатр",Z970*Законод!$C$9/4*Законод!$E$16,IF(B964="Лікар-терапевт",Z970*Законод!$C$9/4*Законод!$E$16,0)))</f>
        <v>0</v>
      </c>
      <c r="AQ970" s="210">
        <f ca="1">IF(B964="Лікар загальної практики - сімейний лікар",AG970*Законод!$C$9/4*Законод!$E$16,IF(B964="Лікар-педіатр",AG970*Законод!$C$9/4*Законод!$E$16,IF(B964="Лікар-терапевт",AG970*Законод!$C$9/4*Законод!$E$16,0)))</f>
        <v>0</v>
      </c>
      <c r="AR970" s="211">
        <f t="shared" si="114"/>
        <v>0</v>
      </c>
    </row>
    <row r="971" spans="1:44" s="50" customFormat="1" ht="31.9" hidden="1" customHeight="1">
      <c r="A971" s="197"/>
      <c r="B971" s="951"/>
      <c r="C971" s="954"/>
      <c r="D971" s="957"/>
      <c r="E971" s="939"/>
      <c r="F971" s="238" t="str">
        <f ca="1">IF(B964="Лікар-педіатр",Законод!$F$17,IF(B964="Лікар загальної практики - сімейний лікар",Законод!$F$21,IF(B964="Лікар-терапевт",Законод!$F$25,"х")))</f>
        <v>х</v>
      </c>
      <c r="G971" s="935" t="s">
        <v>423</v>
      </c>
      <c r="H971" s="936"/>
      <c r="I971" s="936"/>
      <c r="J971" s="936"/>
      <c r="K971" s="937"/>
      <c r="L971" s="196">
        <f ca="1">IF($B$964="Лікар загальної практики - сімейний лікар",IF(L968&lt;Законод!$C$22,0,(IF(AND(L968&gt;=Законод!$F$22,L968&lt;=Законод!$F$23),L968-Законод!$E$23,IF('01_Доходи'!L968&gt;=Законод!$G$22,Законод!$F$24,0)))),IF($B$964="Лікар-педіатр",IF(L968&lt;Законод!$C$18,0,(IF(AND(L968&gt;=Законод!$F$18,L968&lt;=Законод!$F$19),L968-Законод!$E$19,IF('01_Доходи'!L968&gt;=Законод!$G$18,Законод!$F$20,0)))),IF($B$964="Лікар-терапевт",IF(L968&lt;Законод!$C$26,0,(IF(AND(L968&gt;=Законод!$F$26,L968&lt;=Законод!$F$27),L968-Законод!$E$27,IF('01_Доходи'!L968&gt;=Законод!$G$26,Законод!$F$28,0)))),0)))</f>
        <v>0</v>
      </c>
      <c r="M971" s="942"/>
      <c r="N971" s="935" t="s">
        <v>423</v>
      </c>
      <c r="O971" s="936"/>
      <c r="P971" s="936"/>
      <c r="Q971" s="936"/>
      <c r="R971" s="937"/>
      <c r="S971" s="196">
        <f ca="1">IF($B$964="Лікар загальної практики - сімейний лікар",IF(S968&lt;Законод!$C$22,0,(IF(AND(S968&gt;=Законод!$F$22,S968&lt;=Законод!$F$23),S968-Законод!$E$23,IF('01_Доходи'!S968&gt;=Законод!$G$22,Законод!$F$24,0)))),IF($B$964="Лікар-педіатр",IF(S968&lt;Законод!$C$18,0,(IF(AND(S968&gt;=Законод!$F$18,S968&lt;=Законод!$F$19),S968-Законод!$E$19,IF('01_Доходи'!S968&gt;=Законод!$G$18,Законод!$F$20,0)))),IF($B$964="Лікар-терапевт",IF(S968&lt;Законод!$C$26,0,(IF(AND(S968&gt;=Законод!$F$26,S968&lt;=Законод!$F$27),S968-Законод!$E$27,IF('01_Доходи'!S968&gt;=Законод!$G$26,Законод!$F$28,0)))),0)))</f>
        <v>0</v>
      </c>
      <c r="T971" s="942"/>
      <c r="U971" s="935" t="s">
        <v>423</v>
      </c>
      <c r="V971" s="936"/>
      <c r="W971" s="936"/>
      <c r="X971" s="936"/>
      <c r="Y971" s="937"/>
      <c r="Z971" s="196">
        <f ca="1">IF($B$964="Лікар загальної практики - сімейний лікар",IF(Z968&lt;Законод!$C$22,0,(IF(AND(Z968&gt;=Законод!$F$22,Z968&lt;=Законод!$F$23),Z968-Законод!$E$23,IF('01_Доходи'!Z968&gt;=Законод!$G$22,Законод!$F$24,0)))),IF($B$964="Лікар-педіатр",IF(Z968&lt;Законод!$C$18,0,(IF(AND(Z968&gt;=Законод!$F$18,Z968&lt;=Законод!$F$19),Z968-Законод!$E$19,IF('01_Доходи'!Z968&gt;=Законод!$G$18,Законод!$F$20,0)))),IF($B$964="Лікар-терапевт",IF(Z968&lt;Законод!$C$26,0,(IF(AND(Z968&gt;=Законод!$F$26,Z968&lt;=Законод!$F$27),Z968-Законод!$E$27,IF('01_Доходи'!Z968&gt;=Законод!$G$26,Законод!$F$28,0)))),0)))</f>
        <v>0</v>
      </c>
      <c r="AA971" s="942"/>
      <c r="AB971" s="935" t="s">
        <v>423</v>
      </c>
      <c r="AC971" s="936"/>
      <c r="AD971" s="936"/>
      <c r="AE971" s="936"/>
      <c r="AF971" s="937"/>
      <c r="AG971" s="196">
        <f ca="1">IF($B$964="Лікар загальної практики - сімейний лікар",IF(AG968&lt;Законод!$C$22,0,(IF(AND(AG968&gt;=Законод!$F$22,AG968&lt;=Законод!$F$23),AG968-Законод!$E$23,IF('01_Доходи'!AG968&gt;=Законод!$G$22,Законод!$F$24,0)))),IF($B$964="Лікар-педіатр",IF(AG968&lt;Законод!$C$18,0,(IF(AND(AG968&gt;=Законод!$F$18,AG968&lt;=Законод!$F$19),AG968-Законод!$E$19,IF('01_Доходи'!AG968&gt;=Законод!$G$18,Законод!$F$20,0)))),IF($B$964="Лікар-терапевт",IF(AG968&lt;Законод!$C$26,0,(IF(AND(AG968&gt;=Законод!$F$26,AG968&lt;=Законод!$F$27),AG968-Законод!$E$27,IF('01_Доходи'!AG968&gt;=Законод!$G$26,Законод!$F$28,0)))),0)))</f>
        <v>0</v>
      </c>
      <c r="AH971" s="942"/>
      <c r="AI971" s="201"/>
      <c r="AJ971" s="945"/>
      <c r="AK971" s="960"/>
      <c r="AL971" s="960"/>
      <c r="AM971" s="927"/>
      <c r="AN971" s="210">
        <f ca="1">IF(B964="Лікар загальної практики - сімейний лікар",L971*Законод!$C$9/4*Законод!$F$16,IF(B964="Лікар-педіатр",L971*Законод!$C$9/4*Законод!$F$16,IF(B964="Лікар-терапевт",L971*Законод!$C$9/4*Законод!$F$16,0)))</f>
        <v>0</v>
      </c>
      <c r="AO971" s="210">
        <f ca="1">IF(B964="Лікар загальної практики - сімейний лікар",S971*Законод!$C$9/4*Законод!$F$16,IF(B964="Лікар-педіатр",S971*Законод!$C$9/4*Законод!$F$16,IF(B964="Лікар-терапевт",S971*Законод!$C$9/4*Законод!$F$16,0)))</f>
        <v>0</v>
      </c>
      <c r="AP971" s="210">
        <f ca="1">IF(B964="Лікар загальної практики - сімейний лікар",Z971*Законод!$C$9/4*Законод!$F$16,IF(B964="Лікар-педіатр",Z971*Законод!$C$9/4*Законод!$F$16,IF(B964="Лікар-терапевт",Z971*Законод!$C$9/4*Законод!$F$16,0)))</f>
        <v>0</v>
      </c>
      <c r="AQ971" s="210">
        <f ca="1">IF(B964="Лікар загальної практики - сімейний лікар",AG971*Законод!$C$9/4*Законод!$F$16,IF(B964="Лікар-педіатр",AG971*Законод!$C$9/4*Законод!$F$16,IF(B964="Лікар-терапевт",AG971*Законод!$C$9/4*Законод!$F$16,0)))</f>
        <v>0</v>
      </c>
      <c r="AR971" s="211">
        <f t="shared" si="114"/>
        <v>0</v>
      </c>
    </row>
    <row r="972" spans="1:44" s="50" customFormat="1" ht="31.9" hidden="1" customHeight="1">
      <c r="A972" s="197"/>
      <c r="B972" s="951"/>
      <c r="C972" s="954"/>
      <c r="D972" s="957"/>
      <c r="E972" s="939"/>
      <c r="F972" s="238" t="str">
        <f ca="1">IF(B964="Лікар-педіатр",Законод!$G$17,IF(B964="Лікар загальної практики - сімейний лікар",Законод!$G$21,IF(B964="Лікар-терапевт",Законод!$G$25,"х")))</f>
        <v>х</v>
      </c>
      <c r="G972" s="935" t="s">
        <v>423</v>
      </c>
      <c r="H972" s="936"/>
      <c r="I972" s="936"/>
      <c r="J972" s="936"/>
      <c r="K972" s="937"/>
      <c r="L972" s="196">
        <f ca="1">IF($B$964="Лікар загальної практики - сімейний лікар",IF(L968&lt;Законод!$C$22,0,(IF(AND(L968&gt;=Законод!$G$22,L968&lt;=Законод!$G$23),L968-Законод!$F$23,IF('01_Доходи'!L968&gt;=Законод!$H$22,Законод!$G$24,0)))),IF($B$964="Лікар-педіатр",IF(L968&lt;Законод!$C$18,0,(IF(AND(L968&gt;=Законод!$G$18,L968&lt;=Законод!$G$19),L968-Законод!$F$19,IF('01_Доходи'!L968&gt;=Законод!$H$18,Законод!$G$20,0)))),IF($B$964="Лікар-терапевт",IF(L968&lt;Законод!$C$26,0,(IF(AND(L968&gt;=Законод!$G$26,L968&lt;=Законод!$G$27),L968-Законод!$F$27,IF('01_Доходи'!L968&gt;=Законод!$H$26,Законод!$G$28,0)))),0)))</f>
        <v>0</v>
      </c>
      <c r="M972" s="942"/>
      <c r="N972" s="935" t="s">
        <v>423</v>
      </c>
      <c r="O972" s="936"/>
      <c r="P972" s="936"/>
      <c r="Q972" s="936"/>
      <c r="R972" s="937"/>
      <c r="S972" s="196">
        <f ca="1">IF($B$964="Лікар загальної практики - сімейний лікар",IF(S968&lt;Законод!$C$22,0,(IF(AND(S968&gt;=Законод!$G$22,S968&lt;=Законод!$G$23),S968-Законод!$F$23,IF('01_Доходи'!S968&gt;=Законод!$H$22,Законод!$G$24,0)))),IF($B$964="Лікар-педіатр",IF(S968&lt;Законод!$C$18,0,(IF(AND(S968&gt;=Законод!$G$18,S968&lt;=Законод!$G$19),S968-Законод!$F$19,IF('01_Доходи'!S968&gt;=Законод!$H$18,Законод!$G$20,0)))),IF($B$964="Лікар-терапевт",IF(S968&lt;Законод!$C$26,0,(IF(AND(S968&gt;=Законод!$G$26,S968&lt;=Законод!$G$27),S968-Законод!$F$27,IF('01_Доходи'!S968&gt;=Законод!$H$26,Законод!$G$28,0)))),0)))</f>
        <v>0</v>
      </c>
      <c r="T972" s="942"/>
      <c r="U972" s="935" t="s">
        <v>423</v>
      </c>
      <c r="V972" s="936"/>
      <c r="W972" s="936"/>
      <c r="X972" s="936"/>
      <c r="Y972" s="937"/>
      <c r="Z972" s="196">
        <f ca="1">IF($B$964="Лікар загальної практики - сімейний лікар",IF(Z968&lt;Законод!$C$22,0,(IF(AND(Z968&gt;=Законод!$G$22,Z968&lt;=Законод!$G$23),Z968-Законод!$F$23,IF('01_Доходи'!Z968&gt;=Законод!$H$22,Законод!$G$24,0)))),IF($B$964="Лікар-педіатр",IF(Z968&lt;Законод!$C$18,0,(IF(AND(Z968&gt;=Законод!$G$18,Z968&lt;=Законод!$G$19),Z968-Законод!$F$19,IF('01_Доходи'!Z968&gt;=Законод!$H$18,Законод!$G$20,0)))),IF($B$964="Лікар-терапевт",IF(Z968&lt;Законод!$C$26,0,(IF(AND(Z968&gt;=Законод!$G$26,Z968&lt;=Законод!$G$27),Z968-Законод!$F$27,IF('01_Доходи'!Z968&gt;=Законод!$H$26,Законод!$G$28,0)))),0)))</f>
        <v>0</v>
      </c>
      <c r="AA972" s="942"/>
      <c r="AB972" s="935" t="s">
        <v>423</v>
      </c>
      <c r="AC972" s="936"/>
      <c r="AD972" s="936"/>
      <c r="AE972" s="936"/>
      <c r="AF972" s="937"/>
      <c r="AG972" s="196">
        <f ca="1">IF($B$964="Лікар загальної практики - сімейний лікар",IF(AG968&lt;Законод!$C$22,0,(IF(AND(AG968&gt;=Законод!$G$22,AG968&lt;=Законод!$G$23),AG968-Законод!$F$23,IF('01_Доходи'!AG968&gt;=Законод!$H$22,Законод!$G$24,0)))),IF($B$964="Лікар-педіатр",IF(AG968&lt;Законод!$C$18,0,(IF(AND(AG968&gt;=Законод!$G$18,AG968&lt;=Законод!$G$19),AG968-Законод!$F$19,IF('01_Доходи'!AG968&gt;=Законод!$H$18,Законод!$G$20,0)))),IF($B$964="Лікар-терапевт",IF(AG968&lt;Законод!$C$26,0,(IF(AND(AG968&gt;=Законод!$G$26,AG968&lt;=Законод!$G$27),AG968-Законод!$F$27,IF('01_Доходи'!AG968&gt;=Законод!$H$26,Законод!$G$28,0)))),0)))</f>
        <v>0</v>
      </c>
      <c r="AH972" s="942"/>
      <c r="AI972" s="201"/>
      <c r="AJ972" s="945"/>
      <c r="AK972" s="960"/>
      <c r="AL972" s="960"/>
      <c r="AM972" s="927"/>
      <c r="AN972" s="210">
        <f ca="1">IF(B964="Лікар загальної практики - сімейний лікар",L972*Законод!$C$9/4*Законод!$G$16,IF(B964="Лікар-педіатр",L972*Законод!$C$9/4*Законод!$G$16,IF(B964="Лікар-терапевт",L972*Законод!$C$9/4*Законод!$G$16,0)))</f>
        <v>0</v>
      </c>
      <c r="AO972" s="210">
        <f ca="1">IF(B964="Лікар загальної практики - сімейний лікар",S972*Законод!$C$9/4*Законод!$G$16,IF(B964="Лікар-педіатр",S972*Законод!$C$9/4*Законод!$G$16,IF(B964="Лікар-терапевт",S972*Законод!$C$9/4*Законод!$G$16,0)))</f>
        <v>0</v>
      </c>
      <c r="AP972" s="210">
        <f ca="1">IF(B964="Лікар загальної практики - сімейний лікар",Z972*Законод!$C$9/4*Законод!$G$16,IF(B964="Лікар-педіатр",Z972*Законод!$C$9/4*Законод!$G$16,IF(B964="Лікар-терапевт",Z972*Законод!$C$9/4*Законод!$G$16,0)))</f>
        <v>0</v>
      </c>
      <c r="AQ972" s="210">
        <f ca="1">IF(B964="Лікар загальної практики - сімейний лікар",AG972*Законод!$C$9/4*Законод!$G$16,IF(B964="Лікар-педіатр",AG972*Законод!$C$9/4*Законод!$G$16,IF(B964="Лікар-терапевт",AG972*Законод!$C$9/4*Законод!$G$16,0)))</f>
        <v>0</v>
      </c>
      <c r="AR972" s="211">
        <f t="shared" si="114"/>
        <v>0</v>
      </c>
    </row>
    <row r="973" spans="1:44" s="50" customFormat="1" ht="31.9" hidden="1" customHeight="1">
      <c r="A973" s="197"/>
      <c r="B973" s="951"/>
      <c r="C973" s="954"/>
      <c r="D973" s="957"/>
      <c r="E973" s="939"/>
      <c r="F973" s="238" t="str">
        <f ca="1">IF(B964="Лікар-педіатр",Законод!$H$17,IF(B964="Лікар загальної практики - сімейний лікар",Законод!$H$21,IF(B964="Лікар-терапевт",Законод!$H$25,"х")))</f>
        <v>х</v>
      </c>
      <c r="G973" s="935" t="s">
        <v>423</v>
      </c>
      <c r="H973" s="936"/>
      <c r="I973" s="936"/>
      <c r="J973" s="936"/>
      <c r="K973" s="937"/>
      <c r="L973" s="196">
        <f ca="1">IF($B$964="Лікар загальної практики - сімейний лікар",IF(L968&lt;Законод!$C$22,0,(IF(AND(L968&gt;=Законод!$H$22,L968&lt;=Законод!$H$23),L968-Законод!$G$23,IF('01_Доходи'!L968&gt;=Законод!$I$22,Законод!$H$24,0)))),IF($B$964="Лікар-педіатр",IF(L968&lt;Законод!$C$18,0,(IF(AND(L968&gt;=Законод!$H$18,L968&lt;=Законод!$H$19),L968-Законод!$G$19,IF('01_Доходи'!L968&gt;=Законод!$I$18,Законод!$H$20,0)))),IF($B$964="Лікар-терапевт",IF(L968&lt;Законод!$C$26,0,(IF(AND(L968&gt;=Законод!$H$26,L968&lt;=Законод!$H$27),L968-Законод!$G$27,IF(L968&gt;=Законод!$I$26,Законод!$H$28,0)))),0)))</f>
        <v>0</v>
      </c>
      <c r="M973" s="942"/>
      <c r="N973" s="935" t="s">
        <v>423</v>
      </c>
      <c r="O973" s="936"/>
      <c r="P973" s="936"/>
      <c r="Q973" s="936"/>
      <c r="R973" s="937"/>
      <c r="S973" s="196">
        <f ca="1">IF($B$964="Лікар загальної практики - сімейний лікар",IF(S968&lt;Законод!$C$22,0,(IF(AND(S968&gt;=Законод!$H$22,S968&lt;=Законод!$H$23),S968-Законод!$G$23,IF('01_Доходи'!S968&gt;=Законод!$I$22,Законод!$H$24,0)))),IF($B$964="Лікар-педіатр",IF(S968&lt;Законод!$C$18,0,(IF(AND(S968&gt;=Законод!$H$18,S968&lt;=Законод!$H$19),S968-Законод!$G$19,IF('01_Доходи'!S968&gt;=Законод!$I$18,Законод!$H$20,0)))),IF($B$964="Лікар-терапевт",IF(S968&lt;Законод!$C$26,0,(IF(AND(S968&gt;=Законод!$H$26,S968&lt;=Законод!$H$27),S968-Законод!$G$27,IF(S968&gt;=Законод!$I$26,Законод!$H$28,0)))),0)))</f>
        <v>0</v>
      </c>
      <c r="T973" s="942"/>
      <c r="U973" s="935" t="s">
        <v>423</v>
      </c>
      <c r="V973" s="936"/>
      <c r="W973" s="936"/>
      <c r="X973" s="936"/>
      <c r="Y973" s="937"/>
      <c r="Z973" s="196">
        <f ca="1">IF($B$964="Лікар загальної практики - сімейний лікар",IF(Z968&lt;Законод!$C$22,0,(IF(AND(Z968&gt;=Законод!$H$22,Z968&lt;=Законод!$H$23),Z968-Законод!$G$23,IF('01_Доходи'!Z968&gt;=Законод!$I$22,Законод!$H$24,0)))),IF($B$964="Лікар-педіатр",IF(Z968&lt;Законод!$C$18,0,(IF(AND(Z968&gt;=Законод!$H$18,Z968&lt;=Законод!$H$19),Z968-Законод!$G$19,IF('01_Доходи'!Z968&gt;=Законод!$I$18,Законод!$H$20,0)))),IF($B$964="Лікар-терапевт",IF(Z968&lt;Законод!$C$26,0,(IF(AND(Z968&gt;=Законод!$H$26,Z968&lt;=Законод!$H$27),Z968-Законод!$G$27,IF(Z968&gt;=Законод!$I$26,Законод!$H$28,0)))),0)))</f>
        <v>0</v>
      </c>
      <c r="AA973" s="942"/>
      <c r="AB973" s="935" t="s">
        <v>423</v>
      </c>
      <c r="AC973" s="936"/>
      <c r="AD973" s="936"/>
      <c r="AE973" s="936"/>
      <c r="AF973" s="937"/>
      <c r="AG973" s="196">
        <f ca="1">IF($B$964="Лікар загальної практики - сімейний лікар",IF(AG968&lt;Законод!$C$22,0,(IF(AND(AG968&gt;=Законод!$H$22,AG968&lt;=Законод!$H$23),AG968-Законод!$G$23,IF('01_Доходи'!AG968&gt;=Законод!$I$22,Законод!$H$24,0)))),IF($B$964="Лікар-педіатр",IF(AG968&lt;Законод!$C$18,0,(IF(AND(AG968&gt;=Законод!$H$18,AG968&lt;=Законод!$H$19),AG968-Законод!$G$19,IF('01_Доходи'!AG968&gt;=Законод!$I$18,Законод!$H$20,0)))),IF($B$964="Лікар-терапевт",IF(AG968&lt;Законод!$C$26,0,(IF(AND(AG968&gt;=Законод!$H$26,AG968&lt;=Законод!$H$27),AG968-Законод!$G$27,IF(AG968&gt;=Законод!$I$26,Законод!$H$28,0)))),0)))</f>
        <v>0</v>
      </c>
      <c r="AH973" s="942"/>
      <c r="AI973" s="201"/>
      <c r="AJ973" s="945"/>
      <c r="AK973" s="960"/>
      <c r="AL973" s="960"/>
      <c r="AM973" s="927"/>
      <c r="AN973" s="210">
        <f ca="1">IF(B964="Лікар загальної практики - сімейний лікар",L973*Законод!$C$9/4*Законод!$H$16,IF(B964="Лікар-педіатр",L973*Законод!$C$9/4*Законод!$H$16,IF(B964="Лікар-терапевт",L973*Законод!$C$9/4*Законод!$H$16,0)))</f>
        <v>0</v>
      </c>
      <c r="AO973" s="210">
        <f ca="1">IF(B964="Лікар загальної практики - сімейний лікар",S973*Законод!$C$9/4*Законод!$H$16,IF(B964="Лікар-педіатр",S973*Законод!$C$9/4*Законод!$H$16,IF(B964="Лікар-терапевт",S973*Законод!$C$9/4*Законод!$H$16,0)))</f>
        <v>0</v>
      </c>
      <c r="AP973" s="210">
        <f ca="1">IF(B964="Лікар загальної практики - сімейний лікар",Z973*Законод!$C$9/4*Законод!$H$16,IF(B964="Лікар-педіатр",Z973*Законод!$C$9/4*Законод!$H$16,IF(B964="Лікар-терапевт",Z973*Законод!$C$9/4*Законод!$H$16,0)))</f>
        <v>0</v>
      </c>
      <c r="AQ973" s="210">
        <f ca="1">IF(B964="Лікар загальної практики - сімейний лікар",AG973*Законод!$C$9/4*Законод!$H$16,IF(B964="Лікар-педіатр",AG973*Законод!$C$9/4*Законод!$H$16,IF(B964="Лікар-терапевт",AG973*Законод!$C$9/4*Законод!$H$16,0)))</f>
        <v>0</v>
      </c>
      <c r="AR973" s="211">
        <f t="shared" si="114"/>
        <v>0</v>
      </c>
    </row>
    <row r="974" spans="1:44" s="50" customFormat="1" ht="31.9" hidden="1" customHeight="1">
      <c r="A974" s="197"/>
      <c r="B974" s="951"/>
      <c r="C974" s="954"/>
      <c r="D974" s="957"/>
      <c r="E974" s="939"/>
      <c r="F974" s="238" t="str">
        <f ca="1">IF(B964="Лікар-педіатр",Законод!$I$17,IF(B964="Лікар загальної практики - сімейний лікар",Законод!$I$21,IF(B964="Лікар-терапевт",Законод!$I$25,"х")))</f>
        <v>х</v>
      </c>
      <c r="G974" s="935" t="s">
        <v>423</v>
      </c>
      <c r="H974" s="936"/>
      <c r="I974" s="936"/>
      <c r="J974" s="936"/>
      <c r="K974" s="937"/>
      <c r="L974" s="196">
        <f ca="1">IF($B$964="Лікар загальної практики - сімейний лікар",IF(L968&lt;Законод!$C$22,0,(IF(AND(L968&gt;=Законод!$I$22,L968&lt;=Законод!$I$23),L968-Законод!$H$23,IF('01_Доходи'!L968&gt;=Законод!$I$22,Законод!$I$24,0)))),IF($B$964="Лікар-педіатр",IF(L968&lt;Законод!$C$18,0,(IF(AND(L968&gt;=Законод!$I$18,L968&lt;=Законод!$I$19),L968-Законод!$H$19,IF('01_Доходи'!L968&gt;=Законод!$I$18,Законод!$H$20,0)))),IF($B$964="Лікар-терапевт",IF(L968&lt;Законод!$C$26,0,(IF(AND(L968&gt;=Законод!$I$26,L968&lt;=Законод!$I$27),L968-Законод!$H$27,IF('01_Доходи'!L968&gt;=Законод!$I$26,Законод!$H$28,0)))),0)))</f>
        <v>0</v>
      </c>
      <c r="M974" s="942"/>
      <c r="N974" s="935" t="s">
        <v>423</v>
      </c>
      <c r="O974" s="936"/>
      <c r="P974" s="936"/>
      <c r="Q974" s="936"/>
      <c r="R974" s="937"/>
      <c r="S974" s="196">
        <f ca="1">IF($B$964="Лікар загальної практики - сімейний лікар",IF(S968&lt;Законод!$C$22,0,(IF(AND(S968&gt;=Законод!$I$22,S968&lt;=Законод!$I$23),S968-Законод!$H$23,IF('01_Доходи'!S968&gt;=Законод!$I$22,Законод!$I$24,0)))),IF($B$964="Лікар-педіатр",IF(S968&lt;Законод!$C$18,0,(IF(AND(S968&gt;=Законод!$I$18,S968&lt;=Законод!$I$19),S968-Законод!$H$19,IF('01_Доходи'!S968&gt;=Законод!$I$18,Законод!$H$20,0)))),IF($B$964="Лікар-терапевт",IF(S968&lt;Законод!$C$26,0,(IF(AND(S968&gt;=Законод!$I$26,S968&lt;=Законод!$I$27),S968-Законод!$H$27,IF('01_Доходи'!S968&gt;=Законод!$I$26,Законод!$H$28,0)))),0)))</f>
        <v>0</v>
      </c>
      <c r="T974" s="942"/>
      <c r="U974" s="935" t="s">
        <v>423</v>
      </c>
      <c r="V974" s="936"/>
      <c r="W974" s="936"/>
      <c r="X974" s="936"/>
      <c r="Y974" s="937"/>
      <c r="Z974" s="196">
        <f ca="1">IF($B$964="Лікар загальної практики - сімейний лікар",IF(Z968&lt;Законод!$C$22,0,(IF(AND(Z968&gt;=Законод!$I$22,Z968&lt;=Законод!$I$23),Z968-Законод!$H$23,IF('01_Доходи'!Z968&gt;=Законод!$I$22,Законод!$I$24,0)))),IF($B$964="Лікар-педіатр",IF(Z968&lt;Законод!$C$18,0,(IF(AND(Z968&gt;=Законод!$I$18,Z968&lt;=Законод!$I$19),Z968-Законод!$H$19,IF('01_Доходи'!Z968&gt;=Законод!$I$18,Законод!$H$20,0)))),IF($B$964="Лікар-терапевт",IF(Z968&lt;Законод!$C$26,0,(IF(AND(Z968&gt;=Законод!$I$26,Z968&lt;=Законод!$I$27),Z968-Законод!$H$27,IF('01_Доходи'!Z968&gt;=Законод!$I$26,Законод!$H$28,0)))),0)))</f>
        <v>0</v>
      </c>
      <c r="AA974" s="942"/>
      <c r="AB974" s="935" t="s">
        <v>423</v>
      </c>
      <c r="AC974" s="936"/>
      <c r="AD974" s="936"/>
      <c r="AE974" s="936"/>
      <c r="AF974" s="937"/>
      <c r="AG974" s="196">
        <f ca="1">IF($B$964="Лікар загальної практики - сімейний лікар",IF(AG968&lt;Законод!$C$22,0,(IF(AND(AG968&gt;=Законод!$I$22,AG968&lt;=Законод!$I$23),AG968-Законод!$H$23,IF('01_Доходи'!AG968&gt;=Законод!$I$22,Законод!$I$24,0)))),IF($B$964="Лікар-педіатр",IF(AG968&lt;Законод!$C$18,0,(IF(AND(AG968&gt;=Законод!$I$18,AG968&lt;=Законод!$I$19),AG968-Законод!$H$19,IF('01_Доходи'!AG968&gt;=Законод!$I$18,Законод!$H$20,0)))),IF($B$964="Лікар-терапевт",IF(AG968&lt;Законод!$C$26,0,(IF(AND(AG968&gt;=Законод!$I$26,AG968&lt;=Законод!$I$27),AG968-Законод!$H$27,IF('01_Доходи'!AG968&gt;=Законод!$I$26,Законод!$H$28,0)))),0)))</f>
        <v>0</v>
      </c>
      <c r="AH974" s="942"/>
      <c r="AI974" s="201"/>
      <c r="AJ974" s="945"/>
      <c r="AK974" s="960"/>
      <c r="AL974" s="960"/>
      <c r="AM974" s="927"/>
      <c r="AN974" s="210">
        <f ca="1">IF(B964="Лікар загальної практики - сімейний лікар",L974*Законод!$C$9/4*Законод!$I$16,IF(B964="Лікар-педіатр",L974*Законод!$C$9/4*Законод!$I$16,IF(B964="Лікар-терапевт",L974*Законод!$C$9/4*Законод!$I$16,0)))</f>
        <v>0</v>
      </c>
      <c r="AO974" s="210">
        <f ca="1">IF(B964="Лікар загальної практики - сімейний лікар",S974*Законод!$C$9/4*Законод!$I$16,IF(B964="Лікар-педіатр",S974*Законод!$C$9/4*Законод!$I$16,IF(B964="Лікар-терапевт",S974*Законод!$C$9/4*Законод!$I$16,0)))</f>
        <v>0</v>
      </c>
      <c r="AP974" s="210">
        <f ca="1">IF(B964="Лікар загальної практики - сімейний лікар",Z974*Законод!$C$9/4*Законод!$I$16,IF(B964="Лікар-педіатр",Z974*Законод!$C$9/4*Законод!$I$16,IF(B964="Лікар-терапевт",Z974*Законод!$C$9/4*Законод!$I$16,0)))</f>
        <v>0</v>
      </c>
      <c r="AQ974" s="210">
        <f ca="1">IF(B964="Лікар загальної практики - сімейний лікар",AG974*Законод!$C$9/4*Законод!$I$16,IF(B964="Лікар-педіатр",AG974*Законод!$C$9/4*Законод!$I$16,IF(B964="Лікар-терапевт",AG974*Законод!$C$9/4*Законод!$I$16,0)))</f>
        <v>0</v>
      </c>
      <c r="AR974" s="211">
        <f t="shared" si="114"/>
        <v>0</v>
      </c>
    </row>
    <row r="975" spans="1:44" s="218" customFormat="1" ht="31.9" hidden="1" customHeight="1" thickBot="1">
      <c r="A975" s="213"/>
      <c r="B975" s="952"/>
      <c r="C975" s="955"/>
      <c r="D975" s="958"/>
      <c r="E975" s="940"/>
      <c r="F975" s="239" t="str">
        <f ca="1">IF(B964="Лікар-педіатр",Законод!$J$17,IF(B964="Лікар загальної практики - сімейний лікар",Законод!$J$21,IF(B964="Лікар-терапевт",Законод!$J$25,"х")))</f>
        <v>х</v>
      </c>
      <c r="G975" s="932" t="s">
        <v>423</v>
      </c>
      <c r="H975" s="933"/>
      <c r="I975" s="933"/>
      <c r="J975" s="933"/>
      <c r="K975" s="934"/>
      <c r="L975" s="196">
        <f ca="1">IF($B$964="Лікар загальної практики - сімейний лікар",IF(L968&gt;=Законод!$J$22,'01_Доходи'!L968-('01_Доходи'!L969+'01_Доходи'!L970+'01_Доходи'!L971+'01_Доходи'!L972+'01_Доходи'!L973+'01_Доходи'!L974),0),IF($B$964="Лікар-педіатр",IF(L968&gt;=Законод!$J$18,'01_Доходи'!L968-('01_Доходи'!L969+'01_Доходи'!L970+'01_Доходи'!L971+'01_Доходи'!L972+'01_Доходи'!L973+'01_Доходи'!L974),0),IF($B$964="Лікар-терапевт",IF('01_Доходи'!L968&gt;=Законод!$J$26,L968-Законод!$I$27,0),0)))</f>
        <v>0</v>
      </c>
      <c r="M975" s="943"/>
      <c r="N975" s="932" t="s">
        <v>423</v>
      </c>
      <c r="O975" s="933"/>
      <c r="P975" s="933"/>
      <c r="Q975" s="933"/>
      <c r="R975" s="934"/>
      <c r="S975" s="196">
        <f ca="1">IF($B$964="Лікар загальної практики - сімейний лікар",IF(S968&gt;=Законод!$J$22,'01_Доходи'!S968-('01_Доходи'!S969+'01_Доходи'!S970+'01_Доходи'!S971+'01_Доходи'!S972+'01_Доходи'!S973+'01_Доходи'!S974),0),IF($B$964="Лікар-педіатр",IF(S968&gt;=Законод!$J$18,'01_Доходи'!S968-('01_Доходи'!S969+'01_Доходи'!S970+'01_Доходи'!S971+'01_Доходи'!S972+'01_Доходи'!S973+'01_Доходи'!S974),0),IF($B$964="Лікар-терапевт",IF('01_Доходи'!S968&gt;=Законод!$J$26,S968-Законод!$I$27,0),0)))</f>
        <v>0</v>
      </c>
      <c r="T975" s="943"/>
      <c r="U975" s="932" t="s">
        <v>423</v>
      </c>
      <c r="V975" s="933"/>
      <c r="W975" s="933"/>
      <c r="X975" s="933"/>
      <c r="Y975" s="934"/>
      <c r="Z975" s="196">
        <f ca="1">IF($B$964="Лікар загальної практики - сімейний лікар",IF(Z968&gt;=Законод!$J$22,'01_Доходи'!Z968-('01_Доходи'!Z969+'01_Доходи'!Z970+'01_Доходи'!Z971+'01_Доходи'!Z972+'01_Доходи'!Z973+'01_Доходи'!Z974),0),IF($B$964="Лікар-педіатр",IF(Z968&gt;=Законод!$J$18,'01_Доходи'!Z968-('01_Доходи'!Z969+'01_Доходи'!Z970+'01_Доходи'!Z971+'01_Доходи'!Z972+'01_Доходи'!Z973+'01_Доходи'!Z974),0),IF($B$964="Лікар-терапевт",IF('01_Доходи'!Z968&gt;=Законод!$J$26,Z968-Законод!$I$27,0),0)))</f>
        <v>0</v>
      </c>
      <c r="AA975" s="943"/>
      <c r="AB975" s="932" t="s">
        <v>423</v>
      </c>
      <c r="AC975" s="933"/>
      <c r="AD975" s="933"/>
      <c r="AE975" s="933"/>
      <c r="AF975" s="934"/>
      <c r="AG975" s="196">
        <f ca="1">IF($B$964="Лікар загальної практики - сімейний лікар",IF(AG968&gt;=Законод!$J$22,'01_Доходи'!AG968-('01_Доходи'!AG969+'01_Доходи'!AG970+'01_Доходи'!AG971+'01_Доходи'!AG972+'01_Доходи'!AG973+'01_Доходи'!AG974),0),IF($B$964="Лікар-педіатр",IF(AG968&gt;=Законод!$J$18,'01_Доходи'!AG968-('01_Доходи'!AG969+'01_Доходи'!AG970+'01_Доходи'!AG971+'01_Доходи'!AG972+'01_Доходи'!AG973+'01_Доходи'!AG974),0),IF($B$964="Лікар-терапевт",IF('01_Доходи'!AG968&gt;=Законод!$J$26,AG968-Законод!$I$27,0),0)))</f>
        <v>0</v>
      </c>
      <c r="AH975" s="943"/>
      <c r="AI975" s="215"/>
      <c r="AJ975" s="946"/>
      <c r="AK975" s="961"/>
      <c r="AL975" s="961"/>
      <c r="AM975" s="928"/>
      <c r="AN975" s="216">
        <f ca="1">IF(B964="Лікар загальної практики - сімейний лікар",L975*Законод!$C$9/4*Законод!$J$16,IF(B964="Лікар-педіатр",L975*Законод!$C$9/4*Законод!$J$16,IF(B964="Лікар-терапевт",L975*Законод!$C$9/4*Законод!$J$16,0)))</f>
        <v>0</v>
      </c>
      <c r="AO975" s="216">
        <f ca="1">IF(B964="Лікар загальної практики - сімейний лікар",S975*Законод!$C$9/4*Законод!$J$16,IF(B964="Лікар-педіатр",S975*Законод!$C$9/4*Законод!$J$16,IF(B964="Лікар-терапевт",S975*Законод!$C$9/4*Законод!$J$16,0)))</f>
        <v>0</v>
      </c>
      <c r="AP975" s="216">
        <f ca="1">IF(B964="Лікар загальної практики - сімейний лікар",S975*Законод!$C$9/4*Законод!$J$16,IF(B964="Лікар-педіатр",S975*Законод!$C$9/4*Законод!$J$16,IF(B964="Лікар-терапевт",S975*Законод!$C$9/4*Законод!$J$16,0)))</f>
        <v>0</v>
      </c>
      <c r="AQ975" s="216">
        <f ca="1">IF(B964="Лікар загальної практики - сімейний лікар",AG975*Законод!$C$9/4*Законод!$J$16,IF(B964="Лікар-педіатр",AG975*Законод!$C$9/4*Законод!$J$16,IF(B964="Лікар-терапевт",AG975*Законод!$C$9/4*Законод!$J$16,0)))</f>
        <v>0</v>
      </c>
      <c r="AR975" s="217">
        <f t="shared" si="114"/>
        <v>0</v>
      </c>
    </row>
    <row r="976" spans="1:44" s="247" customFormat="1" ht="23.45" hidden="1" customHeight="1" thickBot="1">
      <c r="A976" s="243"/>
      <c r="B976" s="244"/>
      <c r="C976" s="244"/>
      <c r="D976" s="244"/>
      <c r="E976" s="244"/>
      <c r="F976" s="245"/>
      <c r="G976" s="246"/>
      <c r="H976" s="246"/>
      <c r="L976" s="248"/>
      <c r="S976" s="248"/>
      <c r="Z976" s="248"/>
      <c r="AG976" s="248"/>
      <c r="AM976" s="249"/>
      <c r="AR976" s="250"/>
    </row>
    <row r="977" spans="1:44" s="191" customFormat="1" ht="24.6" hidden="1" customHeight="1">
      <c r="A977" s="194">
        <f>A964+1</f>
        <v>73</v>
      </c>
      <c r="B977" s="950"/>
      <c r="C977" s="953"/>
      <c r="D977" s="956"/>
      <c r="E977" s="938"/>
      <c r="F977" s="234" t="s">
        <v>659</v>
      </c>
      <c r="G977" s="196">
        <f>IF($B$977="Лікар-педіатр",G980*L977,IF($B$977="Лікар-терапевт","х",IF($B$977="Лікар загальної практики - сімейний лікар",G980*L977,0)))</f>
        <v>0</v>
      </c>
      <c r="H977" s="196">
        <f>IF($B$977="Лікар-педіатр",H980*L977,IF($B$977="Лікар-терапевт","х",IF($B$977="Лікар загальної практики - сімейний лікар",H980*L977,0)))</f>
        <v>0</v>
      </c>
      <c r="I977" s="196">
        <f>IF($B$977="Лікар-педіатр","x",IF($B$977="Лікар-терапевт",I980*L977,IF($B$977="Лікар загальної практики - сімейний лікар",I980*L977,0)))</f>
        <v>0</v>
      </c>
      <c r="J977" s="196">
        <f>IF($B$977="Лікар-педіатр","x",IF($B$977="Лікар-терапевт",J980*L977,IF($B$977="Лікар загальної практики - сімейний лікар",J980*L977,0)))</f>
        <v>0</v>
      </c>
      <c r="K977" s="196">
        <f>IF($B$977="Лікар-педіатр","x",IF($B$977="Лікар-терапевт",K980*L977,IF($B$977="Лікар загальної практики - сімейний лікар",K980*L977,0)))</f>
        <v>0</v>
      </c>
      <c r="L977" s="557"/>
      <c r="M977" s="941"/>
      <c r="N977" s="196">
        <f>IF($B$977="Лікар-педіатр",N980*S977,IF($B$977="Лікар-терапевт","х",IF($B$977="Лікар загальної практики - сімейний лікар",N980*S977,0)))</f>
        <v>0</v>
      </c>
      <c r="O977" s="196">
        <f>IF($B$977="Лікар-педіатр",O980*S977,IF($B$977="Лікар-терапевт","х",IF($B$977="Лікар загальної практики - сімейний лікар",O980*S977,0)))</f>
        <v>0</v>
      </c>
      <c r="P977" s="196">
        <f>IF($B$977="Лікар-педіатр","x",IF($B$977="Лікар-терапевт",P980*S977,IF($B$977="Лікар загальної практики - сімейний лікар",P980*S977,0)))</f>
        <v>0</v>
      </c>
      <c r="Q977" s="196">
        <f>IF($B$977="Лікар-педіатр","x",IF($B$977="Лікар-терапевт",Q980*S977,IF($B$977="Лікар загальної практики - сімейний лікар",Q980*S977,0)))</f>
        <v>0</v>
      </c>
      <c r="R977" s="196">
        <f>IF($B$977="Лікар-педіатр","x",IF($B$977="Лікар-терапевт",R980*S977,IF($B$977="Лікар загальної практики - сімейний лікар",R980*S977,0)))</f>
        <v>0</v>
      </c>
      <c r="S977" s="557"/>
      <c r="T977" s="941"/>
      <c r="U977" s="196">
        <f>IF($B$977="Лікар-педіатр",U980*Z977,IF($B$977="Лікар-терапевт","х",IF($B$977="Лікар загальної практики - сімейний лікар",U980*Z977,0)))</f>
        <v>0</v>
      </c>
      <c r="V977" s="196">
        <f>IF($B$977="Лікар-педіатр",V980*Z977,IF($B$977="Лікар-терапевт","х",IF($B$977="Лікар загальної практики - сімейний лікар",V980*Z977,0)))</f>
        <v>0</v>
      </c>
      <c r="W977" s="196">
        <f>IF($B$977="Лікар-педіатр","x",IF($B$977="Лікар-терапевт",W980*Z977,IF($B$977="Лікар загальної практики - сімейний лікар",W980*Z977,0)))</f>
        <v>0</v>
      </c>
      <c r="X977" s="196">
        <f>IF($B$977="Лікар-педіатр","x",IF($B$977="Лікар-терапевт",X980*Z977,IF($B$977="Лікар загальної практики - сімейний лікар",X980*Z977,0)))</f>
        <v>0</v>
      </c>
      <c r="Y977" s="196">
        <f>IF($B$977="Лікар-педіатр","x",IF($B$977="Лікар-терапевт",Y980*Z977,IF($B$977="Лікар загальної практики - сімейний лікар",Y980*Z977,0)))</f>
        <v>0</v>
      </c>
      <c r="Z977" s="557"/>
      <c r="AA977" s="941"/>
      <c r="AB977" s="196">
        <f>IF($B$977="Лікар-педіатр",AB980*AG977,IF($B$977="Лікар-терапевт","х",IF($B$977="Лікар загальної практики - сімейний лікар",AB980*AG977,0)))</f>
        <v>0</v>
      </c>
      <c r="AC977" s="196">
        <f>IF($B$977="Лікар-педіатр",AC980*AG977,IF($B$977="Лікар-терапевт","х",IF($B$977="Лікар загальної практики - сімейний лікар",AC980*AG977,0)))</f>
        <v>0</v>
      </c>
      <c r="AD977" s="196">
        <f>IF($B$977="Лікар-педіатр","x",IF($B$977="Лікар-терапевт",AD980*AG977,IF($B$977="Лікар загальної практики - сімейний лікар",AD980*AG977,0)))</f>
        <v>0</v>
      </c>
      <c r="AE977" s="196">
        <f>IF($B$977="Лікар-педіатр","x",IF($B$977="Лікар-терапевт",AE980*AG977,IF($B$977="Лікар загальної практики - сімейний лікар",AE980*AG977,0)))</f>
        <v>0</v>
      </c>
      <c r="AF977" s="196">
        <f>IF($B$977="Лікар-педіатр","x",IF($B$977="Лікар-терапевт",AF980*AG977,IF($B$977="Лікар загальної практики - сімейний лікар",AF980*AG977,0)))</f>
        <v>0</v>
      </c>
      <c r="AG977" s="557"/>
      <c r="AH977" s="941"/>
      <c r="AI977" s="540">
        <f>A977</f>
        <v>73</v>
      </c>
      <c r="AJ977" s="944">
        <f>B977</f>
        <v>0</v>
      </c>
      <c r="AK977" s="959">
        <f>C977</f>
        <v>0</v>
      </c>
      <c r="AL977" s="959">
        <f>D977</f>
        <v>0</v>
      </c>
      <c r="AM977" s="929" t="s">
        <v>79</v>
      </c>
      <c r="AN977" s="947">
        <f>SUM(AN982:AN988)</f>
        <v>0</v>
      </c>
      <c r="AO977" s="947">
        <f>SUM(AO982:AO988)</f>
        <v>0</v>
      </c>
      <c r="AP977" s="947">
        <f>SUM(AP982:AP988)</f>
        <v>0</v>
      </c>
      <c r="AQ977" s="947">
        <f>SUM(AQ982:AQ988)</f>
        <v>0</v>
      </c>
      <c r="AR977" s="962">
        <f>SUM(AN977:AQ981)</f>
        <v>0</v>
      </c>
    </row>
    <row r="978" spans="1:44" s="50" customFormat="1" ht="28.15" hidden="1" customHeight="1">
      <c r="A978" s="197"/>
      <c r="B978" s="951"/>
      <c r="C978" s="954"/>
      <c r="D978" s="957"/>
      <c r="E978" s="939"/>
      <c r="F978" s="234" t="s">
        <v>660</v>
      </c>
      <c r="G978" s="196">
        <f>IF($B$977="Лікар-педіатр",G980*L978,IF($B$977="Лікар-терапевт","х",IF($B$977="Лікар загальної практики - сімейний лікар",G980*L978,0)))</f>
        <v>0</v>
      </c>
      <c r="H978" s="196">
        <f>IF($B$977="Лікар-педіатр",H980*L978,IF($B$977="Лікар-терапевт","х",IF($B$977="Лікар загальної практики - сімейний лікар",H980*L978,0)))</f>
        <v>0</v>
      </c>
      <c r="I978" s="196">
        <f>IF($B$977="Лікар-педіатр","x",IF($B$977="Лікар-терапевт",I980*L978,IF($B$977="Лікар загальної практики - сімейний лікар",I980*L978,0)))</f>
        <v>0</v>
      </c>
      <c r="J978" s="196">
        <f>IF($B$977="Лікар-педіатр","x",IF($B$977="Лікар-терапевт",J980*L978,IF($B$977="Лікар загальної практики - сімейний лікар",J980*L978,0)))</f>
        <v>0</v>
      </c>
      <c r="K978" s="196">
        <f>IF($B$977="Лікар-педіатр","x",IF($B$977="Лікар-терапевт",K980*L978,IF($B$977="Лікар загальної практики - сімейний лікар",K980*L978,0)))</f>
        <v>0</v>
      </c>
      <c r="L978" s="557"/>
      <c r="M978" s="942"/>
      <c r="N978" s="196">
        <f>IF($B$977="Лікар-педіатр",N980*S978,IF($B$977="Лікар-терапевт","х",IF($B$977="Лікар загальної практики - сімейний лікар",N980*S978,0)))</f>
        <v>0</v>
      </c>
      <c r="O978" s="196">
        <f>IF($B$977="Лікар-педіатр",O980*S978,IF($B$977="Лікар-терапевт","х",IF($B$977="Лікар загальної практики - сімейний лікар",O980*S978,0)))</f>
        <v>0</v>
      </c>
      <c r="P978" s="196">
        <f>IF($B$977="Лікар-педіатр","x",IF($B$977="Лікар-терапевт",P980*S978,IF($B$977="Лікар загальної практики - сімейний лікар",P980*S978,0)))</f>
        <v>0</v>
      </c>
      <c r="Q978" s="196">
        <f>IF($B$977="Лікар-педіатр","x",IF($B$977="Лікар-терапевт",Q980*S978,IF($B$977="Лікар загальної практики - сімейний лікар",Q980*S978,0)))</f>
        <v>0</v>
      </c>
      <c r="R978" s="196">
        <f>IF($B$977="Лікар-педіатр","x",IF($B$977="Лікар-терапевт",R980*S978,IF($B$977="Лікар загальної практики - сімейний лікар",R980*S978,0)))</f>
        <v>0</v>
      </c>
      <c r="S978" s="557"/>
      <c r="T978" s="942"/>
      <c r="U978" s="196">
        <f>IF($B$977="Лікар-педіатр",U980*Z978,IF($B$977="Лікар-терапевт","х",IF($B$977="Лікар загальної практики - сімейний лікар",U980*Z978,0)))</f>
        <v>0</v>
      </c>
      <c r="V978" s="196">
        <f>IF($B$977="Лікар-педіатр",V980*Z978,IF($B$977="Лікар-терапевт","х",IF($B$977="Лікар загальної практики - сімейний лікар",V980*Z978,0)))</f>
        <v>0</v>
      </c>
      <c r="W978" s="196">
        <f>IF($B$977="Лікар-педіатр","x",IF($B$977="Лікар-терапевт",W980*Z978,IF($B$977="Лікар загальної практики - сімейний лікар",W980*Z978,0)))</f>
        <v>0</v>
      </c>
      <c r="X978" s="196">
        <f>IF($B$977="Лікар-педіатр","x",IF($B$977="Лікар-терапевт",X980*Z978,IF($B$977="Лікар загальної практики - сімейний лікар",X980*Z978,0)))</f>
        <v>0</v>
      </c>
      <c r="Y978" s="196">
        <f>IF($B$977="Лікар-педіатр","x",IF($B$977="Лікар-терапевт",Y980*Z978,IF($B$977="Лікар загальної практики - сімейний лікар",Y980*Z978,0)))</f>
        <v>0</v>
      </c>
      <c r="Z978" s="557"/>
      <c r="AA978" s="942"/>
      <c r="AB978" s="196">
        <f>IF($B$977="Лікар-педіатр",AB980*AG978,IF($B$977="Лікар-терапевт","х",IF($B$977="Лікар загальної практики - сімейний лікар",AB980*AG978,0)))</f>
        <v>0</v>
      </c>
      <c r="AC978" s="196">
        <f>IF($B$977="Лікар-педіатр",AC980*AG978,IF($B$977="Лікар-терапевт","х",IF($B$977="Лікар загальної практики - сімейний лікар",AC980*AG978,0)))</f>
        <v>0</v>
      </c>
      <c r="AD978" s="196">
        <f>IF($B$977="Лікар-педіатр","x",IF($B$977="Лікар-терапевт",AD980*AG978,IF($B$977="Лікар загальної практики - сімейний лікар",AD980*AG978,0)))</f>
        <v>0</v>
      </c>
      <c r="AE978" s="196">
        <f>IF($B$977="Лікар-педіатр","x",IF($B$977="Лікар-терапевт",AE980*AG978,IF($B$977="Лікар загальної практики - сімейний лікар",AE980*AG978,0)))</f>
        <v>0</v>
      </c>
      <c r="AF978" s="196">
        <f>IF($B$977="Лікар-педіатр","x",IF($B$977="Лікар-терапевт",AF980*AG978,IF($B$977="Лікар загальної практики - сімейний лікар",AF980*AG978,0)))</f>
        <v>0</v>
      </c>
      <c r="AG978" s="557"/>
      <c r="AH978" s="942"/>
      <c r="AI978" s="198"/>
      <c r="AJ978" s="945"/>
      <c r="AK978" s="960"/>
      <c r="AL978" s="960"/>
      <c r="AM978" s="930"/>
      <c r="AN978" s="948"/>
      <c r="AO978" s="948"/>
      <c r="AP978" s="948"/>
      <c r="AQ978" s="948"/>
      <c r="AR978" s="963"/>
    </row>
    <row r="979" spans="1:44" s="90" customFormat="1" ht="31.15" hidden="1" customHeight="1">
      <c r="A979" s="240"/>
      <c r="B979" s="951"/>
      <c r="C979" s="954"/>
      <c r="D979" s="957"/>
      <c r="E979" s="939"/>
      <c r="F979" s="241" t="s">
        <v>661</v>
      </c>
      <c r="G979" s="199">
        <f>IF(B977="Лікар загальної практики - сімейний лікар"," ",IF(B977="Лікар-педіатр"," ",IF(B977="Лікар-терапевт","х",0)))</f>
        <v>0</v>
      </c>
      <c r="H979" s="199">
        <f>IF(B977="Лікар загальної практики - сімейний лікар"," ",IF(B977="Лікар-педіатр"," ",IF(B977="Лікар-терапевт","х",0)))</f>
        <v>0</v>
      </c>
      <c r="I979" s="199">
        <f>IF(B977="Лікар загальної практики - сімейний лікар"," ",IF(B977="Лікар-педіатр","х",IF(B977="Лікар-терапевт"," ",0)))</f>
        <v>0</v>
      </c>
      <c r="J979" s="199">
        <f>IF(B977="Лікар загальної практики - сімейний лікар"," ",IF(B977="Лікар-педіатр","х",IF(B977="Лікар-терапевт"," ",0)))</f>
        <v>0</v>
      </c>
      <c r="K979" s="199">
        <f>IF(B977="Лікар загальної практики - сімейний лікар"," ",IF(B977="Лікар-педіатр","х",IF(B977="Лікар-терапевт"," ",0)))</f>
        <v>0</v>
      </c>
      <c r="L979" s="200">
        <f>SUM(G979:K979)</f>
        <v>0</v>
      </c>
      <c r="M979" s="942"/>
      <c r="N979" s="199">
        <f>IF(B977="Лікар загальної практики - сімейний лікар"," ",IF(B977="Лікар-педіатр"," ",IF(B977="Лікар-терапевт","х",0)))</f>
        <v>0</v>
      </c>
      <c r="O979" s="199">
        <f>IF(B977="Лікар загальної практики - сімейний лікар"," ",IF(B977="Лікар-педіатр"," ",IF(B977="Лікар-терапевт","х",0)))</f>
        <v>0</v>
      </c>
      <c r="P979" s="199">
        <f>IF(B977="Лікар загальної практики - сімейний лікар"," ",IF(B977="Лікар-педіатр","х",IF(B977="Лікар-терапевт"," ",0)))</f>
        <v>0</v>
      </c>
      <c r="Q979" s="199">
        <f>IF(B977="Лікар загальної практики - сімейний лікар"," ",IF(B977="Лікар-педіатр","х",IF(B977="Лікар-терапевт"," ",0)))</f>
        <v>0</v>
      </c>
      <c r="R979" s="199">
        <f>IF(B977="Лікар загальної практики - сімейний лікар"," ",IF(B977="Лікар-педіатр","х",IF(B977="Лікар-терапевт"," ",0)))</f>
        <v>0</v>
      </c>
      <c r="S979" s="200">
        <f>SUM(N979:R979)</f>
        <v>0</v>
      </c>
      <c r="T979" s="942"/>
      <c r="U979" s="199">
        <f>IF(B977="Лікар загальної практики - сімейний лікар"," ",IF(B977="Лікар-педіатр"," ",IF(B977="Лікар-терапевт","х",0)))</f>
        <v>0</v>
      </c>
      <c r="V979" s="199">
        <f>IF(B977="Лікар загальної практики - сімейний лікар"," ",IF(B977="Лікар-педіатр"," ",IF(B977="Лікар-терапевт","х",0)))</f>
        <v>0</v>
      </c>
      <c r="W979" s="199">
        <f>IF(B977="Лікар загальної практики - сімейний лікар"," ",IF(B977="Лікар-педіатр","х",IF(B977="Лікар-терапевт"," ",0)))</f>
        <v>0</v>
      </c>
      <c r="X979" s="199">
        <f>IF(B977="Лікар загальної практики - сімейний лікар"," ",IF(B977="Лікар-педіатр","х",IF(B977="Лікар-терапевт"," ",0)))</f>
        <v>0</v>
      </c>
      <c r="Y979" s="199">
        <f>IF(B977="Лікар загальної практики - сімейний лікар"," ",IF(B977="Лікар-педіатр","х",IF(B977="Лікар-терапевт"," ",0)))</f>
        <v>0</v>
      </c>
      <c r="Z979" s="200">
        <f>SUM(U979:Y979)</f>
        <v>0</v>
      </c>
      <c r="AA979" s="942"/>
      <c r="AB979" s="199">
        <f>IF(B977="Лікар загальної практики - сімейний лікар"," ",IF(B977="Лікар-педіатр"," ",IF(B977="Лікар-терапевт","х",0)))</f>
        <v>0</v>
      </c>
      <c r="AC979" s="199">
        <f>IF(B977="Лікар загальної практики - сімейний лікар"," ",IF(B977="Лікар-педіатр"," ",IF(B977="Лікар-терапевт","х",0)))</f>
        <v>0</v>
      </c>
      <c r="AD979" s="199">
        <f>IF(B977="Лікар загальної практики - сімейний лікар"," ",IF(B977="Лікар-педіатр","х",IF(B977="Лікар-терапевт"," ",0)))</f>
        <v>0</v>
      </c>
      <c r="AE979" s="199">
        <f>IF(B977="Лікар загальної практики - сімейний лікар"," ",IF(B977="Лікар-педіатр","х",IF(B977="Лікар-терапевт"," ",0)))</f>
        <v>0</v>
      </c>
      <c r="AF979" s="199">
        <f>IF(B977="Лікар загальної практики - сімейний лікар"," ",IF(B977="Лікар-педіатр","х",IF(B977="Лікар-терапевт"," ",0)))</f>
        <v>0</v>
      </c>
      <c r="AG979" s="200">
        <f>SUM(AB979:AF979)</f>
        <v>0</v>
      </c>
      <c r="AH979" s="942"/>
      <c r="AI979" s="242"/>
      <c r="AJ979" s="945"/>
      <c r="AK979" s="960"/>
      <c r="AL979" s="960"/>
      <c r="AM979" s="930"/>
      <c r="AN979" s="948"/>
      <c r="AO979" s="948"/>
      <c r="AP979" s="948"/>
      <c r="AQ979" s="948"/>
      <c r="AR979" s="963"/>
    </row>
    <row r="980" spans="1:44" s="50" customFormat="1" ht="31.9" hidden="1" customHeight="1" thickBot="1">
      <c r="A980" s="197"/>
      <c r="B980" s="951"/>
      <c r="C980" s="954"/>
      <c r="D980" s="957"/>
      <c r="E980" s="939"/>
      <c r="F980" s="236" t="s">
        <v>426</v>
      </c>
      <c r="G980" s="203">
        <f>IF($B$977="Лікар-педіатр",G979/L979,IF($B$977="Лікар-терапевт","х",IF($B$977="Лікар загальної практики - сімейний лікар",G979/L979,0)))</f>
        <v>0</v>
      </c>
      <c r="H980" s="203">
        <f>IF($B$977="Лікар-педіатр",H979/L979,IF($B$977="Лікар-терапевт","х",IF($B$977="Лікар загальної практики - сімейний лікар",H979/L979,0)))</f>
        <v>0</v>
      </c>
      <c r="I980" s="203">
        <f>IF($B$977="Лікар-педіатр","x",IF($B$977="Лікар-терапевт",I979/L979,IF($B$977="Лікар загальної практики - сімейний лікар",I979/L979,0)))</f>
        <v>0</v>
      </c>
      <c r="J980" s="203">
        <f>IF($B$977="Лікар-педіатр","x",IF($B$977="Лікар-терапевт",J979/L979,IF($B$977="Лікар загальної практики - сімейний лікар",J979/L979,0)))</f>
        <v>0</v>
      </c>
      <c r="K980" s="203">
        <f>IF($B$977="Лікар-педіатр","x",IF($B$977="Лікар-терапевт",K979/L979,IF($B$977="Лікар загальної практики - сімейний лікар",K979/L979,0)))</f>
        <v>0</v>
      </c>
      <c r="L980" s="203">
        <f>SUM(G980:K980)</f>
        <v>0</v>
      </c>
      <c r="M980" s="942"/>
      <c r="N980" s="203">
        <f>IF($B$977="Лікар-педіатр",N979/S979,IF($B$977="Лікар-терапевт","х",IF($B$977="Лікар загальної практики - сімейний лікар",N979/S979,0)))</f>
        <v>0</v>
      </c>
      <c r="O980" s="203">
        <f>IF($B$977="Лікар-педіатр",O979/S979,IF($B$977="Лікар-терапевт","х",IF($B$977="Лікар загальної практики - сімейний лікар",O979/S979,0)))</f>
        <v>0</v>
      </c>
      <c r="P980" s="203">
        <f>IF($B$977="Лікар-педіатр","x",IF($B$977="Лікар-терапевт",P979/S979,IF($B$977="Лікар загальної практики - сімейний лікар",P979/S979,0)))</f>
        <v>0</v>
      </c>
      <c r="Q980" s="203">
        <f>IF($B$977="Лікар-педіатр","x",IF($B$977="Лікар-терапевт",Q979/S979,IF($B$977="Лікар загальної практики - сімейний лікар",Q979/S979,0)))</f>
        <v>0</v>
      </c>
      <c r="R980" s="203">
        <f>IF($B$977="Лікар-педіатр","x",IF($B$977="Лікар-терапевт",R979/S979,IF($B$977="Лікар загальної практики - сімейний лікар",R979/S979,0)))</f>
        <v>0</v>
      </c>
      <c r="S980" s="203">
        <f>SUM(N980:R980)</f>
        <v>0</v>
      </c>
      <c r="T980" s="942"/>
      <c r="U980" s="203">
        <f>IF($B$977="Лікар-педіатр",U979/Z979,IF($B$977="Лікар-терапевт","х",IF($B$977="Лікар загальної практики - сімейний лікар",U979/Z979,0)))</f>
        <v>0</v>
      </c>
      <c r="V980" s="203">
        <f>IF($B$977="Лікар-педіатр",V979/Z979,IF($B$977="Лікар-терапевт","х",IF($B$977="Лікар загальної практики - сімейний лікар",V979/Z979,0)))</f>
        <v>0</v>
      </c>
      <c r="W980" s="203">
        <f>IF($B$977="Лікар-педіатр","x",IF($B$977="Лікар-терапевт",W979/Z979,IF($B$977="Лікар загальної практики - сімейний лікар",W979/Z979,0)))</f>
        <v>0</v>
      </c>
      <c r="X980" s="203">
        <f>IF($B$977="Лікар-педіатр","x",IF($B$977="Лікар-терапевт",X979/Z979,IF($B$977="Лікар загальної практики - сімейний лікар",X979/Z979,0)))</f>
        <v>0</v>
      </c>
      <c r="Y980" s="203">
        <f>IF($B$977="Лікар-педіатр","x",IF($B$977="Лікар-терапевт",Y979/Z979,IF($B$977="Лікар загальної практики - сімейний лікар",Y979/Z979,0)))</f>
        <v>0</v>
      </c>
      <c r="Z980" s="203">
        <f>SUM(U980:Y980)</f>
        <v>0</v>
      </c>
      <c r="AA980" s="942"/>
      <c r="AB980" s="203">
        <f>IF($B$977="Лікар-педіатр",AB979/AG979,IF($B$977="Лікар-терапевт","х",IF($B$977="Лікар загальної практики - сімейний лікар",AB979/AG979,0)))</f>
        <v>0</v>
      </c>
      <c r="AC980" s="203">
        <f>IF($B$977="Лікар-педіатр",AC979/AG979,IF($B$977="Лікар-терапевт","х",IF($B$977="Лікар загальної практики - сімейний лікар",AC979/AG979,0)))</f>
        <v>0</v>
      </c>
      <c r="AD980" s="203">
        <f>IF($B$977="Лікар-педіатр","x",IF($B$977="Лікар-терапевт",AD979/AG979,IF($B$977="Лікар загальної практики - сімейний лікар",AD979/AG979,0)))</f>
        <v>0</v>
      </c>
      <c r="AE980" s="203">
        <f>IF($B$977="Лікар-педіатр","x",IF($B$977="Лікар-терапевт",AE979/AG979,IF($B$977="Лікар загальної практики - сімейний лікар",AE979/AG979,0)))</f>
        <v>0</v>
      </c>
      <c r="AF980" s="203">
        <f>IF($B$977="Лікар-педіатр","x",IF($B$977="Лікар-терапевт",AF979/AG979,IF($B$977="Лікар загальної практики - сімейний лікар",AF979/AG979,0)))</f>
        <v>0</v>
      </c>
      <c r="AG980" s="203">
        <f>SUM(AB980:AF980)</f>
        <v>0</v>
      </c>
      <c r="AH980" s="942"/>
      <c r="AI980" s="201"/>
      <c r="AJ980" s="945"/>
      <c r="AK980" s="960"/>
      <c r="AL980" s="960"/>
      <c r="AM980" s="930"/>
      <c r="AN980" s="948"/>
      <c r="AO980" s="948"/>
      <c r="AP980" s="948"/>
      <c r="AQ980" s="948"/>
      <c r="AR980" s="963"/>
    </row>
    <row r="981" spans="1:44" s="50" customFormat="1" ht="45" hidden="1" customHeight="1" thickBot="1">
      <c r="A981" s="197"/>
      <c r="B981" s="951"/>
      <c r="C981" s="954"/>
      <c r="D981" s="957"/>
      <c r="E981" s="939"/>
      <c r="F981" s="204" t="s">
        <v>662</v>
      </c>
      <c r="G981" s="205">
        <f>IF($B$977="Лікар загальної практики - сімейний лікар",AVERAGE(G977:G979),IF($B$977="Лікар-педіатр",AVERAGE(G977:G979),IF($B$977="Лікар-терапевт","х",0)))</f>
        <v>0</v>
      </c>
      <c r="H981" s="205">
        <f>IF($B$977="Лікар загальної практики - сімейний лікар",AVERAGE(H977:H979),IF($B$977="Лікар-педіатр",AVERAGE(H977:H979),IF($B$977="Лікар-терапевт","х",0)))</f>
        <v>0</v>
      </c>
      <c r="I981" s="205">
        <f>IF($B$977="Лікар загальної практики - сімейний лікар",AVERAGE(I977:I979),IF($B$977="Лікар-педіатр","x",IF($B$977="Лікар-терапевт",AVERAGE(I977:I979),0)))</f>
        <v>0</v>
      </c>
      <c r="J981" s="205">
        <f>IF($B$977="Лікар загальної практики - сімейний лікар",AVERAGE(J977:J979),IF($B$977="Лікар-педіатр","x",IF($B$977="Лікар-терапевт",AVERAGE(J977:J979),0)))</f>
        <v>0</v>
      </c>
      <c r="K981" s="205">
        <f>IF($B$977="Лікар загальної практики - сімейний лікар",AVERAGE(K977:K979),IF($B$977="Лікар-педіатр","x",IF($B$977="Лікар-терапевт",AVERAGE(K977:K979),0)))</f>
        <v>0</v>
      </c>
      <c r="L981" s="206">
        <f>SUM(G981:K981)</f>
        <v>0</v>
      </c>
      <c r="M981" s="942"/>
      <c r="N981" s="205">
        <f>IF($B$977="Лікар загальної практики - сімейний лікар",AVERAGE(N977:N979),IF($B$977="Лікар-педіатр",AVERAGE(N977:N979),IF($B$977="Лікар-терапевт","х",0)))</f>
        <v>0</v>
      </c>
      <c r="O981" s="205">
        <f>IF($B$977="Лікар загальної практики - сімейний лікар",AVERAGE(O977:O979),IF($B$977="Лікар-педіатр",AVERAGE(O977:O979),IF($B$977="Лікар-терапевт","х",0)))</f>
        <v>0</v>
      </c>
      <c r="P981" s="205">
        <f>IF($B$977="Лікар загальної практики - сімейний лікар",AVERAGE(P977:P979),IF($B$977="Лікар-педіатр","x",IF($B$977="Лікар-терапевт",AVERAGE(P977:P979),0)))</f>
        <v>0</v>
      </c>
      <c r="Q981" s="205">
        <f>IF($B$977="Лікар загальної практики - сімейний лікар",AVERAGE(Q977:Q979),IF($B$977="Лікар-педіатр","x",IF($B$977="Лікар-терапевт",AVERAGE(Q977:Q979),0)))</f>
        <v>0</v>
      </c>
      <c r="R981" s="205">
        <f>IF($B$977="Лікар загальної практики - сімейний лікар",AVERAGE(R977:R979),IF($B$977="Лікар-педіатр","x",IF($B$977="Лікар-терапевт",AVERAGE(R977:R979),0)))</f>
        <v>0</v>
      </c>
      <c r="S981" s="206">
        <f>SUM(N981:R981)</f>
        <v>0</v>
      </c>
      <c r="T981" s="942"/>
      <c r="U981" s="205">
        <f>IF($B$977="Лікар загальної практики - сімейний лікар",AVERAGE(U977:U979),IF($B$977="Лікар-педіатр",AVERAGE(U977:U979),IF($B$977="Лікар-терапевт","х",0)))</f>
        <v>0</v>
      </c>
      <c r="V981" s="205">
        <f>IF($B$977="Лікар загальної практики - сімейний лікар",AVERAGE(V977:V979),IF($B$977="Лікар-педіатр",AVERAGE(V977:V979),IF($B$977="Лікар-терапевт","х",0)))</f>
        <v>0</v>
      </c>
      <c r="W981" s="205">
        <f>IF($B$977="Лікар загальної практики - сімейний лікар",AVERAGE(W977:W979),IF($B$977="Лікар-педіатр","x",IF($B$977="Лікар-терапевт",AVERAGE(W977:W979),0)))</f>
        <v>0</v>
      </c>
      <c r="X981" s="205">
        <f>IF($B$977="Лікар загальної практики - сімейний лікар",AVERAGE(X977:X979),IF($B$977="Лікар-педіатр","x",IF($B$977="Лікар-терапевт",AVERAGE(X977:X979),0)))</f>
        <v>0</v>
      </c>
      <c r="Y981" s="205">
        <f>IF($B$977="Лікар загальної практики - сімейний лікар",AVERAGE(Y977:Y979),IF($B$977="Лікар-педіатр","x",IF($B$977="Лікар-терапевт",AVERAGE(Y977:Y979),0)))</f>
        <v>0</v>
      </c>
      <c r="Z981" s="206">
        <f>SUM(U981:Y981)</f>
        <v>0</v>
      </c>
      <c r="AA981" s="942"/>
      <c r="AB981" s="205">
        <f>IF($B$977="Лікар загальної практики - сімейний лікар",AVERAGE(AB977:AB979),IF($B$977="Лікар-педіатр",AVERAGE(AB977:AB979),IF($B$977="Лікар-терапевт","х",0)))</f>
        <v>0</v>
      </c>
      <c r="AC981" s="205">
        <f>IF($B$977="Лікар загальної практики - сімейний лікар",AVERAGE(AC977:AC979),IF($B$977="Лікар-педіатр",AVERAGE(AC977:AC979),IF($B$977="Лікар-терапевт","х",0)))</f>
        <v>0</v>
      </c>
      <c r="AD981" s="205">
        <f>IF($B$977="Лікар загальної практики - сімейний лікар",AVERAGE(AD977:AD979),IF($B$977="Лікар-педіатр","x",IF($B$977="Лікар-терапевт",AVERAGE(AD977:AD979),0)))</f>
        <v>0</v>
      </c>
      <c r="AE981" s="205">
        <f>IF($B$977="Лікар загальної практики - сімейний лікар",AVERAGE(AE977:AE979),IF($B$977="Лікар-педіатр","x",IF($B$977="Лікар-терапевт",AVERAGE(AE977:AE979),0)))</f>
        <v>0</v>
      </c>
      <c r="AF981" s="205">
        <f>IF($B$977="Лікар загальної практики - сімейний лікар",AVERAGE(AF977:AF979),IF($B$977="Лікар-педіатр","x",IF($B$977="Лікар-терапевт",AVERAGE(AF977:AF979),0)))</f>
        <v>0</v>
      </c>
      <c r="AG981" s="206">
        <f>SUM(AB981:AF981)</f>
        <v>0</v>
      </c>
      <c r="AH981" s="942"/>
      <c r="AI981" s="201"/>
      <c r="AJ981" s="945"/>
      <c r="AK981" s="960"/>
      <c r="AL981" s="960"/>
      <c r="AM981" s="931"/>
      <c r="AN981" s="949"/>
      <c r="AO981" s="949"/>
      <c r="AP981" s="949"/>
      <c r="AQ981" s="949"/>
      <c r="AR981" s="964"/>
    </row>
    <row r="982" spans="1:44" s="50" customFormat="1" ht="40.5" hidden="1">
      <c r="A982" s="197"/>
      <c r="B982" s="951"/>
      <c r="C982" s="954"/>
      <c r="D982" s="957"/>
      <c r="E982" s="939"/>
      <c r="F982" s="237" t="str">
        <f ca="1">IF(B977="Лікар-педіатр",Законод!$C$17,IF(B977="Лікар загальної практики - сімейний лікар",Законод!$C$21,IF(B977="Лікар-терапевт",Законод!$C$25,"х")))</f>
        <v>х</v>
      </c>
      <c r="G982" s="208">
        <f ca="1">IF($B$977="Лікар загальної практики - сімейний лікар",IF(L981&lt;=Законод!$C$22,G981,Законод!$C$22*'01_Доходи'!G980),IF($B$977="Лікар-педіатр",IF(L981&lt;=Законод!$C$18,G981,Законод!$C$18*'01_Доходи'!G980),IF($B$977="Лікар-терапевт","x",0)))</f>
        <v>0</v>
      </c>
      <c r="H982" s="208">
        <f ca="1">IF($B$977="Лікар загальної практики - сімейний лікар",IF(L981&lt;=Законод!$C$22,H981,Законод!$C$22*'01_Доходи'!H980),IF($B$977="Лікар-педіатр",IF(L981&lt;=Законод!$C$18,H981,Законод!$C$18*'01_Доходи'!H980),IF($B$977="Лікар-терапевт","x",0)))</f>
        <v>0</v>
      </c>
      <c r="I982" s="208">
        <f ca="1">IF($B$977="Лікар загальної практики - сімейний лікар",IF(L981&lt;=Законод!$C$22,I981,Законод!$C$22*'01_Доходи'!I980),IF($B$977="Лікар-педіатр","x",IF($B$977="Лікар-терапевт",IF(L981&lt;=Законод!$C$26,I981,Законод!$C$26*'01_Доходи'!I980),0)))</f>
        <v>0</v>
      </c>
      <c r="J982" s="208">
        <f ca="1">IF($B$977="Лікар загальної практики - сімейний лікар",IF(L981&lt;=Законод!$C$22,J981,Законод!$C$22*'01_Доходи'!J980),IF($B$977="Лікар-педіатр","x",IF($B$977="Лікар-терапевт",IF(L981&lt;=Законод!$C$26,J981,Законод!$C$26*'01_Доходи'!J980),0)))</f>
        <v>0</v>
      </c>
      <c r="K982" s="208">
        <f ca="1">IF($B$977="Лікар загальної практики - сімейний лікар",IF(L981&lt;=Законод!$C$22,K981,Законод!$C$22*'01_Доходи'!K980),IF($B$977="Лікар-педіатр","x",IF($B$977="Лікар-терапевт",IF(L981&lt;=Законод!$C$26,K981,Законод!$C$26*'01_Доходи'!K980),0)))</f>
        <v>0</v>
      </c>
      <c r="L982" s="209">
        <f ca="1">SUM(G982:K982)</f>
        <v>0</v>
      </c>
      <c r="M982" s="942"/>
      <c r="N982" s="208">
        <f ca="1">IF($B$977="Лікар загальної практики - сімейний лікар",IF(S981&lt;=Законод!$C$22,N981,Законод!$C$22*'01_Доходи'!N980),IF($B$977="Лікар-педіатр",IF(S981&lt;=Законод!$C$18,N981,Законод!$C$18*'01_Доходи'!N980),IF($B$977="Лікар-терапевт","x",0)))</f>
        <v>0</v>
      </c>
      <c r="O982" s="208">
        <f ca="1">IF($B$977="Лікар загальної практики - сімейний лікар",IF(S981&lt;=Законод!$C$22,O981,Законод!$C$22*'01_Доходи'!O980),IF($B$977="Лікар-педіатр",IF(S981&lt;=Законод!$C$18,O981,Законод!$C$18*'01_Доходи'!O980),IF($B$977="Лікар-терапевт","x",0)))</f>
        <v>0</v>
      </c>
      <c r="P982" s="208">
        <f ca="1">IF($B$977="Лікар загальної практики - сімейний лікар",IF(S981&lt;=Законод!$C$22,P981,Законод!$C$22*'01_Доходи'!P980),IF($B$977="Лікар-педіатр","x",IF($B$977="Лікар-терапевт",IF(S981&lt;=Законод!$C$26,P981,Законод!$C$26*'01_Доходи'!P980),0)))</f>
        <v>0</v>
      </c>
      <c r="Q982" s="208">
        <f ca="1">IF($B$977="Лікар загальної практики - сімейний лікар",IF(S981&lt;=Законод!$C$22,Q981,Законод!$C$22*'01_Доходи'!Q980),IF($B$977="Лікар-педіатр","x",IF($B$977="Лікар-терапевт",IF(S981&lt;=Законод!$C$26,Q981,Законод!$C$26*'01_Доходи'!Q980),0)))</f>
        <v>0</v>
      </c>
      <c r="R982" s="208">
        <f ca="1">IF($B$977="Лікар загальної практики - сімейний лікар",IF(S981&lt;=Законод!$C$22,R981,Законод!$C$22*'01_Доходи'!R980),IF($B$977="Лікар-педіатр","x",IF($B$977="Лікар-терапевт",IF(S981&lt;=Законод!$C$26,R981,Законод!$C$26*'01_Доходи'!R980),0)))</f>
        <v>0</v>
      </c>
      <c r="S982" s="209">
        <f ca="1">SUM(N982:R982)</f>
        <v>0</v>
      </c>
      <c r="T982" s="942"/>
      <c r="U982" s="208">
        <f ca="1">IF($B$977="Лікар загальної практики - сімейний лікар",IF(Z981&lt;=Законод!$C$22,U981,Законод!$C$22*'01_Доходи'!U980),IF($B$977="Лікар-педіатр",IF(Z981&lt;=Законод!$C$18,U981,Законод!$C$18*'01_Доходи'!U980),IF($B$977="Лікар-терапевт","x",0)))</f>
        <v>0</v>
      </c>
      <c r="V982" s="208">
        <f ca="1">IF($B$977="Лікар загальної практики - сімейний лікар",IF(Z981&lt;=Законод!$C$22,V981,Законод!$C$22*'01_Доходи'!V980),IF($B$977="Лікар-педіатр",IF(Z981&lt;=Законод!$C$18,V981,Законод!$C$18*'01_Доходи'!V980),IF($B$977="Лікар-терапевт","x",0)))</f>
        <v>0</v>
      </c>
      <c r="W982" s="208">
        <f ca="1">IF($B$977="Лікар загальної практики - сімейний лікар",IF(Z981&lt;=Законод!$C$22,W981,Законод!$C$22*'01_Доходи'!W980),IF($B$977="Лікар-педіатр","x",IF($B$977="Лікар-терапевт",IF(Z981&lt;=Законод!$C$26,W981,Законод!$C$26*'01_Доходи'!W980),0)))</f>
        <v>0</v>
      </c>
      <c r="X982" s="208">
        <f ca="1">IF($B$977="Лікар загальної практики - сімейний лікар",IF(Z981&lt;=Законод!$C$22,X981,Законод!$C$22*'01_Доходи'!X980),IF($B$977="Лікар-педіатр","x",IF($B$977="Лікар-терапевт",IF(Z981&lt;=Законод!$C$26,X981,Законод!$C$26*'01_Доходи'!X980),0)))</f>
        <v>0</v>
      </c>
      <c r="Y982" s="208">
        <f ca="1">IF($B$977="Лікар загальної практики - сімейний лікар",IF(Z981&lt;=Законод!$C$22,Y981,Законод!$C$22*'01_Доходи'!Y980),IF($B$977="Лікар-педіатр","x",IF($B$977="Лікар-терапевт",IF(Z981&lt;=Законод!$C$26,Y981,Законод!$C$26*'01_Доходи'!Y980),0)))</f>
        <v>0</v>
      </c>
      <c r="Z982" s="209">
        <f ca="1">SUM(U982:Y982)</f>
        <v>0</v>
      </c>
      <c r="AA982" s="942"/>
      <c r="AB982" s="208">
        <f ca="1">IF($B$977="Лікар загальної практики - сімейний лікар",IF(AG981&lt;=Законод!$C$22,AB981,Законод!$C$22*'01_Доходи'!AB980),IF($B$977="Лікар-педіатр",IF(AG981&lt;=Законод!$C$18,AB981,Законод!$C$18*'01_Доходи'!AB980),IF($B$977="Лікар-терапевт","x",0)))</f>
        <v>0</v>
      </c>
      <c r="AC982" s="208">
        <f ca="1">IF($B$977="Лікар загальної практики - сімейний лікар",IF(AG981&lt;=Законод!$C$22,AC981,Законод!$C$22*'01_Доходи'!AC980),IF($B$977="Лікар-педіатр",IF(AG981&lt;=Законод!$C$18,AC981,Законод!$C$18*'01_Доходи'!AC980),IF($B$977="Лікар-терапевт","x",0)))</f>
        <v>0</v>
      </c>
      <c r="AD982" s="208">
        <f ca="1">IF($B$977="Лікар загальної практики - сімейний лікар",IF(AG981&lt;=Законод!$C$22,AD981,Законод!$C$22*'01_Доходи'!AD980),IF($B$977="Лікар-педіатр","x",IF($B$977="Лікар-терапевт",IF(AG981&lt;=Законод!$C$26,AD981,Законод!$C$26*'01_Доходи'!AD980),0)))</f>
        <v>0</v>
      </c>
      <c r="AE982" s="208">
        <f ca="1">IF($B$977="Лікар загальної практики - сімейний лікар",IF(AG981&lt;=Законод!$C$22,AE981,Законод!$C$22*'01_Доходи'!AE980),IF($B$977="Лікар-педіатр","x",IF($B$977="Лікар-терапевт",IF(AG981&lt;=Законод!$C$26,AE981,Законод!$C$26*'01_Доходи'!AE980),0)))</f>
        <v>0</v>
      </c>
      <c r="AF982" s="208">
        <f ca="1">IF($B$977="Лікар загальної практики - сімейний лікар",IF(AG981&lt;=Законод!$C$22,AF981,Законод!$C$22*'01_Доходи'!AF980),IF($B$977="Лікар-педіатр","x",IF($B$977="Лікар-терапевт",IF(AG981&lt;=Законод!$C$26,AF981,Законод!$C$26*'01_Доходи'!AF980),0)))</f>
        <v>0</v>
      </c>
      <c r="AG982" s="209">
        <f ca="1">SUM(AB982:AF982)</f>
        <v>0</v>
      </c>
      <c r="AH982" s="942"/>
      <c r="AI982" s="201"/>
      <c r="AJ982" s="945"/>
      <c r="AK982" s="960"/>
      <c r="AL982" s="960"/>
      <c r="AM982" s="348" t="s">
        <v>451</v>
      </c>
      <c r="AN982" s="210">
        <f ca="1">IF(B977="Лікар загальної практики - сімейний лікар",G982*Законод!$C$11+'01_Доходи'!H982*Законод!$D$11+'01_Доходи'!I982*Законод!$E$11+'01_Доходи'!J982*Законод!$F$11+'01_Доходи'!K982*Законод!$G$11,IF(B977="Лікар-педіатр",G982*Законод!$C$11+'01_Доходи'!H982*Законод!$D$11,IF(B977="Лікар-терапевт",'01_Доходи'!I982*Законод!$E$11+'01_Доходи'!J982*Законод!$F$11+'01_Доходи'!K982*Законод!$G$11,0)))</f>
        <v>0</v>
      </c>
      <c r="AO982" s="210">
        <f ca="1">IF(B977="Лікар загальної практики - сімейний лікар",N982*Законод!$C$11+'01_Доходи'!O982*Законод!$D$11+'01_Доходи'!P982*Законод!$E$11+'01_Доходи'!Q982*Законод!$F$11+'01_Доходи'!R982*Законод!$G$11,IF(B977="Лікар-педіатр",N982*Законод!$C$11+'01_Доходи'!O982*Законод!$D$11,IF(B977="Лікар-терапевт",'01_Доходи'!P982*Законод!$E$11+'01_Доходи'!Q982*Законод!$F$11+'01_Доходи'!R982*Законод!$G$11,0)))</f>
        <v>0</v>
      </c>
      <c r="AP982" s="210">
        <f ca="1">IF(B977="Лікар загальної практики - сімейний лікар",U982*Законод!$C$11+'01_Доходи'!V982*Законод!$D$11+'01_Доходи'!W982*Законод!$E$11+'01_Доходи'!X982*Законод!$F$11+'01_Доходи'!Y982*Законод!$G$11,IF(B977="Лікар-педіатр",U982*Законод!$C$11+'01_Доходи'!V982*Законод!$D$11,IF(B977="Лікар-терапевт",'01_Доходи'!W982*Законод!$E$11+'01_Доходи'!X982*Законод!$F$11+'01_Доходи'!Y982*Законод!$G$11,0)))</f>
        <v>0</v>
      </c>
      <c r="AQ982" s="210">
        <f ca="1">IF(B977="Лікар загальної практики - сімейний лікар",AB982*Законод!$C$11+'01_Доходи'!AC982*Законод!$D$11+'01_Доходи'!AD982*Законод!$E$11+'01_Доходи'!AE982*Законод!$F$11+'01_Доходи'!AF982*Законод!$G$11,IF(B977="Лікар-педіатр",AB982*Законод!$C$11+'01_Доходи'!AC982*Законод!$D$11,IF(B977="Лікар-терапевт",'01_Доходи'!AD982*Законод!$E$11+'01_Доходи'!AE982*Законод!$F$11+'01_Доходи'!AF982*Законод!$G$11,0)))</f>
        <v>0</v>
      </c>
      <c r="AR982" s="211">
        <f t="shared" ref="AR982:AR988" si="115">SUM(AN982:AQ982)</f>
        <v>0</v>
      </c>
    </row>
    <row r="983" spans="1:44" s="50" customFormat="1" ht="31.9" hidden="1" customHeight="1">
      <c r="A983" s="197"/>
      <c r="B983" s="951"/>
      <c r="C983" s="954"/>
      <c r="D983" s="957"/>
      <c r="E983" s="939"/>
      <c r="F983" s="238" t="str">
        <f ca="1">IF(B977="Лікар-педіатр",Законод!$E$17,IF(B977="Лікар загальної практики - сімейний лікар",Законод!$E$21,IF(B977="Лікар-терапевт",Законод!$E$25,"х")))</f>
        <v>х</v>
      </c>
      <c r="G983" s="935" t="s">
        <v>423</v>
      </c>
      <c r="H983" s="936"/>
      <c r="I983" s="936"/>
      <c r="J983" s="936"/>
      <c r="K983" s="937"/>
      <c r="L983" s="196">
        <f ca="1">IF($B$977="Лікар загальної практики - сімейний лікар",IF(L981&lt;Законод!$C$22,0,(IF(AND(L981&gt;=Законод!$E$22,L981&lt;=Законод!$E$23),L981-Законод!$C$22,IF('01_Доходи'!L981&gt;=Законод!$F$22,Законод!$E$24,0)))),IF($B$977="Лікар-педіатр",IF(L981&lt;Законод!$C$18,0,(IF(AND(L981&gt;=Законод!$E$18,L981&lt;=Законод!$E$19),L981-Законод!$C$18,IF('01_Доходи'!L981&gt;=Законод!$F$18,Законод!$E$20,0)))),IF($B$977="Лікар-терапевт",IF(L981&lt;Законод!$C$26,0,(IF(AND(L981&gt;=Законод!$E$26,L981&lt;=Законод!$E$27),L981-Законод!$C$26,IF('01_Доходи'!L981&gt;=Законод!$F$26,Законод!$E$28,0)))),0)))</f>
        <v>0</v>
      </c>
      <c r="M983" s="942"/>
      <c r="N983" s="935" t="s">
        <v>423</v>
      </c>
      <c r="O983" s="936"/>
      <c r="P983" s="936"/>
      <c r="Q983" s="936"/>
      <c r="R983" s="937"/>
      <c r="S983" s="196">
        <f ca="1">IF($B$977="Лікар загальної практики - сімейний лікар",IF(S981&lt;Законод!$C$22,0,(IF(AND(S981&gt;=Законод!$E$22,S981&lt;=Законод!$E$23),S981-Законод!$C$22,IF('01_Доходи'!S981&gt;=Законод!$F$22,Законод!$E$24,0)))),IF($B$977="Лікар-педіатр",IF(S981&lt;Законод!$C$18,0,(IF(AND(S981&gt;=Законод!$E$18,S981&lt;=Законод!$E$19),S981-Законод!$C$18,IF('01_Доходи'!S981&gt;=Законод!$F$18,Законод!$E$20,0)))),IF($B$977="Лікар-терапевт",IF(S981&lt;Законод!$C$26,0,(IF(AND(S981&gt;=Законод!$E$26,S981&lt;=Законод!$E$27),S981-Законод!$C$26,IF('01_Доходи'!S981&gt;=Законод!$F$26,Законод!$E$28,0)))),0)))</f>
        <v>0</v>
      </c>
      <c r="T983" s="942"/>
      <c r="U983" s="935" t="s">
        <v>423</v>
      </c>
      <c r="V983" s="936"/>
      <c r="W983" s="936"/>
      <c r="X983" s="936"/>
      <c r="Y983" s="937"/>
      <c r="Z983" s="196">
        <f ca="1">IF($B$977="Лікар загальної практики - сімейний лікар",IF(Z981&lt;Законод!$C$22,0,(IF(AND(Z981&gt;=Законод!$E$22,Z981&lt;=Законод!$E$23),Z981-Законод!$C$22,IF('01_Доходи'!Z981&gt;=Законод!$F$22,Законод!$E$24,0)))),IF($B$977="Лікар-педіатр",IF(Z981&lt;Законод!$C$18,0,(IF(AND(Z981&gt;=Законод!$E$18,Z981&lt;=Законод!$E$19),Z981-Законод!$C$18,IF('01_Доходи'!Z981&gt;=Законод!$F$18,Законод!$E$20,0)))),IF($B$977="Лікар-терапевт",IF(Z981&lt;Законод!$C$26,0,(IF(AND(Z981&gt;=Законод!$E$26,Z981&lt;=Законод!$E$27),Z981-Законод!$C$26,IF('01_Доходи'!Z981&gt;=Законод!$F$26,Законод!$E$28,0)))),0)))</f>
        <v>0</v>
      </c>
      <c r="AA983" s="942"/>
      <c r="AB983" s="935" t="s">
        <v>423</v>
      </c>
      <c r="AC983" s="936"/>
      <c r="AD983" s="936"/>
      <c r="AE983" s="936"/>
      <c r="AF983" s="937"/>
      <c r="AG983" s="196">
        <f ca="1">IF($B$977="Лікар загальної практики - сімейний лікар",IF(AG981&lt;Законод!$C$22,0,(IF(AND(AG981&gt;=Законод!$E$22,AG981&lt;=Законод!$E$23),AG981-Законод!$C$22,IF('01_Доходи'!AG981&gt;=Законод!$F$22,Законод!$E$24,0)))),IF($B$977="Лікар-педіатр",IF(AG981&lt;Законод!$C$18,0,(IF(AND(AG981&gt;=Законод!$E$18,AG981&lt;=Законод!$E$19),AG981-Законод!$C$18,IF('01_Доходи'!AG981&gt;=Законод!$F$18,Законод!$E$20,0)))),IF($B$977="Лікар-терапевт",IF(AG981&lt;Законод!$C$26,0,(IF(AND(AG981&gt;=Законод!$E$26,AG981&lt;=Законод!$E$27),AG981-Законод!$C$26,IF('01_Доходи'!AG981&gt;=Законод!$F$26,Законод!$E$28,0)))),0)))</f>
        <v>0</v>
      </c>
      <c r="AH983" s="942"/>
      <c r="AI983" s="201"/>
      <c r="AJ983" s="945"/>
      <c r="AK983" s="960"/>
      <c r="AL983" s="960"/>
      <c r="AM983" s="926" t="s">
        <v>452</v>
      </c>
      <c r="AN983" s="210">
        <f ca="1">IF(B977="Лікар загальної практики - сімейний лікар",L983*Законод!$C$9/4*Законод!$E$16,IF(B977="Лікар-педіатр",L983*Законод!$C$9/4*Законод!$E$16,IF(B977="Лікар-терапевт",L983*Законод!$C$9/4*Законод!$E$16,0)))</f>
        <v>0</v>
      </c>
      <c r="AO983" s="210">
        <f ca="1">IF(B977="Лікар загальної практики - сімейний лікар",S983*Законод!$C$9/4*Законод!$E$16,IF(B977="Лікар-педіатр",S983*Законод!$C$9/4*Законод!$E$16,IF(B977="Лікар-терапевт",S983*Законод!$C$9/4*Законод!$E$16,0)))</f>
        <v>0</v>
      </c>
      <c r="AP983" s="210">
        <f ca="1">IF(B977="Лікар загальної практики - сімейний лікар",Z983*Законод!$C$9/4*Законод!$E$16,IF(B977="Лікар-педіатр",Z983*Законод!$C$9/4*Законод!$E$16,IF(B977="Лікар-терапевт",Z983*Законод!$C$9/4*Законод!$E$16,0)))</f>
        <v>0</v>
      </c>
      <c r="AQ983" s="210">
        <f ca="1">IF(B977="Лікар загальної практики - сімейний лікар",AG983*Законод!$C$9/4*Законод!$E$16,IF(B977="Лікар-педіатр",AG983*Законод!$C$9/4*Законод!$E$16,IF(B977="Лікар-терапевт",AG983*Законод!$C$9/4*Законод!$E$16,0)))</f>
        <v>0</v>
      </c>
      <c r="AR983" s="211">
        <f t="shared" si="115"/>
        <v>0</v>
      </c>
    </row>
    <row r="984" spans="1:44" s="50" customFormat="1" ht="31.9" hidden="1" customHeight="1">
      <c r="A984" s="197"/>
      <c r="B984" s="951"/>
      <c r="C984" s="954"/>
      <c r="D984" s="957"/>
      <c r="E984" s="939"/>
      <c r="F984" s="238" t="str">
        <f ca="1">IF(B977="Лікар-педіатр",Законод!$F$17,IF(B977="Лікар загальної практики - сімейний лікар",Законод!$F$21,IF(B977="Лікар-терапевт",Законод!$F$25,"х")))</f>
        <v>х</v>
      </c>
      <c r="G984" s="935" t="s">
        <v>423</v>
      </c>
      <c r="H984" s="936"/>
      <c r="I984" s="936"/>
      <c r="J984" s="936"/>
      <c r="K984" s="937"/>
      <c r="L984" s="196">
        <f ca="1">IF($B$977="Лікар загальної практики - сімейний лікар",IF(L981&lt;Законод!$C$22,0,(IF(AND(L981&gt;=Законод!$F$22,L981&lt;=Законод!$F$23),L981-Законод!$E$23,IF('01_Доходи'!L981&gt;=Законод!$G$22,Законод!$F$24,0)))),IF($B$977="Лікар-педіатр",IF(L981&lt;Законод!$C$18,0,(IF(AND(L981&gt;=Законод!$F$18,L981&lt;=Законод!$F$19),L981-Законод!$E$19,IF('01_Доходи'!L981&gt;=Законод!$G$18,Законод!$F$20,0)))),IF($B$977="Лікар-терапевт",IF(L981&lt;Законод!$C$26,0,(IF(AND(L981&gt;=Законод!$F$26,L981&lt;=Законод!$F$27),L981-Законод!$E$27,IF('01_Доходи'!L981&gt;=Законод!$G$26,Законод!$F$28,0)))),0)))</f>
        <v>0</v>
      </c>
      <c r="M984" s="942"/>
      <c r="N984" s="935" t="s">
        <v>423</v>
      </c>
      <c r="O984" s="936"/>
      <c r="P984" s="936"/>
      <c r="Q984" s="936"/>
      <c r="R984" s="937"/>
      <c r="S984" s="196">
        <f ca="1">IF($B$977="Лікар загальної практики - сімейний лікар",IF(S981&lt;Законод!$C$22,0,(IF(AND(S981&gt;=Законод!$F$22,S981&lt;=Законод!$F$23),S981-Законод!$E$23,IF('01_Доходи'!S981&gt;=Законод!$G$22,Законод!$F$24,0)))),IF($B$977="Лікар-педіатр",IF(S981&lt;Законод!$C$18,0,(IF(AND(S981&gt;=Законод!$F$18,S981&lt;=Законод!$F$19),S981-Законод!$E$19,IF('01_Доходи'!S981&gt;=Законод!$G$18,Законод!$F$20,0)))),IF($B$977="Лікар-терапевт",IF(S981&lt;Законод!$C$26,0,(IF(AND(S981&gt;=Законод!$F$26,S981&lt;=Законод!$F$27),S981-Законод!$E$27,IF('01_Доходи'!S981&gt;=Законод!$G$26,Законод!$F$28,0)))),0)))</f>
        <v>0</v>
      </c>
      <c r="T984" s="942"/>
      <c r="U984" s="935" t="s">
        <v>423</v>
      </c>
      <c r="V984" s="936"/>
      <c r="W984" s="936"/>
      <c r="X984" s="936"/>
      <c r="Y984" s="937"/>
      <c r="Z984" s="196">
        <f ca="1">IF($B$977="Лікар загальної практики - сімейний лікар",IF(Z981&lt;Законод!$C$22,0,(IF(AND(Z981&gt;=Законод!$F$22,Z981&lt;=Законод!$F$23),Z981-Законод!$E$23,IF('01_Доходи'!Z981&gt;=Законод!$G$22,Законод!$F$24,0)))),IF($B$977="Лікар-педіатр",IF(Z981&lt;Законод!$C$18,0,(IF(AND(Z981&gt;=Законод!$F$18,Z981&lt;=Законод!$F$19),Z981-Законод!$E$19,IF('01_Доходи'!Z981&gt;=Законод!$G$18,Законод!$F$20,0)))),IF($B$977="Лікар-терапевт",IF(Z981&lt;Законод!$C$26,0,(IF(AND(Z981&gt;=Законод!$F$26,Z981&lt;=Законод!$F$27),Z981-Законод!$E$27,IF('01_Доходи'!Z981&gt;=Законод!$G$26,Законод!$F$28,0)))),0)))</f>
        <v>0</v>
      </c>
      <c r="AA984" s="942"/>
      <c r="AB984" s="935" t="s">
        <v>423</v>
      </c>
      <c r="AC984" s="936"/>
      <c r="AD984" s="936"/>
      <c r="AE984" s="936"/>
      <c r="AF984" s="937"/>
      <c r="AG984" s="196">
        <f ca="1">IF($B$977="Лікар загальної практики - сімейний лікар",IF(AG981&lt;Законод!$C$22,0,(IF(AND(AG981&gt;=Законод!$F$22,AG981&lt;=Законод!$F$23),AG981-Законод!$E$23,IF('01_Доходи'!AG981&gt;=Законод!$G$22,Законод!$F$24,0)))),IF($B$977="Лікар-педіатр",IF(AG981&lt;Законод!$C$18,0,(IF(AND(AG981&gt;=Законод!$F$18,AG981&lt;=Законод!$F$19),AG981-Законод!$E$19,IF('01_Доходи'!AG981&gt;=Законод!$G$18,Законод!$F$20,0)))),IF($B$977="Лікар-терапевт",IF(AG981&lt;Законод!$C$26,0,(IF(AND(AG981&gt;=Законод!$F$26,AG981&lt;=Законод!$F$27),AG981-Законод!$E$27,IF('01_Доходи'!AG981&gt;=Законод!$G$26,Законод!$F$28,0)))),0)))</f>
        <v>0</v>
      </c>
      <c r="AH984" s="942"/>
      <c r="AI984" s="201"/>
      <c r="AJ984" s="945"/>
      <c r="AK984" s="960"/>
      <c r="AL984" s="960"/>
      <c r="AM984" s="927"/>
      <c r="AN984" s="210">
        <f ca="1">IF(B977="Лікар загальної практики - сімейний лікар",L984*Законод!$C$9/4*Законод!$F$16,IF(B977="Лікар-педіатр",L984*Законод!$C$9/4*Законод!$F$16,IF(B977="Лікар-терапевт",L984*Законод!$C$9/4*Законод!$F$16,0)))</f>
        <v>0</v>
      </c>
      <c r="AO984" s="210">
        <f ca="1">IF(B977="Лікар загальної практики - сімейний лікар",S984*Законод!$C$9/4*Законод!$F$16,IF(B977="Лікар-педіатр",S984*Законод!$C$9/4*Законод!$F$16,IF(B977="Лікар-терапевт",S984*Законод!$C$9/4*Законод!$F$16,0)))</f>
        <v>0</v>
      </c>
      <c r="AP984" s="210">
        <f ca="1">IF(B977="Лікар загальної практики - сімейний лікар",Z984*Законод!$C$9/4*Законод!$F$16,IF(B977="Лікар-педіатр",Z984*Законод!$C$9/4*Законод!$F$16,IF(B977="Лікар-терапевт",Z984*Законод!$C$9/4*Законод!$F$16,0)))</f>
        <v>0</v>
      </c>
      <c r="AQ984" s="210">
        <f ca="1">IF(B977="Лікар загальної практики - сімейний лікар",AG984*Законод!$C$9/4*Законод!$F$16,IF(B977="Лікар-педіатр",AG984*Законод!$C$9/4*Законод!$F$16,IF(B977="Лікар-терапевт",AG984*Законод!$C$9/4*Законод!$F$16,0)))</f>
        <v>0</v>
      </c>
      <c r="AR984" s="211">
        <f t="shared" si="115"/>
        <v>0</v>
      </c>
    </row>
    <row r="985" spans="1:44" s="50" customFormat="1" ht="31.9" hidden="1" customHeight="1">
      <c r="A985" s="197"/>
      <c r="B985" s="951"/>
      <c r="C985" s="954"/>
      <c r="D985" s="957"/>
      <c r="E985" s="939"/>
      <c r="F985" s="238" t="str">
        <f ca="1">IF(B977="Лікар-педіатр",Законод!$G$17,IF(B977="Лікар загальної практики - сімейний лікар",Законод!$G$21,IF(B977="Лікар-терапевт",Законод!$G$25,"х")))</f>
        <v>х</v>
      </c>
      <c r="G985" s="935" t="s">
        <v>423</v>
      </c>
      <c r="H985" s="936"/>
      <c r="I985" s="936"/>
      <c r="J985" s="936"/>
      <c r="K985" s="937"/>
      <c r="L985" s="196">
        <f ca="1">IF($B$977="Лікар загальної практики - сімейний лікар",IF(L981&lt;Законод!$C$22,0,(IF(AND(L981&gt;=Законод!$G$22,L981&lt;=Законод!$G$23),L981-Законод!$F$23,IF('01_Доходи'!L981&gt;=Законод!$H$22,Законод!$G$24,0)))),IF($B$977="Лікар-педіатр",IF(L981&lt;Законод!$C$18,0,(IF(AND(L981&gt;=Законод!$G$18,L981&lt;=Законод!$G$19),L981-Законод!$F$19,IF('01_Доходи'!L981&gt;=Законод!$H$18,Законод!$G$20,0)))),IF($B$977="Лікар-терапевт",IF(L981&lt;Законод!$C$26,0,(IF(AND(L981&gt;=Законод!$G$26,L981&lt;=Законод!$G$27),L981-Законод!$F$27,IF('01_Доходи'!L981&gt;=Законод!$H$26,Законод!$G$28,0)))),0)))</f>
        <v>0</v>
      </c>
      <c r="M985" s="942"/>
      <c r="N985" s="935" t="s">
        <v>423</v>
      </c>
      <c r="O985" s="936"/>
      <c r="P985" s="936"/>
      <c r="Q985" s="936"/>
      <c r="R985" s="937"/>
      <c r="S985" s="196">
        <f ca="1">IF($B$977="Лікар загальної практики - сімейний лікар",IF(S981&lt;Законод!$C$22,0,(IF(AND(S981&gt;=Законод!$G$22,S981&lt;=Законод!$G$23),S981-Законод!$F$23,IF('01_Доходи'!S981&gt;=Законод!$H$22,Законод!$G$24,0)))),IF($B$977="Лікар-педіатр",IF(S981&lt;Законод!$C$18,0,(IF(AND(S981&gt;=Законод!$G$18,S981&lt;=Законод!$G$19),S981-Законод!$F$19,IF('01_Доходи'!S981&gt;=Законод!$H$18,Законод!$G$20,0)))),IF($B$977="Лікар-терапевт",IF(S981&lt;Законод!$C$26,0,(IF(AND(S981&gt;=Законод!$G$26,S981&lt;=Законод!$G$27),S981-Законод!$F$27,IF('01_Доходи'!S981&gt;=Законод!$H$26,Законод!$G$28,0)))),0)))</f>
        <v>0</v>
      </c>
      <c r="T985" s="942"/>
      <c r="U985" s="935" t="s">
        <v>423</v>
      </c>
      <c r="V985" s="936"/>
      <c r="W985" s="936"/>
      <c r="X985" s="936"/>
      <c r="Y985" s="937"/>
      <c r="Z985" s="196">
        <f ca="1">IF($B$977="Лікар загальної практики - сімейний лікар",IF(Z981&lt;Законод!$C$22,0,(IF(AND(Z981&gt;=Законод!$G$22,Z981&lt;=Законод!$G$23),Z981-Законод!$F$23,IF('01_Доходи'!Z981&gt;=Законод!$H$22,Законод!$G$24,0)))),IF($B$977="Лікар-педіатр",IF(Z981&lt;Законод!$C$18,0,(IF(AND(Z981&gt;=Законод!$G$18,Z981&lt;=Законод!$G$19),Z981-Законод!$F$19,IF('01_Доходи'!Z981&gt;=Законод!$H$18,Законод!$G$20,0)))),IF($B$977="Лікар-терапевт",IF(Z981&lt;Законод!$C$26,0,(IF(AND(Z981&gt;=Законод!$G$26,Z981&lt;=Законод!$G$27),Z981-Законод!$F$27,IF('01_Доходи'!Z981&gt;=Законод!$H$26,Законод!$G$28,0)))),0)))</f>
        <v>0</v>
      </c>
      <c r="AA985" s="942"/>
      <c r="AB985" s="935" t="s">
        <v>423</v>
      </c>
      <c r="AC985" s="936"/>
      <c r="AD985" s="936"/>
      <c r="AE985" s="936"/>
      <c r="AF985" s="937"/>
      <c r="AG985" s="196">
        <f ca="1">IF($B$977="Лікар загальної практики - сімейний лікар",IF(AG981&lt;Законод!$C$22,0,(IF(AND(AG981&gt;=Законод!$G$22,AG981&lt;=Законод!$G$23),AG981-Законод!$F$23,IF('01_Доходи'!AG981&gt;=Законод!$H$22,Законод!$G$24,0)))),IF($B$977="Лікар-педіатр",IF(AG981&lt;Законод!$C$18,0,(IF(AND(AG981&gt;=Законод!$G$18,AG981&lt;=Законод!$G$19),AG981-Законод!$F$19,IF('01_Доходи'!AG981&gt;=Законод!$H$18,Законод!$G$20,0)))),IF($B$977="Лікар-терапевт",IF(AG981&lt;Законод!$C$26,0,(IF(AND(AG981&gt;=Законод!$G$26,AG981&lt;=Законод!$G$27),AG981-Законод!$F$27,IF('01_Доходи'!AG981&gt;=Законод!$H$26,Законод!$G$28,0)))),0)))</f>
        <v>0</v>
      </c>
      <c r="AH985" s="942"/>
      <c r="AI985" s="201"/>
      <c r="AJ985" s="945"/>
      <c r="AK985" s="960"/>
      <c r="AL985" s="960"/>
      <c r="AM985" s="927"/>
      <c r="AN985" s="210">
        <f ca="1">IF(B977="Лікар загальної практики - сімейний лікар",L985*Законод!$C$9/4*Законод!$G$16,IF(B977="Лікар-педіатр",L985*Законод!$C$9/4*Законод!$G$16,IF(B977="Лікар-терапевт",L985*Законод!$C$9/4*Законод!$G$16,0)))</f>
        <v>0</v>
      </c>
      <c r="AO985" s="210">
        <f ca="1">IF(B977="Лікар загальної практики - сімейний лікар",S985*Законод!$C$9/4*Законод!$G$16,IF(B977="Лікар-педіатр",S985*Законод!$C$9/4*Законод!$G$16,IF(B977="Лікар-терапевт",S985*Законод!$C$9/4*Законод!$G$16,0)))</f>
        <v>0</v>
      </c>
      <c r="AP985" s="210">
        <f ca="1">IF(B977="Лікар загальної практики - сімейний лікар",Z985*Законод!$C$9/4*Законод!$G$16,IF(B977="Лікар-педіатр",Z985*Законод!$C$9/4*Законод!$G$16,IF(B977="Лікар-терапевт",Z985*Законод!$C$9/4*Законод!$G$16,0)))</f>
        <v>0</v>
      </c>
      <c r="AQ985" s="210">
        <f ca="1">IF(B977="Лікар загальної практики - сімейний лікар",AG985*Законод!$C$9/4*Законод!$G$16,IF(B977="Лікар-педіатр",AG985*Законод!$C$9/4*Законод!$G$16,IF(B977="Лікар-терапевт",AG985*Законод!$C$9/4*Законод!$G$16,0)))</f>
        <v>0</v>
      </c>
      <c r="AR985" s="211">
        <f t="shared" si="115"/>
        <v>0</v>
      </c>
    </row>
    <row r="986" spans="1:44" s="50" customFormat="1" ht="31.9" hidden="1" customHeight="1">
      <c r="A986" s="197"/>
      <c r="B986" s="951"/>
      <c r="C986" s="954"/>
      <c r="D986" s="957"/>
      <c r="E986" s="939"/>
      <c r="F986" s="238" t="str">
        <f ca="1">IF(B977="Лікар-педіатр",Законод!$H$17,IF(B977="Лікар загальної практики - сімейний лікар",Законод!$H$21,IF(B977="Лікар-терапевт",Законод!$H$25,"х")))</f>
        <v>х</v>
      </c>
      <c r="G986" s="935" t="s">
        <v>423</v>
      </c>
      <c r="H986" s="936"/>
      <c r="I986" s="936"/>
      <c r="J986" s="936"/>
      <c r="K986" s="937"/>
      <c r="L986" s="196">
        <f ca="1">IF($B$977="Лікар загальної практики - сімейний лікар",IF(L981&lt;Законод!$C$22,0,(IF(AND(L981&gt;=Законод!$H$22,L981&lt;=Законод!$H$23),L981-Законод!$G$23,IF('01_Доходи'!L981&gt;=Законод!$I$22,Законод!$H$24,0)))),IF($B$977="Лікар-педіатр",IF(L981&lt;Законод!$C$18,0,(IF(AND(L981&gt;=Законод!$H$18,L981&lt;=Законод!$H$19),L981-Законод!$G$19,IF('01_Доходи'!L981&gt;=Законод!$I$18,Законод!$H$20,0)))),IF($B$977="Лікар-терапевт",IF(L981&lt;Законод!$C$26,0,(IF(AND(L981&gt;=Законод!$H$26,L981&lt;=Законод!$H$27),L981-Законод!$G$27,IF(L981&gt;=Законод!$I$26,Законод!$H$28,0)))),0)))</f>
        <v>0</v>
      </c>
      <c r="M986" s="942"/>
      <c r="N986" s="935" t="s">
        <v>423</v>
      </c>
      <c r="O986" s="936"/>
      <c r="P986" s="936"/>
      <c r="Q986" s="936"/>
      <c r="R986" s="937"/>
      <c r="S986" s="196">
        <f ca="1">IF($B$977="Лікар загальної практики - сімейний лікар",IF(S981&lt;Законод!$C$22,0,(IF(AND(S981&gt;=Законод!$H$22,S981&lt;=Законод!$H$23),S981-Законод!$G$23,IF('01_Доходи'!S981&gt;=Законод!$I$22,Законод!$H$24,0)))),IF($B$977="Лікар-педіатр",IF(S981&lt;Законод!$C$18,0,(IF(AND(S981&gt;=Законод!$H$18,S981&lt;=Законод!$H$19),S981-Законод!$G$19,IF('01_Доходи'!S981&gt;=Законод!$I$18,Законод!$H$20,0)))),IF($B$977="Лікар-терапевт",IF(S981&lt;Законод!$C$26,0,(IF(AND(S981&gt;=Законод!$H$26,S981&lt;=Законод!$H$27),S981-Законод!$G$27,IF(S981&gt;=Законод!$I$26,Законод!$H$28,0)))),0)))</f>
        <v>0</v>
      </c>
      <c r="T986" s="942"/>
      <c r="U986" s="935" t="s">
        <v>423</v>
      </c>
      <c r="V986" s="936"/>
      <c r="W986" s="936"/>
      <c r="X986" s="936"/>
      <c r="Y986" s="937"/>
      <c r="Z986" s="196">
        <f ca="1">IF($B$977="Лікар загальної практики - сімейний лікар",IF(Z981&lt;Законод!$C$22,0,(IF(AND(Z981&gt;=Законод!$H$22,Z981&lt;=Законод!$H$23),Z981-Законод!$G$23,IF('01_Доходи'!Z981&gt;=Законод!$I$22,Законод!$H$24,0)))),IF($B$977="Лікар-педіатр",IF(Z981&lt;Законод!$C$18,0,(IF(AND(Z981&gt;=Законод!$H$18,Z981&lt;=Законод!$H$19),Z981-Законод!$G$19,IF('01_Доходи'!Z981&gt;=Законод!$I$18,Законод!$H$20,0)))),IF($B$977="Лікар-терапевт",IF(Z981&lt;Законод!$C$26,0,(IF(AND(Z981&gt;=Законод!$H$26,Z981&lt;=Законод!$H$27),Z981-Законод!$G$27,IF(Z981&gt;=Законод!$I$26,Законод!$H$28,0)))),0)))</f>
        <v>0</v>
      </c>
      <c r="AA986" s="942"/>
      <c r="AB986" s="935" t="s">
        <v>423</v>
      </c>
      <c r="AC986" s="936"/>
      <c r="AD986" s="936"/>
      <c r="AE986" s="936"/>
      <c r="AF986" s="937"/>
      <c r="AG986" s="196">
        <f ca="1">IF($B$977="Лікар загальної практики - сімейний лікар",IF(AG981&lt;Законод!$C$22,0,(IF(AND(AG981&gt;=Законод!$H$22,AG981&lt;=Законод!$H$23),AG981-Законод!$G$23,IF('01_Доходи'!AG981&gt;=Законод!$I$22,Законод!$H$24,0)))),IF($B$977="Лікар-педіатр",IF(AG981&lt;Законод!$C$18,0,(IF(AND(AG981&gt;=Законод!$H$18,AG981&lt;=Законод!$H$19),AG981-Законод!$G$19,IF('01_Доходи'!AG981&gt;=Законод!$I$18,Законод!$H$20,0)))),IF($B$977="Лікар-терапевт",IF(AG981&lt;Законод!$C$26,0,(IF(AND(AG981&gt;=Законод!$H$26,AG981&lt;=Законод!$H$27),AG981-Законод!$G$27,IF(AG981&gt;=Законод!$I$26,Законод!$H$28,0)))),0)))</f>
        <v>0</v>
      </c>
      <c r="AH986" s="942"/>
      <c r="AI986" s="201"/>
      <c r="AJ986" s="945"/>
      <c r="AK986" s="960"/>
      <c r="AL986" s="960"/>
      <c r="AM986" s="927"/>
      <c r="AN986" s="210">
        <f ca="1">IF(B977="Лікар загальної практики - сімейний лікар",L986*Законод!$C$9/4*Законод!$H$16,IF(B977="Лікар-педіатр",L986*Законод!$C$9/4*Законод!$H$16,IF(B977="Лікар-терапевт",L986*Законод!$C$9/4*Законод!$H$16,0)))</f>
        <v>0</v>
      </c>
      <c r="AO986" s="210">
        <f ca="1">IF(B977="Лікар загальної практики - сімейний лікар",S986*Законод!$C$9/4*Законод!$H$16,IF(B977="Лікар-педіатр",S986*Законод!$C$9/4*Законод!$H$16,IF(B977="Лікар-терапевт",S986*Законод!$C$9/4*Законод!$H$16,0)))</f>
        <v>0</v>
      </c>
      <c r="AP986" s="210">
        <f ca="1">IF(B977="Лікар загальної практики - сімейний лікар",Z986*Законод!$C$9/4*Законод!$H$16,IF(B977="Лікар-педіатр",Z986*Законод!$C$9/4*Законод!$H$16,IF(B977="Лікар-терапевт",Z986*Законод!$C$9/4*Законод!$H$16,0)))</f>
        <v>0</v>
      </c>
      <c r="AQ986" s="210">
        <f ca="1">IF(B977="Лікар загальної практики - сімейний лікар",AG986*Законод!$C$9/4*Законод!$H$16,IF(B977="Лікар-педіатр",AG986*Законод!$C$9/4*Законод!$H$16,IF(B977="Лікар-терапевт",AG986*Законод!$C$9/4*Законод!$H$16,0)))</f>
        <v>0</v>
      </c>
      <c r="AR986" s="211">
        <f t="shared" si="115"/>
        <v>0</v>
      </c>
    </row>
    <row r="987" spans="1:44" s="50" customFormat="1" ht="31.9" hidden="1" customHeight="1">
      <c r="A987" s="197"/>
      <c r="B987" s="951"/>
      <c r="C987" s="954"/>
      <c r="D987" s="957"/>
      <c r="E987" s="939"/>
      <c r="F987" s="238" t="str">
        <f ca="1">IF(B977="Лікар-педіатр",Законод!$I$17,IF(B977="Лікар загальної практики - сімейний лікар",Законод!$I$21,IF(B977="Лікар-терапевт",Законод!$I$25,"х")))</f>
        <v>х</v>
      </c>
      <c r="G987" s="935" t="s">
        <v>423</v>
      </c>
      <c r="H987" s="936"/>
      <c r="I987" s="936"/>
      <c r="J987" s="936"/>
      <c r="K987" s="937"/>
      <c r="L987" s="196">
        <f ca="1">IF($B$977="Лікар загальної практики - сімейний лікар",IF(L981&lt;Законод!$C$22,0,(IF(AND(L981&gt;=Законод!$I$22,L981&lt;=Законод!$I$23),L981-Законод!$H$23,IF('01_Доходи'!L981&gt;=Законод!$I$22,Законод!$I$24,0)))),IF($B$977="Лікар-педіатр",IF(L981&lt;Законод!$C$18,0,(IF(AND(L981&gt;=Законод!$I$18,L981&lt;=Законод!$I$19),L981-Законод!$H$19,IF('01_Доходи'!L981&gt;=Законод!$I$18,Законод!$H$20,0)))),IF($B$977="Лікар-терапевт",IF(L981&lt;Законод!$C$26,0,(IF(AND(L981&gt;=Законод!$I$26,L981&lt;=Законод!$I$27),L981-Законод!$H$27,IF('01_Доходи'!L981&gt;=Законод!$I$26,Законод!$H$28,0)))),0)))</f>
        <v>0</v>
      </c>
      <c r="M987" s="942"/>
      <c r="N987" s="935" t="s">
        <v>423</v>
      </c>
      <c r="O987" s="936"/>
      <c r="P987" s="936"/>
      <c r="Q987" s="936"/>
      <c r="R987" s="937"/>
      <c r="S987" s="196">
        <f ca="1">IF($B$977="Лікар загальної практики - сімейний лікар",IF(S981&lt;Законод!$C$22,0,(IF(AND(S981&gt;=Законод!$I$22,S981&lt;=Законод!$I$23),S981-Законод!$H$23,IF('01_Доходи'!S981&gt;=Законод!$I$22,Законод!$I$24,0)))),IF($B$977="Лікар-педіатр",IF(S981&lt;Законод!$C$18,0,(IF(AND(S981&gt;=Законод!$I$18,S981&lt;=Законод!$I$19),S981-Законод!$H$19,IF('01_Доходи'!S981&gt;=Законод!$I$18,Законод!$H$20,0)))),IF($B$977="Лікар-терапевт",IF(S981&lt;Законод!$C$26,0,(IF(AND(S981&gt;=Законод!$I$26,S981&lt;=Законод!$I$27),S981-Законод!$H$27,IF('01_Доходи'!S981&gt;=Законод!$I$26,Законод!$H$28,0)))),0)))</f>
        <v>0</v>
      </c>
      <c r="T987" s="942"/>
      <c r="U987" s="935" t="s">
        <v>423</v>
      </c>
      <c r="V987" s="936"/>
      <c r="W987" s="936"/>
      <c r="X987" s="936"/>
      <c r="Y987" s="937"/>
      <c r="Z987" s="196">
        <f ca="1">IF($B$977="Лікар загальної практики - сімейний лікар",IF(Z981&lt;Законод!$C$22,0,(IF(AND(Z981&gt;=Законод!$I$22,Z981&lt;=Законод!$I$23),Z981-Законод!$H$23,IF('01_Доходи'!Z981&gt;=Законод!$I$22,Законод!$I$24,0)))),IF($B$977="Лікар-педіатр",IF(Z981&lt;Законод!$C$18,0,(IF(AND(Z981&gt;=Законод!$I$18,Z981&lt;=Законод!$I$19),Z981-Законод!$H$19,IF('01_Доходи'!Z981&gt;=Законод!$I$18,Законод!$H$20,0)))),IF($B$977="Лікар-терапевт",IF(Z981&lt;Законод!$C$26,0,(IF(AND(Z981&gt;=Законод!$I$26,Z981&lt;=Законод!$I$27),Z981-Законод!$H$27,IF('01_Доходи'!Z981&gt;=Законод!$I$26,Законод!$H$28,0)))),0)))</f>
        <v>0</v>
      </c>
      <c r="AA987" s="942"/>
      <c r="AB987" s="935" t="s">
        <v>423</v>
      </c>
      <c r="AC987" s="936"/>
      <c r="AD987" s="936"/>
      <c r="AE987" s="936"/>
      <c r="AF987" s="937"/>
      <c r="AG987" s="196">
        <f ca="1">IF($B$977="Лікар загальної практики - сімейний лікар",IF(AG981&lt;Законод!$C$22,0,(IF(AND(AG981&gt;=Законод!$I$22,AG981&lt;=Законод!$I$23),AG981-Законод!$H$23,IF('01_Доходи'!AG981&gt;=Законод!$I$22,Законод!$I$24,0)))),IF($B$977="Лікар-педіатр",IF(AG981&lt;Законод!$C$18,0,(IF(AND(AG981&gt;=Законод!$I$18,AG981&lt;=Законод!$I$19),AG981-Законод!$H$19,IF('01_Доходи'!AG981&gt;=Законод!$I$18,Законод!$H$20,0)))),IF($B$977="Лікар-терапевт",IF(AG981&lt;Законод!$C$26,0,(IF(AND(AG981&gt;=Законод!$I$26,AG981&lt;=Законод!$I$27),AG981-Законод!$H$27,IF('01_Доходи'!AG981&gt;=Законод!$I$26,Законод!$H$28,0)))),0)))</f>
        <v>0</v>
      </c>
      <c r="AH987" s="942"/>
      <c r="AI987" s="201"/>
      <c r="AJ987" s="945"/>
      <c r="AK987" s="960"/>
      <c r="AL987" s="960"/>
      <c r="AM987" s="927"/>
      <c r="AN987" s="210">
        <f ca="1">IF(B977="Лікар загальної практики - сімейний лікар",L987*Законод!$C$9/4*Законод!$I$16,IF(B977="Лікар-педіатр",L987*Законод!$C$9/4*Законод!$I$16,IF(B977="Лікар-терапевт",L987*Законод!$C$9/4*Законод!$I$16,0)))</f>
        <v>0</v>
      </c>
      <c r="AO987" s="210">
        <f ca="1">IF(B977="Лікар загальної практики - сімейний лікар",S987*Законод!$C$9/4*Законод!$I$16,IF(B977="Лікар-педіатр",S987*Законод!$C$9/4*Законод!$I$16,IF(B977="Лікар-терапевт",S987*Законод!$C$9/4*Законод!$I$16,0)))</f>
        <v>0</v>
      </c>
      <c r="AP987" s="210">
        <f ca="1">IF(B977="Лікар загальної практики - сімейний лікар",Z987*Законод!$C$9/4*Законод!$I$16,IF(B977="Лікар-педіатр",Z987*Законод!$C$9/4*Законод!$I$16,IF(B977="Лікар-терапевт",Z987*Законод!$C$9/4*Законод!$I$16,0)))</f>
        <v>0</v>
      </c>
      <c r="AQ987" s="210">
        <f ca="1">IF(B977="Лікар загальної практики - сімейний лікар",AG987*Законод!$C$9/4*Законод!$I$16,IF(B977="Лікар-педіатр",AG987*Законод!$C$9/4*Законод!$I$16,IF(B977="Лікар-терапевт",AG987*Законод!$C$9/4*Законод!$I$16,0)))</f>
        <v>0</v>
      </c>
      <c r="AR987" s="211">
        <f t="shared" si="115"/>
        <v>0</v>
      </c>
    </row>
    <row r="988" spans="1:44" s="218" customFormat="1" ht="31.9" hidden="1" customHeight="1" thickBot="1">
      <c r="A988" s="213"/>
      <c r="B988" s="952"/>
      <c r="C988" s="955"/>
      <c r="D988" s="958"/>
      <c r="E988" s="940"/>
      <c r="F988" s="239" t="str">
        <f ca="1">IF(B977="Лікар-педіатр",Законод!$J$17,IF(B977="Лікар загальної практики - сімейний лікар",Законод!$J$21,IF(B977="Лікар-терапевт",Законод!$J$25,"х")))</f>
        <v>х</v>
      </c>
      <c r="G988" s="932" t="s">
        <v>423</v>
      </c>
      <c r="H988" s="933"/>
      <c r="I988" s="933"/>
      <c r="J988" s="933"/>
      <c r="K988" s="934"/>
      <c r="L988" s="196">
        <f ca="1">IF($B$977="Лікар загальної практики - сімейний лікар",IF(L981&gt;=Законод!$J$22,'01_Доходи'!L981-('01_Доходи'!L982+'01_Доходи'!L983+'01_Доходи'!L984+'01_Доходи'!L985+'01_Доходи'!L986+'01_Доходи'!L987),0),IF($B$977="Лікар-педіатр",IF(L981&gt;=Законод!$J$18,'01_Доходи'!L981-('01_Доходи'!L982+'01_Доходи'!L983+'01_Доходи'!L984+'01_Доходи'!L985+'01_Доходи'!L986+'01_Доходи'!L987),0),IF($B$977="Лікар-терапевт",IF('01_Доходи'!L981&gt;=Законод!$J$26,L981-Законод!$I$27,0),0)))</f>
        <v>0</v>
      </c>
      <c r="M988" s="943"/>
      <c r="N988" s="932" t="s">
        <v>423</v>
      </c>
      <c r="O988" s="933"/>
      <c r="P988" s="933"/>
      <c r="Q988" s="933"/>
      <c r="R988" s="934"/>
      <c r="S988" s="196">
        <f ca="1">IF($B$977="Лікар загальної практики - сімейний лікар",IF(S981&gt;=Законод!$J$22,'01_Доходи'!S981-('01_Доходи'!S982+'01_Доходи'!S983+'01_Доходи'!S984+'01_Доходи'!S985+'01_Доходи'!S986+'01_Доходи'!S987),0),IF($B$977="Лікар-педіатр",IF(S981&gt;=Законод!$J$18,'01_Доходи'!S981-('01_Доходи'!S982+'01_Доходи'!S983+'01_Доходи'!S984+'01_Доходи'!S985+'01_Доходи'!S986+'01_Доходи'!S987),0),IF($B$977="Лікар-терапевт",IF('01_Доходи'!S981&gt;=Законод!$J$26,S981-Законод!$I$27,0),0)))</f>
        <v>0</v>
      </c>
      <c r="T988" s="943"/>
      <c r="U988" s="932" t="s">
        <v>423</v>
      </c>
      <c r="V988" s="933"/>
      <c r="W988" s="933"/>
      <c r="X988" s="933"/>
      <c r="Y988" s="934"/>
      <c r="Z988" s="196">
        <f ca="1">IF($B$977="Лікар загальної практики - сімейний лікар",IF(Z981&gt;=Законод!$J$22,'01_Доходи'!Z981-('01_Доходи'!Z982+'01_Доходи'!Z983+'01_Доходи'!Z984+'01_Доходи'!Z985+'01_Доходи'!Z986+'01_Доходи'!Z987),0),IF($B$977="Лікар-педіатр",IF(Z981&gt;=Законод!$J$18,'01_Доходи'!Z981-('01_Доходи'!Z982+'01_Доходи'!Z983+'01_Доходи'!Z984+'01_Доходи'!Z985+'01_Доходи'!Z986+'01_Доходи'!Z987),0),IF($B$977="Лікар-терапевт",IF('01_Доходи'!Z981&gt;=Законод!$J$26,Z981-Законод!$I$27,0),0)))</f>
        <v>0</v>
      </c>
      <c r="AA988" s="943"/>
      <c r="AB988" s="932" t="s">
        <v>423</v>
      </c>
      <c r="AC988" s="933"/>
      <c r="AD988" s="933"/>
      <c r="AE988" s="933"/>
      <c r="AF988" s="934"/>
      <c r="AG988" s="196">
        <f ca="1">IF($B$977="Лікар загальної практики - сімейний лікар",IF(AG981&gt;=Законод!$J$22,'01_Доходи'!AG981-('01_Доходи'!AG982+'01_Доходи'!AG983+'01_Доходи'!AG984+'01_Доходи'!AG985+'01_Доходи'!AG986+'01_Доходи'!AG987),0),IF($B$977="Лікар-педіатр",IF(AG981&gt;=Законод!$J$18,'01_Доходи'!AG981-('01_Доходи'!AG982+'01_Доходи'!AG983+'01_Доходи'!AG984+'01_Доходи'!AG985+'01_Доходи'!AG986+'01_Доходи'!AG987),0),IF($B$977="Лікар-терапевт",IF('01_Доходи'!AG981&gt;=Законод!$J$26,AG981-Законод!$I$27,0),0)))</f>
        <v>0</v>
      </c>
      <c r="AH988" s="943"/>
      <c r="AI988" s="215"/>
      <c r="AJ988" s="946"/>
      <c r="AK988" s="961"/>
      <c r="AL988" s="961"/>
      <c r="AM988" s="928"/>
      <c r="AN988" s="216">
        <f ca="1">IF(B977="Лікар загальної практики - сімейний лікар",L988*Законод!$C$9/4*Законод!$J$16,IF(B977="Лікар-педіатр",L988*Законод!$C$9/4*Законод!$J$16,IF(B977="Лікар-терапевт",L988*Законод!$C$9/4*Законод!$J$16,0)))</f>
        <v>0</v>
      </c>
      <c r="AO988" s="216">
        <f ca="1">IF(B977="Лікар загальної практики - сімейний лікар",S988*Законод!$C$9/4*Законод!$J$16,IF(B977="Лікар-педіатр",S988*Законод!$C$9/4*Законод!$J$16,IF(B977="Лікар-терапевт",S988*Законод!$C$9/4*Законод!$J$16,0)))</f>
        <v>0</v>
      </c>
      <c r="AP988" s="216">
        <f ca="1">IF(B977="Лікар загальної практики - сімейний лікар",S988*Законод!$C$9/4*Законод!$J$16,IF(B977="Лікар-педіатр",S988*Законод!$C$9/4*Законод!$J$16,IF(B977="Лікар-терапевт",S988*Законод!$C$9/4*Законод!$J$16,0)))</f>
        <v>0</v>
      </c>
      <c r="AQ988" s="216">
        <f ca="1">IF(B977="Лікар загальної практики - сімейний лікар",AG988*Законод!$C$9/4*Законод!$J$16,IF(B977="Лікар-педіатр",AG988*Законод!$C$9/4*Законод!$J$16,IF(B977="Лікар-терапевт",AG988*Законод!$C$9/4*Законод!$J$16,0)))</f>
        <v>0</v>
      </c>
      <c r="AR988" s="217">
        <f t="shared" si="115"/>
        <v>0</v>
      </c>
    </row>
    <row r="989" spans="1:44" s="247" customFormat="1" ht="23.45" hidden="1" customHeight="1" thickBot="1">
      <c r="A989" s="243"/>
      <c r="B989" s="244"/>
      <c r="C989" s="244"/>
      <c r="D989" s="244"/>
      <c r="E989" s="244"/>
      <c r="F989" s="245"/>
      <c r="G989" s="246"/>
      <c r="H989" s="246"/>
      <c r="L989" s="248"/>
      <c r="S989" s="248"/>
      <c r="Z989" s="248"/>
      <c r="AG989" s="248"/>
      <c r="AM989" s="249"/>
      <c r="AR989" s="250"/>
    </row>
    <row r="990" spans="1:44" s="191" customFormat="1" ht="24.6" hidden="1" customHeight="1">
      <c r="A990" s="194">
        <f>A977+1</f>
        <v>74</v>
      </c>
      <c r="B990" s="950"/>
      <c r="C990" s="953"/>
      <c r="D990" s="956"/>
      <c r="E990" s="938"/>
      <c r="F990" s="234" t="s">
        <v>659</v>
      </c>
      <c r="G990" s="196">
        <f>IF($B$990="Лікар-педіатр",G993*L990,IF($B$990="Лікар-терапевт","х",IF($B$990="Лікар загальної практики - сімейний лікар",G993*L990,0)))</f>
        <v>0</v>
      </c>
      <c r="H990" s="196">
        <f>IF($B$990="Лікар-педіатр",H993*L990,IF($B$990="Лікар-терапевт","х",IF($B$990="Лікар загальної практики - сімейний лікар",H993*L990,0)))</f>
        <v>0</v>
      </c>
      <c r="I990" s="196">
        <f>IF($B$990="Лікар-педіатр","x",IF($B$990="Лікар-терапевт",I993*L990,IF($B$990="Лікар загальної практики - сімейний лікар",I993*L990,0)))</f>
        <v>0</v>
      </c>
      <c r="J990" s="196">
        <f>IF($B$990="Лікар-педіатр","x",IF($B$990="Лікар-терапевт",J993*L990,IF($B$990="Лікар загальної практики - сімейний лікар",J993*L990,0)))</f>
        <v>0</v>
      </c>
      <c r="K990" s="196">
        <f>IF($B$990="Лікар-педіатр","x",IF($B$990="Лікар-терапевт",K993*L990,IF($B$990="Лікар загальної практики - сімейний лікар",K993*L990,0)))</f>
        <v>0</v>
      </c>
      <c r="L990" s="557"/>
      <c r="M990" s="941"/>
      <c r="N990" s="196">
        <f>IF($B$990="Лікар-педіатр",N993*S990,IF($B$990="Лікар-терапевт","х",IF($B$990="Лікар загальної практики - сімейний лікар",N993*S990,0)))</f>
        <v>0</v>
      </c>
      <c r="O990" s="196">
        <f>IF($B$990="Лікар-педіатр",O993*S990,IF($B$990="Лікар-терапевт","х",IF($B$990="Лікар загальної практики - сімейний лікар",O993*S990,0)))</f>
        <v>0</v>
      </c>
      <c r="P990" s="196">
        <f>IF($B$990="Лікар-педіатр","x",IF($B$990="Лікар-терапевт",P993*S990,IF($B$990="Лікар загальної практики - сімейний лікар",P993*S990,0)))</f>
        <v>0</v>
      </c>
      <c r="Q990" s="196">
        <f>IF($B$990="Лікар-педіатр","x",IF($B$990="Лікар-терапевт",Q993*S990,IF($B$990="Лікар загальної практики - сімейний лікар",Q993*S990,0)))</f>
        <v>0</v>
      </c>
      <c r="R990" s="196">
        <f>IF($B$990="Лікар-педіатр","x",IF($B$990="Лікар-терапевт",R993*S990,IF($B$990="Лікар загальної практики - сімейний лікар",R993*S990,0)))</f>
        <v>0</v>
      </c>
      <c r="S990" s="557"/>
      <c r="T990" s="941"/>
      <c r="U990" s="196">
        <f>IF($B$990="Лікар-педіатр",U993*Z990,IF($B$990="Лікар-терапевт","х",IF($B$990="Лікар загальної практики - сімейний лікар",U993*Z990,0)))</f>
        <v>0</v>
      </c>
      <c r="V990" s="196">
        <f>IF($B$990="Лікар-педіатр",V993*Z990,IF($B$990="Лікар-терапевт","х",IF($B$990="Лікар загальної практики - сімейний лікар",V993*Z990,0)))</f>
        <v>0</v>
      </c>
      <c r="W990" s="196">
        <f>IF($B$990="Лікар-педіатр","x",IF($B$990="Лікар-терапевт",W993*Z990,IF($B$990="Лікар загальної практики - сімейний лікар",W993*Z990,0)))</f>
        <v>0</v>
      </c>
      <c r="X990" s="196">
        <f>IF($B$990="Лікар-педіатр","x",IF($B$990="Лікар-терапевт",X993*Z990,IF($B$990="Лікар загальної практики - сімейний лікар",X993*Z990,0)))</f>
        <v>0</v>
      </c>
      <c r="Y990" s="196">
        <f>IF($B$990="Лікар-педіатр","x",IF($B$990="Лікар-терапевт",Y993*Z990,IF($B$990="Лікар загальної практики - сімейний лікар",Y993*Z990,0)))</f>
        <v>0</v>
      </c>
      <c r="Z990" s="557"/>
      <c r="AA990" s="941"/>
      <c r="AB990" s="196">
        <f>IF($B$990="Лікар-педіатр",AB993*AG990,IF($B$990="Лікар-терапевт","х",IF($B$990="Лікар загальної практики - сімейний лікар",AB993*AG990,0)))</f>
        <v>0</v>
      </c>
      <c r="AC990" s="196">
        <f>IF($B$990="Лікар-педіатр",AC993*AG990,IF($B$990="Лікар-терапевт","х",IF($B$990="Лікар загальної практики - сімейний лікар",AC993*AG990,0)))</f>
        <v>0</v>
      </c>
      <c r="AD990" s="196">
        <f>IF($B$990="Лікар-педіатр","x",IF($B$990="Лікар-терапевт",AD993*AG990,IF($B$990="Лікар загальної практики - сімейний лікар",AD993*AG990,0)))</f>
        <v>0</v>
      </c>
      <c r="AE990" s="196">
        <f>IF($B$990="Лікар-педіатр","x",IF($B$990="Лікар-терапевт",AE993*AG990,IF($B$990="Лікар загальної практики - сімейний лікар",AE993*AG990,0)))</f>
        <v>0</v>
      </c>
      <c r="AF990" s="196">
        <f>IF($B$990="Лікар-педіатр","x",IF($B$990="Лікар-терапевт",AF993*AG990,IF($B$990="Лікар загальної практики - сімейний лікар",AF993*AG990,0)))</f>
        <v>0</v>
      </c>
      <c r="AG990" s="557"/>
      <c r="AH990" s="941"/>
      <c r="AI990" s="540">
        <f>A990</f>
        <v>74</v>
      </c>
      <c r="AJ990" s="944">
        <f>B990</f>
        <v>0</v>
      </c>
      <c r="AK990" s="959">
        <f>C990</f>
        <v>0</v>
      </c>
      <c r="AL990" s="959">
        <f>D990</f>
        <v>0</v>
      </c>
      <c r="AM990" s="929" t="s">
        <v>79</v>
      </c>
      <c r="AN990" s="947">
        <f>SUM(AN995:AN1001)</f>
        <v>0</v>
      </c>
      <c r="AO990" s="947">
        <f>SUM(AO995:AO1001)</f>
        <v>0</v>
      </c>
      <c r="AP990" s="947">
        <f>SUM(AP995:AP1001)</f>
        <v>0</v>
      </c>
      <c r="AQ990" s="947">
        <f>SUM(AQ995:AQ1001)</f>
        <v>0</v>
      </c>
      <c r="AR990" s="962">
        <f>SUM(AN990:AQ994)</f>
        <v>0</v>
      </c>
    </row>
    <row r="991" spans="1:44" s="50" customFormat="1" ht="28.15" hidden="1" customHeight="1">
      <c r="A991" s="197"/>
      <c r="B991" s="951"/>
      <c r="C991" s="954"/>
      <c r="D991" s="957"/>
      <c r="E991" s="939"/>
      <c r="F991" s="234" t="s">
        <v>660</v>
      </c>
      <c r="G991" s="196">
        <f>IF($B$990="Лікар-педіатр",G993*L991,IF($B$990="Лікар-терапевт","х",IF($B$990="Лікар загальної практики - сімейний лікар",G993*L991,0)))</f>
        <v>0</v>
      </c>
      <c r="H991" s="196">
        <f>IF($B$990="Лікар-педіатр",H993*L991,IF($B$990="Лікар-терапевт","х",IF($B$990="Лікар загальної практики - сімейний лікар",H993*L991,0)))</f>
        <v>0</v>
      </c>
      <c r="I991" s="196">
        <f>IF($B$990="Лікар-педіатр","x",IF($B$990="Лікар-терапевт",I993*L991,IF($B$990="Лікар загальної практики - сімейний лікар",I993*L991,0)))</f>
        <v>0</v>
      </c>
      <c r="J991" s="196">
        <f>IF($B$990="Лікар-педіатр","x",IF($B$990="Лікар-терапевт",J993*L991,IF($B$990="Лікар загальної практики - сімейний лікар",J993*L991,0)))</f>
        <v>0</v>
      </c>
      <c r="K991" s="196">
        <f>IF($B$990="Лікар-педіатр","x",IF($B$990="Лікар-терапевт",K993*L991,IF($B$990="Лікар загальної практики - сімейний лікар",K993*L991,0)))</f>
        <v>0</v>
      </c>
      <c r="L991" s="557"/>
      <c r="M991" s="942"/>
      <c r="N991" s="196">
        <f>IF($B$990="Лікар-педіатр",N993*S991,IF($B$990="Лікар-терапевт","х",IF($B$990="Лікар загальної практики - сімейний лікар",N993*S991,0)))</f>
        <v>0</v>
      </c>
      <c r="O991" s="196">
        <f>IF($B$990="Лікар-педіатр",O993*S991,IF($B$990="Лікар-терапевт","х",IF($B$990="Лікар загальної практики - сімейний лікар",O993*S991,0)))</f>
        <v>0</v>
      </c>
      <c r="P991" s="196">
        <f>IF($B$990="Лікар-педіатр","x",IF($B$990="Лікар-терапевт",P993*S991,IF($B$990="Лікар загальної практики - сімейний лікар",P993*S991,0)))</f>
        <v>0</v>
      </c>
      <c r="Q991" s="196">
        <f>IF($B$990="Лікар-педіатр","x",IF($B$990="Лікар-терапевт",Q993*S991,IF($B$990="Лікар загальної практики - сімейний лікар",Q993*S991,0)))</f>
        <v>0</v>
      </c>
      <c r="R991" s="196">
        <f>IF($B$990="Лікар-педіатр","x",IF($B$990="Лікар-терапевт",R993*S991,IF($B$990="Лікар загальної практики - сімейний лікар",R993*S991,0)))</f>
        <v>0</v>
      </c>
      <c r="S991" s="557"/>
      <c r="T991" s="942"/>
      <c r="U991" s="196">
        <f>IF($B$990="Лікар-педіатр",U993*Z991,IF($B$990="Лікар-терапевт","х",IF($B$990="Лікар загальної практики - сімейний лікар",U993*Z991,0)))</f>
        <v>0</v>
      </c>
      <c r="V991" s="196">
        <f>IF($B$990="Лікар-педіатр",V993*Z991,IF($B$990="Лікар-терапевт","х",IF($B$990="Лікар загальної практики - сімейний лікар",V993*Z991,0)))</f>
        <v>0</v>
      </c>
      <c r="W991" s="196">
        <f>IF($B$990="Лікар-педіатр","x",IF($B$990="Лікар-терапевт",W993*Z991,IF($B$990="Лікар загальної практики - сімейний лікар",W993*Z991,0)))</f>
        <v>0</v>
      </c>
      <c r="X991" s="196">
        <f>IF($B$990="Лікар-педіатр","x",IF($B$990="Лікар-терапевт",X993*Z991,IF($B$990="Лікар загальної практики - сімейний лікар",X993*Z991,0)))</f>
        <v>0</v>
      </c>
      <c r="Y991" s="196">
        <f>IF($B$990="Лікар-педіатр","x",IF($B$990="Лікар-терапевт",Y993*Z991,IF($B$990="Лікар загальної практики - сімейний лікар",Y993*Z991,0)))</f>
        <v>0</v>
      </c>
      <c r="Z991" s="557"/>
      <c r="AA991" s="942"/>
      <c r="AB991" s="196">
        <f>IF($B$990="Лікар-педіатр",AB993*AG991,IF($B$990="Лікар-терапевт","х",IF($B$990="Лікар загальної практики - сімейний лікар",AB993*AG991,0)))</f>
        <v>0</v>
      </c>
      <c r="AC991" s="196">
        <f>IF($B$990="Лікар-педіатр",AC993*AG991,IF($B$990="Лікар-терапевт","х",IF($B$990="Лікар загальної практики - сімейний лікар",AC993*AG991,0)))</f>
        <v>0</v>
      </c>
      <c r="AD991" s="196">
        <f>IF($B$990="Лікар-педіатр","x",IF($B$990="Лікар-терапевт",AD993*AG991,IF($B$990="Лікар загальної практики - сімейний лікар",AD993*AG991,0)))</f>
        <v>0</v>
      </c>
      <c r="AE991" s="196">
        <f>IF($B$990="Лікар-педіатр","x",IF($B$990="Лікар-терапевт",AE993*AG991,IF($B$990="Лікар загальної практики - сімейний лікар",AE993*AG991,0)))</f>
        <v>0</v>
      </c>
      <c r="AF991" s="196">
        <f>IF($B$990="Лікар-педіатр","x",IF($B$990="Лікар-терапевт",AF993*AG991,IF($B$990="Лікар загальної практики - сімейний лікар",AF993*AG991,0)))</f>
        <v>0</v>
      </c>
      <c r="AG991" s="557"/>
      <c r="AH991" s="942"/>
      <c r="AI991" s="198"/>
      <c r="AJ991" s="945"/>
      <c r="AK991" s="960"/>
      <c r="AL991" s="960"/>
      <c r="AM991" s="930"/>
      <c r="AN991" s="948"/>
      <c r="AO991" s="948"/>
      <c r="AP991" s="948"/>
      <c r="AQ991" s="948"/>
      <c r="AR991" s="963"/>
    </row>
    <row r="992" spans="1:44" s="90" customFormat="1" ht="31.15" hidden="1" customHeight="1">
      <c r="A992" s="240"/>
      <c r="B992" s="951"/>
      <c r="C992" s="954"/>
      <c r="D992" s="957"/>
      <c r="E992" s="939"/>
      <c r="F992" s="241" t="s">
        <v>661</v>
      </c>
      <c r="G992" s="199">
        <f>IF(B990="Лікар загальної практики - сімейний лікар"," ",IF(B990="Лікар-педіатр"," ",IF(B990="Лікар-терапевт","х",0)))</f>
        <v>0</v>
      </c>
      <c r="H992" s="199">
        <f>IF(B990="Лікар загальної практики - сімейний лікар"," ",IF(B990="Лікар-педіатр"," ",IF(B990="Лікар-терапевт","х",0)))</f>
        <v>0</v>
      </c>
      <c r="I992" s="199">
        <f>IF(B990="Лікар загальної практики - сімейний лікар"," ",IF(B990="Лікар-педіатр","х",IF(B990="Лікар-терапевт"," ",0)))</f>
        <v>0</v>
      </c>
      <c r="J992" s="199">
        <f>IF(B990="Лікар загальної практики - сімейний лікар"," ",IF(B990="Лікар-педіатр","х",IF(B990="Лікар-терапевт"," ",0)))</f>
        <v>0</v>
      </c>
      <c r="K992" s="199">
        <f>IF(B990="Лікар загальної практики - сімейний лікар"," ",IF(B990="Лікар-педіатр","х",IF(B990="Лікар-терапевт"," ",0)))</f>
        <v>0</v>
      </c>
      <c r="L992" s="200">
        <f>SUM(G992:K992)</f>
        <v>0</v>
      </c>
      <c r="M992" s="942"/>
      <c r="N992" s="199">
        <f>IF(B990="Лікар загальної практики - сімейний лікар"," ",IF(B990="Лікар-педіатр"," ",IF(B990="Лікар-терапевт","х",0)))</f>
        <v>0</v>
      </c>
      <c r="O992" s="199">
        <f>IF(B990="Лікар загальної практики - сімейний лікар"," ",IF(B990="Лікар-педіатр"," ",IF(B990="Лікар-терапевт","х",0)))</f>
        <v>0</v>
      </c>
      <c r="P992" s="199">
        <f>IF(B990="Лікар загальної практики - сімейний лікар"," ",IF(B990="Лікар-педіатр","х",IF(B990="Лікар-терапевт"," ",0)))</f>
        <v>0</v>
      </c>
      <c r="Q992" s="199">
        <f>IF(B990="Лікар загальної практики - сімейний лікар"," ",IF(B990="Лікар-педіатр","х",IF(B990="Лікар-терапевт"," ",0)))</f>
        <v>0</v>
      </c>
      <c r="R992" s="199">
        <f>IF(B990="Лікар загальної практики - сімейний лікар"," ",IF(B990="Лікар-педіатр","х",IF(B990="Лікар-терапевт"," ",0)))</f>
        <v>0</v>
      </c>
      <c r="S992" s="200">
        <f>SUM(N992:R992)</f>
        <v>0</v>
      </c>
      <c r="T992" s="942"/>
      <c r="U992" s="199">
        <f>IF(B990="Лікар загальної практики - сімейний лікар"," ",IF(B990="Лікар-педіатр"," ",IF(B990="Лікар-терапевт","х",0)))</f>
        <v>0</v>
      </c>
      <c r="V992" s="199">
        <f>IF(B990="Лікар загальної практики - сімейний лікар"," ",IF(B990="Лікар-педіатр"," ",IF(B990="Лікар-терапевт","х",0)))</f>
        <v>0</v>
      </c>
      <c r="W992" s="199">
        <f>IF(B990="Лікар загальної практики - сімейний лікар"," ",IF(B990="Лікар-педіатр","х",IF(B990="Лікар-терапевт"," ",0)))</f>
        <v>0</v>
      </c>
      <c r="X992" s="199">
        <f>IF(B990="Лікар загальної практики - сімейний лікар"," ",IF(B990="Лікар-педіатр","х",IF(B990="Лікар-терапевт"," ",0)))</f>
        <v>0</v>
      </c>
      <c r="Y992" s="199">
        <f>IF(B990="Лікар загальної практики - сімейний лікар"," ",IF(B990="Лікар-педіатр","х",IF(B990="Лікар-терапевт"," ",0)))</f>
        <v>0</v>
      </c>
      <c r="Z992" s="200">
        <f>SUM(U992:Y992)</f>
        <v>0</v>
      </c>
      <c r="AA992" s="942"/>
      <c r="AB992" s="199">
        <f>IF(B990="Лікар загальної практики - сімейний лікар"," ",IF(B990="Лікар-педіатр"," ",IF(B990="Лікар-терапевт","х",0)))</f>
        <v>0</v>
      </c>
      <c r="AC992" s="199">
        <f>IF(B990="Лікар загальної практики - сімейний лікар"," ",IF(B990="Лікар-педіатр"," ",IF(B990="Лікар-терапевт","х",0)))</f>
        <v>0</v>
      </c>
      <c r="AD992" s="199">
        <f>IF(B990="Лікар загальної практики - сімейний лікар"," ",IF(B990="Лікар-педіатр","х",IF(B990="Лікар-терапевт"," ",0)))</f>
        <v>0</v>
      </c>
      <c r="AE992" s="199">
        <f>IF(B990="Лікар загальної практики - сімейний лікар"," ",IF(B990="Лікар-педіатр","х",IF(B990="Лікар-терапевт"," ",0)))</f>
        <v>0</v>
      </c>
      <c r="AF992" s="199">
        <f>IF(B990="Лікар загальної практики - сімейний лікар"," ",IF(B990="Лікар-педіатр","х",IF(B990="Лікар-терапевт"," ",0)))</f>
        <v>0</v>
      </c>
      <c r="AG992" s="200">
        <f>SUM(AB992:AF992)</f>
        <v>0</v>
      </c>
      <c r="AH992" s="942"/>
      <c r="AI992" s="242"/>
      <c r="AJ992" s="945"/>
      <c r="AK992" s="960"/>
      <c r="AL992" s="960"/>
      <c r="AM992" s="930"/>
      <c r="AN992" s="948"/>
      <c r="AO992" s="948"/>
      <c r="AP992" s="948"/>
      <c r="AQ992" s="948"/>
      <c r="AR992" s="963"/>
    </row>
    <row r="993" spans="1:44" s="50" customFormat="1" ht="31.9" hidden="1" customHeight="1" thickBot="1">
      <c r="A993" s="197"/>
      <c r="B993" s="951"/>
      <c r="C993" s="954"/>
      <c r="D993" s="957"/>
      <c r="E993" s="939"/>
      <c r="F993" s="236" t="s">
        <v>426</v>
      </c>
      <c r="G993" s="203">
        <f>IF($B$990="Лікар-педіатр",G992/L992,IF($B$990="Лікар-терапевт","х",IF($B$990="Лікар загальної практики - сімейний лікар",G992/L992,0)))</f>
        <v>0</v>
      </c>
      <c r="H993" s="203">
        <f>IF($B$990="Лікар-педіатр",H992/L992,IF($B$990="Лікар-терапевт","х",IF($B$990="Лікар загальної практики - сімейний лікар",H992/L992,0)))</f>
        <v>0</v>
      </c>
      <c r="I993" s="203">
        <f>IF($B$990="Лікар-педіатр","x",IF($B$990="Лікар-терапевт",I992/L992,IF($B$990="Лікар загальної практики - сімейний лікар",I992/L992,0)))</f>
        <v>0</v>
      </c>
      <c r="J993" s="203">
        <f>IF($B$990="Лікар-педіатр","x",IF($B$990="Лікар-терапевт",J992/L992,IF($B$990="Лікар загальної практики - сімейний лікар",J992/L992,0)))</f>
        <v>0</v>
      </c>
      <c r="K993" s="203">
        <f>IF($B$990="Лікар-педіатр","x",IF($B$990="Лікар-терапевт",K992/L992,IF($B$990="Лікар загальної практики - сімейний лікар",K992/L992,0)))</f>
        <v>0</v>
      </c>
      <c r="L993" s="203">
        <f>SUM(G993:K993)</f>
        <v>0</v>
      </c>
      <c r="M993" s="942"/>
      <c r="N993" s="203">
        <f>IF($B$990="Лікар-педіатр",N992/S992,IF($B$990="Лікар-терапевт","х",IF($B$990="Лікар загальної практики - сімейний лікар",N992/S992,0)))</f>
        <v>0</v>
      </c>
      <c r="O993" s="203">
        <f>IF($B$990="Лікар-педіатр",O992/S992,IF($B$990="Лікар-терапевт","х",IF($B$990="Лікар загальної практики - сімейний лікар",O992/S992,0)))</f>
        <v>0</v>
      </c>
      <c r="P993" s="203">
        <f>IF($B$990="Лікар-педіатр","x",IF($B$990="Лікар-терапевт",P992/S992,IF($B$990="Лікар загальної практики - сімейний лікар",P992/S992,0)))</f>
        <v>0</v>
      </c>
      <c r="Q993" s="203">
        <f>IF($B$990="Лікар-педіатр","x",IF($B$990="Лікар-терапевт",Q992/S992,IF($B$990="Лікар загальної практики - сімейний лікар",Q992/S992,0)))</f>
        <v>0</v>
      </c>
      <c r="R993" s="203">
        <f>IF($B$990="Лікар-педіатр","x",IF($B$990="Лікар-терапевт",R992/S992,IF($B$990="Лікар загальної практики - сімейний лікар",R992/S992,0)))</f>
        <v>0</v>
      </c>
      <c r="S993" s="203">
        <f>SUM(N993:R993)</f>
        <v>0</v>
      </c>
      <c r="T993" s="942"/>
      <c r="U993" s="203">
        <f>IF($B$990="Лікар-педіатр",U992/Z992,IF($B$990="Лікар-терапевт","х",IF($B$990="Лікар загальної практики - сімейний лікар",U992/Z992,0)))</f>
        <v>0</v>
      </c>
      <c r="V993" s="203">
        <f>IF($B$990="Лікар-педіатр",V992/Z992,IF($B$990="Лікар-терапевт","х",IF($B$990="Лікар загальної практики - сімейний лікар",V992/Z992,0)))</f>
        <v>0</v>
      </c>
      <c r="W993" s="203">
        <f>IF($B$990="Лікар-педіатр","x",IF($B$990="Лікар-терапевт",W992/Z992,IF($B$990="Лікар загальної практики - сімейний лікар",W992/Z992,0)))</f>
        <v>0</v>
      </c>
      <c r="X993" s="203">
        <f>IF($B$990="Лікар-педіатр","x",IF($B$990="Лікар-терапевт",X992/Z992,IF($B$990="Лікар загальної практики - сімейний лікар",X992/Z992,0)))</f>
        <v>0</v>
      </c>
      <c r="Y993" s="203">
        <f>IF($B$990="Лікар-педіатр","x",IF($B$990="Лікар-терапевт",Y992/Z992,IF($B$990="Лікар загальної практики - сімейний лікар",Y992/Z992,0)))</f>
        <v>0</v>
      </c>
      <c r="Z993" s="203">
        <f>SUM(U993:Y993)</f>
        <v>0</v>
      </c>
      <c r="AA993" s="942"/>
      <c r="AB993" s="203">
        <f>IF($B$990="Лікар-педіатр",AB992/AG992,IF($B$990="Лікар-терапевт","х",IF($B$990="Лікар загальної практики - сімейний лікар",AB992/AG992,0)))</f>
        <v>0</v>
      </c>
      <c r="AC993" s="203">
        <f>IF($B$990="Лікар-педіатр",AC992/AG992,IF($B$990="Лікар-терапевт","х",IF($B$990="Лікар загальної практики - сімейний лікар",AC992/AG992,0)))</f>
        <v>0</v>
      </c>
      <c r="AD993" s="203">
        <f>IF($B$990="Лікар-педіатр","x",IF($B$990="Лікар-терапевт",AD992/AG992,IF($B$990="Лікар загальної практики - сімейний лікар",AD992/AG992,0)))</f>
        <v>0</v>
      </c>
      <c r="AE993" s="203">
        <f>IF($B$990="Лікар-педіатр","x",IF($B$990="Лікар-терапевт",AE992/AG992,IF($B$990="Лікар загальної практики - сімейний лікар",AE992/AG992,0)))</f>
        <v>0</v>
      </c>
      <c r="AF993" s="203">
        <f>IF($B$990="Лікар-педіатр","x",IF($B$990="Лікар-терапевт",AF992/AG992,IF($B$990="Лікар загальної практики - сімейний лікар",AF992/AG992,0)))</f>
        <v>0</v>
      </c>
      <c r="AG993" s="203">
        <f>SUM(AB993:AF993)</f>
        <v>0</v>
      </c>
      <c r="AH993" s="942"/>
      <c r="AI993" s="201"/>
      <c r="AJ993" s="945"/>
      <c r="AK993" s="960"/>
      <c r="AL993" s="960"/>
      <c r="AM993" s="930"/>
      <c r="AN993" s="948"/>
      <c r="AO993" s="948"/>
      <c r="AP993" s="948"/>
      <c r="AQ993" s="948"/>
      <c r="AR993" s="963"/>
    </row>
    <row r="994" spans="1:44" s="50" customFormat="1" ht="45" hidden="1" customHeight="1" thickBot="1">
      <c r="A994" s="197"/>
      <c r="B994" s="951"/>
      <c r="C994" s="954"/>
      <c r="D994" s="957"/>
      <c r="E994" s="939"/>
      <c r="F994" s="204" t="s">
        <v>662</v>
      </c>
      <c r="G994" s="205">
        <f>IF($B$990="Лікар загальної практики - сімейний лікар",AVERAGE(G990:G992),IF($B$990="Лікар-педіатр",AVERAGE(G990:G992),IF($B$990="Лікар-терапевт","х",0)))</f>
        <v>0</v>
      </c>
      <c r="H994" s="205">
        <f>IF($B$990="Лікар загальної практики - сімейний лікар",AVERAGE(H990:H992),IF($B$990="Лікар-педіатр",AVERAGE(H990:H992),IF($B$990="Лікар-терапевт","х",0)))</f>
        <v>0</v>
      </c>
      <c r="I994" s="205">
        <f>IF($B$990="Лікар загальної практики - сімейний лікар",AVERAGE(I990:I992),IF($B$990="Лікар-педіатр","x",IF($B$990="Лікар-терапевт",AVERAGE(I990:I992),0)))</f>
        <v>0</v>
      </c>
      <c r="J994" s="205">
        <f>IF($B$990="Лікар загальної практики - сімейний лікар",AVERAGE(J990:J992),IF($B$990="Лікар-педіатр","x",IF($B$990="Лікар-терапевт",AVERAGE(J990:J992),0)))</f>
        <v>0</v>
      </c>
      <c r="K994" s="205">
        <f>IF($B$990="Лікар загальної практики - сімейний лікар",AVERAGE(K990:K992),IF($B$990="Лікар-педіатр","x",IF($B$990="Лікар-терапевт",AVERAGE(K990:K992),0)))</f>
        <v>0</v>
      </c>
      <c r="L994" s="206">
        <f>SUM(G994:K994)</f>
        <v>0</v>
      </c>
      <c r="M994" s="942"/>
      <c r="N994" s="205">
        <f>IF($B$990="Лікар загальної практики - сімейний лікар",AVERAGE(N990:N992),IF($B$990="Лікар-педіатр",AVERAGE(N990:N992),IF($B$990="Лікар-терапевт","х",0)))</f>
        <v>0</v>
      </c>
      <c r="O994" s="205">
        <f>IF($B$990="Лікар загальної практики - сімейний лікар",AVERAGE(O990:O992),IF($B$990="Лікар-педіатр",AVERAGE(O990:O992),IF($B$990="Лікар-терапевт","х",0)))</f>
        <v>0</v>
      </c>
      <c r="P994" s="205">
        <f>IF($B$990="Лікар загальної практики - сімейний лікар",AVERAGE(P990:P992),IF($B$990="Лікар-педіатр","x",IF($B$990="Лікар-терапевт",AVERAGE(P990:P992),0)))</f>
        <v>0</v>
      </c>
      <c r="Q994" s="205">
        <f>IF($B$990="Лікар загальної практики - сімейний лікар",AVERAGE(Q990:Q992),IF($B$990="Лікар-педіатр","x",IF($B$990="Лікар-терапевт",AVERAGE(Q990:Q992),0)))</f>
        <v>0</v>
      </c>
      <c r="R994" s="205">
        <f>IF($B$990="Лікар загальної практики - сімейний лікар",AVERAGE(R990:R992),IF($B$990="Лікар-педіатр","x",IF($B$990="Лікар-терапевт",AVERAGE(R990:R992),0)))</f>
        <v>0</v>
      </c>
      <c r="S994" s="206">
        <f>SUM(N994:R994)</f>
        <v>0</v>
      </c>
      <c r="T994" s="942"/>
      <c r="U994" s="205">
        <f>IF($B$990="Лікар загальної практики - сімейний лікар",AVERAGE(U990:U992),IF($B$990="Лікар-педіатр",AVERAGE(U990:U992),IF($B$990="Лікар-терапевт","х",0)))</f>
        <v>0</v>
      </c>
      <c r="V994" s="205">
        <f>IF($B$990="Лікар загальної практики - сімейний лікар",AVERAGE(V990:V992),IF($B$990="Лікар-педіатр",AVERAGE(V990:V992),IF($B$990="Лікар-терапевт","х",0)))</f>
        <v>0</v>
      </c>
      <c r="W994" s="205">
        <f>IF($B$990="Лікар загальної практики - сімейний лікар",AVERAGE(W990:W992),IF($B$990="Лікар-педіатр","x",IF($B$990="Лікар-терапевт",AVERAGE(W990:W992),0)))</f>
        <v>0</v>
      </c>
      <c r="X994" s="205">
        <f>IF($B$990="Лікар загальної практики - сімейний лікар",AVERAGE(X990:X992),IF($B$990="Лікар-педіатр","x",IF($B$990="Лікар-терапевт",AVERAGE(X990:X992),0)))</f>
        <v>0</v>
      </c>
      <c r="Y994" s="205">
        <f>IF($B$990="Лікар загальної практики - сімейний лікар",AVERAGE(Y990:Y992),IF($B$990="Лікар-педіатр","x",IF($B$990="Лікар-терапевт",AVERAGE(Y990:Y992),0)))</f>
        <v>0</v>
      </c>
      <c r="Z994" s="206">
        <f>SUM(U994:Y994)</f>
        <v>0</v>
      </c>
      <c r="AA994" s="942"/>
      <c r="AB994" s="205">
        <f>IF($B$990="Лікар загальної практики - сімейний лікар",AVERAGE(AB990:AB992),IF($B$990="Лікар-педіатр",AVERAGE(AB990:AB992),IF($B$990="Лікар-терапевт","х",0)))</f>
        <v>0</v>
      </c>
      <c r="AC994" s="205">
        <f>IF($B$990="Лікар загальної практики - сімейний лікар",AVERAGE(AC990:AC992),IF($B$990="Лікар-педіатр",AVERAGE(AC990:AC992),IF($B$990="Лікар-терапевт","х",0)))</f>
        <v>0</v>
      </c>
      <c r="AD994" s="205">
        <f>IF($B$990="Лікар загальної практики - сімейний лікар",AVERAGE(AD990:AD992),IF($B$990="Лікар-педіатр","x",IF($B$990="Лікар-терапевт",AVERAGE(AD990:AD992),0)))</f>
        <v>0</v>
      </c>
      <c r="AE994" s="205">
        <f>IF($B$990="Лікар загальної практики - сімейний лікар",AVERAGE(AE990:AE992),IF($B$990="Лікар-педіатр","x",IF($B$990="Лікар-терапевт",AVERAGE(AE990:AE992),0)))</f>
        <v>0</v>
      </c>
      <c r="AF994" s="205">
        <f>IF($B$990="Лікар загальної практики - сімейний лікар",AVERAGE(AF990:AF992),IF($B$990="Лікар-педіатр","x",IF($B$990="Лікар-терапевт",AVERAGE(AF990:AF992),0)))</f>
        <v>0</v>
      </c>
      <c r="AG994" s="206">
        <f>SUM(AB994:AF994)</f>
        <v>0</v>
      </c>
      <c r="AH994" s="942"/>
      <c r="AI994" s="201"/>
      <c r="AJ994" s="945"/>
      <c r="AK994" s="960"/>
      <c r="AL994" s="960"/>
      <c r="AM994" s="931"/>
      <c r="AN994" s="949"/>
      <c r="AO994" s="949"/>
      <c r="AP994" s="949"/>
      <c r="AQ994" s="949"/>
      <c r="AR994" s="964"/>
    </row>
    <row r="995" spans="1:44" s="50" customFormat="1" ht="40.5" hidden="1">
      <c r="A995" s="197"/>
      <c r="B995" s="951"/>
      <c r="C995" s="954"/>
      <c r="D995" s="957"/>
      <c r="E995" s="939"/>
      <c r="F995" s="237" t="str">
        <f ca="1">IF(B990="Лікар-педіатр",Законод!$C$17,IF(B990="Лікар загальної практики - сімейний лікар",Законод!$C$21,IF(B990="Лікар-терапевт",Законод!$C$25,"х")))</f>
        <v>х</v>
      </c>
      <c r="G995" s="208">
        <f ca="1">IF($B$990="Лікар загальної практики - сімейний лікар",IF(L994&lt;=Законод!$C$22,G994,Законод!$C$22*'01_Доходи'!G993),IF($B$990="Лікар-педіатр",IF(L994&lt;=Законод!$C$18,G994,Законод!$C$18*'01_Доходи'!G993),IF($B$990="Лікар-терапевт","x",0)))</f>
        <v>0</v>
      </c>
      <c r="H995" s="208">
        <f ca="1">IF($B$990="Лікар загальної практики - сімейний лікар",IF(L994&lt;=Законод!$C$22,H994,Законод!$C$22*'01_Доходи'!H993),IF($B$990="Лікар-педіатр",IF(L994&lt;=Законод!$C$18,H994,Законод!$C$18*'01_Доходи'!H993),IF($B$990="Лікар-терапевт","x",0)))</f>
        <v>0</v>
      </c>
      <c r="I995" s="208">
        <f ca="1">IF($B$990="Лікар загальної практики - сімейний лікар",IF(L994&lt;=Законод!$C$22,I994,Законод!$C$22*'01_Доходи'!I993),IF($B$990="Лікар-педіатр","x",IF($B$990="Лікар-терапевт",IF(L994&lt;=Законод!$C$26,I994,Законод!$C$26*'01_Доходи'!I993),0)))</f>
        <v>0</v>
      </c>
      <c r="J995" s="208">
        <f ca="1">IF($B$990="Лікар загальної практики - сімейний лікар",IF(L994&lt;=Законод!$C$22,J994,Законод!$C$22*'01_Доходи'!J993),IF($B$990="Лікар-педіатр","x",IF($B$990="Лікар-терапевт",IF(L994&lt;=Законод!$C$26,J994,Законод!$C$26*'01_Доходи'!J993),0)))</f>
        <v>0</v>
      </c>
      <c r="K995" s="208">
        <f ca="1">IF($B$990="Лікар загальної практики - сімейний лікар",IF(L994&lt;=Законод!$C$22,K994,Законод!$C$22*'01_Доходи'!K993),IF($B$990="Лікар-педіатр","x",IF($B$990="Лікар-терапевт",IF(L994&lt;=Законод!$C$26,K994,Законод!$C$26*'01_Доходи'!K993),0)))</f>
        <v>0</v>
      </c>
      <c r="L995" s="209">
        <f ca="1">SUM(G995:K995)</f>
        <v>0</v>
      </c>
      <c r="M995" s="942"/>
      <c r="N995" s="208">
        <f ca="1">IF($B$990="Лікар загальної практики - сімейний лікар",IF(S994&lt;=Законод!$C$22,N994,Законод!$C$22*'01_Доходи'!N993),IF($B$990="Лікар-педіатр",IF(S994&lt;=Законод!$C$18,N994,Законод!$C$18*'01_Доходи'!N993),IF($B$990="Лікар-терапевт","x",0)))</f>
        <v>0</v>
      </c>
      <c r="O995" s="208">
        <f ca="1">IF($B$990="Лікар загальної практики - сімейний лікар",IF(S994&lt;=Законод!$C$22,O994,Законод!$C$22*'01_Доходи'!O993),IF($B$990="Лікар-педіатр",IF(S994&lt;=Законод!$C$18,O994,Законод!$C$18*'01_Доходи'!O993),IF($B$990="Лікар-терапевт","x",0)))</f>
        <v>0</v>
      </c>
      <c r="P995" s="208">
        <f ca="1">IF($B$990="Лікар загальної практики - сімейний лікар",IF(S994&lt;=Законод!$C$22,P994,Законод!$C$22*'01_Доходи'!P993),IF($B$990="Лікар-педіатр","x",IF($B$990="Лікар-терапевт",IF(S994&lt;=Законод!$C$26,P994,Законод!$C$26*'01_Доходи'!P993),0)))</f>
        <v>0</v>
      </c>
      <c r="Q995" s="208">
        <f ca="1">IF($B$990="Лікар загальної практики - сімейний лікар",IF(S994&lt;=Законод!$C$22,Q994,Законод!$C$22*'01_Доходи'!Q993),IF($B$990="Лікар-педіатр","x",IF($B$990="Лікар-терапевт",IF(S994&lt;=Законод!$C$26,Q994,Законод!$C$26*'01_Доходи'!Q993),0)))</f>
        <v>0</v>
      </c>
      <c r="R995" s="208">
        <f ca="1">IF($B$990="Лікар загальної практики - сімейний лікар",IF(S994&lt;=Законод!$C$22,R994,Законод!$C$22*'01_Доходи'!R993),IF($B$990="Лікар-педіатр","x",IF($B$990="Лікар-терапевт",IF(S994&lt;=Законод!$C$26,R994,Законод!$C$26*'01_Доходи'!R993),0)))</f>
        <v>0</v>
      </c>
      <c r="S995" s="209">
        <f ca="1">SUM(N995:R995)</f>
        <v>0</v>
      </c>
      <c r="T995" s="942"/>
      <c r="U995" s="208">
        <f ca="1">IF($B$990="Лікар загальної практики - сімейний лікар",IF(Z994&lt;=Законод!$C$22,U994,Законод!$C$22*'01_Доходи'!U993),IF($B$990="Лікар-педіатр",IF(Z994&lt;=Законод!$C$18,U994,Законод!$C$18*'01_Доходи'!U993),IF($B$990="Лікар-терапевт","x",0)))</f>
        <v>0</v>
      </c>
      <c r="V995" s="208">
        <f ca="1">IF($B$990="Лікар загальної практики - сімейний лікар",IF(Z994&lt;=Законод!$C$22,V994,Законод!$C$22*'01_Доходи'!V993),IF($B$990="Лікар-педіатр",IF(Z994&lt;=Законод!$C$18,V994,Законод!$C$18*'01_Доходи'!V993),IF($B$990="Лікар-терапевт","x",0)))</f>
        <v>0</v>
      </c>
      <c r="W995" s="208">
        <f ca="1">IF($B$990="Лікар загальної практики - сімейний лікар",IF(Z994&lt;=Законод!$C$22,W994,Законод!$C$22*'01_Доходи'!W993),IF($B$990="Лікар-педіатр","x",IF($B$990="Лікар-терапевт",IF(Z994&lt;=Законод!$C$26,W994,Законод!$C$26*'01_Доходи'!W993),0)))</f>
        <v>0</v>
      </c>
      <c r="X995" s="208">
        <f ca="1">IF($B$990="Лікар загальної практики - сімейний лікар",IF(Z994&lt;=Законод!$C$22,X994,Законод!$C$22*'01_Доходи'!X993),IF($B$990="Лікар-педіатр","x",IF($B$990="Лікар-терапевт",IF(Z994&lt;=Законод!$C$26,X994,Законод!$C$26*'01_Доходи'!X993),0)))</f>
        <v>0</v>
      </c>
      <c r="Y995" s="208">
        <f ca="1">IF($B$990="Лікар загальної практики - сімейний лікар",IF(Z994&lt;=Законод!$C$22,Y994,Законод!$C$22*'01_Доходи'!Y993),IF($B$990="Лікар-педіатр","x",IF($B$990="Лікар-терапевт",IF(Z994&lt;=Законод!$C$26,Y994,Законод!$C$26*'01_Доходи'!Y993),0)))</f>
        <v>0</v>
      </c>
      <c r="Z995" s="209">
        <f ca="1">SUM(U995:Y995)</f>
        <v>0</v>
      </c>
      <c r="AA995" s="942"/>
      <c r="AB995" s="208">
        <f ca="1">IF($B$990="Лікар загальної практики - сімейний лікар",IF(AG994&lt;=Законод!$C$22,AB994,Законод!$C$22*'01_Доходи'!AB993),IF($B$990="Лікар-педіатр",IF(AG994&lt;=Законод!$C$18,AB994,Законод!$C$18*'01_Доходи'!AB993),IF($B$990="Лікар-терапевт","x",0)))</f>
        <v>0</v>
      </c>
      <c r="AC995" s="208">
        <f ca="1">IF($B$990="Лікар загальної практики - сімейний лікар",IF(AG994&lt;=Законод!$C$22,AC994,Законод!$C$22*'01_Доходи'!AC993),IF($B$990="Лікар-педіатр",IF(AG994&lt;=Законод!$C$18,AC994,Законод!$C$18*'01_Доходи'!AC993),IF($B$990="Лікар-терапевт","x",0)))</f>
        <v>0</v>
      </c>
      <c r="AD995" s="208">
        <f ca="1">IF($B$990="Лікар загальної практики - сімейний лікар",IF(AG994&lt;=Законод!$C$22,AD994,Законод!$C$22*'01_Доходи'!AD993),IF($B$990="Лікар-педіатр","x",IF($B$990="Лікар-терапевт",IF(AG994&lt;=Законод!$C$26,AD994,Законод!$C$26*'01_Доходи'!AD993),0)))</f>
        <v>0</v>
      </c>
      <c r="AE995" s="208">
        <f ca="1">IF($B$990="Лікар загальної практики - сімейний лікар",IF(AG994&lt;=Законод!$C$22,AE994,Законод!$C$22*'01_Доходи'!AE993),IF($B$990="Лікар-педіатр","x",IF($B$990="Лікар-терапевт",IF(AG994&lt;=Законод!$C$26,AE994,Законод!$C$26*'01_Доходи'!AE993),0)))</f>
        <v>0</v>
      </c>
      <c r="AF995" s="208">
        <f ca="1">IF($B$990="Лікар загальної практики - сімейний лікар",IF(AG994&lt;=Законод!$C$22,AF994,Законод!$C$22*'01_Доходи'!AF993),IF($B$990="Лікар-педіатр","x",IF($B$990="Лікар-терапевт",IF(AG994&lt;=Законод!$C$26,AF994,Законод!$C$26*'01_Доходи'!AF993),0)))</f>
        <v>0</v>
      </c>
      <c r="AG995" s="209">
        <f ca="1">SUM(AB995:AF995)</f>
        <v>0</v>
      </c>
      <c r="AH995" s="942"/>
      <c r="AI995" s="201"/>
      <c r="AJ995" s="945"/>
      <c r="AK995" s="960"/>
      <c r="AL995" s="960"/>
      <c r="AM995" s="348" t="s">
        <v>451</v>
      </c>
      <c r="AN995" s="210">
        <f ca="1">IF(B990="Лікар загальної практики - сімейний лікар",G995*Законод!$C$11+'01_Доходи'!H995*Законод!$D$11+'01_Доходи'!I995*Законод!$E$11+'01_Доходи'!J995*Законод!$F$11+'01_Доходи'!K995*Законод!$G$11,IF(B990="Лікар-педіатр",G995*Законод!$C$11+'01_Доходи'!H995*Законод!$D$11,IF(B990="Лікар-терапевт",'01_Доходи'!I995*Законод!$E$11+'01_Доходи'!J995*Законод!$F$11+'01_Доходи'!K995*Законод!$G$11,0)))</f>
        <v>0</v>
      </c>
      <c r="AO995" s="210">
        <f ca="1">IF(B990="Лікар загальної практики - сімейний лікар",N995*Законод!$C$11+'01_Доходи'!O995*Законод!$D$11+'01_Доходи'!P995*Законод!$E$11+'01_Доходи'!Q995*Законод!$F$11+'01_Доходи'!R995*Законод!$G$11,IF(B990="Лікар-педіатр",N995*Законод!$C$11+'01_Доходи'!O995*Законод!$D$11,IF(B990="Лікар-терапевт",'01_Доходи'!P995*Законод!$E$11+'01_Доходи'!Q995*Законод!$F$11+'01_Доходи'!R995*Законод!$G$11,0)))</f>
        <v>0</v>
      </c>
      <c r="AP995" s="210">
        <f ca="1">IF(B990="Лікар загальної практики - сімейний лікар",U995*Законод!$C$11+'01_Доходи'!V995*Законод!$D$11+'01_Доходи'!W995*Законод!$E$11+'01_Доходи'!X995*Законод!$F$11+'01_Доходи'!Y995*Законод!$G$11,IF(B990="Лікар-педіатр",U995*Законод!$C$11+'01_Доходи'!V995*Законод!$D$11,IF(B990="Лікар-терапевт",'01_Доходи'!W995*Законод!$E$11+'01_Доходи'!X995*Законод!$F$11+'01_Доходи'!Y995*Законод!$G$11,0)))</f>
        <v>0</v>
      </c>
      <c r="AQ995" s="210">
        <f ca="1">IF(B990="Лікар загальної практики - сімейний лікар",AB995*Законод!$C$11+'01_Доходи'!AC995*Законод!$D$11+'01_Доходи'!AD995*Законод!$E$11+'01_Доходи'!AE995*Законод!$F$11+'01_Доходи'!AF995*Законод!$G$11,IF(B990="Лікар-педіатр",AB995*Законод!$C$11+'01_Доходи'!AC995*Законод!$D$11,IF(B990="Лікар-терапевт",'01_Доходи'!AD995*Законод!$E$11+'01_Доходи'!AE995*Законод!$F$11+'01_Доходи'!AF995*Законод!$G$11,0)))</f>
        <v>0</v>
      </c>
      <c r="AR995" s="211">
        <f t="shared" ref="AR995:AR1001" si="116">SUM(AN995:AQ995)</f>
        <v>0</v>
      </c>
    </row>
    <row r="996" spans="1:44" s="50" customFormat="1" ht="31.9" hidden="1" customHeight="1">
      <c r="A996" s="197"/>
      <c r="B996" s="951"/>
      <c r="C996" s="954"/>
      <c r="D996" s="957"/>
      <c r="E996" s="939"/>
      <c r="F996" s="238" t="str">
        <f ca="1">IF(B990="Лікар-педіатр",Законод!$E$17,IF(B990="Лікар загальної практики - сімейний лікар",Законод!$E$21,IF(B990="Лікар-терапевт",Законод!$E$25,"х")))</f>
        <v>х</v>
      </c>
      <c r="G996" s="935" t="s">
        <v>423</v>
      </c>
      <c r="H996" s="936"/>
      <c r="I996" s="936"/>
      <c r="J996" s="936"/>
      <c r="K996" s="937"/>
      <c r="L996" s="196">
        <f ca="1">IF($B$990="Лікар загальної практики - сімейний лікар",IF(L994&lt;Законод!$C$22,0,(IF(AND(L994&gt;=Законод!$E$22,L994&lt;=Законод!$E$23),L994-Законод!$C$22,IF('01_Доходи'!L994&gt;=Законод!$F$22,Законод!$E$24,0)))),IF($B$990="Лікар-педіатр",IF(L994&lt;Законод!$C$18,0,(IF(AND(L994&gt;=Законод!$E$18,L994&lt;=Законод!$E$19),L994-Законод!$C$18,IF('01_Доходи'!L994&gt;=Законод!$F$18,Законод!$E$20,0)))),IF($B$990="Лікар-терапевт",IF(L994&lt;Законод!$C$26,0,(IF(AND(L994&gt;=Законод!$E$26,L994&lt;=Законод!$E$27),L994-Законод!$C$26,IF('01_Доходи'!L994&gt;=Законод!$F$26,Законод!$E$28,0)))),0)))</f>
        <v>0</v>
      </c>
      <c r="M996" s="942"/>
      <c r="N996" s="935" t="s">
        <v>423</v>
      </c>
      <c r="O996" s="936"/>
      <c r="P996" s="936"/>
      <c r="Q996" s="936"/>
      <c r="R996" s="937"/>
      <c r="S996" s="196">
        <f ca="1">IF($B$990="Лікар загальної практики - сімейний лікар",IF(S994&lt;Законод!$C$22,0,(IF(AND(S994&gt;=Законод!$E$22,S994&lt;=Законод!$E$23),S994-Законод!$C$22,IF('01_Доходи'!S994&gt;=Законод!$F$22,Законод!$E$24,0)))),IF($B$990="Лікар-педіатр",IF(S994&lt;Законод!$C$18,0,(IF(AND(S994&gt;=Законод!$E$18,S994&lt;=Законод!$E$19),S994-Законод!$C$18,IF('01_Доходи'!S994&gt;=Законод!$F$18,Законод!$E$20,0)))),IF($B$990="Лікар-терапевт",IF(S994&lt;Законод!$C$26,0,(IF(AND(S994&gt;=Законод!$E$26,S994&lt;=Законод!$E$27),S994-Законод!$C$26,IF('01_Доходи'!S994&gt;=Законод!$F$26,Законод!$E$28,0)))),0)))</f>
        <v>0</v>
      </c>
      <c r="T996" s="942"/>
      <c r="U996" s="935" t="s">
        <v>423</v>
      </c>
      <c r="V996" s="936"/>
      <c r="W996" s="936"/>
      <c r="X996" s="936"/>
      <c r="Y996" s="937"/>
      <c r="Z996" s="196">
        <f ca="1">IF($B$990="Лікар загальної практики - сімейний лікар",IF(Z994&lt;Законод!$C$22,0,(IF(AND(Z994&gt;=Законод!$E$22,Z994&lt;=Законод!$E$23),Z994-Законод!$C$22,IF('01_Доходи'!Z994&gt;=Законод!$F$22,Законод!$E$24,0)))),IF($B$990="Лікар-педіатр",IF(Z994&lt;Законод!$C$18,0,(IF(AND(Z994&gt;=Законод!$E$18,Z994&lt;=Законод!$E$19),Z994-Законод!$C$18,IF('01_Доходи'!Z994&gt;=Законод!$F$18,Законод!$E$20,0)))),IF($B$990="Лікар-терапевт",IF(Z994&lt;Законод!$C$26,0,(IF(AND(Z994&gt;=Законод!$E$26,Z994&lt;=Законод!$E$27),Z994-Законод!$C$26,IF('01_Доходи'!Z994&gt;=Законод!$F$26,Законод!$E$28,0)))),0)))</f>
        <v>0</v>
      </c>
      <c r="AA996" s="942"/>
      <c r="AB996" s="935" t="s">
        <v>423</v>
      </c>
      <c r="AC996" s="936"/>
      <c r="AD996" s="936"/>
      <c r="AE996" s="936"/>
      <c r="AF996" s="937"/>
      <c r="AG996" s="196">
        <f ca="1">IF($B$990="Лікар загальної практики - сімейний лікар",IF(AG994&lt;Законод!$C$22,0,(IF(AND(AG994&gt;=Законод!$E$22,AG994&lt;=Законод!$E$23),AG994-Законод!$C$22,IF('01_Доходи'!AG994&gt;=Законод!$F$22,Законод!$E$24,0)))),IF($B$990="Лікар-педіатр",IF(AG994&lt;Законод!$C$18,0,(IF(AND(AG994&gt;=Законод!$E$18,AG994&lt;=Законод!$E$19),AG994-Законод!$C$18,IF('01_Доходи'!AG994&gt;=Законод!$F$18,Законод!$E$20,0)))),IF($B$990="Лікар-терапевт",IF(AG994&lt;Законод!$C$26,0,(IF(AND(AG994&gt;=Законод!$E$26,AG994&lt;=Законод!$E$27),AG994-Законод!$C$26,IF('01_Доходи'!AG994&gt;=Законод!$F$26,Законод!$E$28,0)))),0)))</f>
        <v>0</v>
      </c>
      <c r="AH996" s="942"/>
      <c r="AI996" s="201"/>
      <c r="AJ996" s="945"/>
      <c r="AK996" s="960"/>
      <c r="AL996" s="960"/>
      <c r="AM996" s="926" t="s">
        <v>452</v>
      </c>
      <c r="AN996" s="210">
        <f ca="1">IF(B990="Лікар загальної практики - сімейний лікар",L996*Законод!$C$9/4*Законод!$E$16,IF(B990="Лікар-педіатр",L996*Законод!$C$9/4*Законод!$E$16,IF(B990="Лікар-терапевт",L996*Законод!$C$9/4*Законод!$E$16,0)))</f>
        <v>0</v>
      </c>
      <c r="AO996" s="210">
        <f ca="1">IF(B990="Лікар загальної практики - сімейний лікар",S996*Законод!$C$9/4*Законод!$E$16,IF(B990="Лікар-педіатр",S996*Законод!$C$9/4*Законод!$E$16,IF(B990="Лікар-терапевт",S996*Законод!$C$9/4*Законод!$E$16,0)))</f>
        <v>0</v>
      </c>
      <c r="AP996" s="210">
        <f ca="1">IF(B990="Лікар загальної практики - сімейний лікар",Z996*Законод!$C$9/4*Законод!$E$16,IF(B990="Лікар-педіатр",Z996*Законод!$C$9/4*Законод!$E$16,IF(B990="Лікар-терапевт",Z996*Законод!$C$9/4*Законод!$E$16,0)))</f>
        <v>0</v>
      </c>
      <c r="AQ996" s="210">
        <f ca="1">IF(B990="Лікар загальної практики - сімейний лікар",AG996*Законод!$C$9/4*Законод!$E$16,IF(B990="Лікар-педіатр",AG996*Законод!$C$9/4*Законод!$E$16,IF(B990="Лікар-терапевт",AG996*Законод!$C$9/4*Законод!$E$16,0)))</f>
        <v>0</v>
      </c>
      <c r="AR996" s="211">
        <f t="shared" si="116"/>
        <v>0</v>
      </c>
    </row>
    <row r="997" spans="1:44" s="50" customFormat="1" ht="31.9" hidden="1" customHeight="1">
      <c r="A997" s="197"/>
      <c r="B997" s="951"/>
      <c r="C997" s="954"/>
      <c r="D997" s="957"/>
      <c r="E997" s="939"/>
      <c r="F997" s="238" t="str">
        <f ca="1">IF(B990="Лікар-педіатр",Законод!$F$17,IF(B990="Лікар загальної практики - сімейний лікар",Законод!$F$21,IF(B990="Лікар-терапевт",Законод!$F$25,"х")))</f>
        <v>х</v>
      </c>
      <c r="G997" s="935" t="s">
        <v>423</v>
      </c>
      <c r="H997" s="936"/>
      <c r="I997" s="936"/>
      <c r="J997" s="936"/>
      <c r="K997" s="937"/>
      <c r="L997" s="196">
        <f ca="1">IF($B$990="Лікар загальної практики - сімейний лікар",IF(L994&lt;Законод!$C$22,0,(IF(AND(L994&gt;=Законод!$F$22,L994&lt;=Законод!$F$23),L994-Законод!$E$23,IF('01_Доходи'!L994&gt;=Законод!$G$22,Законод!$F$24,0)))),IF($B$990="Лікар-педіатр",IF(L994&lt;Законод!$C$18,0,(IF(AND(L994&gt;=Законод!$F$18,L994&lt;=Законод!$F$19),L994-Законод!$E$19,IF('01_Доходи'!L994&gt;=Законод!$G$18,Законод!$F$20,0)))),IF($B$990="Лікар-терапевт",IF(L994&lt;Законод!$C$26,0,(IF(AND(L994&gt;=Законод!$F$26,L994&lt;=Законод!$F$27),L994-Законод!$E$27,IF('01_Доходи'!L994&gt;=Законод!$G$26,Законод!$F$28,0)))),0)))</f>
        <v>0</v>
      </c>
      <c r="M997" s="942"/>
      <c r="N997" s="935" t="s">
        <v>423</v>
      </c>
      <c r="O997" s="936"/>
      <c r="P997" s="936"/>
      <c r="Q997" s="936"/>
      <c r="R997" s="937"/>
      <c r="S997" s="196">
        <f ca="1">IF($B$990="Лікар загальної практики - сімейний лікар",IF(S994&lt;Законод!$C$22,0,(IF(AND(S994&gt;=Законод!$F$22,S994&lt;=Законод!$F$23),S994-Законод!$E$23,IF('01_Доходи'!S994&gt;=Законод!$G$22,Законод!$F$24,0)))),IF($B$990="Лікар-педіатр",IF(S994&lt;Законод!$C$18,0,(IF(AND(S994&gt;=Законод!$F$18,S994&lt;=Законод!$F$19),S994-Законод!$E$19,IF('01_Доходи'!S994&gt;=Законод!$G$18,Законод!$F$20,0)))),IF($B$990="Лікар-терапевт",IF(S994&lt;Законод!$C$26,0,(IF(AND(S994&gt;=Законод!$F$26,S994&lt;=Законод!$F$27),S994-Законод!$E$27,IF('01_Доходи'!S994&gt;=Законод!$G$26,Законод!$F$28,0)))),0)))</f>
        <v>0</v>
      </c>
      <c r="T997" s="942"/>
      <c r="U997" s="935" t="s">
        <v>423</v>
      </c>
      <c r="V997" s="936"/>
      <c r="W997" s="936"/>
      <c r="X997" s="936"/>
      <c r="Y997" s="937"/>
      <c r="Z997" s="196">
        <f ca="1">IF($B$990="Лікар загальної практики - сімейний лікар",IF(Z994&lt;Законод!$C$22,0,(IF(AND(Z994&gt;=Законод!$F$22,Z994&lt;=Законод!$F$23),Z994-Законод!$E$23,IF('01_Доходи'!Z994&gt;=Законод!$G$22,Законод!$F$24,0)))),IF($B$990="Лікар-педіатр",IF(Z994&lt;Законод!$C$18,0,(IF(AND(Z994&gt;=Законод!$F$18,Z994&lt;=Законод!$F$19),Z994-Законод!$E$19,IF('01_Доходи'!Z994&gt;=Законод!$G$18,Законод!$F$20,0)))),IF($B$990="Лікар-терапевт",IF(Z994&lt;Законод!$C$26,0,(IF(AND(Z994&gt;=Законод!$F$26,Z994&lt;=Законод!$F$27),Z994-Законод!$E$27,IF('01_Доходи'!Z994&gt;=Законод!$G$26,Законод!$F$28,0)))),0)))</f>
        <v>0</v>
      </c>
      <c r="AA997" s="942"/>
      <c r="AB997" s="935" t="s">
        <v>423</v>
      </c>
      <c r="AC997" s="936"/>
      <c r="AD997" s="936"/>
      <c r="AE997" s="936"/>
      <c r="AF997" s="937"/>
      <c r="AG997" s="196">
        <f ca="1">IF($B$990="Лікар загальної практики - сімейний лікар",IF(AG994&lt;Законод!$C$22,0,(IF(AND(AG994&gt;=Законод!$F$22,AG994&lt;=Законод!$F$23),AG994-Законод!$E$23,IF('01_Доходи'!AG994&gt;=Законод!$G$22,Законод!$F$24,0)))),IF($B$990="Лікар-педіатр",IF(AG994&lt;Законод!$C$18,0,(IF(AND(AG994&gt;=Законод!$F$18,AG994&lt;=Законод!$F$19),AG994-Законод!$E$19,IF('01_Доходи'!AG994&gt;=Законод!$G$18,Законод!$F$20,0)))),IF($B$990="Лікар-терапевт",IF(AG994&lt;Законод!$C$26,0,(IF(AND(AG994&gt;=Законод!$F$26,AG994&lt;=Законод!$F$27),AG994-Законод!$E$27,IF('01_Доходи'!AG994&gt;=Законод!$G$26,Законод!$F$28,0)))),0)))</f>
        <v>0</v>
      </c>
      <c r="AH997" s="942"/>
      <c r="AI997" s="201"/>
      <c r="AJ997" s="945"/>
      <c r="AK997" s="960"/>
      <c r="AL997" s="960"/>
      <c r="AM997" s="927"/>
      <c r="AN997" s="210">
        <f ca="1">IF(B990="Лікар загальної практики - сімейний лікар",L997*Законод!$C$9/4*Законод!$F$16,IF(B990="Лікар-педіатр",L997*Законод!$C$9/4*Законод!$F$16,IF(B990="Лікар-терапевт",L997*Законод!$C$9/4*Законод!$F$16,0)))</f>
        <v>0</v>
      </c>
      <c r="AO997" s="210">
        <f ca="1">IF(B990="Лікар загальної практики - сімейний лікар",S997*Законод!$C$9/4*Законод!$F$16,IF(B990="Лікар-педіатр",S997*Законод!$C$9/4*Законод!$F$16,IF(B990="Лікар-терапевт",S997*Законод!$C$9/4*Законод!$F$16,0)))</f>
        <v>0</v>
      </c>
      <c r="AP997" s="210">
        <f ca="1">IF(B990="Лікар загальної практики - сімейний лікар",Z997*Законод!$C$9/4*Законод!$F$16,IF(B990="Лікар-педіатр",Z997*Законод!$C$9/4*Законод!$F$16,IF(B990="Лікар-терапевт",Z997*Законод!$C$9/4*Законод!$F$16,0)))</f>
        <v>0</v>
      </c>
      <c r="AQ997" s="210">
        <f ca="1">IF(B990="Лікар загальної практики - сімейний лікар",AG997*Законод!$C$9/4*Законод!$F$16,IF(B990="Лікар-педіатр",AG997*Законод!$C$9/4*Законод!$F$16,IF(B990="Лікар-терапевт",AG997*Законод!$C$9/4*Законод!$F$16,0)))</f>
        <v>0</v>
      </c>
      <c r="AR997" s="211">
        <f t="shared" si="116"/>
        <v>0</v>
      </c>
    </row>
    <row r="998" spans="1:44" s="50" customFormat="1" ht="31.9" hidden="1" customHeight="1">
      <c r="A998" s="197"/>
      <c r="B998" s="951"/>
      <c r="C998" s="954"/>
      <c r="D998" s="957"/>
      <c r="E998" s="939"/>
      <c r="F998" s="238" t="str">
        <f ca="1">IF(B990="Лікар-педіатр",Законод!$G$17,IF(B990="Лікар загальної практики - сімейний лікар",Законод!$G$21,IF(B990="Лікар-терапевт",Законод!$G$25,"х")))</f>
        <v>х</v>
      </c>
      <c r="G998" s="935" t="s">
        <v>423</v>
      </c>
      <c r="H998" s="936"/>
      <c r="I998" s="936"/>
      <c r="J998" s="936"/>
      <c r="K998" s="937"/>
      <c r="L998" s="196">
        <f ca="1">IF($B$990="Лікар загальної практики - сімейний лікар",IF(L994&lt;Законод!$C$22,0,(IF(AND(L994&gt;=Законод!$G$22,L994&lt;=Законод!$G$23),L994-Законод!$F$23,IF('01_Доходи'!L994&gt;=Законод!$H$22,Законод!$G$24,0)))),IF($B$990="Лікар-педіатр",IF(L994&lt;Законод!$C$18,0,(IF(AND(L994&gt;=Законод!$G$18,L994&lt;=Законод!$G$19),L994-Законод!$F$19,IF('01_Доходи'!L994&gt;=Законод!$H$18,Законод!$G$20,0)))),IF($B$990="Лікар-терапевт",IF(L994&lt;Законод!$C$26,0,(IF(AND(L994&gt;=Законод!$G$26,L994&lt;=Законод!$G$27),L994-Законод!$F$27,IF('01_Доходи'!L994&gt;=Законод!$H$26,Законод!$G$28,0)))),0)))</f>
        <v>0</v>
      </c>
      <c r="M998" s="942"/>
      <c r="N998" s="935" t="s">
        <v>423</v>
      </c>
      <c r="O998" s="936"/>
      <c r="P998" s="936"/>
      <c r="Q998" s="936"/>
      <c r="R998" s="937"/>
      <c r="S998" s="196">
        <f ca="1">IF($B$990="Лікар загальної практики - сімейний лікар",IF(S994&lt;Законод!$C$22,0,(IF(AND(S994&gt;=Законод!$G$22,S994&lt;=Законод!$G$23),S994-Законод!$F$23,IF('01_Доходи'!S994&gt;=Законод!$H$22,Законод!$G$24,0)))),IF($B$990="Лікар-педіатр",IF(S994&lt;Законод!$C$18,0,(IF(AND(S994&gt;=Законод!$G$18,S994&lt;=Законод!$G$19),S994-Законод!$F$19,IF('01_Доходи'!S994&gt;=Законод!$H$18,Законод!$G$20,0)))),IF($B$990="Лікар-терапевт",IF(S994&lt;Законод!$C$26,0,(IF(AND(S994&gt;=Законод!$G$26,S994&lt;=Законод!$G$27),S994-Законод!$F$27,IF('01_Доходи'!S994&gt;=Законод!$H$26,Законод!$G$28,0)))),0)))</f>
        <v>0</v>
      </c>
      <c r="T998" s="942"/>
      <c r="U998" s="935" t="s">
        <v>423</v>
      </c>
      <c r="V998" s="936"/>
      <c r="W998" s="936"/>
      <c r="X998" s="936"/>
      <c r="Y998" s="937"/>
      <c r="Z998" s="196">
        <f ca="1">IF($B$990="Лікар загальної практики - сімейний лікар",IF(Z994&lt;Законод!$C$22,0,(IF(AND(Z994&gt;=Законод!$G$22,Z994&lt;=Законод!$G$23),Z994-Законод!$F$23,IF('01_Доходи'!Z994&gt;=Законод!$H$22,Законод!$G$24,0)))),IF($B$990="Лікар-педіатр",IF(Z994&lt;Законод!$C$18,0,(IF(AND(Z994&gt;=Законод!$G$18,Z994&lt;=Законод!$G$19),Z994-Законод!$F$19,IF('01_Доходи'!Z994&gt;=Законод!$H$18,Законод!$G$20,0)))),IF($B$990="Лікар-терапевт",IF(Z994&lt;Законод!$C$26,0,(IF(AND(Z994&gt;=Законод!$G$26,Z994&lt;=Законод!$G$27),Z994-Законод!$F$27,IF('01_Доходи'!Z994&gt;=Законод!$H$26,Законод!$G$28,0)))),0)))</f>
        <v>0</v>
      </c>
      <c r="AA998" s="942"/>
      <c r="AB998" s="935" t="s">
        <v>423</v>
      </c>
      <c r="AC998" s="936"/>
      <c r="AD998" s="936"/>
      <c r="AE998" s="936"/>
      <c r="AF998" s="937"/>
      <c r="AG998" s="196">
        <f ca="1">IF($B$990="Лікар загальної практики - сімейний лікар",IF(AG994&lt;Законод!$C$22,0,(IF(AND(AG994&gt;=Законод!$G$22,AG994&lt;=Законод!$G$23),AG994-Законод!$F$23,IF('01_Доходи'!AG994&gt;=Законод!$H$22,Законод!$G$24,0)))),IF($B$990="Лікар-педіатр",IF(AG994&lt;Законод!$C$18,0,(IF(AND(AG994&gt;=Законод!$G$18,AG994&lt;=Законод!$G$19),AG994-Законод!$F$19,IF('01_Доходи'!AG994&gt;=Законод!$H$18,Законод!$G$20,0)))),IF($B$990="Лікар-терапевт",IF(AG994&lt;Законод!$C$26,0,(IF(AND(AG994&gt;=Законод!$G$26,AG994&lt;=Законод!$G$27),AG994-Законод!$F$27,IF('01_Доходи'!AG994&gt;=Законод!$H$26,Законод!$G$28,0)))),0)))</f>
        <v>0</v>
      </c>
      <c r="AH998" s="942"/>
      <c r="AI998" s="201"/>
      <c r="AJ998" s="945"/>
      <c r="AK998" s="960"/>
      <c r="AL998" s="960"/>
      <c r="AM998" s="927"/>
      <c r="AN998" s="210">
        <f ca="1">IF(B990="Лікар загальної практики - сімейний лікар",L998*Законод!$C$9/4*Законод!$G$16,IF(B990="Лікар-педіатр",L998*Законод!$C$9/4*Законод!$G$16,IF(B990="Лікар-терапевт",L998*Законод!$C$9/4*Законод!$G$16,0)))</f>
        <v>0</v>
      </c>
      <c r="AO998" s="210">
        <f ca="1">IF(B990="Лікар загальної практики - сімейний лікар",S998*Законод!$C$9/4*Законод!$G$16,IF(B990="Лікар-педіатр",S998*Законод!$C$9/4*Законод!$G$16,IF(B990="Лікар-терапевт",S998*Законод!$C$9/4*Законод!$G$16,0)))</f>
        <v>0</v>
      </c>
      <c r="AP998" s="210">
        <f ca="1">IF(B990="Лікар загальної практики - сімейний лікар",Z998*Законод!$C$9/4*Законод!$G$16,IF(B990="Лікар-педіатр",Z998*Законод!$C$9/4*Законод!$G$16,IF(B990="Лікар-терапевт",Z998*Законод!$C$9/4*Законод!$G$16,0)))</f>
        <v>0</v>
      </c>
      <c r="AQ998" s="210">
        <f ca="1">IF(B990="Лікар загальної практики - сімейний лікар",AG998*Законод!$C$9/4*Законод!$G$16,IF(B990="Лікар-педіатр",AG998*Законод!$C$9/4*Законод!$G$16,IF(B990="Лікар-терапевт",AG998*Законод!$C$9/4*Законод!$G$16,0)))</f>
        <v>0</v>
      </c>
      <c r="AR998" s="211">
        <f t="shared" si="116"/>
        <v>0</v>
      </c>
    </row>
    <row r="999" spans="1:44" s="50" customFormat="1" ht="31.9" hidden="1" customHeight="1">
      <c r="A999" s="197"/>
      <c r="B999" s="951"/>
      <c r="C999" s="954"/>
      <c r="D999" s="957"/>
      <c r="E999" s="939"/>
      <c r="F999" s="238" t="str">
        <f ca="1">IF(B990="Лікар-педіатр",Законод!$H$17,IF(B990="Лікар загальної практики - сімейний лікар",Законод!$H$21,IF(B990="Лікар-терапевт",Законод!$H$25,"х")))</f>
        <v>х</v>
      </c>
      <c r="G999" s="935" t="s">
        <v>423</v>
      </c>
      <c r="H999" s="936"/>
      <c r="I999" s="936"/>
      <c r="J999" s="936"/>
      <c r="K999" s="937"/>
      <c r="L999" s="196">
        <f ca="1">IF($B$990="Лікар загальної практики - сімейний лікар",IF(L994&lt;Законод!$C$22,0,(IF(AND(L994&gt;=Законод!$H$22,L994&lt;=Законод!$H$23),L994-Законод!$G$23,IF('01_Доходи'!L994&gt;=Законод!$I$22,Законод!$H$24,0)))),IF($B$990="Лікар-педіатр",IF(L994&lt;Законод!$C$18,0,(IF(AND(L994&gt;=Законод!$H$18,L994&lt;=Законод!$H$19),L994-Законод!$G$19,IF('01_Доходи'!L994&gt;=Законод!$I$18,Законод!$H$20,0)))),IF($B$990="Лікар-терапевт",IF(L994&lt;Законод!$C$26,0,(IF(AND(L994&gt;=Законод!$H$26,L994&lt;=Законод!$H$27),L994-Законод!$G$27,IF(L994&gt;=Законод!$I$26,Законод!$H$28,0)))),0)))</f>
        <v>0</v>
      </c>
      <c r="M999" s="942"/>
      <c r="N999" s="935" t="s">
        <v>423</v>
      </c>
      <c r="O999" s="936"/>
      <c r="P999" s="936"/>
      <c r="Q999" s="936"/>
      <c r="R999" s="937"/>
      <c r="S999" s="196">
        <f ca="1">IF($B$990="Лікар загальної практики - сімейний лікар",IF(S994&lt;Законод!$C$22,0,(IF(AND(S994&gt;=Законод!$H$22,S994&lt;=Законод!$H$23),S994-Законод!$G$23,IF('01_Доходи'!S994&gt;=Законод!$I$22,Законод!$H$24,0)))),IF($B$990="Лікар-педіатр",IF(S994&lt;Законод!$C$18,0,(IF(AND(S994&gt;=Законод!$H$18,S994&lt;=Законод!$H$19),S994-Законод!$G$19,IF('01_Доходи'!S994&gt;=Законод!$I$18,Законод!$H$20,0)))),IF($B$990="Лікар-терапевт",IF(S994&lt;Законод!$C$26,0,(IF(AND(S994&gt;=Законод!$H$26,S994&lt;=Законод!$H$27),S994-Законод!$G$27,IF(S994&gt;=Законод!$I$26,Законод!$H$28,0)))),0)))</f>
        <v>0</v>
      </c>
      <c r="T999" s="942"/>
      <c r="U999" s="935" t="s">
        <v>423</v>
      </c>
      <c r="V999" s="936"/>
      <c r="W999" s="936"/>
      <c r="X999" s="936"/>
      <c r="Y999" s="937"/>
      <c r="Z999" s="196">
        <f ca="1">IF($B$990="Лікар загальної практики - сімейний лікар",IF(Z994&lt;Законод!$C$22,0,(IF(AND(Z994&gt;=Законод!$H$22,Z994&lt;=Законод!$H$23),Z994-Законод!$G$23,IF('01_Доходи'!Z994&gt;=Законод!$I$22,Законод!$H$24,0)))),IF($B$990="Лікар-педіатр",IF(Z994&lt;Законод!$C$18,0,(IF(AND(Z994&gt;=Законод!$H$18,Z994&lt;=Законод!$H$19),Z994-Законод!$G$19,IF('01_Доходи'!Z994&gt;=Законод!$I$18,Законод!$H$20,0)))),IF($B$990="Лікар-терапевт",IF(Z994&lt;Законод!$C$26,0,(IF(AND(Z994&gt;=Законод!$H$26,Z994&lt;=Законод!$H$27),Z994-Законод!$G$27,IF(Z994&gt;=Законод!$I$26,Законод!$H$28,0)))),0)))</f>
        <v>0</v>
      </c>
      <c r="AA999" s="942"/>
      <c r="AB999" s="935" t="s">
        <v>423</v>
      </c>
      <c r="AC999" s="936"/>
      <c r="AD999" s="936"/>
      <c r="AE999" s="936"/>
      <c r="AF999" s="937"/>
      <c r="AG999" s="196">
        <f ca="1">IF($B$990="Лікар загальної практики - сімейний лікар",IF(AG994&lt;Законод!$C$22,0,(IF(AND(AG994&gt;=Законод!$H$22,AG994&lt;=Законод!$H$23),AG994-Законод!$G$23,IF('01_Доходи'!AG994&gt;=Законод!$I$22,Законод!$H$24,0)))),IF($B$990="Лікар-педіатр",IF(AG994&lt;Законод!$C$18,0,(IF(AND(AG994&gt;=Законод!$H$18,AG994&lt;=Законод!$H$19),AG994-Законод!$G$19,IF('01_Доходи'!AG994&gt;=Законод!$I$18,Законод!$H$20,0)))),IF($B$990="Лікар-терапевт",IF(AG994&lt;Законод!$C$26,0,(IF(AND(AG994&gt;=Законод!$H$26,AG994&lt;=Законод!$H$27),AG994-Законод!$G$27,IF(AG994&gt;=Законод!$I$26,Законод!$H$28,0)))),0)))</f>
        <v>0</v>
      </c>
      <c r="AH999" s="942"/>
      <c r="AI999" s="201"/>
      <c r="AJ999" s="945"/>
      <c r="AK999" s="960"/>
      <c r="AL999" s="960"/>
      <c r="AM999" s="927"/>
      <c r="AN999" s="210">
        <f ca="1">IF(B990="Лікар загальної практики - сімейний лікар",L999*Законод!$C$9/4*Законод!$H$16,IF(B990="Лікар-педіатр",L999*Законод!$C$9/4*Законод!$H$16,IF(B990="Лікар-терапевт",L999*Законод!$C$9/4*Законод!$H$16,0)))</f>
        <v>0</v>
      </c>
      <c r="AO999" s="210">
        <f ca="1">IF(B990="Лікар загальної практики - сімейний лікар",S999*Законод!$C$9/4*Законод!$H$16,IF(B990="Лікар-педіатр",S999*Законод!$C$9/4*Законод!$H$16,IF(B990="Лікар-терапевт",S999*Законод!$C$9/4*Законод!$H$16,0)))</f>
        <v>0</v>
      </c>
      <c r="AP999" s="210">
        <f ca="1">IF(B990="Лікар загальної практики - сімейний лікар",Z999*Законод!$C$9/4*Законод!$H$16,IF(B990="Лікар-педіатр",Z999*Законод!$C$9/4*Законод!$H$16,IF(B990="Лікар-терапевт",Z999*Законод!$C$9/4*Законод!$H$16,0)))</f>
        <v>0</v>
      </c>
      <c r="AQ999" s="210">
        <f ca="1">IF(B990="Лікар загальної практики - сімейний лікар",AG999*Законод!$C$9/4*Законод!$H$16,IF(B990="Лікар-педіатр",AG999*Законод!$C$9/4*Законод!$H$16,IF(B990="Лікар-терапевт",AG999*Законод!$C$9/4*Законод!$H$16,0)))</f>
        <v>0</v>
      </c>
      <c r="AR999" s="211">
        <f t="shared" si="116"/>
        <v>0</v>
      </c>
    </row>
    <row r="1000" spans="1:44" s="50" customFormat="1" ht="31.9" hidden="1" customHeight="1">
      <c r="A1000" s="197"/>
      <c r="B1000" s="951"/>
      <c r="C1000" s="954"/>
      <c r="D1000" s="957"/>
      <c r="E1000" s="939"/>
      <c r="F1000" s="238" t="str">
        <f ca="1">IF(B990="Лікар-педіатр",Законод!$I$17,IF(B990="Лікар загальної практики - сімейний лікар",Законод!$I$21,IF(B990="Лікар-терапевт",Законод!$I$25,"х")))</f>
        <v>х</v>
      </c>
      <c r="G1000" s="935" t="s">
        <v>423</v>
      </c>
      <c r="H1000" s="936"/>
      <c r="I1000" s="936"/>
      <c r="J1000" s="936"/>
      <c r="K1000" s="937"/>
      <c r="L1000" s="196">
        <f ca="1">IF($B$990="Лікар загальної практики - сімейний лікар",IF(L994&lt;Законод!$C$22,0,(IF(AND(L994&gt;=Законод!$I$22,L994&lt;=Законод!$I$23),L994-Законод!$H$23,IF('01_Доходи'!L994&gt;=Законод!$I$22,Законод!$I$24,0)))),IF($B$990="Лікар-педіатр",IF(L994&lt;Законод!$C$18,0,(IF(AND(L994&gt;=Законод!$I$18,L994&lt;=Законод!$I$19),L994-Законод!$H$19,IF('01_Доходи'!L994&gt;=Законод!$I$18,Законод!$H$20,0)))),IF($B$990="Лікар-терапевт",IF(L994&lt;Законод!$C$26,0,(IF(AND(L994&gt;=Законод!$I$26,L994&lt;=Законод!$I$27),L994-Законод!$H$27,IF('01_Доходи'!L994&gt;=Законод!$I$26,Законод!$H$28,0)))),0)))</f>
        <v>0</v>
      </c>
      <c r="M1000" s="942"/>
      <c r="N1000" s="935" t="s">
        <v>423</v>
      </c>
      <c r="O1000" s="936"/>
      <c r="P1000" s="936"/>
      <c r="Q1000" s="936"/>
      <c r="R1000" s="937"/>
      <c r="S1000" s="196">
        <f ca="1">IF($B$990="Лікар загальної практики - сімейний лікар",IF(S994&lt;Законод!$C$22,0,(IF(AND(S994&gt;=Законод!$I$22,S994&lt;=Законод!$I$23),S994-Законод!$H$23,IF('01_Доходи'!S994&gt;=Законод!$I$22,Законод!$I$24,0)))),IF($B$990="Лікар-педіатр",IF(S994&lt;Законод!$C$18,0,(IF(AND(S994&gt;=Законод!$I$18,S994&lt;=Законод!$I$19),S994-Законод!$H$19,IF('01_Доходи'!S994&gt;=Законод!$I$18,Законод!$H$20,0)))),IF($B$990="Лікар-терапевт",IF(S994&lt;Законод!$C$26,0,(IF(AND(S994&gt;=Законод!$I$26,S994&lt;=Законод!$I$27),S994-Законод!$H$27,IF('01_Доходи'!S994&gt;=Законод!$I$26,Законод!$H$28,0)))),0)))</f>
        <v>0</v>
      </c>
      <c r="T1000" s="942"/>
      <c r="U1000" s="935" t="s">
        <v>423</v>
      </c>
      <c r="V1000" s="936"/>
      <c r="W1000" s="936"/>
      <c r="X1000" s="936"/>
      <c r="Y1000" s="937"/>
      <c r="Z1000" s="196">
        <f ca="1">IF($B$990="Лікар загальної практики - сімейний лікар",IF(Z994&lt;Законод!$C$22,0,(IF(AND(Z994&gt;=Законод!$I$22,Z994&lt;=Законод!$I$23),Z994-Законод!$H$23,IF('01_Доходи'!Z994&gt;=Законод!$I$22,Законод!$I$24,0)))),IF($B$990="Лікар-педіатр",IF(Z994&lt;Законод!$C$18,0,(IF(AND(Z994&gt;=Законод!$I$18,Z994&lt;=Законод!$I$19),Z994-Законод!$H$19,IF('01_Доходи'!Z994&gt;=Законод!$I$18,Законод!$H$20,0)))),IF($B$990="Лікар-терапевт",IF(Z994&lt;Законод!$C$26,0,(IF(AND(Z994&gt;=Законод!$I$26,Z994&lt;=Законод!$I$27),Z994-Законод!$H$27,IF('01_Доходи'!Z994&gt;=Законод!$I$26,Законод!$H$28,0)))),0)))</f>
        <v>0</v>
      </c>
      <c r="AA1000" s="942"/>
      <c r="AB1000" s="935" t="s">
        <v>423</v>
      </c>
      <c r="AC1000" s="936"/>
      <c r="AD1000" s="936"/>
      <c r="AE1000" s="936"/>
      <c r="AF1000" s="937"/>
      <c r="AG1000" s="196">
        <f ca="1">IF($B$990="Лікар загальної практики - сімейний лікар",IF(AG994&lt;Законод!$C$22,0,(IF(AND(AG994&gt;=Законод!$I$22,AG994&lt;=Законод!$I$23),AG994-Законод!$H$23,IF('01_Доходи'!AG994&gt;=Законод!$I$22,Законод!$I$24,0)))),IF($B$990="Лікар-педіатр",IF(AG994&lt;Законод!$C$18,0,(IF(AND(AG994&gt;=Законод!$I$18,AG994&lt;=Законод!$I$19),AG994-Законод!$H$19,IF('01_Доходи'!AG994&gt;=Законод!$I$18,Законод!$H$20,0)))),IF($B$990="Лікар-терапевт",IF(AG994&lt;Законод!$C$26,0,(IF(AND(AG994&gt;=Законод!$I$26,AG994&lt;=Законод!$I$27),AG994-Законод!$H$27,IF('01_Доходи'!AG994&gt;=Законод!$I$26,Законод!$H$28,0)))),0)))</f>
        <v>0</v>
      </c>
      <c r="AH1000" s="942"/>
      <c r="AI1000" s="201"/>
      <c r="AJ1000" s="945"/>
      <c r="AK1000" s="960"/>
      <c r="AL1000" s="960"/>
      <c r="AM1000" s="927"/>
      <c r="AN1000" s="210">
        <f ca="1">IF(B990="Лікар загальної практики - сімейний лікар",L1000*Законод!$C$9/4*Законод!$I$16,IF(B990="Лікар-педіатр",L1000*Законод!$C$9/4*Законод!$I$16,IF(B990="Лікар-терапевт",L1000*Законод!$C$9/4*Законод!$I$16,0)))</f>
        <v>0</v>
      </c>
      <c r="AO1000" s="210">
        <f ca="1">IF(B990="Лікар загальної практики - сімейний лікар",S1000*Законод!$C$9/4*Законод!$I$16,IF(B990="Лікар-педіатр",S1000*Законод!$C$9/4*Законод!$I$16,IF(B990="Лікар-терапевт",S1000*Законод!$C$9/4*Законод!$I$16,0)))</f>
        <v>0</v>
      </c>
      <c r="AP1000" s="210">
        <f ca="1">IF(B990="Лікар загальної практики - сімейний лікар",Z1000*Законод!$C$9/4*Законод!$I$16,IF(B990="Лікар-педіатр",Z1000*Законод!$C$9/4*Законод!$I$16,IF(B990="Лікар-терапевт",Z1000*Законод!$C$9/4*Законод!$I$16,0)))</f>
        <v>0</v>
      </c>
      <c r="AQ1000" s="210">
        <f ca="1">IF(B990="Лікар загальної практики - сімейний лікар",AG1000*Законод!$C$9/4*Законод!$I$16,IF(B990="Лікар-педіатр",AG1000*Законод!$C$9/4*Законод!$I$16,IF(B990="Лікар-терапевт",AG1000*Законод!$C$9/4*Законод!$I$16,0)))</f>
        <v>0</v>
      </c>
      <c r="AR1000" s="211">
        <f t="shared" si="116"/>
        <v>0</v>
      </c>
    </row>
    <row r="1001" spans="1:44" s="218" customFormat="1" ht="31.9" hidden="1" customHeight="1" thickBot="1">
      <c r="A1001" s="213"/>
      <c r="B1001" s="952"/>
      <c r="C1001" s="955"/>
      <c r="D1001" s="958"/>
      <c r="E1001" s="940"/>
      <c r="F1001" s="239" t="str">
        <f ca="1">IF(B990="Лікар-педіатр",Законод!$J$17,IF(B990="Лікар загальної практики - сімейний лікар",Законод!$J$21,IF(B990="Лікар-терапевт",Законод!$J$25,"х")))</f>
        <v>х</v>
      </c>
      <c r="G1001" s="932" t="s">
        <v>423</v>
      </c>
      <c r="H1001" s="933"/>
      <c r="I1001" s="933"/>
      <c r="J1001" s="933"/>
      <c r="K1001" s="934"/>
      <c r="L1001" s="196">
        <f ca="1">IF($B$990="Лікар загальної практики - сімейний лікар",IF(L994&gt;=Законод!$J$22,'01_Доходи'!L994-('01_Доходи'!L995+'01_Доходи'!L996+'01_Доходи'!L997+'01_Доходи'!L998+'01_Доходи'!L999+'01_Доходи'!L1000),0),IF($B$990="Лікар-педіатр",IF(L994&gt;=Законод!$J$18,'01_Доходи'!L994-('01_Доходи'!L995+'01_Доходи'!L996+'01_Доходи'!L997+'01_Доходи'!L998+'01_Доходи'!L999+'01_Доходи'!L1000),0),IF($B$990="Лікар-терапевт",IF('01_Доходи'!L994&gt;=Законод!$J$26,L994-Законод!$I$27,0),0)))</f>
        <v>0</v>
      </c>
      <c r="M1001" s="943"/>
      <c r="N1001" s="932" t="s">
        <v>423</v>
      </c>
      <c r="O1001" s="933"/>
      <c r="P1001" s="933"/>
      <c r="Q1001" s="933"/>
      <c r="R1001" s="934"/>
      <c r="S1001" s="196">
        <f ca="1">IF($B$990="Лікар загальної практики - сімейний лікар",IF(S994&gt;=Законод!$J$22,'01_Доходи'!S994-('01_Доходи'!S995+'01_Доходи'!S996+'01_Доходи'!S997+'01_Доходи'!S998+'01_Доходи'!S999+'01_Доходи'!S1000),0),IF($B$990="Лікар-педіатр",IF(S994&gt;=Законод!$J$18,'01_Доходи'!S994-('01_Доходи'!S995+'01_Доходи'!S996+'01_Доходи'!S997+'01_Доходи'!S998+'01_Доходи'!S999+'01_Доходи'!S1000),0),IF($B$990="Лікар-терапевт",IF('01_Доходи'!S994&gt;=Законод!$J$26,S994-Законод!$I$27,0),0)))</f>
        <v>0</v>
      </c>
      <c r="T1001" s="943"/>
      <c r="U1001" s="932" t="s">
        <v>423</v>
      </c>
      <c r="V1001" s="933"/>
      <c r="W1001" s="933"/>
      <c r="X1001" s="933"/>
      <c r="Y1001" s="934"/>
      <c r="Z1001" s="196">
        <f ca="1">IF($B$990="Лікар загальної практики - сімейний лікар",IF(Z994&gt;=Законод!$J$22,'01_Доходи'!Z994-('01_Доходи'!Z995+'01_Доходи'!Z996+'01_Доходи'!Z997+'01_Доходи'!Z998+'01_Доходи'!Z999+'01_Доходи'!Z1000),0),IF($B$990="Лікар-педіатр",IF(Z994&gt;=Законод!$J$18,'01_Доходи'!Z994-('01_Доходи'!Z995+'01_Доходи'!Z996+'01_Доходи'!Z997+'01_Доходи'!Z998+'01_Доходи'!Z999+'01_Доходи'!Z1000),0),IF($B$990="Лікар-терапевт",IF('01_Доходи'!Z994&gt;=Законод!$J$26,Z994-Законод!$I$27,0),0)))</f>
        <v>0</v>
      </c>
      <c r="AA1001" s="943"/>
      <c r="AB1001" s="932" t="s">
        <v>423</v>
      </c>
      <c r="AC1001" s="933"/>
      <c r="AD1001" s="933"/>
      <c r="AE1001" s="933"/>
      <c r="AF1001" s="934"/>
      <c r="AG1001" s="196">
        <f ca="1">IF($B$990="Лікар загальної практики - сімейний лікар",IF(AG994&gt;=Законод!$J$22,'01_Доходи'!AG994-('01_Доходи'!AG995+'01_Доходи'!AG996+'01_Доходи'!AG997+'01_Доходи'!AG998+'01_Доходи'!AG999+'01_Доходи'!AG1000),0),IF($B$990="Лікар-педіатр",IF(AG994&gt;=Законод!$J$18,'01_Доходи'!AG994-('01_Доходи'!AG995+'01_Доходи'!AG996+'01_Доходи'!AG997+'01_Доходи'!AG998+'01_Доходи'!AG999+'01_Доходи'!AG1000),0),IF($B$990="Лікар-терапевт",IF('01_Доходи'!AG994&gt;=Законод!$J$26,AG994-Законод!$I$27,0),0)))</f>
        <v>0</v>
      </c>
      <c r="AH1001" s="943"/>
      <c r="AI1001" s="215"/>
      <c r="AJ1001" s="946"/>
      <c r="AK1001" s="961"/>
      <c r="AL1001" s="961"/>
      <c r="AM1001" s="928"/>
      <c r="AN1001" s="216">
        <f ca="1">IF(B990="Лікар загальної практики - сімейний лікар",L1001*Законод!$C$9/4*Законод!$J$16,IF(B990="Лікар-педіатр",L1001*Законод!$C$9/4*Законод!$J$16,IF(B990="Лікар-терапевт",L1001*Законод!$C$9/4*Законод!$J$16,0)))</f>
        <v>0</v>
      </c>
      <c r="AO1001" s="216">
        <f ca="1">IF(B990="Лікар загальної практики - сімейний лікар",S1001*Законод!$C$9/4*Законод!$J$16,IF(B990="Лікар-педіатр",S1001*Законод!$C$9/4*Законод!$J$16,IF(B990="Лікар-терапевт",S1001*Законод!$C$9/4*Законод!$J$16,0)))</f>
        <v>0</v>
      </c>
      <c r="AP1001" s="216">
        <f ca="1">IF(B990="Лікар загальної практики - сімейний лікар",S1001*Законод!$C$9/4*Законод!$J$16,IF(B990="Лікар-педіатр",S1001*Законод!$C$9/4*Законод!$J$16,IF(B990="Лікар-терапевт",S1001*Законод!$C$9/4*Законод!$J$16,0)))</f>
        <v>0</v>
      </c>
      <c r="AQ1001" s="216">
        <f ca="1">IF(B990="Лікар загальної практики - сімейний лікар",AG1001*Законод!$C$9/4*Законод!$J$16,IF(B990="Лікар-педіатр",AG1001*Законод!$C$9/4*Законод!$J$16,IF(B990="Лікар-терапевт",AG1001*Законод!$C$9/4*Законод!$J$16,0)))</f>
        <v>0</v>
      </c>
      <c r="AR1001" s="217">
        <f t="shared" si="116"/>
        <v>0</v>
      </c>
    </row>
    <row r="1002" spans="1:44" s="247" customFormat="1" ht="23.45" hidden="1" customHeight="1" thickBot="1">
      <c r="A1002" s="243"/>
      <c r="B1002" s="244"/>
      <c r="C1002" s="244"/>
      <c r="D1002" s="244"/>
      <c r="E1002" s="244"/>
      <c r="F1002" s="245"/>
      <c r="G1002" s="246"/>
      <c r="H1002" s="246"/>
      <c r="L1002" s="248"/>
      <c r="S1002" s="248"/>
      <c r="Z1002" s="248"/>
      <c r="AG1002" s="248"/>
      <c r="AM1002" s="249"/>
      <c r="AR1002" s="250"/>
    </row>
    <row r="1003" spans="1:44" s="191" customFormat="1" ht="24.6" hidden="1" customHeight="1">
      <c r="A1003" s="194">
        <f>A990+1</f>
        <v>75</v>
      </c>
      <c r="B1003" s="950"/>
      <c r="C1003" s="953"/>
      <c r="D1003" s="956"/>
      <c r="E1003" s="938"/>
      <c r="F1003" s="234" t="s">
        <v>659</v>
      </c>
      <c r="G1003" s="196">
        <f>IF($B$1003="Лікар-педіатр",G1006*L1003,IF($B$1003="Лікар-терапевт","х",IF($B$1003="Лікар загальної практики - сімейний лікар",G1006*L1003,0)))</f>
        <v>0</v>
      </c>
      <c r="H1003" s="196">
        <f>IF($B$1003="Лікар-педіатр",H1006*L1003,IF($B$1003="Лікар-терапевт","х",IF($B$1003="Лікар загальної практики - сімейний лікар",H1006*L1003,0)))</f>
        <v>0</v>
      </c>
      <c r="I1003" s="196">
        <f>IF($B$1003="Лікар-педіатр","x",IF($B$1003="Лікар-терапевт",I1006*L1003,IF($B$1003="Лікар загальної практики - сімейний лікар",I1006*L1003,0)))</f>
        <v>0</v>
      </c>
      <c r="J1003" s="196">
        <f>IF($B$1003="Лікар-педіатр","x",IF($B$1003="Лікар-терапевт",J1006*L1003,IF($B$1003="Лікар загальної практики - сімейний лікар",J1006*L1003,0)))</f>
        <v>0</v>
      </c>
      <c r="K1003" s="196">
        <f>IF($B$1003="Лікар-педіатр","x",IF($B$1003="Лікар-терапевт",K1006*L1003,IF($B$1003="Лікар загальної практики - сімейний лікар",K1006*L1003,0)))</f>
        <v>0</v>
      </c>
      <c r="L1003" s="557"/>
      <c r="M1003" s="941"/>
      <c r="N1003" s="196">
        <f>IF($B$1003="Лікар-педіатр",N1006*S1003,IF($B$1003="Лікар-терапевт","х",IF($B$1003="Лікар загальної практики - сімейний лікар",N1006*S1003,0)))</f>
        <v>0</v>
      </c>
      <c r="O1003" s="196">
        <f>IF($B$1003="Лікар-педіатр",O1006*S1003,IF($B$1003="Лікар-терапевт","х",IF($B$1003="Лікар загальної практики - сімейний лікар",O1006*S1003,0)))</f>
        <v>0</v>
      </c>
      <c r="P1003" s="196">
        <f>IF($B$1003="Лікар-педіатр","x",IF($B$1003="Лікар-терапевт",P1006*S1003,IF($B$1003="Лікар загальної практики - сімейний лікар",P1006*S1003,0)))</f>
        <v>0</v>
      </c>
      <c r="Q1003" s="196">
        <f>IF($B$1003="Лікар-педіатр","x",IF($B$1003="Лікар-терапевт",Q1006*S1003,IF($B$1003="Лікар загальної практики - сімейний лікар",Q1006*S1003,0)))</f>
        <v>0</v>
      </c>
      <c r="R1003" s="196">
        <f>IF($B$1003="Лікар-педіатр","x",IF($B$1003="Лікар-терапевт",R1006*S1003,IF($B$1003="Лікар загальної практики - сімейний лікар",R1006*S1003,0)))</f>
        <v>0</v>
      </c>
      <c r="S1003" s="557"/>
      <c r="T1003" s="941"/>
      <c r="U1003" s="196">
        <f>IF($B$1003="Лікар-педіатр",U1006*Z1003,IF($B$1003="Лікар-терапевт","х",IF($B$1003="Лікар загальної практики - сімейний лікар",U1006*Z1003,0)))</f>
        <v>0</v>
      </c>
      <c r="V1003" s="196">
        <f>IF($B$1003="Лікар-педіатр",V1006*Z1003,IF($B$1003="Лікар-терапевт","х",IF($B$1003="Лікар загальної практики - сімейний лікар",V1006*Z1003,0)))</f>
        <v>0</v>
      </c>
      <c r="W1003" s="196">
        <f>IF($B$1003="Лікар-педіатр","x",IF($B$1003="Лікар-терапевт",W1006*Z1003,IF($B$1003="Лікар загальної практики - сімейний лікар",W1006*Z1003,0)))</f>
        <v>0</v>
      </c>
      <c r="X1003" s="196">
        <f>IF($B$1003="Лікар-педіатр","x",IF($B$1003="Лікар-терапевт",X1006*Z1003,IF($B$1003="Лікар загальної практики - сімейний лікар",X1006*Z1003,0)))</f>
        <v>0</v>
      </c>
      <c r="Y1003" s="196">
        <f>IF($B$1003="Лікар-педіатр","x",IF($B$1003="Лікар-терапевт",Y1006*Z1003,IF($B$1003="Лікар загальної практики - сімейний лікар",Y1006*Z1003,0)))</f>
        <v>0</v>
      </c>
      <c r="Z1003" s="557"/>
      <c r="AA1003" s="941"/>
      <c r="AB1003" s="196">
        <f>IF($B$1003="Лікар-педіатр",AB1006*AG1003,IF($B$1003="Лікар-терапевт","х",IF($B$1003="Лікар загальної практики - сімейний лікар",AB1006*AG1003,0)))</f>
        <v>0</v>
      </c>
      <c r="AC1003" s="196">
        <f>IF($B$1003="Лікар-педіатр",AC1006*AG1003,IF($B$1003="Лікар-терапевт","х",IF($B$1003="Лікар загальної практики - сімейний лікар",AC1006*AG1003,0)))</f>
        <v>0</v>
      </c>
      <c r="AD1003" s="196">
        <f>IF($B$1003="Лікар-педіатр","x",IF($B$1003="Лікар-терапевт",AD1006*AG1003,IF($B$1003="Лікар загальної практики - сімейний лікар",AD1006*AG1003,0)))</f>
        <v>0</v>
      </c>
      <c r="AE1003" s="196">
        <f>IF($B$1003="Лікар-педіатр","x",IF($B$1003="Лікар-терапевт",AE1006*AG1003,IF($B$1003="Лікар загальної практики - сімейний лікар",AE1006*AG1003,0)))</f>
        <v>0</v>
      </c>
      <c r="AF1003" s="196">
        <f>IF($B$1003="Лікар-педіатр","x",IF($B$1003="Лікар-терапевт",AF1006*AG1003,IF($B$1003="Лікар загальної практики - сімейний лікар",AF1006*AG1003,0)))</f>
        <v>0</v>
      </c>
      <c r="AG1003" s="557"/>
      <c r="AH1003" s="941"/>
      <c r="AI1003" s="540">
        <f>A1003</f>
        <v>75</v>
      </c>
      <c r="AJ1003" s="944">
        <f>B1003</f>
        <v>0</v>
      </c>
      <c r="AK1003" s="959">
        <f>C1003</f>
        <v>0</v>
      </c>
      <c r="AL1003" s="959">
        <f>D1003</f>
        <v>0</v>
      </c>
      <c r="AM1003" s="929" t="s">
        <v>79</v>
      </c>
      <c r="AN1003" s="947">
        <f>SUM(AN1008:AN1014)</f>
        <v>0</v>
      </c>
      <c r="AO1003" s="947">
        <f>SUM(AO1008:AO1014)</f>
        <v>0</v>
      </c>
      <c r="AP1003" s="947">
        <f>SUM(AP1008:AP1014)</f>
        <v>0</v>
      </c>
      <c r="AQ1003" s="947">
        <f>SUM(AQ1008:AQ1014)</f>
        <v>0</v>
      </c>
      <c r="AR1003" s="962">
        <f>SUM(AN1003:AQ1007)</f>
        <v>0</v>
      </c>
    </row>
    <row r="1004" spans="1:44" s="50" customFormat="1" ht="28.15" hidden="1" customHeight="1">
      <c r="A1004" s="197"/>
      <c r="B1004" s="951"/>
      <c r="C1004" s="954"/>
      <c r="D1004" s="957"/>
      <c r="E1004" s="939"/>
      <c r="F1004" s="234" t="s">
        <v>660</v>
      </c>
      <c r="G1004" s="196">
        <f>IF($B$1003="Лікар-педіатр",G1006*L1004,IF($B$1003="Лікар-терапевт","х",IF($B$1003="Лікар загальної практики - сімейний лікар",G1006*L1004,0)))</f>
        <v>0</v>
      </c>
      <c r="H1004" s="196">
        <f>IF($B$1003="Лікар-педіатр",H1006*L1004,IF($B$1003="Лікар-терапевт","х",IF($B$1003="Лікар загальної практики - сімейний лікар",H1006*L1004,0)))</f>
        <v>0</v>
      </c>
      <c r="I1004" s="196">
        <f>IF($B$1003="Лікар-педіатр","x",IF($B$1003="Лікар-терапевт",I1006*L1004,IF($B$1003="Лікар загальної практики - сімейний лікар",I1006*L1004,0)))</f>
        <v>0</v>
      </c>
      <c r="J1004" s="196">
        <f>IF($B$1003="Лікар-педіатр","x",IF($B$1003="Лікар-терапевт",J1006*L1004,IF($B$1003="Лікар загальної практики - сімейний лікар",J1006*L1004,0)))</f>
        <v>0</v>
      </c>
      <c r="K1004" s="196">
        <f>IF($B$1003="Лікар-педіатр","x",IF($B$1003="Лікар-терапевт",K1006*L1004,IF($B$1003="Лікар загальної практики - сімейний лікар",K1006*L1004,0)))</f>
        <v>0</v>
      </c>
      <c r="L1004" s="557"/>
      <c r="M1004" s="942"/>
      <c r="N1004" s="196">
        <f>IF($B$1003="Лікар-педіатр",N1006*S1004,IF($B$1003="Лікар-терапевт","х",IF($B$1003="Лікар загальної практики - сімейний лікар",N1006*S1004,0)))</f>
        <v>0</v>
      </c>
      <c r="O1004" s="196">
        <f>IF($B$1003="Лікар-педіатр",O1006*S1004,IF($B$1003="Лікар-терапевт","х",IF($B$1003="Лікар загальної практики - сімейний лікар",O1006*S1004,0)))</f>
        <v>0</v>
      </c>
      <c r="P1004" s="196">
        <f>IF($B$1003="Лікар-педіатр","x",IF($B$1003="Лікар-терапевт",P1006*S1004,IF($B$1003="Лікар загальної практики - сімейний лікар",P1006*S1004,0)))</f>
        <v>0</v>
      </c>
      <c r="Q1004" s="196">
        <f>IF($B$1003="Лікар-педіатр","x",IF($B$1003="Лікар-терапевт",Q1006*S1004,IF($B$1003="Лікар загальної практики - сімейний лікар",Q1006*S1004,0)))</f>
        <v>0</v>
      </c>
      <c r="R1004" s="196">
        <f>IF($B$1003="Лікар-педіатр","x",IF($B$1003="Лікар-терапевт",R1006*S1004,IF($B$1003="Лікар загальної практики - сімейний лікар",R1006*S1004,0)))</f>
        <v>0</v>
      </c>
      <c r="S1004" s="557"/>
      <c r="T1004" s="942"/>
      <c r="U1004" s="196">
        <f>IF($B$1003="Лікар-педіатр",U1006*Z1004,IF($B$1003="Лікар-терапевт","х",IF($B$1003="Лікар загальної практики - сімейний лікар",U1006*Z1004,0)))</f>
        <v>0</v>
      </c>
      <c r="V1004" s="196">
        <f>IF($B$1003="Лікар-педіатр",V1006*Z1004,IF($B$1003="Лікар-терапевт","х",IF($B$1003="Лікар загальної практики - сімейний лікар",V1006*Z1004,0)))</f>
        <v>0</v>
      </c>
      <c r="W1004" s="196">
        <f>IF($B$1003="Лікар-педіатр","x",IF($B$1003="Лікар-терапевт",W1006*Z1004,IF($B$1003="Лікар загальної практики - сімейний лікар",W1006*Z1004,0)))</f>
        <v>0</v>
      </c>
      <c r="X1004" s="196">
        <f>IF($B$1003="Лікар-педіатр","x",IF($B$1003="Лікар-терапевт",X1006*Z1004,IF($B$1003="Лікар загальної практики - сімейний лікар",X1006*Z1004,0)))</f>
        <v>0</v>
      </c>
      <c r="Y1004" s="196">
        <f>IF($B$1003="Лікар-педіатр","x",IF($B$1003="Лікар-терапевт",Y1006*Z1004,IF($B$1003="Лікар загальної практики - сімейний лікар",Y1006*Z1004,0)))</f>
        <v>0</v>
      </c>
      <c r="Z1004" s="557"/>
      <c r="AA1004" s="942"/>
      <c r="AB1004" s="196">
        <f>IF($B$1003="Лікар-педіатр",AB1006*AG1004,IF($B$1003="Лікар-терапевт","х",IF($B$1003="Лікар загальної практики - сімейний лікар",AB1006*AG1004,0)))</f>
        <v>0</v>
      </c>
      <c r="AC1004" s="196">
        <f>IF($B$1003="Лікар-педіатр",AC1006*AG1004,IF($B$1003="Лікар-терапевт","х",IF($B$1003="Лікар загальної практики - сімейний лікар",AC1006*AG1004,0)))</f>
        <v>0</v>
      </c>
      <c r="AD1004" s="196">
        <f>IF($B$1003="Лікар-педіатр","x",IF($B$1003="Лікар-терапевт",AD1006*AG1004,IF($B$1003="Лікар загальної практики - сімейний лікар",AD1006*AG1004,0)))</f>
        <v>0</v>
      </c>
      <c r="AE1004" s="196">
        <f>IF($B$1003="Лікар-педіатр","x",IF($B$1003="Лікар-терапевт",AE1006*AG1004,IF($B$1003="Лікар загальної практики - сімейний лікар",AE1006*AG1004,0)))</f>
        <v>0</v>
      </c>
      <c r="AF1004" s="196">
        <f>IF($B$1003="Лікар-педіатр","x",IF($B$1003="Лікар-терапевт",AF1006*AG1004,IF($B$1003="Лікар загальної практики - сімейний лікар",AF1006*AG1004,0)))</f>
        <v>0</v>
      </c>
      <c r="AG1004" s="557"/>
      <c r="AH1004" s="942"/>
      <c r="AI1004" s="198"/>
      <c r="AJ1004" s="945"/>
      <c r="AK1004" s="960"/>
      <c r="AL1004" s="960"/>
      <c r="AM1004" s="930"/>
      <c r="AN1004" s="948"/>
      <c r="AO1004" s="948"/>
      <c r="AP1004" s="948"/>
      <c r="AQ1004" s="948"/>
      <c r="AR1004" s="963"/>
    </row>
    <row r="1005" spans="1:44" s="90" customFormat="1" ht="31.15" hidden="1" customHeight="1">
      <c r="A1005" s="240"/>
      <c r="B1005" s="951"/>
      <c r="C1005" s="954"/>
      <c r="D1005" s="957"/>
      <c r="E1005" s="939"/>
      <c r="F1005" s="241" t="s">
        <v>661</v>
      </c>
      <c r="G1005" s="199">
        <f>IF(B1003="Лікар загальної практики - сімейний лікар"," ",IF(B1003="Лікар-педіатр"," ",IF(B1003="Лікар-терапевт","х",0)))</f>
        <v>0</v>
      </c>
      <c r="H1005" s="199">
        <f>IF(B1003="Лікар загальної практики - сімейний лікар"," ",IF(B1003="Лікар-педіатр"," ",IF(B1003="Лікар-терапевт","х",0)))</f>
        <v>0</v>
      </c>
      <c r="I1005" s="199">
        <f>IF(B1003="Лікар загальної практики - сімейний лікар"," ",IF(B1003="Лікар-педіатр","х",IF(B1003="Лікар-терапевт"," ",0)))</f>
        <v>0</v>
      </c>
      <c r="J1005" s="199">
        <f>IF(B1003="Лікар загальної практики - сімейний лікар"," ",IF(B1003="Лікар-педіатр","х",IF(B1003="Лікар-терапевт"," ",0)))</f>
        <v>0</v>
      </c>
      <c r="K1005" s="199">
        <f>IF(B1003="Лікар загальної практики - сімейний лікар"," ",IF(B1003="Лікар-педіатр","х",IF(B1003="Лікар-терапевт"," ",0)))</f>
        <v>0</v>
      </c>
      <c r="L1005" s="200">
        <f>SUM(G1005:K1005)</f>
        <v>0</v>
      </c>
      <c r="M1005" s="942"/>
      <c r="N1005" s="199">
        <f>IF(B1003="Лікар загальної практики - сімейний лікар"," ",IF(B1003="Лікар-педіатр"," ",IF(B1003="Лікар-терапевт","х",0)))</f>
        <v>0</v>
      </c>
      <c r="O1005" s="199">
        <f>IF(B1003="Лікар загальної практики - сімейний лікар"," ",IF(B1003="Лікар-педіатр"," ",IF(B1003="Лікар-терапевт","х",0)))</f>
        <v>0</v>
      </c>
      <c r="P1005" s="199">
        <f>IF(B1003="Лікар загальної практики - сімейний лікар"," ",IF(B1003="Лікар-педіатр","х",IF(B1003="Лікар-терапевт"," ",0)))</f>
        <v>0</v>
      </c>
      <c r="Q1005" s="199">
        <f>IF(B1003="Лікар загальної практики - сімейний лікар"," ",IF(B1003="Лікар-педіатр","х",IF(B1003="Лікар-терапевт"," ",0)))</f>
        <v>0</v>
      </c>
      <c r="R1005" s="199">
        <f>IF(B1003="Лікар загальної практики - сімейний лікар"," ",IF(B1003="Лікар-педіатр","х",IF(B1003="Лікар-терапевт"," ",0)))</f>
        <v>0</v>
      </c>
      <c r="S1005" s="200">
        <f>SUM(N1005:R1005)</f>
        <v>0</v>
      </c>
      <c r="T1005" s="942"/>
      <c r="U1005" s="199">
        <f>IF(B1003="Лікар загальної практики - сімейний лікар"," ",IF(B1003="Лікар-педіатр"," ",IF(B1003="Лікар-терапевт","х",0)))</f>
        <v>0</v>
      </c>
      <c r="V1005" s="199">
        <f>IF(B1003="Лікар загальної практики - сімейний лікар"," ",IF(B1003="Лікар-педіатр"," ",IF(B1003="Лікар-терапевт","х",0)))</f>
        <v>0</v>
      </c>
      <c r="W1005" s="199">
        <f>IF(B1003="Лікар загальної практики - сімейний лікар"," ",IF(B1003="Лікар-педіатр","х",IF(B1003="Лікар-терапевт"," ",0)))</f>
        <v>0</v>
      </c>
      <c r="X1005" s="199">
        <f>IF(B1003="Лікар загальної практики - сімейний лікар"," ",IF(B1003="Лікар-педіатр","х",IF(B1003="Лікар-терапевт"," ",0)))</f>
        <v>0</v>
      </c>
      <c r="Y1005" s="199">
        <f>IF(B1003="Лікар загальної практики - сімейний лікар"," ",IF(B1003="Лікар-педіатр","х",IF(B1003="Лікар-терапевт"," ",0)))</f>
        <v>0</v>
      </c>
      <c r="Z1005" s="200">
        <f>SUM(U1005:Y1005)</f>
        <v>0</v>
      </c>
      <c r="AA1005" s="942"/>
      <c r="AB1005" s="199">
        <f>IF(B1003="Лікар загальної практики - сімейний лікар"," ",IF(B1003="Лікар-педіатр"," ",IF(B1003="Лікар-терапевт","х",0)))</f>
        <v>0</v>
      </c>
      <c r="AC1005" s="199">
        <f>IF(B1003="Лікар загальної практики - сімейний лікар"," ",IF(B1003="Лікар-педіатр"," ",IF(B1003="Лікар-терапевт","х",0)))</f>
        <v>0</v>
      </c>
      <c r="AD1005" s="199">
        <f>IF(B1003="Лікар загальної практики - сімейний лікар"," ",IF(B1003="Лікар-педіатр","х",IF(B1003="Лікар-терапевт"," ",0)))</f>
        <v>0</v>
      </c>
      <c r="AE1005" s="199">
        <f>IF(B1003="Лікар загальної практики - сімейний лікар"," ",IF(B1003="Лікар-педіатр","х",IF(B1003="Лікар-терапевт"," ",0)))</f>
        <v>0</v>
      </c>
      <c r="AF1005" s="199">
        <f>IF(B1003="Лікар загальної практики - сімейний лікар"," ",IF(B1003="Лікар-педіатр","х",IF(B1003="Лікар-терапевт"," ",0)))</f>
        <v>0</v>
      </c>
      <c r="AG1005" s="200">
        <f>SUM(AB1005:AF1005)</f>
        <v>0</v>
      </c>
      <c r="AH1005" s="942"/>
      <c r="AI1005" s="242"/>
      <c r="AJ1005" s="945"/>
      <c r="AK1005" s="960"/>
      <c r="AL1005" s="960"/>
      <c r="AM1005" s="930"/>
      <c r="AN1005" s="948"/>
      <c r="AO1005" s="948"/>
      <c r="AP1005" s="948"/>
      <c r="AQ1005" s="948"/>
      <c r="AR1005" s="963"/>
    </row>
    <row r="1006" spans="1:44" s="50" customFormat="1" ht="31.9" hidden="1" customHeight="1" thickBot="1">
      <c r="A1006" s="197"/>
      <c r="B1006" s="951"/>
      <c r="C1006" s="954"/>
      <c r="D1006" s="957"/>
      <c r="E1006" s="939"/>
      <c r="F1006" s="236" t="s">
        <v>426</v>
      </c>
      <c r="G1006" s="203">
        <f>IF($B$1003="Лікар-педіатр",G1005/L1005,IF($B$1003="Лікар-терапевт","х",IF($B$1003="Лікар загальної практики - сімейний лікар",G1005/L1005,0)))</f>
        <v>0</v>
      </c>
      <c r="H1006" s="203">
        <f>IF($B$1003="Лікар-педіатр",H1005/L1005,IF($B$1003="Лікар-терапевт","х",IF($B$1003="Лікар загальної практики - сімейний лікар",H1005/L1005,0)))</f>
        <v>0</v>
      </c>
      <c r="I1006" s="203">
        <f>IF($B$1003="Лікар-педіатр","x",IF($B$1003="Лікар-терапевт",I1005/L1005,IF($B$1003="Лікар загальної практики - сімейний лікар",I1005/L1005,0)))</f>
        <v>0</v>
      </c>
      <c r="J1006" s="203">
        <f>IF($B$1003="Лікар-педіатр","x",IF($B$1003="Лікар-терапевт",J1005/L1005,IF($B$1003="Лікар загальної практики - сімейний лікар",J1005/L1005,0)))</f>
        <v>0</v>
      </c>
      <c r="K1006" s="203">
        <f>IF($B$1003="Лікар-педіатр","x",IF($B$1003="Лікар-терапевт",K1005/L1005,IF($B$1003="Лікар загальної практики - сімейний лікар",K1005/L1005,0)))</f>
        <v>0</v>
      </c>
      <c r="L1006" s="203">
        <f>SUM(G1006:K1006)</f>
        <v>0</v>
      </c>
      <c r="M1006" s="942"/>
      <c r="N1006" s="203">
        <f>IF($B$1003="Лікар-педіатр",N1005/S1005,IF($B$1003="Лікар-терапевт","х",IF($B$1003="Лікар загальної практики - сімейний лікар",N1005/S1005,0)))</f>
        <v>0</v>
      </c>
      <c r="O1006" s="203">
        <f>IF($B$1003="Лікар-педіатр",O1005/S1005,IF($B$1003="Лікар-терапевт","х",IF($B$1003="Лікар загальної практики - сімейний лікар",O1005/S1005,0)))</f>
        <v>0</v>
      </c>
      <c r="P1006" s="203">
        <f>IF($B$1003="Лікар-педіатр","x",IF($B$1003="Лікар-терапевт",P1005/S1005,IF($B$1003="Лікар загальної практики - сімейний лікар",P1005/S1005,0)))</f>
        <v>0</v>
      </c>
      <c r="Q1006" s="203">
        <f>IF($B$1003="Лікар-педіатр","x",IF($B$1003="Лікар-терапевт",Q1005/S1005,IF($B$1003="Лікар загальної практики - сімейний лікар",Q1005/S1005,0)))</f>
        <v>0</v>
      </c>
      <c r="R1006" s="203">
        <f>IF($B$1003="Лікар-педіатр","x",IF($B$1003="Лікар-терапевт",R1005/S1005,IF($B$1003="Лікар загальної практики - сімейний лікар",R1005/S1005,0)))</f>
        <v>0</v>
      </c>
      <c r="S1006" s="203">
        <f>SUM(N1006:R1006)</f>
        <v>0</v>
      </c>
      <c r="T1006" s="942"/>
      <c r="U1006" s="203">
        <f>IF($B$1003="Лікар-педіатр",U1005/Z1005,IF($B$1003="Лікар-терапевт","х",IF($B$1003="Лікар загальної практики - сімейний лікар",U1005/Z1005,0)))</f>
        <v>0</v>
      </c>
      <c r="V1006" s="203">
        <f>IF($B$1003="Лікар-педіатр",V1005/Z1005,IF($B$1003="Лікар-терапевт","х",IF($B$1003="Лікар загальної практики - сімейний лікар",V1005/Z1005,0)))</f>
        <v>0</v>
      </c>
      <c r="W1006" s="203">
        <f>IF($B$1003="Лікар-педіатр","x",IF($B$1003="Лікар-терапевт",W1005/Z1005,IF($B$1003="Лікар загальної практики - сімейний лікар",W1005/Z1005,0)))</f>
        <v>0</v>
      </c>
      <c r="X1006" s="203">
        <f>IF($B$1003="Лікар-педіатр","x",IF($B$1003="Лікар-терапевт",X1005/Z1005,IF($B$1003="Лікар загальної практики - сімейний лікар",X1005/Z1005,0)))</f>
        <v>0</v>
      </c>
      <c r="Y1006" s="203">
        <f>IF($B$1003="Лікар-педіатр","x",IF($B$1003="Лікар-терапевт",Y1005/Z1005,IF($B$1003="Лікар загальної практики - сімейний лікар",Y1005/Z1005,0)))</f>
        <v>0</v>
      </c>
      <c r="Z1006" s="203">
        <f>SUM(U1006:Y1006)</f>
        <v>0</v>
      </c>
      <c r="AA1006" s="942"/>
      <c r="AB1006" s="203">
        <f>IF($B$1003="Лікар-педіатр",AB1005/AG1005,IF($B$1003="Лікар-терапевт","х",IF($B$1003="Лікар загальної практики - сімейний лікар",AB1005/AG1005,0)))</f>
        <v>0</v>
      </c>
      <c r="AC1006" s="203">
        <f>IF($B$1003="Лікар-педіатр",AC1005/AG1005,IF($B$1003="Лікар-терапевт","х",IF($B$1003="Лікар загальної практики - сімейний лікар",AC1005/AG1005,0)))</f>
        <v>0</v>
      </c>
      <c r="AD1006" s="203">
        <f>IF($B$1003="Лікар-педіатр","x",IF($B$1003="Лікар-терапевт",AD1005/AG1005,IF($B$1003="Лікар загальної практики - сімейний лікар",AD1005/AG1005,0)))</f>
        <v>0</v>
      </c>
      <c r="AE1006" s="203">
        <f>IF($B$1003="Лікар-педіатр","x",IF($B$1003="Лікар-терапевт",AE1005/AG1005,IF($B$1003="Лікар загальної практики - сімейний лікар",AE1005/AG1005,0)))</f>
        <v>0</v>
      </c>
      <c r="AF1006" s="203">
        <f>IF($B$1003="Лікар-педіатр","x",IF($B$1003="Лікар-терапевт",AF1005/AG1005,IF($B$1003="Лікар загальної практики - сімейний лікар",AF1005/AG1005,0)))</f>
        <v>0</v>
      </c>
      <c r="AG1006" s="203">
        <f>SUM(AB1006:AF1006)</f>
        <v>0</v>
      </c>
      <c r="AH1006" s="942"/>
      <c r="AI1006" s="201"/>
      <c r="AJ1006" s="945"/>
      <c r="AK1006" s="960"/>
      <c r="AL1006" s="960"/>
      <c r="AM1006" s="930"/>
      <c r="AN1006" s="948"/>
      <c r="AO1006" s="948"/>
      <c r="AP1006" s="948"/>
      <c r="AQ1006" s="948"/>
      <c r="AR1006" s="963"/>
    </row>
    <row r="1007" spans="1:44" s="50" customFormat="1" ht="45" hidden="1" customHeight="1" thickBot="1">
      <c r="A1007" s="197"/>
      <c r="B1007" s="951"/>
      <c r="C1007" s="954"/>
      <c r="D1007" s="957"/>
      <c r="E1007" s="939"/>
      <c r="F1007" s="204" t="s">
        <v>662</v>
      </c>
      <c r="G1007" s="205">
        <f>IF($B$1003="Лікар загальної практики - сімейний лікар",AVERAGE(G1003:G1005),IF($B$1003="Лікар-педіатр",AVERAGE(G1003:G1005),IF($B$1003="Лікар-терапевт","х",0)))</f>
        <v>0</v>
      </c>
      <c r="H1007" s="205">
        <f>IF($B$1003="Лікар загальної практики - сімейний лікар",AVERAGE(H1003:H1005),IF($B$1003="Лікар-педіатр",AVERAGE(H1003:H1005),IF($B$1003="Лікар-терапевт","х",0)))</f>
        <v>0</v>
      </c>
      <c r="I1007" s="205">
        <f>IF($B$1003="Лікар загальної практики - сімейний лікар",AVERAGE(I1003:I1005),IF($B$1003="Лікар-педіатр","x",IF($B$1003="Лікар-терапевт",AVERAGE(I1003:I1005),0)))</f>
        <v>0</v>
      </c>
      <c r="J1007" s="205">
        <f>IF($B$1003="Лікар загальної практики - сімейний лікар",AVERAGE(J1003:J1005),IF($B$1003="Лікар-педіатр","x",IF($B$1003="Лікар-терапевт",AVERAGE(J1003:J1005),0)))</f>
        <v>0</v>
      </c>
      <c r="K1007" s="205">
        <f>IF($B$1003="Лікар загальної практики - сімейний лікар",AVERAGE(K1003:K1005),IF($B$1003="Лікар-педіатр","x",IF($B$1003="Лікар-терапевт",AVERAGE(K1003:K1005),0)))</f>
        <v>0</v>
      </c>
      <c r="L1007" s="206">
        <f>SUM(G1007:K1007)</f>
        <v>0</v>
      </c>
      <c r="M1007" s="942"/>
      <c r="N1007" s="205">
        <f>IF($B$1003="Лікар загальної практики - сімейний лікар",AVERAGE(N1003:N1005),IF($B$1003="Лікар-педіатр",AVERAGE(N1003:N1005),IF($B$1003="Лікар-терапевт","х",0)))</f>
        <v>0</v>
      </c>
      <c r="O1007" s="205">
        <f>IF($B$1003="Лікар загальної практики - сімейний лікар",AVERAGE(O1003:O1005),IF($B$1003="Лікар-педіатр",AVERAGE(O1003:O1005),IF($B$1003="Лікар-терапевт","х",0)))</f>
        <v>0</v>
      </c>
      <c r="P1007" s="205">
        <f>IF($B$1003="Лікар загальної практики - сімейний лікар",AVERAGE(P1003:P1005),IF($B$1003="Лікар-педіатр","x",IF($B$1003="Лікар-терапевт",AVERAGE(P1003:P1005),0)))</f>
        <v>0</v>
      </c>
      <c r="Q1007" s="205">
        <f>IF($B$1003="Лікар загальної практики - сімейний лікар",AVERAGE(Q1003:Q1005),IF($B$1003="Лікар-педіатр","x",IF($B$1003="Лікар-терапевт",AVERAGE(Q1003:Q1005),0)))</f>
        <v>0</v>
      </c>
      <c r="R1007" s="205">
        <f>IF($B$1003="Лікар загальної практики - сімейний лікар",AVERAGE(R1003:R1005),IF($B$1003="Лікар-педіатр","x",IF($B$1003="Лікар-терапевт",AVERAGE(R1003:R1005),0)))</f>
        <v>0</v>
      </c>
      <c r="S1007" s="206">
        <f>SUM(N1007:R1007)</f>
        <v>0</v>
      </c>
      <c r="T1007" s="942"/>
      <c r="U1007" s="205">
        <f>IF($B$1003="Лікар загальної практики - сімейний лікар",AVERAGE(U1003:U1005),IF($B$1003="Лікар-педіатр",AVERAGE(U1003:U1005),IF($B$1003="Лікар-терапевт","х",0)))</f>
        <v>0</v>
      </c>
      <c r="V1007" s="205">
        <f>IF($B$1003="Лікар загальної практики - сімейний лікар",AVERAGE(V1003:V1005),IF($B$1003="Лікар-педіатр",AVERAGE(V1003:V1005),IF($B$1003="Лікар-терапевт","х",0)))</f>
        <v>0</v>
      </c>
      <c r="W1007" s="205">
        <f>IF($B$1003="Лікар загальної практики - сімейний лікар",AVERAGE(W1003:W1005),IF($B$1003="Лікар-педіатр","x",IF($B$1003="Лікар-терапевт",AVERAGE(W1003:W1005),0)))</f>
        <v>0</v>
      </c>
      <c r="X1007" s="205">
        <f>IF($B$1003="Лікар загальної практики - сімейний лікар",AVERAGE(X1003:X1005),IF($B$1003="Лікар-педіатр","x",IF($B$1003="Лікар-терапевт",AVERAGE(X1003:X1005),0)))</f>
        <v>0</v>
      </c>
      <c r="Y1007" s="205">
        <f>IF($B$1003="Лікар загальної практики - сімейний лікар",AVERAGE(Y1003:Y1005),IF($B$1003="Лікар-педіатр","x",IF($B$1003="Лікар-терапевт",AVERAGE(Y1003:Y1005),0)))</f>
        <v>0</v>
      </c>
      <c r="Z1007" s="206">
        <f>SUM(U1007:Y1007)</f>
        <v>0</v>
      </c>
      <c r="AA1007" s="942"/>
      <c r="AB1007" s="205">
        <f>IF($B$1003="Лікар загальної практики - сімейний лікар",AVERAGE(AB1003:AB1005),IF($B$1003="Лікар-педіатр",AVERAGE(AB1003:AB1005),IF($B$1003="Лікар-терапевт","х",0)))</f>
        <v>0</v>
      </c>
      <c r="AC1007" s="205">
        <f>IF($B$1003="Лікар загальної практики - сімейний лікар",AVERAGE(AC1003:AC1005),IF($B$1003="Лікар-педіатр",AVERAGE(AC1003:AC1005),IF($B$1003="Лікар-терапевт","х",0)))</f>
        <v>0</v>
      </c>
      <c r="AD1007" s="205">
        <f>IF($B$1003="Лікар загальної практики - сімейний лікар",AVERAGE(AD1003:AD1005),IF($B$1003="Лікар-педіатр","x",IF($B$1003="Лікар-терапевт",AVERAGE(AD1003:AD1005),0)))</f>
        <v>0</v>
      </c>
      <c r="AE1007" s="205">
        <f>IF($B$1003="Лікар загальної практики - сімейний лікар",AVERAGE(AE1003:AE1005),IF($B$1003="Лікар-педіатр","x",IF($B$1003="Лікар-терапевт",AVERAGE(AE1003:AE1005),0)))</f>
        <v>0</v>
      </c>
      <c r="AF1007" s="205">
        <f>IF($B$1003="Лікар загальної практики - сімейний лікар",AVERAGE(AF1003:AF1005),IF($B$1003="Лікар-педіатр","x",IF($B$1003="Лікар-терапевт",AVERAGE(AF1003:AF1005),0)))</f>
        <v>0</v>
      </c>
      <c r="AG1007" s="206">
        <f>SUM(AB1007:AF1007)</f>
        <v>0</v>
      </c>
      <c r="AH1007" s="942"/>
      <c r="AI1007" s="201"/>
      <c r="AJ1007" s="945"/>
      <c r="AK1007" s="960"/>
      <c r="AL1007" s="960"/>
      <c r="AM1007" s="931"/>
      <c r="AN1007" s="949"/>
      <c r="AO1007" s="949"/>
      <c r="AP1007" s="949"/>
      <c r="AQ1007" s="949"/>
      <c r="AR1007" s="964"/>
    </row>
    <row r="1008" spans="1:44" s="50" customFormat="1" ht="40.5" hidden="1">
      <c r="A1008" s="197"/>
      <c r="B1008" s="951"/>
      <c r="C1008" s="954"/>
      <c r="D1008" s="957"/>
      <c r="E1008" s="939"/>
      <c r="F1008" s="237" t="str">
        <f ca="1">IF(B1003="Лікар-педіатр",Законод!$C$17,IF(B1003="Лікар загальної практики - сімейний лікар",Законод!$C$21,IF(B1003="Лікар-терапевт",Законод!$C$25,"х")))</f>
        <v>х</v>
      </c>
      <c r="G1008" s="208">
        <f ca="1">IF($B$1003="Лікар загальної практики - сімейний лікар",IF(L1007&lt;=Законод!$C$22,G1007,Законод!$C$22*'01_Доходи'!G1006),IF($B$1003="Лікар-педіатр",IF(L1007&lt;=Законод!$C$18,G1007,Законод!$C$18*'01_Доходи'!G1006),IF($B$1003="Лікар-терапевт","x",0)))</f>
        <v>0</v>
      </c>
      <c r="H1008" s="208">
        <f ca="1">IF($B$1003="Лікар загальної практики - сімейний лікар",IF(L1007&lt;=Законод!$C$22,H1007,Законод!$C$22*'01_Доходи'!H1006),IF($B$1003="Лікар-педіатр",IF(L1007&lt;=Законод!$C$18,H1007,Законод!$C$18*'01_Доходи'!H1006),IF($B$1003="Лікар-терапевт","x",0)))</f>
        <v>0</v>
      </c>
      <c r="I1008" s="208">
        <f ca="1">IF($B$1003="Лікар загальної практики - сімейний лікар",IF(L1007&lt;=Законод!$C$22,I1007,Законод!$C$22*'01_Доходи'!I1006),IF($B$1003="Лікар-педіатр","x",IF($B$1003="Лікар-терапевт",IF(L1007&lt;=Законод!$C$26,I1007,Законод!$C$26*'01_Доходи'!I1006),0)))</f>
        <v>0</v>
      </c>
      <c r="J1008" s="208">
        <f ca="1">IF($B$1003="Лікар загальної практики - сімейний лікар",IF(L1007&lt;=Законод!$C$22,J1007,Законод!$C$22*'01_Доходи'!J1006),IF($B$1003="Лікар-педіатр","x",IF($B$1003="Лікар-терапевт",IF(L1007&lt;=Законод!$C$26,J1007,Законод!$C$26*'01_Доходи'!J1006),0)))</f>
        <v>0</v>
      </c>
      <c r="K1008" s="208">
        <f ca="1">IF($B$1003="Лікар загальної практики - сімейний лікар",IF(L1007&lt;=Законод!$C$22,K1007,Законод!$C$22*'01_Доходи'!K1006),IF($B$1003="Лікар-педіатр","x",IF($B$1003="Лікар-терапевт",IF(L1007&lt;=Законод!$C$26,K1007,Законод!$C$26*'01_Доходи'!K1006),0)))</f>
        <v>0</v>
      </c>
      <c r="L1008" s="209">
        <f ca="1">SUM(G1008:K1008)</f>
        <v>0</v>
      </c>
      <c r="M1008" s="942"/>
      <c r="N1008" s="208">
        <f ca="1">IF($B$1003="Лікар загальної практики - сімейний лікар",IF(S1007&lt;=Законод!$C$22,N1007,Законод!$C$22*'01_Доходи'!N1006),IF($B$1003="Лікар-педіатр",IF(S1007&lt;=Законод!$C$18,N1007,Законод!$C$18*'01_Доходи'!N1006),IF($B$1003="Лікар-терапевт","x",0)))</f>
        <v>0</v>
      </c>
      <c r="O1008" s="208">
        <f ca="1">IF($B$1003="Лікар загальної практики - сімейний лікар",IF(S1007&lt;=Законод!$C$22,O1007,Законод!$C$22*'01_Доходи'!O1006),IF($B$1003="Лікар-педіатр",IF(S1007&lt;=Законод!$C$18,O1007,Законод!$C$18*'01_Доходи'!O1006),IF($B$1003="Лікар-терапевт","x",0)))</f>
        <v>0</v>
      </c>
      <c r="P1008" s="208">
        <f ca="1">IF($B$1003="Лікар загальної практики - сімейний лікар",IF(S1007&lt;=Законод!$C$22,P1007,Законод!$C$22*'01_Доходи'!P1006),IF($B$1003="Лікар-педіатр","x",IF($B$1003="Лікар-терапевт",IF(S1007&lt;=Законод!$C$26,P1007,Законод!$C$26*'01_Доходи'!P1006),0)))</f>
        <v>0</v>
      </c>
      <c r="Q1008" s="208">
        <f ca="1">IF($B$1003="Лікар загальної практики - сімейний лікар",IF(S1007&lt;=Законод!$C$22,Q1007,Законод!$C$22*'01_Доходи'!Q1006),IF($B$1003="Лікар-педіатр","x",IF($B$1003="Лікар-терапевт",IF(S1007&lt;=Законод!$C$26,Q1007,Законод!$C$26*'01_Доходи'!Q1006),0)))</f>
        <v>0</v>
      </c>
      <c r="R1008" s="208">
        <f ca="1">IF($B$1003="Лікар загальної практики - сімейний лікар",IF(S1007&lt;=Законод!$C$22,R1007,Законод!$C$22*'01_Доходи'!R1006),IF($B$1003="Лікар-педіатр","x",IF($B$1003="Лікар-терапевт",IF(S1007&lt;=Законод!$C$26,R1007,Законод!$C$26*'01_Доходи'!R1006),0)))</f>
        <v>0</v>
      </c>
      <c r="S1008" s="209">
        <f ca="1">SUM(N1008:R1008)</f>
        <v>0</v>
      </c>
      <c r="T1008" s="942"/>
      <c r="U1008" s="208">
        <f ca="1">IF($B$1003="Лікар загальної практики - сімейний лікар",IF(Z1007&lt;=Законод!$C$22,U1007,Законод!$C$22*'01_Доходи'!U1006),IF($B$1003="Лікар-педіатр",IF(Z1007&lt;=Законод!$C$18,U1007,Законод!$C$18*'01_Доходи'!U1006),IF($B$1003="Лікар-терапевт","x",0)))</f>
        <v>0</v>
      </c>
      <c r="V1008" s="208">
        <f ca="1">IF($B$1003="Лікар загальної практики - сімейний лікар",IF(Z1007&lt;=Законод!$C$22,V1007,Законод!$C$22*'01_Доходи'!V1006),IF($B$1003="Лікар-педіатр",IF(Z1007&lt;=Законод!$C$18,V1007,Законод!$C$18*'01_Доходи'!V1006),IF($B$1003="Лікар-терапевт","x",0)))</f>
        <v>0</v>
      </c>
      <c r="W1008" s="208">
        <f ca="1">IF($B$1003="Лікар загальної практики - сімейний лікар",IF(Z1007&lt;=Законод!$C$22,W1007,Законод!$C$22*'01_Доходи'!W1006),IF($B$1003="Лікар-педіатр","x",IF($B$1003="Лікар-терапевт",IF(Z1007&lt;=Законод!$C$26,W1007,Законод!$C$26*'01_Доходи'!W1006),0)))</f>
        <v>0</v>
      </c>
      <c r="X1008" s="208">
        <f ca="1">IF($B$1003="Лікар загальної практики - сімейний лікар",IF(Z1007&lt;=Законод!$C$22,X1007,Законод!$C$22*'01_Доходи'!X1006),IF($B$1003="Лікар-педіатр","x",IF($B$1003="Лікар-терапевт",IF(Z1007&lt;=Законод!$C$26,X1007,Законод!$C$26*'01_Доходи'!X1006),0)))</f>
        <v>0</v>
      </c>
      <c r="Y1008" s="208">
        <f ca="1">IF($B$1003="Лікар загальної практики - сімейний лікар",IF(Z1007&lt;=Законод!$C$22,Y1007,Законод!$C$22*'01_Доходи'!Y1006),IF($B$1003="Лікар-педіатр","x",IF($B$1003="Лікар-терапевт",IF(Z1007&lt;=Законод!$C$26,Y1007,Законод!$C$26*'01_Доходи'!Y1006),0)))</f>
        <v>0</v>
      </c>
      <c r="Z1008" s="209">
        <f ca="1">SUM(U1008:Y1008)</f>
        <v>0</v>
      </c>
      <c r="AA1008" s="942"/>
      <c r="AB1008" s="208">
        <f ca="1">IF($B$1003="Лікар загальної практики - сімейний лікар",IF(AG1007&lt;=Законод!$C$22,AB1007,Законод!$C$22*'01_Доходи'!AB1006),IF($B$1003="Лікар-педіатр",IF(AG1007&lt;=Законод!$C$18,AB1007,Законод!$C$18*'01_Доходи'!AB1006),IF($B$1003="Лікар-терапевт","x",0)))</f>
        <v>0</v>
      </c>
      <c r="AC1008" s="208">
        <f ca="1">IF($B$1003="Лікар загальної практики - сімейний лікар",IF(AG1007&lt;=Законод!$C$22,AC1007,Законод!$C$22*'01_Доходи'!AC1006),IF($B$1003="Лікар-педіатр",IF(AG1007&lt;=Законод!$C$18,AC1007,Законод!$C$18*'01_Доходи'!AC1006),IF($B$1003="Лікар-терапевт","x",0)))</f>
        <v>0</v>
      </c>
      <c r="AD1008" s="208">
        <f ca="1">IF($B$1003="Лікар загальної практики - сімейний лікар",IF(AG1007&lt;=Законод!$C$22,AD1007,Законод!$C$22*'01_Доходи'!AD1006),IF($B$1003="Лікар-педіатр","x",IF($B$1003="Лікар-терапевт",IF(AG1007&lt;=Законод!$C$26,AD1007,Законод!$C$26*'01_Доходи'!AD1006),0)))</f>
        <v>0</v>
      </c>
      <c r="AE1008" s="208">
        <f ca="1">IF($B$1003="Лікар загальної практики - сімейний лікар",IF(AG1007&lt;=Законод!$C$22,AE1007,Законод!$C$22*'01_Доходи'!AE1006),IF($B$1003="Лікар-педіатр","x",IF($B$1003="Лікар-терапевт",IF(AG1007&lt;=Законод!$C$26,AE1007,Законод!$C$26*'01_Доходи'!AE1006),0)))</f>
        <v>0</v>
      </c>
      <c r="AF1008" s="208">
        <f ca="1">IF($B$1003="Лікар загальної практики - сімейний лікар",IF(AG1007&lt;=Законод!$C$22,AF1007,Законод!$C$22*'01_Доходи'!AF1006),IF($B$1003="Лікар-педіатр","x",IF($B$1003="Лікар-терапевт",IF(AG1007&lt;=Законод!$C$26,AF1007,Законод!$C$26*'01_Доходи'!AF1006),0)))</f>
        <v>0</v>
      </c>
      <c r="AG1008" s="209">
        <f ca="1">SUM(AB1008:AF1008)</f>
        <v>0</v>
      </c>
      <c r="AH1008" s="942"/>
      <c r="AI1008" s="201"/>
      <c r="AJ1008" s="945"/>
      <c r="AK1008" s="960"/>
      <c r="AL1008" s="960"/>
      <c r="AM1008" s="348" t="s">
        <v>451</v>
      </c>
      <c r="AN1008" s="210">
        <f ca="1">IF(B1003="Лікар загальної практики - сімейний лікар",G1008*Законод!$C$11+'01_Доходи'!H1008*Законод!$D$11+'01_Доходи'!I1008*Законод!$E$11+'01_Доходи'!J1008*Законод!$F$11+'01_Доходи'!K1008*Законод!$G$11,IF(B1003="Лікар-педіатр",G1008*Законод!$C$11+'01_Доходи'!H1008*Законод!$D$11,IF(B1003="Лікар-терапевт",'01_Доходи'!I1008*Законод!$E$11+'01_Доходи'!J1008*Законод!$F$11+'01_Доходи'!K1008*Законод!$G$11,0)))</f>
        <v>0</v>
      </c>
      <c r="AO1008" s="210">
        <f ca="1">IF(B1003="Лікар загальної практики - сімейний лікар",N1008*Законод!$C$11+'01_Доходи'!O1008*Законод!$D$11+'01_Доходи'!P1008*Законод!$E$11+'01_Доходи'!Q1008*Законод!$F$11+'01_Доходи'!R1008*Законод!$G$11,IF(B1003="Лікар-педіатр",N1008*Законод!$C$11+'01_Доходи'!O1008*Законод!$D$11,IF(B1003="Лікар-терапевт",'01_Доходи'!P1008*Законод!$E$11+'01_Доходи'!Q1008*Законод!$F$11+'01_Доходи'!R1008*Законод!$G$11,0)))</f>
        <v>0</v>
      </c>
      <c r="AP1008" s="210">
        <f ca="1">IF(B1003="Лікар загальної практики - сімейний лікар",U1008*Законод!$C$11+'01_Доходи'!V1008*Законод!$D$11+'01_Доходи'!W1008*Законод!$E$11+'01_Доходи'!X1008*Законод!$F$11+'01_Доходи'!Y1008*Законод!$G$11,IF(B1003="Лікар-педіатр",U1008*Законод!$C$11+'01_Доходи'!V1008*Законод!$D$11,IF(B1003="Лікар-терапевт",'01_Доходи'!W1008*Законод!$E$11+'01_Доходи'!X1008*Законод!$F$11+'01_Доходи'!Y1008*Законод!$G$11,0)))</f>
        <v>0</v>
      </c>
      <c r="AQ1008" s="210">
        <f ca="1">IF(B1003="Лікар загальної практики - сімейний лікар",AB1008*Законод!$C$11+'01_Доходи'!AC1008*Законод!$D$11+'01_Доходи'!AD1008*Законод!$E$11+'01_Доходи'!AE1008*Законод!$F$11+'01_Доходи'!AF1008*Законод!$G$11,IF(B1003="Лікар-педіатр",AB1008*Законод!$C$11+'01_Доходи'!AC1008*Законод!$D$11,IF(B1003="Лікар-терапевт",'01_Доходи'!AD1008*Законод!$E$11+'01_Доходи'!AE1008*Законод!$F$11+'01_Доходи'!AF1008*Законод!$G$11,0)))</f>
        <v>0</v>
      </c>
      <c r="AR1008" s="211">
        <f t="shared" ref="AR1008:AR1014" si="117">SUM(AN1008:AQ1008)</f>
        <v>0</v>
      </c>
    </row>
    <row r="1009" spans="1:44" s="50" customFormat="1" ht="31.9" hidden="1" customHeight="1">
      <c r="A1009" s="197"/>
      <c r="B1009" s="951"/>
      <c r="C1009" s="954"/>
      <c r="D1009" s="957"/>
      <c r="E1009" s="939"/>
      <c r="F1009" s="238" t="str">
        <f ca="1">IF(B1003="Лікар-педіатр",Законод!$E$17,IF(B1003="Лікар загальної практики - сімейний лікар",Законод!$E$21,IF(B1003="Лікар-терапевт",Законод!$E$25,"х")))</f>
        <v>х</v>
      </c>
      <c r="G1009" s="935" t="s">
        <v>423</v>
      </c>
      <c r="H1009" s="936"/>
      <c r="I1009" s="936"/>
      <c r="J1009" s="936"/>
      <c r="K1009" s="937"/>
      <c r="L1009" s="196">
        <f ca="1">IF($B$1003="Лікар загальної практики - сімейний лікар",IF(L1007&lt;Законод!$C$22,0,(IF(AND(L1007&gt;=Законод!$E$22,L1007&lt;=Законод!$E$23),L1007-Законод!$C$22,IF('01_Доходи'!L1007&gt;=Законод!$F$22,Законод!$E$24,0)))),IF($B$1003="Лікар-педіатр",IF(L1007&lt;Законод!$C$18,0,(IF(AND(L1007&gt;=Законод!$E$18,L1007&lt;=Законод!$E$19),L1007-Законод!$C$18,IF('01_Доходи'!L1007&gt;=Законод!$F$18,Законод!$E$20,0)))),IF($B$1003="Лікар-терапевт",IF(L1007&lt;Законод!$C$26,0,(IF(AND(L1007&gt;=Законод!$E$26,L1007&lt;=Законод!$E$27),L1007-Законод!$C$26,IF('01_Доходи'!L1007&gt;=Законод!$F$26,Законод!$E$28,0)))),0)))</f>
        <v>0</v>
      </c>
      <c r="M1009" s="942"/>
      <c r="N1009" s="935" t="s">
        <v>423</v>
      </c>
      <c r="O1009" s="936"/>
      <c r="P1009" s="936"/>
      <c r="Q1009" s="936"/>
      <c r="R1009" s="937"/>
      <c r="S1009" s="196">
        <f ca="1">IF($B$1003="Лікар загальної практики - сімейний лікар",IF(S1007&lt;Законод!$C$22,0,(IF(AND(S1007&gt;=Законод!$E$22,S1007&lt;=Законод!$E$23),S1007-Законод!$C$22,IF('01_Доходи'!S1007&gt;=Законод!$F$22,Законод!$E$24,0)))),IF($B$1003="Лікар-педіатр",IF(S1007&lt;Законод!$C$18,0,(IF(AND(S1007&gt;=Законод!$E$18,S1007&lt;=Законод!$E$19),S1007-Законод!$C$18,IF('01_Доходи'!S1007&gt;=Законод!$F$18,Законод!$E$20,0)))),IF($B$1003="Лікар-терапевт",IF(S1007&lt;Законод!$C$26,0,(IF(AND(S1007&gt;=Законод!$E$26,S1007&lt;=Законод!$E$27),S1007-Законод!$C$26,IF('01_Доходи'!S1007&gt;=Законод!$F$26,Законод!$E$28,0)))),0)))</f>
        <v>0</v>
      </c>
      <c r="T1009" s="942"/>
      <c r="U1009" s="935" t="s">
        <v>423</v>
      </c>
      <c r="V1009" s="936"/>
      <c r="W1009" s="936"/>
      <c r="X1009" s="936"/>
      <c r="Y1009" s="937"/>
      <c r="Z1009" s="196">
        <f ca="1">IF($B$1003="Лікар загальної практики - сімейний лікар",IF(Z1007&lt;Законод!$C$22,0,(IF(AND(Z1007&gt;=Законод!$E$22,Z1007&lt;=Законод!$E$23),Z1007-Законод!$C$22,IF('01_Доходи'!Z1007&gt;=Законод!$F$22,Законод!$E$24,0)))),IF($B$1003="Лікар-педіатр",IF(Z1007&lt;Законод!$C$18,0,(IF(AND(Z1007&gt;=Законод!$E$18,Z1007&lt;=Законод!$E$19),Z1007-Законод!$C$18,IF('01_Доходи'!Z1007&gt;=Законод!$F$18,Законод!$E$20,0)))),IF($B$1003="Лікар-терапевт",IF(Z1007&lt;Законод!$C$26,0,(IF(AND(Z1007&gt;=Законод!$E$26,Z1007&lt;=Законод!$E$27),Z1007-Законод!$C$26,IF('01_Доходи'!Z1007&gt;=Законод!$F$26,Законод!$E$28,0)))),0)))</f>
        <v>0</v>
      </c>
      <c r="AA1009" s="942"/>
      <c r="AB1009" s="935" t="s">
        <v>423</v>
      </c>
      <c r="AC1009" s="936"/>
      <c r="AD1009" s="936"/>
      <c r="AE1009" s="936"/>
      <c r="AF1009" s="937"/>
      <c r="AG1009" s="196">
        <f ca="1">IF($B$1003="Лікар загальної практики - сімейний лікар",IF(AG1007&lt;Законод!$C$22,0,(IF(AND(AG1007&gt;=Законод!$E$22,AG1007&lt;=Законод!$E$23),AG1007-Законод!$C$22,IF('01_Доходи'!AG1007&gt;=Законод!$F$22,Законод!$E$24,0)))),IF($B$1003="Лікар-педіатр",IF(AG1007&lt;Законод!$C$18,0,(IF(AND(AG1007&gt;=Законод!$E$18,AG1007&lt;=Законод!$E$19),AG1007-Законод!$C$18,IF('01_Доходи'!AG1007&gt;=Законод!$F$18,Законод!$E$20,0)))),IF($B$1003="Лікар-терапевт",IF(AG1007&lt;Законод!$C$26,0,(IF(AND(AG1007&gt;=Законод!$E$26,AG1007&lt;=Законод!$E$27),AG1007-Законод!$C$26,IF('01_Доходи'!AG1007&gt;=Законод!$F$26,Законод!$E$28,0)))),0)))</f>
        <v>0</v>
      </c>
      <c r="AH1009" s="942"/>
      <c r="AI1009" s="201"/>
      <c r="AJ1009" s="945"/>
      <c r="AK1009" s="960"/>
      <c r="AL1009" s="960"/>
      <c r="AM1009" s="926" t="s">
        <v>452</v>
      </c>
      <c r="AN1009" s="210">
        <f ca="1">IF(B1003="Лікар загальної практики - сімейний лікар",L1009*Законод!$C$9/4*Законод!$E$16,IF(B1003="Лікар-педіатр",L1009*Законод!$C$9/4*Законод!$E$16,IF(B1003="Лікар-терапевт",L1009*Законод!$C$9/4*Законод!$E$16,0)))</f>
        <v>0</v>
      </c>
      <c r="AO1009" s="210">
        <f ca="1">IF(B1003="Лікар загальної практики - сімейний лікар",S1009*Законод!$C$9/4*Законод!$E$16,IF(B1003="Лікар-педіатр",S1009*Законод!$C$9/4*Законод!$E$16,IF(B1003="Лікар-терапевт",S1009*Законод!$C$9/4*Законод!$E$16,0)))</f>
        <v>0</v>
      </c>
      <c r="AP1009" s="210">
        <f ca="1">IF(B1003="Лікар загальної практики - сімейний лікар",Z1009*Законод!$C$9/4*Законод!$E$16,IF(B1003="Лікар-педіатр",Z1009*Законод!$C$9/4*Законод!$E$16,IF(B1003="Лікар-терапевт",Z1009*Законод!$C$9/4*Законод!$E$16,0)))</f>
        <v>0</v>
      </c>
      <c r="AQ1009" s="210">
        <f ca="1">IF(B1003="Лікар загальної практики - сімейний лікар",AG1009*Законод!$C$9/4*Законод!$E$16,IF(B1003="Лікар-педіатр",AG1009*Законод!$C$9/4*Законод!$E$16,IF(B1003="Лікар-терапевт",AG1009*Законод!$C$9/4*Законод!$E$16,0)))</f>
        <v>0</v>
      </c>
      <c r="AR1009" s="211">
        <f t="shared" si="117"/>
        <v>0</v>
      </c>
    </row>
    <row r="1010" spans="1:44" s="50" customFormat="1" ht="31.9" hidden="1" customHeight="1">
      <c r="A1010" s="197"/>
      <c r="B1010" s="951"/>
      <c r="C1010" s="954"/>
      <c r="D1010" s="957"/>
      <c r="E1010" s="939"/>
      <c r="F1010" s="238" t="str">
        <f ca="1">IF(B1003="Лікар-педіатр",Законод!$F$17,IF(B1003="Лікар загальної практики - сімейний лікар",Законод!$F$21,IF(B1003="Лікар-терапевт",Законод!$F$25,"х")))</f>
        <v>х</v>
      </c>
      <c r="G1010" s="935" t="s">
        <v>423</v>
      </c>
      <c r="H1010" s="936"/>
      <c r="I1010" s="936"/>
      <c r="J1010" s="936"/>
      <c r="K1010" s="937"/>
      <c r="L1010" s="196">
        <f ca="1">IF($B$1003="Лікар загальної практики - сімейний лікар",IF(L1007&lt;Законод!$C$22,0,(IF(AND(L1007&gt;=Законод!$F$22,L1007&lt;=Законод!$F$23),L1007-Законод!$E$23,IF('01_Доходи'!L1007&gt;=Законод!$G$22,Законод!$F$24,0)))),IF($B$1003="Лікар-педіатр",IF(L1007&lt;Законод!$C$18,0,(IF(AND(L1007&gt;=Законод!$F$18,L1007&lt;=Законод!$F$19),L1007-Законод!$E$19,IF('01_Доходи'!L1007&gt;=Законод!$G$18,Законод!$F$20,0)))),IF($B$1003="Лікар-терапевт",IF(L1007&lt;Законод!$C$26,0,(IF(AND(L1007&gt;=Законод!$F$26,L1007&lt;=Законод!$F$27),L1007-Законод!$E$27,IF('01_Доходи'!L1007&gt;=Законод!$G$26,Законод!$F$28,0)))),0)))</f>
        <v>0</v>
      </c>
      <c r="M1010" s="942"/>
      <c r="N1010" s="935" t="s">
        <v>423</v>
      </c>
      <c r="O1010" s="936"/>
      <c r="P1010" s="936"/>
      <c r="Q1010" s="936"/>
      <c r="R1010" s="937"/>
      <c r="S1010" s="196">
        <f ca="1">IF($B$1003="Лікар загальної практики - сімейний лікар",IF(S1007&lt;Законод!$C$22,0,(IF(AND(S1007&gt;=Законод!$F$22,S1007&lt;=Законод!$F$23),S1007-Законод!$E$23,IF('01_Доходи'!S1007&gt;=Законод!$G$22,Законод!$F$24,0)))),IF($B$1003="Лікар-педіатр",IF(S1007&lt;Законод!$C$18,0,(IF(AND(S1007&gt;=Законод!$F$18,S1007&lt;=Законод!$F$19),S1007-Законод!$E$19,IF('01_Доходи'!S1007&gt;=Законод!$G$18,Законод!$F$20,0)))),IF($B$1003="Лікар-терапевт",IF(S1007&lt;Законод!$C$26,0,(IF(AND(S1007&gt;=Законод!$F$26,S1007&lt;=Законод!$F$27),S1007-Законод!$E$27,IF('01_Доходи'!S1007&gt;=Законод!$G$26,Законод!$F$28,0)))),0)))</f>
        <v>0</v>
      </c>
      <c r="T1010" s="942"/>
      <c r="U1010" s="935" t="s">
        <v>423</v>
      </c>
      <c r="V1010" s="936"/>
      <c r="W1010" s="936"/>
      <c r="X1010" s="936"/>
      <c r="Y1010" s="937"/>
      <c r="Z1010" s="196">
        <f ca="1">IF($B$1003="Лікар загальної практики - сімейний лікар",IF(Z1007&lt;Законод!$C$22,0,(IF(AND(Z1007&gt;=Законод!$F$22,Z1007&lt;=Законод!$F$23),Z1007-Законод!$E$23,IF('01_Доходи'!Z1007&gt;=Законод!$G$22,Законод!$F$24,0)))),IF($B$1003="Лікар-педіатр",IF(Z1007&lt;Законод!$C$18,0,(IF(AND(Z1007&gt;=Законод!$F$18,Z1007&lt;=Законод!$F$19),Z1007-Законод!$E$19,IF('01_Доходи'!Z1007&gt;=Законод!$G$18,Законод!$F$20,0)))),IF($B$1003="Лікар-терапевт",IF(Z1007&lt;Законод!$C$26,0,(IF(AND(Z1007&gt;=Законод!$F$26,Z1007&lt;=Законод!$F$27),Z1007-Законод!$E$27,IF('01_Доходи'!Z1007&gt;=Законод!$G$26,Законод!$F$28,0)))),0)))</f>
        <v>0</v>
      </c>
      <c r="AA1010" s="942"/>
      <c r="AB1010" s="935" t="s">
        <v>423</v>
      </c>
      <c r="AC1010" s="936"/>
      <c r="AD1010" s="936"/>
      <c r="AE1010" s="936"/>
      <c r="AF1010" s="937"/>
      <c r="AG1010" s="196">
        <f ca="1">IF($B$1003="Лікар загальної практики - сімейний лікар",IF(AG1007&lt;Законод!$C$22,0,(IF(AND(AG1007&gt;=Законод!$F$22,AG1007&lt;=Законод!$F$23),AG1007-Законод!$E$23,IF('01_Доходи'!AG1007&gt;=Законод!$G$22,Законод!$F$24,0)))),IF($B$1003="Лікар-педіатр",IF(AG1007&lt;Законод!$C$18,0,(IF(AND(AG1007&gt;=Законод!$F$18,AG1007&lt;=Законод!$F$19),AG1007-Законод!$E$19,IF('01_Доходи'!AG1007&gt;=Законод!$G$18,Законод!$F$20,0)))),IF($B$1003="Лікар-терапевт",IF(AG1007&lt;Законод!$C$26,0,(IF(AND(AG1007&gt;=Законод!$F$26,AG1007&lt;=Законод!$F$27),AG1007-Законод!$E$27,IF('01_Доходи'!AG1007&gt;=Законод!$G$26,Законод!$F$28,0)))),0)))</f>
        <v>0</v>
      </c>
      <c r="AH1010" s="942"/>
      <c r="AI1010" s="201"/>
      <c r="AJ1010" s="945"/>
      <c r="AK1010" s="960"/>
      <c r="AL1010" s="960"/>
      <c r="AM1010" s="927"/>
      <c r="AN1010" s="210">
        <f ca="1">IF(B1003="Лікар загальної практики - сімейний лікар",L1010*Законод!$C$9/4*Законод!$F$16,IF(B1003="Лікар-педіатр",L1010*Законод!$C$9/4*Законод!$F$16,IF(B1003="Лікар-терапевт",L1010*Законод!$C$9/4*Законод!$F$16,0)))</f>
        <v>0</v>
      </c>
      <c r="AO1010" s="210">
        <f ca="1">IF(B1003="Лікар загальної практики - сімейний лікар",S1010*Законод!$C$9/4*Законод!$F$16,IF(B1003="Лікар-педіатр",S1010*Законод!$C$9/4*Законод!$F$16,IF(B1003="Лікар-терапевт",S1010*Законод!$C$9/4*Законод!$F$16,0)))</f>
        <v>0</v>
      </c>
      <c r="AP1010" s="210">
        <f ca="1">IF(B1003="Лікар загальної практики - сімейний лікар",Z1010*Законод!$C$9/4*Законод!$F$16,IF(B1003="Лікар-педіатр",Z1010*Законод!$C$9/4*Законод!$F$16,IF(B1003="Лікар-терапевт",Z1010*Законод!$C$9/4*Законод!$F$16,0)))</f>
        <v>0</v>
      </c>
      <c r="AQ1010" s="210">
        <f ca="1">IF(B1003="Лікар загальної практики - сімейний лікар",AG1010*Законод!$C$9/4*Законод!$F$16,IF(B1003="Лікар-педіатр",AG1010*Законод!$C$9/4*Законод!$F$16,IF(B1003="Лікар-терапевт",AG1010*Законод!$C$9/4*Законод!$F$16,0)))</f>
        <v>0</v>
      </c>
      <c r="AR1010" s="211">
        <f t="shared" si="117"/>
        <v>0</v>
      </c>
    </row>
    <row r="1011" spans="1:44" s="50" customFormat="1" ht="31.9" hidden="1" customHeight="1">
      <c r="A1011" s="197"/>
      <c r="B1011" s="951"/>
      <c r="C1011" s="954"/>
      <c r="D1011" s="957"/>
      <c r="E1011" s="939"/>
      <c r="F1011" s="238" t="str">
        <f ca="1">IF(B1003="Лікар-педіатр",Законод!$G$17,IF(B1003="Лікар загальної практики - сімейний лікар",Законод!$G$21,IF(B1003="Лікар-терапевт",Законод!$G$25,"х")))</f>
        <v>х</v>
      </c>
      <c r="G1011" s="935" t="s">
        <v>423</v>
      </c>
      <c r="H1011" s="936"/>
      <c r="I1011" s="936"/>
      <c r="J1011" s="936"/>
      <c r="K1011" s="937"/>
      <c r="L1011" s="196">
        <f ca="1">IF($B$1003="Лікар загальної практики - сімейний лікар",IF(L1007&lt;Законод!$C$22,0,(IF(AND(L1007&gt;=Законод!$G$22,L1007&lt;=Законод!$G$23),L1007-Законод!$F$23,IF('01_Доходи'!L1007&gt;=Законод!$H$22,Законод!$G$24,0)))),IF($B$1003="Лікар-педіатр",IF(L1007&lt;Законод!$C$18,0,(IF(AND(L1007&gt;=Законод!$G$18,L1007&lt;=Законод!$G$19),L1007-Законод!$F$19,IF('01_Доходи'!L1007&gt;=Законод!$H$18,Законод!$G$20,0)))),IF($B$1003="Лікар-терапевт",IF(L1007&lt;Законод!$C$26,0,(IF(AND(L1007&gt;=Законод!$G$26,L1007&lt;=Законод!$G$27),L1007-Законод!$F$27,IF('01_Доходи'!L1007&gt;=Законод!$H$26,Законод!$G$28,0)))),0)))</f>
        <v>0</v>
      </c>
      <c r="M1011" s="942"/>
      <c r="N1011" s="935" t="s">
        <v>423</v>
      </c>
      <c r="O1011" s="936"/>
      <c r="P1011" s="936"/>
      <c r="Q1011" s="936"/>
      <c r="R1011" s="937"/>
      <c r="S1011" s="196">
        <f ca="1">IF($B$1003="Лікар загальної практики - сімейний лікар",IF(S1007&lt;Законод!$C$22,0,(IF(AND(S1007&gt;=Законод!$G$22,S1007&lt;=Законод!$G$23),S1007-Законод!$F$23,IF('01_Доходи'!S1007&gt;=Законод!$H$22,Законод!$G$24,0)))),IF($B$1003="Лікар-педіатр",IF(S1007&lt;Законод!$C$18,0,(IF(AND(S1007&gt;=Законод!$G$18,S1007&lt;=Законод!$G$19),S1007-Законод!$F$19,IF('01_Доходи'!S1007&gt;=Законод!$H$18,Законод!$G$20,0)))),IF($B$1003="Лікар-терапевт",IF(S1007&lt;Законод!$C$26,0,(IF(AND(S1007&gt;=Законод!$G$26,S1007&lt;=Законод!$G$27),S1007-Законод!$F$27,IF('01_Доходи'!S1007&gt;=Законод!$H$26,Законод!$G$28,0)))),0)))</f>
        <v>0</v>
      </c>
      <c r="T1011" s="942"/>
      <c r="U1011" s="935" t="s">
        <v>423</v>
      </c>
      <c r="V1011" s="936"/>
      <c r="W1011" s="936"/>
      <c r="X1011" s="936"/>
      <c r="Y1011" s="937"/>
      <c r="Z1011" s="196">
        <f ca="1">IF($B$1003="Лікар загальної практики - сімейний лікар",IF(Z1007&lt;Законод!$C$22,0,(IF(AND(Z1007&gt;=Законод!$G$22,Z1007&lt;=Законод!$G$23),Z1007-Законод!$F$23,IF('01_Доходи'!Z1007&gt;=Законод!$H$22,Законод!$G$24,0)))),IF($B$1003="Лікар-педіатр",IF(Z1007&lt;Законод!$C$18,0,(IF(AND(Z1007&gt;=Законод!$G$18,Z1007&lt;=Законод!$G$19),Z1007-Законод!$F$19,IF('01_Доходи'!Z1007&gt;=Законод!$H$18,Законод!$G$20,0)))),IF($B$1003="Лікар-терапевт",IF(Z1007&lt;Законод!$C$26,0,(IF(AND(Z1007&gt;=Законод!$G$26,Z1007&lt;=Законод!$G$27),Z1007-Законод!$F$27,IF('01_Доходи'!Z1007&gt;=Законод!$H$26,Законод!$G$28,0)))),0)))</f>
        <v>0</v>
      </c>
      <c r="AA1011" s="942"/>
      <c r="AB1011" s="935" t="s">
        <v>423</v>
      </c>
      <c r="AC1011" s="936"/>
      <c r="AD1011" s="936"/>
      <c r="AE1011" s="936"/>
      <c r="AF1011" s="937"/>
      <c r="AG1011" s="196">
        <f ca="1">IF($B$1003="Лікар загальної практики - сімейний лікар",IF(AG1007&lt;Законод!$C$22,0,(IF(AND(AG1007&gt;=Законод!$G$22,AG1007&lt;=Законод!$G$23),AG1007-Законод!$F$23,IF('01_Доходи'!AG1007&gt;=Законод!$H$22,Законод!$G$24,0)))),IF($B$1003="Лікар-педіатр",IF(AG1007&lt;Законод!$C$18,0,(IF(AND(AG1007&gt;=Законод!$G$18,AG1007&lt;=Законод!$G$19),AG1007-Законод!$F$19,IF('01_Доходи'!AG1007&gt;=Законод!$H$18,Законод!$G$20,0)))),IF($B$1003="Лікар-терапевт",IF(AG1007&lt;Законод!$C$26,0,(IF(AND(AG1007&gt;=Законод!$G$26,AG1007&lt;=Законод!$G$27),AG1007-Законод!$F$27,IF('01_Доходи'!AG1007&gt;=Законод!$H$26,Законод!$G$28,0)))),0)))</f>
        <v>0</v>
      </c>
      <c r="AH1011" s="942"/>
      <c r="AI1011" s="201"/>
      <c r="AJ1011" s="945"/>
      <c r="AK1011" s="960"/>
      <c r="AL1011" s="960"/>
      <c r="AM1011" s="927"/>
      <c r="AN1011" s="210">
        <f ca="1">IF(B1003="Лікар загальної практики - сімейний лікар",L1011*Законод!$C$9/4*Законод!$G$16,IF(B1003="Лікар-педіатр",L1011*Законод!$C$9/4*Законод!$G$16,IF(B1003="Лікар-терапевт",L1011*Законод!$C$9/4*Законод!$G$16,0)))</f>
        <v>0</v>
      </c>
      <c r="AO1011" s="210">
        <f ca="1">IF(B1003="Лікар загальної практики - сімейний лікар",S1011*Законод!$C$9/4*Законод!$G$16,IF(B1003="Лікар-педіатр",S1011*Законод!$C$9/4*Законод!$G$16,IF(B1003="Лікар-терапевт",S1011*Законод!$C$9/4*Законод!$G$16,0)))</f>
        <v>0</v>
      </c>
      <c r="AP1011" s="210">
        <f ca="1">IF(B1003="Лікар загальної практики - сімейний лікар",Z1011*Законод!$C$9/4*Законод!$G$16,IF(B1003="Лікар-педіатр",Z1011*Законод!$C$9/4*Законод!$G$16,IF(B1003="Лікар-терапевт",Z1011*Законод!$C$9/4*Законод!$G$16,0)))</f>
        <v>0</v>
      </c>
      <c r="AQ1011" s="210">
        <f ca="1">IF(B1003="Лікар загальної практики - сімейний лікар",AG1011*Законод!$C$9/4*Законод!$G$16,IF(B1003="Лікар-педіатр",AG1011*Законод!$C$9/4*Законод!$G$16,IF(B1003="Лікар-терапевт",AG1011*Законод!$C$9/4*Законод!$G$16,0)))</f>
        <v>0</v>
      </c>
      <c r="AR1011" s="211">
        <f t="shared" si="117"/>
        <v>0</v>
      </c>
    </row>
    <row r="1012" spans="1:44" s="50" customFormat="1" ht="31.9" hidden="1" customHeight="1">
      <c r="A1012" s="197"/>
      <c r="B1012" s="951"/>
      <c r="C1012" s="954"/>
      <c r="D1012" s="957"/>
      <c r="E1012" s="939"/>
      <c r="F1012" s="238" t="str">
        <f ca="1">IF(B1003="Лікар-педіатр",Законод!$H$17,IF(B1003="Лікар загальної практики - сімейний лікар",Законод!$H$21,IF(B1003="Лікар-терапевт",Законод!$H$25,"х")))</f>
        <v>х</v>
      </c>
      <c r="G1012" s="935" t="s">
        <v>423</v>
      </c>
      <c r="H1012" s="936"/>
      <c r="I1012" s="936"/>
      <c r="J1012" s="936"/>
      <c r="K1012" s="937"/>
      <c r="L1012" s="196">
        <f ca="1">IF($B$1003="Лікар загальної практики - сімейний лікар",IF(L1007&lt;Законод!$C$22,0,(IF(AND(L1007&gt;=Законод!$H$22,L1007&lt;=Законод!$H$23),L1007-Законод!$G$23,IF('01_Доходи'!L1007&gt;=Законод!$I$22,Законод!$H$24,0)))),IF($B$1003="Лікар-педіатр",IF(L1007&lt;Законод!$C$18,0,(IF(AND(L1007&gt;=Законод!$H$18,L1007&lt;=Законод!$H$19),L1007-Законод!$G$19,IF('01_Доходи'!L1007&gt;=Законод!$I$18,Законод!$H$20,0)))),IF($B$1003="Лікар-терапевт",IF(L1007&lt;Законод!$C$26,0,(IF(AND(L1007&gt;=Законод!$H$26,L1007&lt;=Законод!$H$27),L1007-Законод!$G$27,IF(L1007&gt;=Законод!$I$26,Законод!$H$28,0)))),0)))</f>
        <v>0</v>
      </c>
      <c r="M1012" s="942"/>
      <c r="N1012" s="935" t="s">
        <v>423</v>
      </c>
      <c r="O1012" s="936"/>
      <c r="P1012" s="936"/>
      <c r="Q1012" s="936"/>
      <c r="R1012" s="937"/>
      <c r="S1012" s="196">
        <f ca="1">IF($B$1003="Лікар загальної практики - сімейний лікар",IF(S1007&lt;Законод!$C$22,0,(IF(AND(S1007&gt;=Законод!$H$22,S1007&lt;=Законод!$H$23),S1007-Законод!$G$23,IF('01_Доходи'!S1007&gt;=Законод!$I$22,Законод!$H$24,0)))),IF($B$1003="Лікар-педіатр",IF(S1007&lt;Законод!$C$18,0,(IF(AND(S1007&gt;=Законод!$H$18,S1007&lt;=Законод!$H$19),S1007-Законод!$G$19,IF('01_Доходи'!S1007&gt;=Законод!$I$18,Законод!$H$20,0)))),IF($B$1003="Лікар-терапевт",IF(S1007&lt;Законод!$C$26,0,(IF(AND(S1007&gt;=Законод!$H$26,S1007&lt;=Законод!$H$27),S1007-Законод!$G$27,IF(S1007&gt;=Законод!$I$26,Законод!$H$28,0)))),0)))</f>
        <v>0</v>
      </c>
      <c r="T1012" s="942"/>
      <c r="U1012" s="935" t="s">
        <v>423</v>
      </c>
      <c r="V1012" s="936"/>
      <c r="W1012" s="936"/>
      <c r="X1012" s="936"/>
      <c r="Y1012" s="937"/>
      <c r="Z1012" s="196">
        <f ca="1">IF($B$1003="Лікар загальної практики - сімейний лікар",IF(Z1007&lt;Законод!$C$22,0,(IF(AND(Z1007&gt;=Законод!$H$22,Z1007&lt;=Законод!$H$23),Z1007-Законод!$G$23,IF('01_Доходи'!Z1007&gt;=Законод!$I$22,Законод!$H$24,0)))),IF($B$1003="Лікар-педіатр",IF(Z1007&lt;Законод!$C$18,0,(IF(AND(Z1007&gt;=Законод!$H$18,Z1007&lt;=Законод!$H$19),Z1007-Законод!$G$19,IF('01_Доходи'!Z1007&gt;=Законод!$I$18,Законод!$H$20,0)))),IF($B$1003="Лікар-терапевт",IF(Z1007&lt;Законод!$C$26,0,(IF(AND(Z1007&gt;=Законод!$H$26,Z1007&lt;=Законод!$H$27),Z1007-Законод!$G$27,IF(Z1007&gt;=Законод!$I$26,Законод!$H$28,0)))),0)))</f>
        <v>0</v>
      </c>
      <c r="AA1012" s="942"/>
      <c r="AB1012" s="935" t="s">
        <v>423</v>
      </c>
      <c r="AC1012" s="936"/>
      <c r="AD1012" s="936"/>
      <c r="AE1012" s="936"/>
      <c r="AF1012" s="937"/>
      <c r="AG1012" s="196">
        <f ca="1">IF($B$1003="Лікар загальної практики - сімейний лікар",IF(AG1007&lt;Законод!$C$22,0,(IF(AND(AG1007&gt;=Законод!$H$22,AG1007&lt;=Законод!$H$23),AG1007-Законод!$G$23,IF('01_Доходи'!AG1007&gt;=Законод!$I$22,Законод!$H$24,0)))),IF($B$1003="Лікар-педіатр",IF(AG1007&lt;Законод!$C$18,0,(IF(AND(AG1007&gt;=Законод!$H$18,AG1007&lt;=Законод!$H$19),AG1007-Законод!$G$19,IF('01_Доходи'!AG1007&gt;=Законод!$I$18,Законод!$H$20,0)))),IF($B$1003="Лікар-терапевт",IF(AG1007&lt;Законод!$C$26,0,(IF(AND(AG1007&gt;=Законод!$H$26,AG1007&lt;=Законод!$H$27),AG1007-Законод!$G$27,IF(AG1007&gt;=Законод!$I$26,Законод!$H$28,0)))),0)))</f>
        <v>0</v>
      </c>
      <c r="AH1012" s="942"/>
      <c r="AI1012" s="201"/>
      <c r="AJ1012" s="945"/>
      <c r="AK1012" s="960"/>
      <c r="AL1012" s="960"/>
      <c r="AM1012" s="927"/>
      <c r="AN1012" s="210">
        <f ca="1">IF(B1003="Лікар загальної практики - сімейний лікар",L1012*Законод!$C$9/4*Законод!$H$16,IF(B1003="Лікар-педіатр",L1012*Законод!$C$9/4*Законод!$H$16,IF(B1003="Лікар-терапевт",L1012*Законод!$C$9/4*Законод!$H$16,0)))</f>
        <v>0</v>
      </c>
      <c r="AO1012" s="210">
        <f ca="1">IF(B1003="Лікар загальної практики - сімейний лікар",S1012*Законод!$C$9/4*Законод!$H$16,IF(B1003="Лікар-педіатр",S1012*Законод!$C$9/4*Законод!$H$16,IF(B1003="Лікар-терапевт",S1012*Законод!$C$9/4*Законод!$H$16,0)))</f>
        <v>0</v>
      </c>
      <c r="AP1012" s="210">
        <f ca="1">IF(B1003="Лікар загальної практики - сімейний лікар",Z1012*Законод!$C$9/4*Законод!$H$16,IF(B1003="Лікар-педіатр",Z1012*Законод!$C$9/4*Законод!$H$16,IF(B1003="Лікар-терапевт",Z1012*Законод!$C$9/4*Законод!$H$16,0)))</f>
        <v>0</v>
      </c>
      <c r="AQ1012" s="210">
        <f ca="1">IF(B1003="Лікар загальної практики - сімейний лікар",AG1012*Законод!$C$9/4*Законод!$H$16,IF(B1003="Лікар-педіатр",AG1012*Законод!$C$9/4*Законод!$H$16,IF(B1003="Лікар-терапевт",AG1012*Законод!$C$9/4*Законод!$H$16,0)))</f>
        <v>0</v>
      </c>
      <c r="AR1012" s="211">
        <f t="shared" si="117"/>
        <v>0</v>
      </c>
    </row>
    <row r="1013" spans="1:44" s="50" customFormat="1" ht="31.9" hidden="1" customHeight="1">
      <c r="A1013" s="197"/>
      <c r="B1013" s="951"/>
      <c r="C1013" s="954"/>
      <c r="D1013" s="957"/>
      <c r="E1013" s="939"/>
      <c r="F1013" s="238" t="str">
        <f ca="1">IF(B1003="Лікар-педіатр",Законод!$I$17,IF(B1003="Лікар загальної практики - сімейний лікар",Законод!$I$21,IF(B1003="Лікар-терапевт",Законод!$I$25,"х")))</f>
        <v>х</v>
      </c>
      <c r="G1013" s="935" t="s">
        <v>423</v>
      </c>
      <c r="H1013" s="936"/>
      <c r="I1013" s="936"/>
      <c r="J1013" s="936"/>
      <c r="K1013" s="937"/>
      <c r="L1013" s="196">
        <f ca="1">IF($B$1003="Лікар загальної практики - сімейний лікар",IF(L1007&lt;Законод!$C$22,0,(IF(AND(L1007&gt;=Законод!$I$22,L1007&lt;=Законод!$I$23),L1007-Законод!$H$23,IF('01_Доходи'!L1007&gt;=Законод!$I$22,Законод!$I$24,0)))),IF($B$1003="Лікар-педіатр",IF(L1007&lt;Законод!$C$18,0,(IF(AND(L1007&gt;=Законод!$I$18,L1007&lt;=Законод!$I$19),L1007-Законод!$H$19,IF('01_Доходи'!L1007&gt;=Законод!$I$18,Законод!$H$20,0)))),IF($B$1003="Лікар-терапевт",IF(L1007&lt;Законод!$C$26,0,(IF(AND(L1007&gt;=Законод!$I$26,L1007&lt;=Законод!$I$27),L1007-Законод!$H$27,IF('01_Доходи'!L1007&gt;=Законод!$I$26,Законод!$H$28,0)))),0)))</f>
        <v>0</v>
      </c>
      <c r="M1013" s="942"/>
      <c r="N1013" s="935" t="s">
        <v>423</v>
      </c>
      <c r="O1013" s="936"/>
      <c r="P1013" s="936"/>
      <c r="Q1013" s="936"/>
      <c r="R1013" s="937"/>
      <c r="S1013" s="196">
        <f ca="1">IF($B$1003="Лікар загальної практики - сімейний лікар",IF(S1007&lt;Законод!$C$22,0,(IF(AND(S1007&gt;=Законод!$I$22,S1007&lt;=Законод!$I$23),S1007-Законод!$H$23,IF('01_Доходи'!S1007&gt;=Законод!$I$22,Законод!$I$24,0)))),IF($B$1003="Лікар-педіатр",IF(S1007&lt;Законод!$C$18,0,(IF(AND(S1007&gt;=Законод!$I$18,S1007&lt;=Законод!$I$19),S1007-Законод!$H$19,IF('01_Доходи'!S1007&gt;=Законод!$I$18,Законод!$H$20,0)))),IF($B$1003="Лікар-терапевт",IF(S1007&lt;Законод!$C$26,0,(IF(AND(S1007&gt;=Законод!$I$26,S1007&lt;=Законод!$I$27),S1007-Законод!$H$27,IF('01_Доходи'!S1007&gt;=Законод!$I$26,Законод!$H$28,0)))),0)))</f>
        <v>0</v>
      </c>
      <c r="T1013" s="942"/>
      <c r="U1013" s="935" t="s">
        <v>423</v>
      </c>
      <c r="V1013" s="936"/>
      <c r="W1013" s="936"/>
      <c r="X1013" s="936"/>
      <c r="Y1013" s="937"/>
      <c r="Z1013" s="196">
        <f ca="1">IF($B$1003="Лікар загальної практики - сімейний лікар",IF(Z1007&lt;Законод!$C$22,0,(IF(AND(Z1007&gt;=Законод!$I$22,Z1007&lt;=Законод!$I$23),Z1007-Законод!$H$23,IF('01_Доходи'!Z1007&gt;=Законод!$I$22,Законод!$I$24,0)))),IF($B$1003="Лікар-педіатр",IF(Z1007&lt;Законод!$C$18,0,(IF(AND(Z1007&gt;=Законод!$I$18,Z1007&lt;=Законод!$I$19),Z1007-Законод!$H$19,IF('01_Доходи'!Z1007&gt;=Законод!$I$18,Законод!$H$20,0)))),IF($B$1003="Лікар-терапевт",IF(Z1007&lt;Законод!$C$26,0,(IF(AND(Z1007&gt;=Законод!$I$26,Z1007&lt;=Законод!$I$27),Z1007-Законод!$H$27,IF('01_Доходи'!Z1007&gt;=Законод!$I$26,Законод!$H$28,0)))),0)))</f>
        <v>0</v>
      </c>
      <c r="AA1013" s="942"/>
      <c r="AB1013" s="935" t="s">
        <v>423</v>
      </c>
      <c r="AC1013" s="936"/>
      <c r="AD1013" s="936"/>
      <c r="AE1013" s="936"/>
      <c r="AF1013" s="937"/>
      <c r="AG1013" s="196">
        <f ca="1">IF($B$1003="Лікар загальної практики - сімейний лікар",IF(AG1007&lt;Законод!$C$22,0,(IF(AND(AG1007&gt;=Законод!$I$22,AG1007&lt;=Законод!$I$23),AG1007-Законод!$H$23,IF('01_Доходи'!AG1007&gt;=Законод!$I$22,Законод!$I$24,0)))),IF($B$1003="Лікар-педіатр",IF(AG1007&lt;Законод!$C$18,0,(IF(AND(AG1007&gt;=Законод!$I$18,AG1007&lt;=Законод!$I$19),AG1007-Законод!$H$19,IF('01_Доходи'!AG1007&gt;=Законод!$I$18,Законод!$H$20,0)))),IF($B$1003="Лікар-терапевт",IF(AG1007&lt;Законод!$C$26,0,(IF(AND(AG1007&gt;=Законод!$I$26,AG1007&lt;=Законод!$I$27),AG1007-Законод!$H$27,IF('01_Доходи'!AG1007&gt;=Законод!$I$26,Законод!$H$28,0)))),0)))</f>
        <v>0</v>
      </c>
      <c r="AH1013" s="942"/>
      <c r="AI1013" s="201"/>
      <c r="AJ1013" s="945"/>
      <c r="AK1013" s="960"/>
      <c r="AL1013" s="960"/>
      <c r="AM1013" s="927"/>
      <c r="AN1013" s="210">
        <f ca="1">IF(B1003="Лікар загальної практики - сімейний лікар",L1013*Законод!$C$9/4*Законод!$I$16,IF(B1003="Лікар-педіатр",L1013*Законод!$C$9/4*Законод!$I$16,IF(B1003="Лікар-терапевт",L1013*Законод!$C$9/4*Законод!$I$16,0)))</f>
        <v>0</v>
      </c>
      <c r="AO1013" s="210">
        <f ca="1">IF(B1003="Лікар загальної практики - сімейний лікар",S1013*Законод!$C$9/4*Законод!$I$16,IF(B1003="Лікар-педіатр",S1013*Законод!$C$9/4*Законод!$I$16,IF(B1003="Лікар-терапевт",S1013*Законод!$C$9/4*Законод!$I$16,0)))</f>
        <v>0</v>
      </c>
      <c r="AP1013" s="210">
        <f ca="1">IF(B1003="Лікар загальної практики - сімейний лікар",Z1013*Законод!$C$9/4*Законод!$I$16,IF(B1003="Лікар-педіатр",Z1013*Законод!$C$9/4*Законод!$I$16,IF(B1003="Лікар-терапевт",Z1013*Законод!$C$9/4*Законод!$I$16,0)))</f>
        <v>0</v>
      </c>
      <c r="AQ1013" s="210">
        <f ca="1">IF(B1003="Лікар загальної практики - сімейний лікар",AG1013*Законод!$C$9/4*Законод!$I$16,IF(B1003="Лікар-педіатр",AG1013*Законод!$C$9/4*Законод!$I$16,IF(B1003="Лікар-терапевт",AG1013*Законод!$C$9/4*Законод!$I$16,0)))</f>
        <v>0</v>
      </c>
      <c r="AR1013" s="211">
        <f t="shared" si="117"/>
        <v>0</v>
      </c>
    </row>
    <row r="1014" spans="1:44" s="218" customFormat="1" ht="31.9" hidden="1" customHeight="1" thickBot="1">
      <c r="A1014" s="213"/>
      <c r="B1014" s="952"/>
      <c r="C1014" s="955"/>
      <c r="D1014" s="958"/>
      <c r="E1014" s="940"/>
      <c r="F1014" s="239" t="str">
        <f ca="1">IF(B1003="Лікар-педіатр",Законод!$J$17,IF(B1003="Лікар загальної практики - сімейний лікар",Законод!$J$21,IF(B1003="Лікар-терапевт",Законод!$J$25,"х")))</f>
        <v>х</v>
      </c>
      <c r="G1014" s="932" t="s">
        <v>423</v>
      </c>
      <c r="H1014" s="933"/>
      <c r="I1014" s="933"/>
      <c r="J1014" s="933"/>
      <c r="K1014" s="934"/>
      <c r="L1014" s="196">
        <f ca="1">IF($B$1003="Лікар загальної практики - сімейний лікар",IF(L1007&gt;=Законод!$J$22,'01_Доходи'!L1007-('01_Доходи'!L1008+'01_Доходи'!L1009+'01_Доходи'!L1010+'01_Доходи'!L1011+'01_Доходи'!L1012+'01_Доходи'!L1013),0),IF($B$1003="Лікар-педіатр",IF(L1007&gt;=Законод!$J$18,'01_Доходи'!L1007-('01_Доходи'!L1008+'01_Доходи'!L1009+'01_Доходи'!L1010+'01_Доходи'!L1011+'01_Доходи'!L1012+'01_Доходи'!L1013),0),IF($B$1003="Лікар-терапевт",IF('01_Доходи'!L1007&gt;=Законод!$J$26,L1007-Законод!$I$27,0),0)))</f>
        <v>0</v>
      </c>
      <c r="M1014" s="943"/>
      <c r="N1014" s="932" t="s">
        <v>423</v>
      </c>
      <c r="O1014" s="933"/>
      <c r="P1014" s="933"/>
      <c r="Q1014" s="933"/>
      <c r="R1014" s="934"/>
      <c r="S1014" s="196">
        <f ca="1">IF($B$1003="Лікар загальної практики - сімейний лікар",IF(S1007&gt;=Законод!$J$22,'01_Доходи'!S1007-('01_Доходи'!S1008+'01_Доходи'!S1009+'01_Доходи'!S1010+'01_Доходи'!S1011+'01_Доходи'!S1012+'01_Доходи'!S1013),0),IF($B$1003="Лікар-педіатр",IF(S1007&gt;=Законод!$J$18,'01_Доходи'!S1007-('01_Доходи'!S1008+'01_Доходи'!S1009+'01_Доходи'!S1010+'01_Доходи'!S1011+'01_Доходи'!S1012+'01_Доходи'!S1013),0),IF($B$1003="Лікар-терапевт",IF('01_Доходи'!S1007&gt;=Законод!$J$26,S1007-Законод!$I$27,0),0)))</f>
        <v>0</v>
      </c>
      <c r="T1014" s="943"/>
      <c r="U1014" s="932" t="s">
        <v>423</v>
      </c>
      <c r="V1014" s="933"/>
      <c r="W1014" s="933"/>
      <c r="X1014" s="933"/>
      <c r="Y1014" s="934"/>
      <c r="Z1014" s="196">
        <f ca="1">IF($B$1003="Лікар загальної практики - сімейний лікар",IF(Z1007&gt;=Законод!$J$22,'01_Доходи'!Z1007-('01_Доходи'!Z1008+'01_Доходи'!Z1009+'01_Доходи'!Z1010+'01_Доходи'!Z1011+'01_Доходи'!Z1012+'01_Доходи'!Z1013),0),IF($B$1003="Лікар-педіатр",IF(Z1007&gt;=Законод!$J$18,'01_Доходи'!Z1007-('01_Доходи'!Z1008+'01_Доходи'!Z1009+'01_Доходи'!Z1010+'01_Доходи'!Z1011+'01_Доходи'!Z1012+'01_Доходи'!Z1013),0),IF($B$1003="Лікар-терапевт",IF('01_Доходи'!Z1007&gt;=Законод!$J$26,Z1007-Законод!$I$27,0),0)))</f>
        <v>0</v>
      </c>
      <c r="AA1014" s="943"/>
      <c r="AB1014" s="932" t="s">
        <v>423</v>
      </c>
      <c r="AC1014" s="933"/>
      <c r="AD1014" s="933"/>
      <c r="AE1014" s="933"/>
      <c r="AF1014" s="934"/>
      <c r="AG1014" s="196">
        <f ca="1">IF($B$1003="Лікар загальної практики - сімейний лікар",IF(AG1007&gt;=Законод!$J$22,'01_Доходи'!AG1007-('01_Доходи'!AG1008+'01_Доходи'!AG1009+'01_Доходи'!AG1010+'01_Доходи'!AG1011+'01_Доходи'!AG1012+'01_Доходи'!AG1013),0),IF($B$1003="Лікар-педіатр",IF(AG1007&gt;=Законод!$J$18,'01_Доходи'!AG1007-('01_Доходи'!AG1008+'01_Доходи'!AG1009+'01_Доходи'!AG1010+'01_Доходи'!AG1011+'01_Доходи'!AG1012+'01_Доходи'!AG1013),0),IF($B$1003="Лікар-терапевт",IF('01_Доходи'!AG1007&gt;=Законод!$J$26,AG1007-Законод!$I$27,0),0)))</f>
        <v>0</v>
      </c>
      <c r="AH1014" s="943"/>
      <c r="AI1014" s="215"/>
      <c r="AJ1014" s="946"/>
      <c r="AK1014" s="961"/>
      <c r="AL1014" s="961"/>
      <c r="AM1014" s="928"/>
      <c r="AN1014" s="216">
        <f ca="1">IF(B1003="Лікар загальної практики - сімейний лікар",L1014*Законод!$C$9/4*Законод!$J$16,IF(B1003="Лікар-педіатр",L1014*Законод!$C$9/4*Законод!$J$16,IF(B1003="Лікар-терапевт",L1014*Законод!$C$9/4*Законод!$J$16,0)))</f>
        <v>0</v>
      </c>
      <c r="AO1014" s="216">
        <f ca="1">IF(B1003="Лікар загальної практики - сімейний лікар",S1014*Законод!$C$9/4*Законод!$J$16,IF(B1003="Лікар-педіатр",S1014*Законод!$C$9/4*Законод!$J$16,IF(B1003="Лікар-терапевт",S1014*Законод!$C$9/4*Законод!$J$16,0)))</f>
        <v>0</v>
      </c>
      <c r="AP1014" s="216">
        <f ca="1">IF(B1003="Лікар загальної практики - сімейний лікар",S1014*Законод!$C$9/4*Законод!$J$16,IF(B1003="Лікар-педіатр",S1014*Законод!$C$9/4*Законод!$J$16,IF(B1003="Лікар-терапевт",S1014*Законод!$C$9/4*Законод!$J$16,0)))</f>
        <v>0</v>
      </c>
      <c r="AQ1014" s="216">
        <f ca="1">IF(B1003="Лікар загальної практики - сімейний лікар",AG1014*Законод!$C$9/4*Законод!$J$16,IF(B1003="Лікар-педіатр",AG1014*Законод!$C$9/4*Законод!$J$16,IF(B1003="Лікар-терапевт",AG1014*Законод!$C$9/4*Законод!$J$16,0)))</f>
        <v>0</v>
      </c>
      <c r="AR1014" s="217">
        <f t="shared" si="117"/>
        <v>0</v>
      </c>
    </row>
    <row r="1015" spans="1:44" s="247" customFormat="1" ht="23.45" hidden="1" customHeight="1" thickBot="1">
      <c r="A1015" s="243"/>
      <c r="B1015" s="244"/>
      <c r="C1015" s="244"/>
      <c r="D1015" s="244"/>
      <c r="E1015" s="244"/>
      <c r="F1015" s="245"/>
      <c r="G1015" s="246"/>
      <c r="H1015" s="246"/>
      <c r="L1015" s="248"/>
      <c r="S1015" s="248"/>
      <c r="Z1015" s="248"/>
      <c r="AG1015" s="248"/>
      <c r="AM1015" s="249"/>
      <c r="AR1015" s="250"/>
    </row>
    <row r="1016" spans="1:44" s="191" customFormat="1" ht="24.6" hidden="1" customHeight="1">
      <c r="A1016" s="194">
        <f>A1003+1</f>
        <v>76</v>
      </c>
      <c r="B1016" s="950"/>
      <c r="C1016" s="953"/>
      <c r="D1016" s="956"/>
      <c r="E1016" s="938"/>
      <c r="F1016" s="234" t="s">
        <v>659</v>
      </c>
      <c r="G1016" s="196">
        <f>IF($B$1016="Лікар-педіатр",G1019*L1016,IF($B$1016="Лікар-терапевт","х",IF($B$1016="Лікар загальної практики - сімейний лікар",G1019*L1016,0)))</f>
        <v>0</v>
      </c>
      <c r="H1016" s="196">
        <f>IF($B$1016="Лікар-педіатр",H1019*L1016,IF($B$1016="Лікар-терапевт","х",IF($B$1016="Лікар загальної практики - сімейний лікар",H1019*L1016,0)))</f>
        <v>0</v>
      </c>
      <c r="I1016" s="196">
        <f>IF($B$1016="Лікар-педіатр","x",IF($B$1016="Лікар-терапевт",I1019*L1016,IF($B$1016="Лікар загальної практики - сімейний лікар",I1019*L1016,0)))</f>
        <v>0</v>
      </c>
      <c r="J1016" s="196">
        <f>IF($B$1016="Лікар-педіатр","x",IF($B$1016="Лікар-терапевт",J1019*L1016,IF($B$1016="Лікар загальної практики - сімейний лікар",J1019*L1016,0)))</f>
        <v>0</v>
      </c>
      <c r="K1016" s="196">
        <f>IF($B$1016="Лікар-педіатр","x",IF($B$1016="Лікар-терапевт",K1019*L1016,IF($B$1016="Лікар загальної практики - сімейний лікар",K1019*L1016,0)))</f>
        <v>0</v>
      </c>
      <c r="L1016" s="557"/>
      <c r="M1016" s="941"/>
      <c r="N1016" s="196">
        <f>IF($B$1016="Лікар-педіатр",N1019*S1016,IF($B$1016="Лікар-терапевт","х",IF($B$1016="Лікар загальної практики - сімейний лікар",N1019*S1016,0)))</f>
        <v>0</v>
      </c>
      <c r="O1016" s="196">
        <f>IF($B$1016="Лікар-педіатр",O1019*S1016,IF($B$1016="Лікар-терапевт","х",IF($B$1016="Лікар загальної практики - сімейний лікар",O1019*S1016,0)))</f>
        <v>0</v>
      </c>
      <c r="P1016" s="196">
        <f>IF($B$1016="Лікар-педіатр","x",IF($B$1016="Лікар-терапевт",P1019*S1016,IF($B$1016="Лікар загальної практики - сімейний лікар",P1019*S1016,0)))</f>
        <v>0</v>
      </c>
      <c r="Q1016" s="196">
        <f>IF($B$1016="Лікар-педіатр","x",IF($B$1016="Лікар-терапевт",Q1019*S1016,IF($B$1016="Лікар загальної практики - сімейний лікар",Q1019*S1016,0)))</f>
        <v>0</v>
      </c>
      <c r="R1016" s="196">
        <f>IF($B$1016="Лікар-педіатр","x",IF($B$1016="Лікар-терапевт",R1019*S1016,IF($B$1016="Лікар загальної практики - сімейний лікар",R1019*S1016,0)))</f>
        <v>0</v>
      </c>
      <c r="S1016" s="557"/>
      <c r="T1016" s="941"/>
      <c r="U1016" s="196">
        <f>IF($B$1016="Лікар-педіатр",U1019*Z1016,IF($B$1016="Лікар-терапевт","х",IF($B$1016="Лікар загальної практики - сімейний лікар",U1019*Z1016,0)))</f>
        <v>0</v>
      </c>
      <c r="V1016" s="196">
        <f>IF($B$1016="Лікар-педіатр",V1019*Z1016,IF($B$1016="Лікар-терапевт","х",IF($B$1016="Лікар загальної практики - сімейний лікар",V1019*Z1016,0)))</f>
        <v>0</v>
      </c>
      <c r="W1016" s="196">
        <f>IF($B$1016="Лікар-педіатр","x",IF($B$1016="Лікар-терапевт",W1019*Z1016,IF($B$1016="Лікар загальної практики - сімейний лікар",W1019*Z1016,0)))</f>
        <v>0</v>
      </c>
      <c r="X1016" s="196">
        <f>IF($B$1016="Лікар-педіатр","x",IF($B$1016="Лікар-терапевт",X1019*Z1016,IF($B$1016="Лікар загальної практики - сімейний лікар",X1019*Z1016,0)))</f>
        <v>0</v>
      </c>
      <c r="Y1016" s="196">
        <f>IF($B$1016="Лікар-педіатр","x",IF($B$1016="Лікар-терапевт",Y1019*Z1016,IF($B$1016="Лікар загальної практики - сімейний лікар",Y1019*Z1016,0)))</f>
        <v>0</v>
      </c>
      <c r="Z1016" s="557"/>
      <c r="AA1016" s="941"/>
      <c r="AB1016" s="196">
        <f>IF($B$1016="Лікар-педіатр",AB1019*AG1016,IF($B$1016="Лікар-терапевт","х",IF($B$1016="Лікар загальної практики - сімейний лікар",AB1019*AG1016,0)))</f>
        <v>0</v>
      </c>
      <c r="AC1016" s="196">
        <f>IF($B$1016="Лікар-педіатр",AC1019*AG1016,IF($B$1016="Лікар-терапевт","х",IF($B$1016="Лікар загальної практики - сімейний лікар",AC1019*AG1016,0)))</f>
        <v>0</v>
      </c>
      <c r="AD1016" s="196">
        <f>IF($B$1016="Лікар-педіатр","x",IF($B$1016="Лікар-терапевт",AD1019*AG1016,IF($B$1016="Лікар загальної практики - сімейний лікар",AD1019*AG1016,0)))</f>
        <v>0</v>
      </c>
      <c r="AE1016" s="196">
        <f>IF($B$1016="Лікар-педіатр","x",IF($B$1016="Лікар-терапевт",AE1019*AG1016,IF($B$1016="Лікар загальної практики - сімейний лікар",AE1019*AG1016,0)))</f>
        <v>0</v>
      </c>
      <c r="AF1016" s="196">
        <f>IF($B$1016="Лікар-педіатр","x",IF($B$1016="Лікар-терапевт",AF1019*AG1016,IF($B$1016="Лікар загальної практики - сімейний лікар",AF1019*AG1016,0)))</f>
        <v>0</v>
      </c>
      <c r="AG1016" s="557"/>
      <c r="AH1016" s="941"/>
      <c r="AI1016" s="540">
        <f>A1016</f>
        <v>76</v>
      </c>
      <c r="AJ1016" s="944">
        <f>B1016</f>
        <v>0</v>
      </c>
      <c r="AK1016" s="959">
        <f>C1016</f>
        <v>0</v>
      </c>
      <c r="AL1016" s="959">
        <f>D1016</f>
        <v>0</v>
      </c>
      <c r="AM1016" s="929" t="s">
        <v>79</v>
      </c>
      <c r="AN1016" s="947">
        <f>SUM(AN1021:AN1027)</f>
        <v>0</v>
      </c>
      <c r="AO1016" s="947">
        <f>SUM(AO1021:AO1027)</f>
        <v>0</v>
      </c>
      <c r="AP1016" s="947">
        <f>SUM(AP1021:AP1027)</f>
        <v>0</v>
      </c>
      <c r="AQ1016" s="947">
        <f>SUM(AQ1021:AQ1027)</f>
        <v>0</v>
      </c>
      <c r="AR1016" s="962">
        <f>SUM(AN1016:AQ1020)</f>
        <v>0</v>
      </c>
    </row>
    <row r="1017" spans="1:44" s="50" customFormat="1" ht="28.15" hidden="1" customHeight="1">
      <c r="A1017" s="197"/>
      <c r="B1017" s="951"/>
      <c r="C1017" s="954"/>
      <c r="D1017" s="957"/>
      <c r="E1017" s="939"/>
      <c r="F1017" s="234" t="s">
        <v>660</v>
      </c>
      <c r="G1017" s="196">
        <f>IF($B$1016="Лікар-педіатр",G1019*L1017,IF($B$1016="Лікар-терапевт","х",IF($B$1016="Лікар загальної практики - сімейний лікар",G1019*L1017,0)))</f>
        <v>0</v>
      </c>
      <c r="H1017" s="196">
        <f>IF($B$1016="Лікар-педіатр",H1019*L1017,IF($B$1016="Лікар-терапевт","х",IF($B$1016="Лікар загальної практики - сімейний лікар",H1019*L1017,0)))</f>
        <v>0</v>
      </c>
      <c r="I1017" s="196">
        <f>IF($B$1016="Лікар-педіатр","x",IF($B$1016="Лікар-терапевт",I1019*L1017,IF($B$1016="Лікар загальної практики - сімейний лікар",I1019*L1017,0)))</f>
        <v>0</v>
      </c>
      <c r="J1017" s="196">
        <f>IF($B$1016="Лікар-педіатр","x",IF($B$1016="Лікар-терапевт",J1019*L1017,IF($B$1016="Лікар загальної практики - сімейний лікар",J1019*L1017,0)))</f>
        <v>0</v>
      </c>
      <c r="K1017" s="196">
        <f>IF($B$1016="Лікар-педіатр","x",IF($B$1016="Лікар-терапевт",K1019*L1017,IF($B$1016="Лікар загальної практики - сімейний лікар",K1019*L1017,0)))</f>
        <v>0</v>
      </c>
      <c r="L1017" s="557"/>
      <c r="M1017" s="942"/>
      <c r="N1017" s="196">
        <f>IF($B$1016="Лікар-педіатр",N1019*S1017,IF($B$1016="Лікар-терапевт","х",IF($B$1016="Лікар загальної практики - сімейний лікар",N1019*S1017,0)))</f>
        <v>0</v>
      </c>
      <c r="O1017" s="196">
        <f>IF($B$1016="Лікар-педіатр",O1019*S1017,IF($B$1016="Лікар-терапевт","х",IF($B$1016="Лікар загальної практики - сімейний лікар",O1019*S1017,0)))</f>
        <v>0</v>
      </c>
      <c r="P1017" s="196">
        <f>IF($B$1016="Лікар-педіатр","x",IF($B$1016="Лікар-терапевт",P1019*S1017,IF($B$1016="Лікар загальної практики - сімейний лікар",P1019*S1017,0)))</f>
        <v>0</v>
      </c>
      <c r="Q1017" s="196">
        <f>IF($B$1016="Лікар-педіатр","x",IF($B$1016="Лікар-терапевт",Q1019*S1017,IF($B$1016="Лікар загальної практики - сімейний лікар",Q1019*S1017,0)))</f>
        <v>0</v>
      </c>
      <c r="R1017" s="196">
        <f>IF($B$1016="Лікар-педіатр","x",IF($B$1016="Лікар-терапевт",R1019*S1017,IF($B$1016="Лікар загальної практики - сімейний лікар",R1019*S1017,0)))</f>
        <v>0</v>
      </c>
      <c r="S1017" s="557"/>
      <c r="T1017" s="942"/>
      <c r="U1017" s="196">
        <f>IF($B$1016="Лікар-педіатр",U1019*Z1017,IF($B$1016="Лікар-терапевт","х",IF($B$1016="Лікар загальної практики - сімейний лікар",U1019*Z1017,0)))</f>
        <v>0</v>
      </c>
      <c r="V1017" s="196">
        <f>IF($B$1016="Лікар-педіатр",V1019*Z1017,IF($B$1016="Лікар-терапевт","х",IF($B$1016="Лікар загальної практики - сімейний лікар",V1019*Z1017,0)))</f>
        <v>0</v>
      </c>
      <c r="W1017" s="196">
        <f>IF($B$1016="Лікар-педіатр","x",IF($B$1016="Лікар-терапевт",W1019*Z1017,IF($B$1016="Лікар загальної практики - сімейний лікар",W1019*Z1017,0)))</f>
        <v>0</v>
      </c>
      <c r="X1017" s="196">
        <f>IF($B$1016="Лікар-педіатр","x",IF($B$1016="Лікар-терапевт",X1019*Z1017,IF($B$1016="Лікар загальної практики - сімейний лікар",X1019*Z1017,0)))</f>
        <v>0</v>
      </c>
      <c r="Y1017" s="196">
        <f>IF($B$1016="Лікар-педіатр","x",IF($B$1016="Лікар-терапевт",Y1019*Z1017,IF($B$1016="Лікар загальної практики - сімейний лікар",Y1019*Z1017,0)))</f>
        <v>0</v>
      </c>
      <c r="Z1017" s="557"/>
      <c r="AA1017" s="942"/>
      <c r="AB1017" s="196">
        <f>IF($B$1016="Лікар-педіатр",AB1019*AG1017,IF($B$1016="Лікар-терапевт","х",IF($B$1016="Лікар загальної практики - сімейний лікар",AB1019*AG1017,0)))</f>
        <v>0</v>
      </c>
      <c r="AC1017" s="196">
        <f>IF($B$1016="Лікар-педіатр",AC1019*AG1017,IF($B$1016="Лікар-терапевт","х",IF($B$1016="Лікар загальної практики - сімейний лікар",AC1019*AG1017,0)))</f>
        <v>0</v>
      </c>
      <c r="AD1017" s="196">
        <f>IF($B$1016="Лікар-педіатр","x",IF($B$1016="Лікар-терапевт",AD1019*AG1017,IF($B$1016="Лікар загальної практики - сімейний лікар",AD1019*AG1017,0)))</f>
        <v>0</v>
      </c>
      <c r="AE1017" s="196">
        <f>IF($B$1016="Лікар-педіатр","x",IF($B$1016="Лікар-терапевт",AE1019*AG1017,IF($B$1016="Лікар загальної практики - сімейний лікар",AE1019*AG1017,0)))</f>
        <v>0</v>
      </c>
      <c r="AF1017" s="196">
        <f>IF($B$1016="Лікар-педіатр","x",IF($B$1016="Лікар-терапевт",AF1019*AG1017,IF($B$1016="Лікар загальної практики - сімейний лікар",AF1019*AG1017,0)))</f>
        <v>0</v>
      </c>
      <c r="AG1017" s="557"/>
      <c r="AH1017" s="942"/>
      <c r="AI1017" s="198"/>
      <c r="AJ1017" s="945"/>
      <c r="AK1017" s="960"/>
      <c r="AL1017" s="960"/>
      <c r="AM1017" s="930"/>
      <c r="AN1017" s="948"/>
      <c r="AO1017" s="948"/>
      <c r="AP1017" s="948"/>
      <c r="AQ1017" s="948"/>
      <c r="AR1017" s="963"/>
    </row>
    <row r="1018" spans="1:44" s="90" customFormat="1" ht="31.15" hidden="1" customHeight="1">
      <c r="A1018" s="240"/>
      <c r="B1018" s="951"/>
      <c r="C1018" s="954"/>
      <c r="D1018" s="957"/>
      <c r="E1018" s="939"/>
      <c r="F1018" s="241" t="s">
        <v>661</v>
      </c>
      <c r="G1018" s="199">
        <f>IF(B1016="Лікар загальної практики - сімейний лікар"," ",IF(B1016="Лікар-педіатр"," ",IF(B1016="Лікар-терапевт","х",0)))</f>
        <v>0</v>
      </c>
      <c r="H1018" s="199">
        <f>IF(B1016="Лікар загальної практики - сімейний лікар"," ",IF(B1016="Лікар-педіатр"," ",IF(B1016="Лікар-терапевт","х",0)))</f>
        <v>0</v>
      </c>
      <c r="I1018" s="199">
        <f>IF(B1016="Лікар загальної практики - сімейний лікар"," ",IF(B1016="Лікар-педіатр","х",IF(B1016="Лікар-терапевт"," ",0)))</f>
        <v>0</v>
      </c>
      <c r="J1018" s="199">
        <f>IF(B1016="Лікар загальної практики - сімейний лікар"," ",IF(B1016="Лікар-педіатр","х",IF(B1016="Лікар-терапевт"," ",0)))</f>
        <v>0</v>
      </c>
      <c r="K1018" s="199">
        <f>IF(B1016="Лікар загальної практики - сімейний лікар"," ",IF(B1016="Лікар-педіатр","х",IF(B1016="Лікар-терапевт"," ",0)))</f>
        <v>0</v>
      </c>
      <c r="L1018" s="200">
        <f>SUM(G1018:K1018)</f>
        <v>0</v>
      </c>
      <c r="M1018" s="942"/>
      <c r="N1018" s="199">
        <f>IF(B1016="Лікар загальної практики - сімейний лікар"," ",IF(B1016="Лікар-педіатр"," ",IF(B1016="Лікар-терапевт","х",0)))</f>
        <v>0</v>
      </c>
      <c r="O1018" s="199">
        <f>IF(B1016="Лікар загальної практики - сімейний лікар"," ",IF(B1016="Лікар-педіатр"," ",IF(B1016="Лікар-терапевт","х",0)))</f>
        <v>0</v>
      </c>
      <c r="P1018" s="199">
        <f>IF(B1016="Лікар загальної практики - сімейний лікар"," ",IF(B1016="Лікар-педіатр","х",IF(B1016="Лікар-терапевт"," ",0)))</f>
        <v>0</v>
      </c>
      <c r="Q1018" s="199">
        <f>IF(B1016="Лікар загальної практики - сімейний лікар"," ",IF(B1016="Лікар-педіатр","х",IF(B1016="Лікар-терапевт"," ",0)))</f>
        <v>0</v>
      </c>
      <c r="R1018" s="199">
        <f>IF(B1016="Лікар загальної практики - сімейний лікар"," ",IF(B1016="Лікар-педіатр","х",IF(B1016="Лікар-терапевт"," ",0)))</f>
        <v>0</v>
      </c>
      <c r="S1018" s="200">
        <f>SUM(N1018:R1018)</f>
        <v>0</v>
      </c>
      <c r="T1018" s="942"/>
      <c r="U1018" s="199">
        <f>IF(B1016="Лікар загальної практики - сімейний лікар"," ",IF(B1016="Лікар-педіатр"," ",IF(B1016="Лікар-терапевт","х",0)))</f>
        <v>0</v>
      </c>
      <c r="V1018" s="199">
        <f>IF(B1016="Лікар загальної практики - сімейний лікар"," ",IF(B1016="Лікар-педіатр"," ",IF(B1016="Лікар-терапевт","х",0)))</f>
        <v>0</v>
      </c>
      <c r="W1018" s="199">
        <f>IF(B1016="Лікар загальної практики - сімейний лікар"," ",IF(B1016="Лікар-педіатр","х",IF(B1016="Лікар-терапевт"," ",0)))</f>
        <v>0</v>
      </c>
      <c r="X1018" s="199">
        <f>IF(B1016="Лікар загальної практики - сімейний лікар"," ",IF(B1016="Лікар-педіатр","х",IF(B1016="Лікар-терапевт"," ",0)))</f>
        <v>0</v>
      </c>
      <c r="Y1018" s="199">
        <f>IF(B1016="Лікар загальної практики - сімейний лікар"," ",IF(B1016="Лікар-педіатр","х",IF(B1016="Лікар-терапевт"," ",0)))</f>
        <v>0</v>
      </c>
      <c r="Z1018" s="200">
        <f>SUM(U1018:Y1018)</f>
        <v>0</v>
      </c>
      <c r="AA1018" s="942"/>
      <c r="AB1018" s="199">
        <f>IF(B1016="Лікар загальної практики - сімейний лікар"," ",IF(B1016="Лікар-педіатр"," ",IF(B1016="Лікар-терапевт","х",0)))</f>
        <v>0</v>
      </c>
      <c r="AC1018" s="199">
        <f>IF(B1016="Лікар загальної практики - сімейний лікар"," ",IF(B1016="Лікар-педіатр"," ",IF(B1016="Лікар-терапевт","х",0)))</f>
        <v>0</v>
      </c>
      <c r="AD1018" s="199">
        <f>IF(B1016="Лікар загальної практики - сімейний лікар"," ",IF(B1016="Лікар-педіатр","х",IF(B1016="Лікар-терапевт"," ",0)))</f>
        <v>0</v>
      </c>
      <c r="AE1018" s="199">
        <f>IF(B1016="Лікар загальної практики - сімейний лікар"," ",IF(B1016="Лікар-педіатр","х",IF(B1016="Лікар-терапевт"," ",0)))</f>
        <v>0</v>
      </c>
      <c r="AF1018" s="199">
        <f>IF(B1016="Лікар загальної практики - сімейний лікар"," ",IF(B1016="Лікар-педіатр","х",IF(B1016="Лікар-терапевт"," ",0)))</f>
        <v>0</v>
      </c>
      <c r="AG1018" s="200">
        <f>SUM(AB1018:AF1018)</f>
        <v>0</v>
      </c>
      <c r="AH1018" s="942"/>
      <c r="AI1018" s="242"/>
      <c r="AJ1018" s="945"/>
      <c r="AK1018" s="960"/>
      <c r="AL1018" s="960"/>
      <c r="AM1018" s="930"/>
      <c r="AN1018" s="948"/>
      <c r="AO1018" s="948"/>
      <c r="AP1018" s="948"/>
      <c r="AQ1018" s="948"/>
      <c r="AR1018" s="963"/>
    </row>
    <row r="1019" spans="1:44" s="50" customFormat="1" ht="31.9" hidden="1" customHeight="1" thickBot="1">
      <c r="A1019" s="197"/>
      <c r="B1019" s="951"/>
      <c r="C1019" s="954"/>
      <c r="D1019" s="957"/>
      <c r="E1019" s="939"/>
      <c r="F1019" s="236" t="s">
        <v>426</v>
      </c>
      <c r="G1019" s="203">
        <f>IF($B$1016="Лікар-педіатр",G1018/L1018,IF($B$1016="Лікар-терапевт","х",IF($B$1016="Лікар загальної практики - сімейний лікар",G1018/L1018,0)))</f>
        <v>0</v>
      </c>
      <c r="H1019" s="203">
        <f>IF($B$1016="Лікар-педіатр",H1018/L1018,IF($B$1016="Лікар-терапевт","х",IF($B$1016="Лікар загальної практики - сімейний лікар",H1018/L1018,0)))</f>
        <v>0</v>
      </c>
      <c r="I1019" s="203">
        <f>IF($B$1016="Лікар-педіатр","x",IF($B$1016="Лікар-терапевт",I1018/L1018,IF($B$1016="Лікар загальної практики - сімейний лікар",I1018/L1018,0)))</f>
        <v>0</v>
      </c>
      <c r="J1019" s="203">
        <f>IF($B$1016="Лікар-педіатр","x",IF($B$1016="Лікар-терапевт",J1018/L1018,IF($B$1016="Лікар загальної практики - сімейний лікар",J1018/L1018,0)))</f>
        <v>0</v>
      </c>
      <c r="K1019" s="203">
        <f>IF($B$1016="Лікар-педіатр","x",IF($B$1016="Лікар-терапевт",K1018/L1018,IF($B$1016="Лікар загальної практики - сімейний лікар",K1018/L1018,0)))</f>
        <v>0</v>
      </c>
      <c r="L1019" s="203">
        <f>SUM(G1019:K1019)</f>
        <v>0</v>
      </c>
      <c r="M1019" s="942"/>
      <c r="N1019" s="203">
        <f>IF($B$1016="Лікар-педіатр",N1018/S1018,IF($B$1016="Лікар-терапевт","х",IF($B$1016="Лікар загальної практики - сімейний лікар",N1018/S1018,0)))</f>
        <v>0</v>
      </c>
      <c r="O1019" s="203">
        <f>IF($B$1016="Лікар-педіатр",O1018/S1018,IF($B$1016="Лікар-терапевт","х",IF($B$1016="Лікар загальної практики - сімейний лікар",O1018/S1018,0)))</f>
        <v>0</v>
      </c>
      <c r="P1019" s="203">
        <f>IF($B$1016="Лікар-педіатр","x",IF($B$1016="Лікар-терапевт",P1018/S1018,IF($B$1016="Лікар загальної практики - сімейний лікар",P1018/S1018,0)))</f>
        <v>0</v>
      </c>
      <c r="Q1019" s="203">
        <f>IF($B$1016="Лікар-педіатр","x",IF($B$1016="Лікар-терапевт",Q1018/S1018,IF($B$1016="Лікар загальної практики - сімейний лікар",Q1018/S1018,0)))</f>
        <v>0</v>
      </c>
      <c r="R1019" s="203">
        <f>IF($B$1016="Лікар-педіатр","x",IF($B$1016="Лікар-терапевт",R1018/S1018,IF($B$1016="Лікар загальної практики - сімейний лікар",R1018/S1018,0)))</f>
        <v>0</v>
      </c>
      <c r="S1019" s="203">
        <f>SUM(N1019:R1019)</f>
        <v>0</v>
      </c>
      <c r="T1019" s="942"/>
      <c r="U1019" s="203">
        <f>IF($B$1016="Лікар-педіатр",U1018/Z1018,IF($B$1016="Лікар-терапевт","х",IF($B$1016="Лікар загальної практики - сімейний лікар",U1018/Z1018,0)))</f>
        <v>0</v>
      </c>
      <c r="V1019" s="203">
        <f>IF($B$1016="Лікар-педіатр",V1018/Z1018,IF($B$1016="Лікар-терапевт","х",IF($B$1016="Лікар загальної практики - сімейний лікар",V1018/Z1018,0)))</f>
        <v>0</v>
      </c>
      <c r="W1019" s="203">
        <f>IF($B$1016="Лікар-педіатр","x",IF($B$1016="Лікар-терапевт",W1018/Z1018,IF($B$1016="Лікар загальної практики - сімейний лікар",W1018/Z1018,0)))</f>
        <v>0</v>
      </c>
      <c r="X1019" s="203">
        <f>IF($B$1016="Лікар-педіатр","x",IF($B$1016="Лікар-терапевт",X1018/Z1018,IF($B$1016="Лікар загальної практики - сімейний лікар",X1018/Z1018,0)))</f>
        <v>0</v>
      </c>
      <c r="Y1019" s="203">
        <f>IF($B$1016="Лікар-педіатр","x",IF($B$1016="Лікар-терапевт",Y1018/Z1018,IF($B$1016="Лікар загальної практики - сімейний лікар",Y1018/Z1018,0)))</f>
        <v>0</v>
      </c>
      <c r="Z1019" s="203">
        <f>SUM(U1019:Y1019)</f>
        <v>0</v>
      </c>
      <c r="AA1019" s="942"/>
      <c r="AB1019" s="203">
        <f>IF($B$1016="Лікар-педіатр",AB1018/AG1018,IF($B$1016="Лікар-терапевт","х",IF($B$1016="Лікар загальної практики - сімейний лікар",AB1018/AG1018,0)))</f>
        <v>0</v>
      </c>
      <c r="AC1019" s="203">
        <f>IF($B$1016="Лікар-педіатр",AC1018/AG1018,IF($B$1016="Лікар-терапевт","х",IF($B$1016="Лікар загальної практики - сімейний лікар",AC1018/AG1018,0)))</f>
        <v>0</v>
      </c>
      <c r="AD1019" s="203">
        <f>IF($B$1016="Лікар-педіатр","x",IF($B$1016="Лікар-терапевт",AD1018/AG1018,IF($B$1016="Лікар загальної практики - сімейний лікар",AD1018/AG1018,0)))</f>
        <v>0</v>
      </c>
      <c r="AE1019" s="203">
        <f>IF($B$1016="Лікар-педіатр","x",IF($B$1016="Лікар-терапевт",AE1018/AG1018,IF($B$1016="Лікар загальної практики - сімейний лікар",AE1018/AG1018,0)))</f>
        <v>0</v>
      </c>
      <c r="AF1019" s="203">
        <f>IF($B$1016="Лікар-педіатр","x",IF($B$1016="Лікар-терапевт",AF1018/AG1018,IF($B$1016="Лікар загальної практики - сімейний лікар",AF1018/AG1018,0)))</f>
        <v>0</v>
      </c>
      <c r="AG1019" s="203">
        <f>SUM(AB1019:AF1019)</f>
        <v>0</v>
      </c>
      <c r="AH1019" s="942"/>
      <c r="AI1019" s="201"/>
      <c r="AJ1019" s="945"/>
      <c r="AK1019" s="960"/>
      <c r="AL1019" s="960"/>
      <c r="AM1019" s="930"/>
      <c r="AN1019" s="948"/>
      <c r="AO1019" s="948"/>
      <c r="AP1019" s="948"/>
      <c r="AQ1019" s="948"/>
      <c r="AR1019" s="963"/>
    </row>
    <row r="1020" spans="1:44" s="50" customFormat="1" ht="45" hidden="1" customHeight="1" thickBot="1">
      <c r="A1020" s="197"/>
      <c r="B1020" s="951"/>
      <c r="C1020" s="954"/>
      <c r="D1020" s="957"/>
      <c r="E1020" s="939"/>
      <c r="F1020" s="204" t="s">
        <v>662</v>
      </c>
      <c r="G1020" s="205">
        <f>IF($B$1016="Лікар загальної практики - сімейний лікар",AVERAGE(G1016:G1018),IF($B$1016="Лікар-педіатр",AVERAGE(G1016:G1018),IF($B$1016="Лікар-терапевт","х",0)))</f>
        <v>0</v>
      </c>
      <c r="H1020" s="205">
        <f>IF($B$1016="Лікар загальної практики - сімейний лікар",AVERAGE(H1016:H1018),IF($B$1016="Лікар-педіатр",AVERAGE(H1016:H1018),IF($B$1016="Лікар-терапевт","х",0)))</f>
        <v>0</v>
      </c>
      <c r="I1020" s="205">
        <f>IF($B$1016="Лікар загальної практики - сімейний лікар",AVERAGE(I1016:I1018),IF($B$1016="Лікар-педіатр","x",IF($B$1016="Лікар-терапевт",AVERAGE(I1016:I1018),0)))</f>
        <v>0</v>
      </c>
      <c r="J1020" s="205">
        <f>IF($B$1016="Лікар загальної практики - сімейний лікар",AVERAGE(J1016:J1018),IF($B$1016="Лікар-педіатр","x",IF($B$1016="Лікар-терапевт",AVERAGE(J1016:J1018),0)))</f>
        <v>0</v>
      </c>
      <c r="K1020" s="205">
        <f>IF($B$1016="Лікар загальної практики - сімейний лікар",AVERAGE(K1016:K1018),IF($B$1016="Лікар-педіатр","x",IF($B$1016="Лікар-терапевт",AVERAGE(K1016:K1018),0)))</f>
        <v>0</v>
      </c>
      <c r="L1020" s="206">
        <f>SUM(G1020:K1020)</f>
        <v>0</v>
      </c>
      <c r="M1020" s="942"/>
      <c r="N1020" s="205">
        <f>IF($B$1016="Лікар загальної практики - сімейний лікар",AVERAGE(N1016:N1018),IF($B$1016="Лікар-педіатр",AVERAGE(N1016:N1018),IF($B$1016="Лікар-терапевт","х",0)))</f>
        <v>0</v>
      </c>
      <c r="O1020" s="205">
        <f>IF($B$1016="Лікар загальної практики - сімейний лікар",AVERAGE(O1016:O1018),IF($B$1016="Лікар-педіатр",AVERAGE(O1016:O1018),IF($B$1016="Лікар-терапевт","х",0)))</f>
        <v>0</v>
      </c>
      <c r="P1020" s="205">
        <f>IF($B$1016="Лікар загальної практики - сімейний лікар",AVERAGE(P1016:P1018),IF($B$1016="Лікар-педіатр","x",IF($B$1016="Лікар-терапевт",AVERAGE(P1016:P1018),0)))</f>
        <v>0</v>
      </c>
      <c r="Q1020" s="205">
        <f>IF($B$1016="Лікар загальної практики - сімейний лікар",AVERAGE(Q1016:Q1018),IF($B$1016="Лікар-педіатр","x",IF($B$1016="Лікар-терапевт",AVERAGE(Q1016:Q1018),0)))</f>
        <v>0</v>
      </c>
      <c r="R1020" s="205">
        <f>IF($B$1016="Лікар загальної практики - сімейний лікар",AVERAGE(R1016:R1018),IF($B$1016="Лікар-педіатр","x",IF($B$1016="Лікар-терапевт",AVERAGE(R1016:R1018),0)))</f>
        <v>0</v>
      </c>
      <c r="S1020" s="206">
        <f>SUM(N1020:R1020)</f>
        <v>0</v>
      </c>
      <c r="T1020" s="942"/>
      <c r="U1020" s="205">
        <f>IF($B$1016="Лікар загальної практики - сімейний лікар",AVERAGE(U1016:U1018),IF($B$1016="Лікар-педіатр",AVERAGE(U1016:U1018),IF($B$1016="Лікар-терапевт","х",0)))</f>
        <v>0</v>
      </c>
      <c r="V1020" s="205">
        <f>IF($B$1016="Лікар загальної практики - сімейний лікар",AVERAGE(V1016:V1018),IF($B$1016="Лікар-педіатр",AVERAGE(V1016:V1018),IF($B$1016="Лікар-терапевт","х",0)))</f>
        <v>0</v>
      </c>
      <c r="W1020" s="205">
        <f>IF($B$1016="Лікар загальної практики - сімейний лікар",AVERAGE(W1016:W1018),IF($B$1016="Лікар-педіатр","x",IF($B$1016="Лікар-терапевт",AVERAGE(W1016:W1018),0)))</f>
        <v>0</v>
      </c>
      <c r="X1020" s="205">
        <f>IF($B$1016="Лікар загальної практики - сімейний лікар",AVERAGE(X1016:X1018),IF($B$1016="Лікар-педіатр","x",IF($B$1016="Лікар-терапевт",AVERAGE(X1016:X1018),0)))</f>
        <v>0</v>
      </c>
      <c r="Y1020" s="205">
        <f>IF($B$1016="Лікар загальної практики - сімейний лікар",AVERAGE(Y1016:Y1018),IF($B$1016="Лікар-педіатр","x",IF($B$1016="Лікар-терапевт",AVERAGE(Y1016:Y1018),0)))</f>
        <v>0</v>
      </c>
      <c r="Z1020" s="206">
        <f>SUM(U1020:Y1020)</f>
        <v>0</v>
      </c>
      <c r="AA1020" s="942"/>
      <c r="AB1020" s="205">
        <f>IF($B$1016="Лікар загальної практики - сімейний лікар",AVERAGE(AB1016:AB1018),IF($B$1016="Лікар-педіатр",AVERAGE(AB1016:AB1018),IF($B$1016="Лікар-терапевт","х",0)))</f>
        <v>0</v>
      </c>
      <c r="AC1020" s="205">
        <f>IF($B$1016="Лікар загальної практики - сімейний лікар",AVERAGE(AC1016:AC1018),IF($B$1016="Лікар-педіатр",AVERAGE(AC1016:AC1018),IF($B$1016="Лікар-терапевт","х",0)))</f>
        <v>0</v>
      </c>
      <c r="AD1020" s="205">
        <f>IF($B$1016="Лікар загальної практики - сімейний лікар",AVERAGE(AD1016:AD1018),IF($B$1016="Лікар-педіатр","x",IF($B$1016="Лікар-терапевт",AVERAGE(AD1016:AD1018),0)))</f>
        <v>0</v>
      </c>
      <c r="AE1020" s="205">
        <f>IF($B$1016="Лікар загальної практики - сімейний лікар",AVERAGE(AE1016:AE1018),IF($B$1016="Лікар-педіатр","x",IF($B$1016="Лікар-терапевт",AVERAGE(AE1016:AE1018),0)))</f>
        <v>0</v>
      </c>
      <c r="AF1020" s="205">
        <f>IF($B$1016="Лікар загальної практики - сімейний лікар",AVERAGE(AF1016:AF1018),IF($B$1016="Лікар-педіатр","x",IF($B$1016="Лікар-терапевт",AVERAGE(AF1016:AF1018),0)))</f>
        <v>0</v>
      </c>
      <c r="AG1020" s="206">
        <f>SUM(AB1020:AF1020)</f>
        <v>0</v>
      </c>
      <c r="AH1020" s="942"/>
      <c r="AI1020" s="201"/>
      <c r="AJ1020" s="945"/>
      <c r="AK1020" s="960"/>
      <c r="AL1020" s="960"/>
      <c r="AM1020" s="931"/>
      <c r="AN1020" s="949"/>
      <c r="AO1020" s="949"/>
      <c r="AP1020" s="949"/>
      <c r="AQ1020" s="949"/>
      <c r="AR1020" s="964"/>
    </row>
    <row r="1021" spans="1:44" s="50" customFormat="1" ht="40.5" hidden="1">
      <c r="A1021" s="197"/>
      <c r="B1021" s="951"/>
      <c r="C1021" s="954"/>
      <c r="D1021" s="957"/>
      <c r="E1021" s="939"/>
      <c r="F1021" s="237" t="str">
        <f ca="1">IF(B1016="Лікар-педіатр",Законод!$C$17,IF(B1016="Лікар загальної практики - сімейний лікар",Законод!$C$21,IF(B1016="Лікар-терапевт",Законод!$C$25,"х")))</f>
        <v>х</v>
      </c>
      <c r="G1021" s="208">
        <f ca="1">IF($B$1016="Лікар загальної практики - сімейний лікар",IF(L1020&lt;=Законод!$C$22,G1020,Законод!$C$22*'01_Доходи'!G1019),IF($B$1016="Лікар-педіатр",IF(L1020&lt;=Законод!$C$18,G1020,Законод!$C$18*'01_Доходи'!G1019),IF($B$1016="Лікар-терапевт","x",0)))</f>
        <v>0</v>
      </c>
      <c r="H1021" s="208">
        <f ca="1">IF($B$1016="Лікар загальної практики - сімейний лікар",IF(L1020&lt;=Законод!$C$22,H1020,Законод!$C$22*'01_Доходи'!H1019),IF($B$1016="Лікар-педіатр",IF(L1020&lt;=Законод!$C$18,H1020,Законод!$C$18*'01_Доходи'!H1019),IF($B$1016="Лікар-терапевт","x",0)))</f>
        <v>0</v>
      </c>
      <c r="I1021" s="208">
        <f ca="1">IF($B$1016="Лікар загальної практики - сімейний лікар",IF(L1020&lt;=Законод!$C$22,I1020,Законод!$C$22*'01_Доходи'!I1019),IF($B$1016="Лікар-педіатр","x",IF($B$1016="Лікар-терапевт",IF(L1020&lt;=Законод!$C$26,I1020,Законод!$C$26*'01_Доходи'!I1019),0)))</f>
        <v>0</v>
      </c>
      <c r="J1021" s="208">
        <f ca="1">IF($B$1016="Лікар загальної практики - сімейний лікар",IF(L1020&lt;=Законод!$C$22,J1020,Законод!$C$22*'01_Доходи'!J1019),IF($B$1016="Лікар-педіатр","x",IF($B$1016="Лікар-терапевт",IF(L1020&lt;=Законод!$C$26,J1020,Законод!$C$26*'01_Доходи'!J1019),0)))</f>
        <v>0</v>
      </c>
      <c r="K1021" s="208">
        <f ca="1">IF($B$1016="Лікар загальної практики - сімейний лікар",IF(L1020&lt;=Законод!$C$22,K1020,Законод!$C$22*'01_Доходи'!K1019),IF($B$1016="Лікар-педіатр","x",IF($B$1016="Лікар-терапевт",IF(L1020&lt;=Законод!$C$26,K1020,Законод!$C$26*'01_Доходи'!K1019),0)))</f>
        <v>0</v>
      </c>
      <c r="L1021" s="209">
        <f ca="1">SUM(G1021:K1021)</f>
        <v>0</v>
      </c>
      <c r="M1021" s="942"/>
      <c r="N1021" s="208">
        <f ca="1">IF($B$1016="Лікар загальної практики - сімейний лікар",IF(S1020&lt;=Законод!$C$22,N1020,Законод!$C$22*'01_Доходи'!N1019),IF($B$1016="Лікар-педіатр",IF(S1020&lt;=Законод!$C$18,N1020,Законод!$C$18*'01_Доходи'!N1019),IF($B$1016="Лікар-терапевт","x",0)))</f>
        <v>0</v>
      </c>
      <c r="O1021" s="208">
        <f ca="1">IF($B$1016="Лікар загальної практики - сімейний лікар",IF(S1020&lt;=Законод!$C$22,O1020,Законод!$C$22*'01_Доходи'!O1019),IF($B$1016="Лікар-педіатр",IF(S1020&lt;=Законод!$C$18,O1020,Законод!$C$18*'01_Доходи'!O1019),IF($B$1016="Лікар-терапевт","x",0)))</f>
        <v>0</v>
      </c>
      <c r="P1021" s="208">
        <f ca="1">IF($B$1016="Лікар загальної практики - сімейний лікар",IF(S1020&lt;=Законод!$C$22,P1020,Законод!$C$22*'01_Доходи'!P1019),IF($B$1016="Лікар-педіатр","x",IF($B$1016="Лікар-терапевт",IF(S1020&lt;=Законод!$C$26,P1020,Законод!$C$26*'01_Доходи'!P1019),0)))</f>
        <v>0</v>
      </c>
      <c r="Q1021" s="208">
        <f ca="1">IF($B$1016="Лікар загальної практики - сімейний лікар",IF(S1020&lt;=Законод!$C$22,Q1020,Законод!$C$22*'01_Доходи'!Q1019),IF($B$1016="Лікар-педіатр","x",IF($B$1016="Лікар-терапевт",IF(S1020&lt;=Законод!$C$26,Q1020,Законод!$C$26*'01_Доходи'!Q1019),0)))</f>
        <v>0</v>
      </c>
      <c r="R1021" s="208">
        <f ca="1">IF($B$1016="Лікар загальної практики - сімейний лікар",IF(S1020&lt;=Законод!$C$22,R1020,Законод!$C$22*'01_Доходи'!R1019),IF($B$1016="Лікар-педіатр","x",IF($B$1016="Лікар-терапевт",IF(S1020&lt;=Законод!$C$26,R1020,Законод!$C$26*'01_Доходи'!R1019),0)))</f>
        <v>0</v>
      </c>
      <c r="S1021" s="209">
        <f ca="1">SUM(N1021:R1021)</f>
        <v>0</v>
      </c>
      <c r="T1021" s="942"/>
      <c r="U1021" s="208">
        <f ca="1">IF($B$1016="Лікар загальної практики - сімейний лікар",IF(Z1020&lt;=Законод!$C$22,U1020,Законод!$C$22*'01_Доходи'!U1019),IF($B$1016="Лікар-педіатр",IF(Z1020&lt;=Законод!$C$18,U1020,Законод!$C$18*'01_Доходи'!U1019),IF($B$1016="Лікар-терапевт","x",0)))</f>
        <v>0</v>
      </c>
      <c r="V1021" s="208">
        <f ca="1">IF($B$1016="Лікар загальної практики - сімейний лікар",IF(Z1020&lt;=Законод!$C$22,V1020,Законод!$C$22*'01_Доходи'!V1019),IF($B$1016="Лікар-педіатр",IF(Z1020&lt;=Законод!$C$18,V1020,Законод!$C$18*'01_Доходи'!V1019),IF($B$1016="Лікар-терапевт","x",0)))</f>
        <v>0</v>
      </c>
      <c r="W1021" s="208">
        <f ca="1">IF($B$1016="Лікар загальної практики - сімейний лікар",IF(Z1020&lt;=Законод!$C$22,W1020,Законод!$C$22*'01_Доходи'!W1019),IF($B$1016="Лікар-педіатр","x",IF($B$1016="Лікар-терапевт",IF(Z1020&lt;=Законод!$C$26,W1020,Законод!$C$26*'01_Доходи'!W1019),0)))</f>
        <v>0</v>
      </c>
      <c r="X1021" s="208">
        <f ca="1">IF($B$1016="Лікар загальної практики - сімейний лікар",IF(Z1020&lt;=Законод!$C$22,X1020,Законод!$C$22*'01_Доходи'!X1019),IF($B$1016="Лікар-педіатр","x",IF($B$1016="Лікар-терапевт",IF(Z1020&lt;=Законод!$C$26,X1020,Законод!$C$26*'01_Доходи'!X1019),0)))</f>
        <v>0</v>
      </c>
      <c r="Y1021" s="208">
        <f ca="1">IF($B$1016="Лікар загальної практики - сімейний лікар",IF(Z1020&lt;=Законод!$C$22,Y1020,Законод!$C$22*'01_Доходи'!Y1019),IF($B$1016="Лікар-педіатр","x",IF($B$1016="Лікар-терапевт",IF(Z1020&lt;=Законод!$C$26,Y1020,Законод!$C$26*'01_Доходи'!Y1019),0)))</f>
        <v>0</v>
      </c>
      <c r="Z1021" s="209">
        <f ca="1">SUM(U1021:Y1021)</f>
        <v>0</v>
      </c>
      <c r="AA1021" s="942"/>
      <c r="AB1021" s="208">
        <f ca="1">IF($B$1016="Лікар загальної практики - сімейний лікар",IF(AG1020&lt;=Законод!$C$22,AB1020,Законод!$C$22*'01_Доходи'!AB1019),IF($B$1016="Лікар-педіатр",IF(AG1020&lt;=Законод!$C$18,AB1020,Законод!$C$18*'01_Доходи'!AB1019),IF($B$1016="Лікар-терапевт","x",0)))</f>
        <v>0</v>
      </c>
      <c r="AC1021" s="208">
        <f ca="1">IF($B$1016="Лікар загальної практики - сімейний лікар",IF(AG1020&lt;=Законод!$C$22,AC1020,Законод!$C$22*'01_Доходи'!AC1019),IF($B$1016="Лікар-педіатр",IF(AG1020&lt;=Законод!$C$18,AC1020,Законод!$C$18*'01_Доходи'!AC1019),IF($B$1016="Лікар-терапевт","x",0)))</f>
        <v>0</v>
      </c>
      <c r="AD1021" s="208">
        <f ca="1">IF($B$1016="Лікар загальної практики - сімейний лікар",IF(AG1020&lt;=Законод!$C$22,AD1020,Законод!$C$22*'01_Доходи'!AD1019),IF($B$1016="Лікар-педіатр","x",IF($B$1016="Лікар-терапевт",IF(AG1020&lt;=Законод!$C$26,AD1020,Законод!$C$26*'01_Доходи'!AD1019),0)))</f>
        <v>0</v>
      </c>
      <c r="AE1021" s="208">
        <f ca="1">IF($B$1016="Лікар загальної практики - сімейний лікар",IF(AG1020&lt;=Законод!$C$22,AE1020,Законод!$C$22*'01_Доходи'!AE1019),IF($B$1016="Лікар-педіатр","x",IF($B$1016="Лікар-терапевт",IF(AG1020&lt;=Законод!$C$26,AE1020,Законод!$C$26*'01_Доходи'!AE1019),0)))</f>
        <v>0</v>
      </c>
      <c r="AF1021" s="208">
        <f ca="1">IF($B$1016="Лікар загальної практики - сімейний лікар",IF(AG1020&lt;=Законод!$C$22,AF1020,Законод!$C$22*'01_Доходи'!AF1019),IF($B$1016="Лікар-педіатр","x",IF($B$1016="Лікар-терапевт",IF(AG1020&lt;=Законод!$C$26,AF1020,Законод!$C$26*'01_Доходи'!AF1019),0)))</f>
        <v>0</v>
      </c>
      <c r="AG1021" s="209">
        <f ca="1">SUM(AB1021:AF1021)</f>
        <v>0</v>
      </c>
      <c r="AH1021" s="942"/>
      <c r="AI1021" s="201"/>
      <c r="AJ1021" s="945"/>
      <c r="AK1021" s="960"/>
      <c r="AL1021" s="960"/>
      <c r="AM1021" s="348" t="s">
        <v>451</v>
      </c>
      <c r="AN1021" s="210">
        <f ca="1">IF(B1016="Лікар загальної практики - сімейний лікар",G1021*Законод!$C$11+'01_Доходи'!H1021*Законод!$D$11+'01_Доходи'!I1021*Законод!$E$11+'01_Доходи'!J1021*Законод!$F$11+'01_Доходи'!K1021*Законод!$G$11,IF(B1016="Лікар-педіатр",G1021*Законод!$C$11+'01_Доходи'!H1021*Законод!$D$11,IF(B1016="Лікар-терапевт",'01_Доходи'!I1021*Законод!$E$11+'01_Доходи'!J1021*Законод!$F$11+'01_Доходи'!K1021*Законод!$G$11,0)))</f>
        <v>0</v>
      </c>
      <c r="AO1021" s="210">
        <f ca="1">IF(B1016="Лікар загальної практики - сімейний лікар",N1021*Законод!$C$11+'01_Доходи'!O1021*Законод!$D$11+'01_Доходи'!P1021*Законод!$E$11+'01_Доходи'!Q1021*Законод!$F$11+'01_Доходи'!R1021*Законод!$G$11,IF(B1016="Лікар-педіатр",N1021*Законод!$C$11+'01_Доходи'!O1021*Законод!$D$11,IF(B1016="Лікар-терапевт",'01_Доходи'!P1021*Законод!$E$11+'01_Доходи'!Q1021*Законод!$F$11+'01_Доходи'!R1021*Законод!$G$11,0)))</f>
        <v>0</v>
      </c>
      <c r="AP1021" s="210">
        <f ca="1">IF(B1016="Лікар загальної практики - сімейний лікар",U1021*Законод!$C$11+'01_Доходи'!V1021*Законод!$D$11+'01_Доходи'!W1021*Законод!$E$11+'01_Доходи'!X1021*Законод!$F$11+'01_Доходи'!Y1021*Законод!$G$11,IF(B1016="Лікар-педіатр",U1021*Законод!$C$11+'01_Доходи'!V1021*Законод!$D$11,IF(B1016="Лікар-терапевт",'01_Доходи'!W1021*Законод!$E$11+'01_Доходи'!X1021*Законод!$F$11+'01_Доходи'!Y1021*Законод!$G$11,0)))</f>
        <v>0</v>
      </c>
      <c r="AQ1021" s="210">
        <f ca="1">IF(B1016="Лікар загальної практики - сімейний лікар",AB1021*Законод!$C$11+'01_Доходи'!AC1021*Законод!$D$11+'01_Доходи'!AD1021*Законод!$E$11+'01_Доходи'!AE1021*Законод!$F$11+'01_Доходи'!AF1021*Законод!$G$11,IF(B1016="Лікар-педіатр",AB1021*Законод!$C$11+'01_Доходи'!AC1021*Законод!$D$11,IF(B1016="Лікар-терапевт",'01_Доходи'!AD1021*Законод!$E$11+'01_Доходи'!AE1021*Законод!$F$11+'01_Доходи'!AF1021*Законод!$G$11,0)))</f>
        <v>0</v>
      </c>
      <c r="AR1021" s="211">
        <f t="shared" ref="AR1021:AR1027" si="118">SUM(AN1021:AQ1021)</f>
        <v>0</v>
      </c>
    </row>
    <row r="1022" spans="1:44" s="50" customFormat="1" ht="31.9" hidden="1" customHeight="1">
      <c r="A1022" s="197"/>
      <c r="B1022" s="951"/>
      <c r="C1022" s="954"/>
      <c r="D1022" s="957"/>
      <c r="E1022" s="939"/>
      <c r="F1022" s="238" t="str">
        <f ca="1">IF(B1016="Лікар-педіатр",Законод!$E$17,IF(B1016="Лікар загальної практики - сімейний лікар",Законод!$E$21,IF(B1016="Лікар-терапевт",Законод!$E$25,"х")))</f>
        <v>х</v>
      </c>
      <c r="G1022" s="935" t="s">
        <v>423</v>
      </c>
      <c r="H1022" s="936"/>
      <c r="I1022" s="936"/>
      <c r="J1022" s="936"/>
      <c r="K1022" s="937"/>
      <c r="L1022" s="196">
        <f ca="1">IF($B$1016="Лікар загальної практики - сімейний лікар",IF(L1020&lt;Законод!$C$22,0,(IF(AND(L1020&gt;=Законод!$E$22,L1020&lt;=Законод!$E$23),L1020-Законод!$C$22,IF('01_Доходи'!L1020&gt;=Законод!$F$22,Законод!$E$24,0)))),IF($B$1016="Лікар-педіатр",IF(L1020&lt;Законод!$C$18,0,(IF(AND(L1020&gt;=Законод!$E$18,L1020&lt;=Законод!$E$19),L1020-Законод!$C$18,IF('01_Доходи'!L1020&gt;=Законод!$F$18,Законод!$E$20,0)))),IF($B$1016="Лікар-терапевт",IF(L1020&lt;Законод!$C$26,0,(IF(AND(L1020&gt;=Законод!$E$26,L1020&lt;=Законод!$E$27),L1020-Законод!$C$26,IF('01_Доходи'!L1020&gt;=Законод!$F$26,Законод!$E$28,0)))),0)))</f>
        <v>0</v>
      </c>
      <c r="M1022" s="942"/>
      <c r="N1022" s="935" t="s">
        <v>423</v>
      </c>
      <c r="O1022" s="936"/>
      <c r="P1022" s="936"/>
      <c r="Q1022" s="936"/>
      <c r="R1022" s="937"/>
      <c r="S1022" s="196">
        <f ca="1">IF($B$1016="Лікар загальної практики - сімейний лікар",IF(S1020&lt;Законод!$C$22,0,(IF(AND(S1020&gt;=Законод!$E$22,S1020&lt;=Законод!$E$23),S1020-Законод!$C$22,IF('01_Доходи'!S1020&gt;=Законод!$F$22,Законод!$E$24,0)))),IF($B$1016="Лікар-педіатр",IF(S1020&lt;Законод!$C$18,0,(IF(AND(S1020&gt;=Законод!$E$18,S1020&lt;=Законод!$E$19),S1020-Законод!$C$18,IF('01_Доходи'!S1020&gt;=Законод!$F$18,Законод!$E$20,0)))),IF($B$1016="Лікар-терапевт",IF(S1020&lt;Законод!$C$26,0,(IF(AND(S1020&gt;=Законод!$E$26,S1020&lt;=Законод!$E$27),S1020-Законод!$C$26,IF('01_Доходи'!S1020&gt;=Законод!$F$26,Законод!$E$28,0)))),0)))</f>
        <v>0</v>
      </c>
      <c r="T1022" s="942"/>
      <c r="U1022" s="935" t="s">
        <v>423</v>
      </c>
      <c r="V1022" s="936"/>
      <c r="W1022" s="936"/>
      <c r="X1022" s="936"/>
      <c r="Y1022" s="937"/>
      <c r="Z1022" s="196">
        <f ca="1">IF($B$1016="Лікар загальної практики - сімейний лікар",IF(Z1020&lt;Законод!$C$22,0,(IF(AND(Z1020&gt;=Законод!$E$22,Z1020&lt;=Законод!$E$23),Z1020-Законод!$C$22,IF('01_Доходи'!Z1020&gt;=Законод!$F$22,Законод!$E$24,0)))),IF($B$1016="Лікар-педіатр",IF(Z1020&lt;Законод!$C$18,0,(IF(AND(Z1020&gt;=Законод!$E$18,Z1020&lt;=Законод!$E$19),Z1020-Законод!$C$18,IF('01_Доходи'!Z1020&gt;=Законод!$F$18,Законод!$E$20,0)))),IF($B$1016="Лікар-терапевт",IF(Z1020&lt;Законод!$C$26,0,(IF(AND(Z1020&gt;=Законод!$E$26,Z1020&lt;=Законод!$E$27),Z1020-Законод!$C$26,IF('01_Доходи'!Z1020&gt;=Законод!$F$26,Законод!$E$28,0)))),0)))</f>
        <v>0</v>
      </c>
      <c r="AA1022" s="942"/>
      <c r="AB1022" s="935" t="s">
        <v>423</v>
      </c>
      <c r="AC1022" s="936"/>
      <c r="AD1022" s="936"/>
      <c r="AE1022" s="936"/>
      <c r="AF1022" s="937"/>
      <c r="AG1022" s="196">
        <f ca="1">IF($B$1016="Лікар загальної практики - сімейний лікар",IF(AG1020&lt;Законод!$C$22,0,(IF(AND(AG1020&gt;=Законод!$E$22,AG1020&lt;=Законод!$E$23),AG1020-Законод!$C$22,IF('01_Доходи'!AG1020&gt;=Законод!$F$22,Законод!$E$24,0)))),IF($B$1016="Лікар-педіатр",IF(AG1020&lt;Законод!$C$18,0,(IF(AND(AG1020&gt;=Законод!$E$18,AG1020&lt;=Законод!$E$19),AG1020-Законод!$C$18,IF('01_Доходи'!AG1020&gt;=Законод!$F$18,Законод!$E$20,0)))),IF($B$1016="Лікар-терапевт",IF(AG1020&lt;Законод!$C$26,0,(IF(AND(AG1020&gt;=Законод!$E$26,AG1020&lt;=Законод!$E$27),AG1020-Законод!$C$26,IF('01_Доходи'!AG1020&gt;=Законод!$F$26,Законод!$E$28,0)))),0)))</f>
        <v>0</v>
      </c>
      <c r="AH1022" s="942"/>
      <c r="AI1022" s="201"/>
      <c r="AJ1022" s="945"/>
      <c r="AK1022" s="960"/>
      <c r="AL1022" s="960"/>
      <c r="AM1022" s="926" t="s">
        <v>452</v>
      </c>
      <c r="AN1022" s="210">
        <f ca="1">IF(B1016="Лікар загальної практики - сімейний лікар",L1022*Законод!$C$9/4*Законод!$E$16,IF(B1016="Лікар-педіатр",L1022*Законод!$C$9/4*Законод!$E$16,IF(B1016="Лікар-терапевт",L1022*Законод!$C$9/4*Законод!$E$16,0)))</f>
        <v>0</v>
      </c>
      <c r="AO1022" s="210">
        <f ca="1">IF(B1016="Лікар загальної практики - сімейний лікар",S1022*Законод!$C$9/4*Законод!$E$16,IF(B1016="Лікар-педіатр",S1022*Законод!$C$9/4*Законод!$E$16,IF(B1016="Лікар-терапевт",S1022*Законод!$C$9/4*Законод!$E$16,0)))</f>
        <v>0</v>
      </c>
      <c r="AP1022" s="210">
        <f ca="1">IF(B1016="Лікар загальної практики - сімейний лікар",Z1022*Законод!$C$9/4*Законод!$E$16,IF(B1016="Лікар-педіатр",Z1022*Законод!$C$9/4*Законод!$E$16,IF(B1016="Лікар-терапевт",Z1022*Законод!$C$9/4*Законод!$E$16,0)))</f>
        <v>0</v>
      </c>
      <c r="AQ1022" s="210">
        <f ca="1">IF(B1016="Лікар загальної практики - сімейний лікар",AG1022*Законод!$C$9/4*Законод!$E$16,IF(B1016="Лікар-педіатр",AG1022*Законод!$C$9/4*Законод!$E$16,IF(B1016="Лікар-терапевт",AG1022*Законод!$C$9/4*Законод!$E$16,0)))</f>
        <v>0</v>
      </c>
      <c r="AR1022" s="211">
        <f t="shared" si="118"/>
        <v>0</v>
      </c>
    </row>
    <row r="1023" spans="1:44" s="50" customFormat="1" ht="31.9" hidden="1" customHeight="1">
      <c r="A1023" s="197"/>
      <c r="B1023" s="951"/>
      <c r="C1023" s="954"/>
      <c r="D1023" s="957"/>
      <c r="E1023" s="939"/>
      <c r="F1023" s="238" t="str">
        <f ca="1">IF(B1016="Лікар-педіатр",Законод!$F$17,IF(B1016="Лікар загальної практики - сімейний лікар",Законод!$F$21,IF(B1016="Лікар-терапевт",Законод!$F$25,"х")))</f>
        <v>х</v>
      </c>
      <c r="G1023" s="935" t="s">
        <v>423</v>
      </c>
      <c r="H1023" s="936"/>
      <c r="I1023" s="936"/>
      <c r="J1023" s="936"/>
      <c r="K1023" s="937"/>
      <c r="L1023" s="196">
        <f ca="1">IF($B$1016="Лікар загальної практики - сімейний лікар",IF(L1020&lt;Законод!$C$22,0,(IF(AND(L1020&gt;=Законод!$F$22,L1020&lt;=Законод!$F$23),L1020-Законод!$E$23,IF('01_Доходи'!L1020&gt;=Законод!$G$22,Законод!$F$24,0)))),IF($B$1016="Лікар-педіатр",IF(L1020&lt;Законод!$C$18,0,(IF(AND(L1020&gt;=Законод!$F$18,L1020&lt;=Законод!$F$19),L1020-Законод!$E$19,IF('01_Доходи'!L1020&gt;=Законод!$G$18,Законод!$F$20,0)))),IF($B$1016="Лікар-терапевт",IF(L1020&lt;Законод!$C$26,0,(IF(AND(L1020&gt;=Законод!$F$26,L1020&lt;=Законод!$F$27),L1020-Законод!$E$27,IF('01_Доходи'!L1020&gt;=Законод!$G$26,Законод!$F$28,0)))),0)))</f>
        <v>0</v>
      </c>
      <c r="M1023" s="942"/>
      <c r="N1023" s="935" t="s">
        <v>423</v>
      </c>
      <c r="O1023" s="936"/>
      <c r="P1023" s="936"/>
      <c r="Q1023" s="936"/>
      <c r="R1023" s="937"/>
      <c r="S1023" s="196">
        <f ca="1">IF($B$1016="Лікар загальної практики - сімейний лікар",IF(S1020&lt;Законод!$C$22,0,(IF(AND(S1020&gt;=Законод!$F$22,S1020&lt;=Законод!$F$23),S1020-Законод!$E$23,IF('01_Доходи'!S1020&gt;=Законод!$G$22,Законод!$F$24,0)))),IF($B$1016="Лікар-педіатр",IF(S1020&lt;Законод!$C$18,0,(IF(AND(S1020&gt;=Законод!$F$18,S1020&lt;=Законод!$F$19),S1020-Законод!$E$19,IF('01_Доходи'!S1020&gt;=Законод!$G$18,Законод!$F$20,0)))),IF($B$1016="Лікар-терапевт",IF(S1020&lt;Законод!$C$26,0,(IF(AND(S1020&gt;=Законод!$F$26,S1020&lt;=Законод!$F$27),S1020-Законод!$E$27,IF('01_Доходи'!S1020&gt;=Законод!$G$26,Законод!$F$28,0)))),0)))</f>
        <v>0</v>
      </c>
      <c r="T1023" s="942"/>
      <c r="U1023" s="935" t="s">
        <v>423</v>
      </c>
      <c r="V1023" s="936"/>
      <c r="W1023" s="936"/>
      <c r="X1023" s="936"/>
      <c r="Y1023" s="937"/>
      <c r="Z1023" s="196">
        <f ca="1">IF($B$1016="Лікар загальної практики - сімейний лікар",IF(Z1020&lt;Законод!$C$22,0,(IF(AND(Z1020&gt;=Законод!$F$22,Z1020&lt;=Законод!$F$23),Z1020-Законод!$E$23,IF('01_Доходи'!Z1020&gt;=Законод!$G$22,Законод!$F$24,0)))),IF($B$1016="Лікар-педіатр",IF(Z1020&lt;Законод!$C$18,0,(IF(AND(Z1020&gt;=Законод!$F$18,Z1020&lt;=Законод!$F$19),Z1020-Законод!$E$19,IF('01_Доходи'!Z1020&gt;=Законод!$G$18,Законод!$F$20,0)))),IF($B$1016="Лікар-терапевт",IF(Z1020&lt;Законод!$C$26,0,(IF(AND(Z1020&gt;=Законод!$F$26,Z1020&lt;=Законод!$F$27),Z1020-Законод!$E$27,IF('01_Доходи'!Z1020&gt;=Законод!$G$26,Законод!$F$28,0)))),0)))</f>
        <v>0</v>
      </c>
      <c r="AA1023" s="942"/>
      <c r="AB1023" s="935" t="s">
        <v>423</v>
      </c>
      <c r="AC1023" s="936"/>
      <c r="AD1023" s="936"/>
      <c r="AE1023" s="936"/>
      <c r="AF1023" s="937"/>
      <c r="AG1023" s="196">
        <f ca="1">IF($B$1016="Лікар загальної практики - сімейний лікар",IF(AG1020&lt;Законод!$C$22,0,(IF(AND(AG1020&gt;=Законод!$F$22,AG1020&lt;=Законод!$F$23),AG1020-Законод!$E$23,IF('01_Доходи'!AG1020&gt;=Законод!$G$22,Законод!$F$24,0)))),IF($B$1016="Лікар-педіатр",IF(AG1020&lt;Законод!$C$18,0,(IF(AND(AG1020&gt;=Законод!$F$18,AG1020&lt;=Законод!$F$19),AG1020-Законод!$E$19,IF('01_Доходи'!AG1020&gt;=Законод!$G$18,Законод!$F$20,0)))),IF($B$1016="Лікар-терапевт",IF(AG1020&lt;Законод!$C$26,0,(IF(AND(AG1020&gt;=Законод!$F$26,AG1020&lt;=Законод!$F$27),AG1020-Законод!$E$27,IF('01_Доходи'!AG1020&gt;=Законод!$G$26,Законод!$F$28,0)))),0)))</f>
        <v>0</v>
      </c>
      <c r="AH1023" s="942"/>
      <c r="AI1023" s="201"/>
      <c r="AJ1023" s="945"/>
      <c r="AK1023" s="960"/>
      <c r="AL1023" s="960"/>
      <c r="AM1023" s="927"/>
      <c r="AN1023" s="210">
        <f ca="1">IF(B1016="Лікар загальної практики - сімейний лікар",L1023*Законод!$C$9/4*Законод!$F$16,IF(B1016="Лікар-педіатр",L1023*Законод!$C$9/4*Законод!$F$16,IF(B1016="Лікар-терапевт",L1023*Законод!$C$9/4*Законод!$F$16,0)))</f>
        <v>0</v>
      </c>
      <c r="AO1023" s="210">
        <f ca="1">IF(B1016="Лікар загальної практики - сімейний лікар",S1023*Законод!$C$9/4*Законод!$F$16,IF(B1016="Лікар-педіатр",S1023*Законод!$C$9/4*Законод!$F$16,IF(B1016="Лікар-терапевт",S1023*Законод!$C$9/4*Законод!$F$16,0)))</f>
        <v>0</v>
      </c>
      <c r="AP1023" s="210">
        <f ca="1">IF(B1016="Лікар загальної практики - сімейний лікар",Z1023*Законод!$C$9/4*Законод!$F$16,IF(B1016="Лікар-педіатр",Z1023*Законод!$C$9/4*Законод!$F$16,IF(B1016="Лікар-терапевт",Z1023*Законод!$C$9/4*Законод!$F$16,0)))</f>
        <v>0</v>
      </c>
      <c r="AQ1023" s="210">
        <f ca="1">IF(B1016="Лікар загальної практики - сімейний лікар",AG1023*Законод!$C$9/4*Законод!$F$16,IF(B1016="Лікар-педіатр",AG1023*Законод!$C$9/4*Законод!$F$16,IF(B1016="Лікар-терапевт",AG1023*Законод!$C$9/4*Законод!$F$16,0)))</f>
        <v>0</v>
      </c>
      <c r="AR1023" s="211">
        <f t="shared" si="118"/>
        <v>0</v>
      </c>
    </row>
    <row r="1024" spans="1:44" s="50" customFormat="1" ht="31.9" hidden="1" customHeight="1">
      <c r="A1024" s="197"/>
      <c r="B1024" s="951"/>
      <c r="C1024" s="954"/>
      <c r="D1024" s="957"/>
      <c r="E1024" s="939"/>
      <c r="F1024" s="238" t="str">
        <f ca="1">IF(B1016="Лікар-педіатр",Законод!$G$17,IF(B1016="Лікар загальної практики - сімейний лікар",Законод!$G$21,IF(B1016="Лікар-терапевт",Законод!$G$25,"х")))</f>
        <v>х</v>
      </c>
      <c r="G1024" s="935" t="s">
        <v>423</v>
      </c>
      <c r="H1024" s="936"/>
      <c r="I1024" s="936"/>
      <c r="J1024" s="936"/>
      <c r="K1024" s="937"/>
      <c r="L1024" s="196">
        <f ca="1">IF($B$1016="Лікар загальної практики - сімейний лікар",IF(L1020&lt;Законод!$C$22,0,(IF(AND(L1020&gt;=Законод!$G$22,L1020&lt;=Законод!$G$23),L1020-Законод!$F$23,IF('01_Доходи'!L1020&gt;=Законод!$H$22,Законод!$G$24,0)))),IF($B$1016="Лікар-педіатр",IF(L1020&lt;Законод!$C$18,0,(IF(AND(L1020&gt;=Законод!$G$18,L1020&lt;=Законод!$G$19),L1020-Законод!$F$19,IF('01_Доходи'!L1020&gt;=Законод!$H$18,Законод!$G$20,0)))),IF($B$1016="Лікар-терапевт",IF(L1020&lt;Законод!$C$26,0,(IF(AND(L1020&gt;=Законод!$G$26,L1020&lt;=Законод!$G$27),L1020-Законод!$F$27,IF('01_Доходи'!L1020&gt;=Законод!$H$26,Законод!$G$28,0)))),0)))</f>
        <v>0</v>
      </c>
      <c r="M1024" s="942"/>
      <c r="N1024" s="935" t="s">
        <v>423</v>
      </c>
      <c r="O1024" s="936"/>
      <c r="P1024" s="936"/>
      <c r="Q1024" s="936"/>
      <c r="R1024" s="937"/>
      <c r="S1024" s="196">
        <f ca="1">IF($B$1016="Лікар загальної практики - сімейний лікар",IF(S1020&lt;Законод!$C$22,0,(IF(AND(S1020&gt;=Законод!$G$22,S1020&lt;=Законод!$G$23),S1020-Законод!$F$23,IF('01_Доходи'!S1020&gt;=Законод!$H$22,Законод!$G$24,0)))),IF($B$1016="Лікар-педіатр",IF(S1020&lt;Законод!$C$18,0,(IF(AND(S1020&gt;=Законод!$G$18,S1020&lt;=Законод!$G$19),S1020-Законод!$F$19,IF('01_Доходи'!S1020&gt;=Законод!$H$18,Законод!$G$20,0)))),IF($B$1016="Лікар-терапевт",IF(S1020&lt;Законод!$C$26,0,(IF(AND(S1020&gt;=Законод!$G$26,S1020&lt;=Законод!$G$27),S1020-Законод!$F$27,IF('01_Доходи'!S1020&gt;=Законод!$H$26,Законод!$G$28,0)))),0)))</f>
        <v>0</v>
      </c>
      <c r="T1024" s="942"/>
      <c r="U1024" s="935" t="s">
        <v>423</v>
      </c>
      <c r="V1024" s="936"/>
      <c r="W1024" s="936"/>
      <c r="X1024" s="936"/>
      <c r="Y1024" s="937"/>
      <c r="Z1024" s="196">
        <f ca="1">IF($B$1016="Лікар загальної практики - сімейний лікар",IF(Z1020&lt;Законод!$C$22,0,(IF(AND(Z1020&gt;=Законод!$G$22,Z1020&lt;=Законод!$G$23),Z1020-Законод!$F$23,IF('01_Доходи'!Z1020&gt;=Законод!$H$22,Законод!$G$24,0)))),IF($B$1016="Лікар-педіатр",IF(Z1020&lt;Законод!$C$18,0,(IF(AND(Z1020&gt;=Законод!$G$18,Z1020&lt;=Законод!$G$19),Z1020-Законод!$F$19,IF('01_Доходи'!Z1020&gt;=Законод!$H$18,Законод!$G$20,0)))),IF($B$1016="Лікар-терапевт",IF(Z1020&lt;Законод!$C$26,0,(IF(AND(Z1020&gt;=Законод!$G$26,Z1020&lt;=Законод!$G$27),Z1020-Законод!$F$27,IF('01_Доходи'!Z1020&gt;=Законод!$H$26,Законод!$G$28,0)))),0)))</f>
        <v>0</v>
      </c>
      <c r="AA1024" s="942"/>
      <c r="AB1024" s="935" t="s">
        <v>423</v>
      </c>
      <c r="AC1024" s="936"/>
      <c r="AD1024" s="936"/>
      <c r="AE1024" s="936"/>
      <c r="AF1024" s="937"/>
      <c r="AG1024" s="196">
        <f ca="1">IF($B$1016="Лікар загальної практики - сімейний лікар",IF(AG1020&lt;Законод!$C$22,0,(IF(AND(AG1020&gt;=Законод!$G$22,AG1020&lt;=Законод!$G$23),AG1020-Законод!$F$23,IF('01_Доходи'!AG1020&gt;=Законод!$H$22,Законод!$G$24,0)))),IF($B$1016="Лікар-педіатр",IF(AG1020&lt;Законод!$C$18,0,(IF(AND(AG1020&gt;=Законод!$G$18,AG1020&lt;=Законод!$G$19),AG1020-Законод!$F$19,IF('01_Доходи'!AG1020&gt;=Законод!$H$18,Законод!$G$20,0)))),IF($B$1016="Лікар-терапевт",IF(AG1020&lt;Законод!$C$26,0,(IF(AND(AG1020&gt;=Законод!$G$26,AG1020&lt;=Законод!$G$27),AG1020-Законод!$F$27,IF('01_Доходи'!AG1020&gt;=Законод!$H$26,Законод!$G$28,0)))),0)))</f>
        <v>0</v>
      </c>
      <c r="AH1024" s="942"/>
      <c r="AI1024" s="201"/>
      <c r="AJ1024" s="945"/>
      <c r="AK1024" s="960"/>
      <c r="AL1024" s="960"/>
      <c r="AM1024" s="927"/>
      <c r="AN1024" s="210">
        <f ca="1">IF(B1016="Лікар загальної практики - сімейний лікар",L1024*Законод!$C$9/4*Законод!$G$16,IF(B1016="Лікар-педіатр",L1024*Законод!$C$9/4*Законод!$G$16,IF(B1016="Лікар-терапевт",L1024*Законод!$C$9/4*Законод!$G$16,0)))</f>
        <v>0</v>
      </c>
      <c r="AO1024" s="210">
        <f ca="1">IF(B1016="Лікар загальної практики - сімейний лікар",S1024*Законод!$C$9/4*Законод!$G$16,IF(B1016="Лікар-педіатр",S1024*Законод!$C$9/4*Законод!$G$16,IF(B1016="Лікар-терапевт",S1024*Законод!$C$9/4*Законод!$G$16,0)))</f>
        <v>0</v>
      </c>
      <c r="AP1024" s="210">
        <f ca="1">IF(B1016="Лікар загальної практики - сімейний лікар",Z1024*Законод!$C$9/4*Законод!$G$16,IF(B1016="Лікар-педіатр",Z1024*Законод!$C$9/4*Законод!$G$16,IF(B1016="Лікар-терапевт",Z1024*Законод!$C$9/4*Законод!$G$16,0)))</f>
        <v>0</v>
      </c>
      <c r="AQ1024" s="210">
        <f ca="1">IF(B1016="Лікар загальної практики - сімейний лікар",AG1024*Законод!$C$9/4*Законод!$G$16,IF(B1016="Лікар-педіатр",AG1024*Законод!$C$9/4*Законод!$G$16,IF(B1016="Лікар-терапевт",AG1024*Законод!$C$9/4*Законод!$G$16,0)))</f>
        <v>0</v>
      </c>
      <c r="AR1024" s="211">
        <f t="shared" si="118"/>
        <v>0</v>
      </c>
    </row>
    <row r="1025" spans="1:44" s="50" customFormat="1" ht="31.9" hidden="1" customHeight="1">
      <c r="A1025" s="197"/>
      <c r="B1025" s="951"/>
      <c r="C1025" s="954"/>
      <c r="D1025" s="957"/>
      <c r="E1025" s="939"/>
      <c r="F1025" s="238" t="str">
        <f ca="1">IF(B1016="Лікар-педіатр",Законод!$H$17,IF(B1016="Лікар загальної практики - сімейний лікар",Законод!$H$21,IF(B1016="Лікар-терапевт",Законод!$H$25,"х")))</f>
        <v>х</v>
      </c>
      <c r="G1025" s="935" t="s">
        <v>423</v>
      </c>
      <c r="H1025" s="936"/>
      <c r="I1025" s="936"/>
      <c r="J1025" s="936"/>
      <c r="K1025" s="937"/>
      <c r="L1025" s="196">
        <f ca="1">IF($B$1016="Лікар загальної практики - сімейний лікар",IF(L1020&lt;Законод!$C$22,0,(IF(AND(L1020&gt;=Законод!$H$22,L1020&lt;=Законод!$H$23),L1020-Законод!$G$23,IF('01_Доходи'!L1020&gt;=Законод!$I$22,Законод!$H$24,0)))),IF($B$1016="Лікар-педіатр",IF(L1020&lt;Законод!$C$18,0,(IF(AND(L1020&gt;=Законод!$H$18,L1020&lt;=Законод!$H$19),L1020-Законод!$G$19,IF('01_Доходи'!L1020&gt;=Законод!$I$18,Законод!$H$20,0)))),IF($B$1016="Лікар-терапевт",IF(L1020&lt;Законод!$C$26,0,(IF(AND(L1020&gt;=Законод!$H$26,L1020&lt;=Законод!$H$27),L1020-Законод!$G$27,IF(L1020&gt;=Законод!$I$26,Законод!$H$28,0)))),0)))</f>
        <v>0</v>
      </c>
      <c r="M1025" s="942"/>
      <c r="N1025" s="935" t="s">
        <v>423</v>
      </c>
      <c r="O1025" s="936"/>
      <c r="P1025" s="936"/>
      <c r="Q1025" s="936"/>
      <c r="R1025" s="937"/>
      <c r="S1025" s="196">
        <f ca="1">IF($B$1016="Лікар загальної практики - сімейний лікар",IF(S1020&lt;Законод!$C$22,0,(IF(AND(S1020&gt;=Законод!$H$22,S1020&lt;=Законод!$H$23),S1020-Законод!$G$23,IF('01_Доходи'!S1020&gt;=Законод!$I$22,Законод!$H$24,0)))),IF($B$1016="Лікар-педіатр",IF(S1020&lt;Законод!$C$18,0,(IF(AND(S1020&gt;=Законод!$H$18,S1020&lt;=Законод!$H$19),S1020-Законод!$G$19,IF('01_Доходи'!S1020&gt;=Законод!$I$18,Законод!$H$20,0)))),IF($B$1016="Лікар-терапевт",IF(S1020&lt;Законод!$C$26,0,(IF(AND(S1020&gt;=Законод!$H$26,S1020&lt;=Законод!$H$27),S1020-Законод!$G$27,IF(S1020&gt;=Законод!$I$26,Законод!$H$28,0)))),0)))</f>
        <v>0</v>
      </c>
      <c r="T1025" s="942"/>
      <c r="U1025" s="935" t="s">
        <v>423</v>
      </c>
      <c r="V1025" s="936"/>
      <c r="W1025" s="936"/>
      <c r="X1025" s="936"/>
      <c r="Y1025" s="937"/>
      <c r="Z1025" s="196">
        <f ca="1">IF($B$1016="Лікар загальної практики - сімейний лікар",IF(Z1020&lt;Законод!$C$22,0,(IF(AND(Z1020&gt;=Законод!$H$22,Z1020&lt;=Законод!$H$23),Z1020-Законод!$G$23,IF('01_Доходи'!Z1020&gt;=Законод!$I$22,Законод!$H$24,0)))),IF($B$1016="Лікар-педіатр",IF(Z1020&lt;Законод!$C$18,0,(IF(AND(Z1020&gt;=Законод!$H$18,Z1020&lt;=Законод!$H$19),Z1020-Законод!$G$19,IF('01_Доходи'!Z1020&gt;=Законод!$I$18,Законод!$H$20,0)))),IF($B$1016="Лікар-терапевт",IF(Z1020&lt;Законод!$C$26,0,(IF(AND(Z1020&gt;=Законод!$H$26,Z1020&lt;=Законод!$H$27),Z1020-Законод!$G$27,IF(Z1020&gt;=Законод!$I$26,Законод!$H$28,0)))),0)))</f>
        <v>0</v>
      </c>
      <c r="AA1025" s="942"/>
      <c r="AB1025" s="935" t="s">
        <v>423</v>
      </c>
      <c r="AC1025" s="936"/>
      <c r="AD1025" s="936"/>
      <c r="AE1025" s="936"/>
      <c r="AF1025" s="937"/>
      <c r="AG1025" s="196">
        <f ca="1">IF($B$1016="Лікар загальної практики - сімейний лікар",IF(AG1020&lt;Законод!$C$22,0,(IF(AND(AG1020&gt;=Законод!$H$22,AG1020&lt;=Законод!$H$23),AG1020-Законод!$G$23,IF('01_Доходи'!AG1020&gt;=Законод!$I$22,Законод!$H$24,0)))),IF($B$1016="Лікар-педіатр",IF(AG1020&lt;Законод!$C$18,0,(IF(AND(AG1020&gt;=Законод!$H$18,AG1020&lt;=Законод!$H$19),AG1020-Законод!$G$19,IF('01_Доходи'!AG1020&gt;=Законод!$I$18,Законод!$H$20,0)))),IF($B$1016="Лікар-терапевт",IF(AG1020&lt;Законод!$C$26,0,(IF(AND(AG1020&gt;=Законод!$H$26,AG1020&lt;=Законод!$H$27),AG1020-Законод!$G$27,IF(AG1020&gt;=Законод!$I$26,Законод!$H$28,0)))),0)))</f>
        <v>0</v>
      </c>
      <c r="AH1025" s="942"/>
      <c r="AI1025" s="201"/>
      <c r="AJ1025" s="945"/>
      <c r="AK1025" s="960"/>
      <c r="AL1025" s="960"/>
      <c r="AM1025" s="927"/>
      <c r="AN1025" s="210">
        <f ca="1">IF(B1016="Лікар загальної практики - сімейний лікар",L1025*Законод!$C$9/4*Законод!$H$16,IF(B1016="Лікар-педіатр",L1025*Законод!$C$9/4*Законод!$H$16,IF(B1016="Лікар-терапевт",L1025*Законод!$C$9/4*Законод!$H$16,0)))</f>
        <v>0</v>
      </c>
      <c r="AO1025" s="210">
        <f ca="1">IF(B1016="Лікар загальної практики - сімейний лікар",S1025*Законод!$C$9/4*Законод!$H$16,IF(B1016="Лікар-педіатр",S1025*Законод!$C$9/4*Законод!$H$16,IF(B1016="Лікар-терапевт",S1025*Законод!$C$9/4*Законод!$H$16,0)))</f>
        <v>0</v>
      </c>
      <c r="AP1025" s="210">
        <f ca="1">IF(B1016="Лікар загальної практики - сімейний лікар",Z1025*Законод!$C$9/4*Законод!$H$16,IF(B1016="Лікар-педіатр",Z1025*Законод!$C$9/4*Законод!$H$16,IF(B1016="Лікар-терапевт",Z1025*Законод!$C$9/4*Законод!$H$16,0)))</f>
        <v>0</v>
      </c>
      <c r="AQ1025" s="210">
        <f ca="1">IF(B1016="Лікар загальної практики - сімейний лікар",AG1025*Законод!$C$9/4*Законод!$H$16,IF(B1016="Лікар-педіатр",AG1025*Законод!$C$9/4*Законод!$H$16,IF(B1016="Лікар-терапевт",AG1025*Законод!$C$9/4*Законод!$H$16,0)))</f>
        <v>0</v>
      </c>
      <c r="AR1025" s="211">
        <f t="shared" si="118"/>
        <v>0</v>
      </c>
    </row>
    <row r="1026" spans="1:44" s="50" customFormat="1" ht="31.9" hidden="1" customHeight="1">
      <c r="A1026" s="197"/>
      <c r="B1026" s="951"/>
      <c r="C1026" s="954"/>
      <c r="D1026" s="957"/>
      <c r="E1026" s="939"/>
      <c r="F1026" s="238" t="str">
        <f ca="1">IF(B1016="Лікар-педіатр",Законод!$I$17,IF(B1016="Лікар загальної практики - сімейний лікар",Законод!$I$21,IF(B1016="Лікар-терапевт",Законод!$I$25,"х")))</f>
        <v>х</v>
      </c>
      <c r="G1026" s="935" t="s">
        <v>423</v>
      </c>
      <c r="H1026" s="936"/>
      <c r="I1026" s="936"/>
      <c r="J1026" s="936"/>
      <c r="K1026" s="937"/>
      <c r="L1026" s="196">
        <f ca="1">IF($B$1016="Лікар загальної практики - сімейний лікар",IF(L1020&lt;Законод!$C$22,0,(IF(AND(L1020&gt;=Законод!$I$22,L1020&lt;=Законод!$I$23),L1020-Законод!$H$23,IF('01_Доходи'!L1020&gt;=Законод!$I$22,Законод!$I$24,0)))),IF($B$1016="Лікар-педіатр",IF(L1020&lt;Законод!$C$18,0,(IF(AND(L1020&gt;=Законод!$I$18,L1020&lt;=Законод!$I$19),L1020-Законод!$H$19,IF('01_Доходи'!L1020&gt;=Законод!$I$18,Законод!$H$20,0)))),IF($B$1016="Лікар-терапевт",IF(L1020&lt;Законод!$C$26,0,(IF(AND(L1020&gt;=Законод!$I$26,L1020&lt;=Законод!$I$27),L1020-Законод!$H$27,IF('01_Доходи'!L1020&gt;=Законод!$I$26,Законод!$H$28,0)))),0)))</f>
        <v>0</v>
      </c>
      <c r="M1026" s="942"/>
      <c r="N1026" s="935" t="s">
        <v>423</v>
      </c>
      <c r="O1026" s="936"/>
      <c r="P1026" s="936"/>
      <c r="Q1026" s="936"/>
      <c r="R1026" s="937"/>
      <c r="S1026" s="196">
        <f ca="1">IF($B$1016="Лікар загальної практики - сімейний лікар",IF(S1020&lt;Законод!$C$22,0,(IF(AND(S1020&gt;=Законод!$I$22,S1020&lt;=Законод!$I$23),S1020-Законод!$H$23,IF('01_Доходи'!S1020&gt;=Законод!$I$22,Законод!$I$24,0)))),IF($B$1016="Лікар-педіатр",IF(S1020&lt;Законод!$C$18,0,(IF(AND(S1020&gt;=Законод!$I$18,S1020&lt;=Законод!$I$19),S1020-Законод!$H$19,IF('01_Доходи'!S1020&gt;=Законод!$I$18,Законод!$H$20,0)))),IF($B$1016="Лікар-терапевт",IF(S1020&lt;Законод!$C$26,0,(IF(AND(S1020&gt;=Законод!$I$26,S1020&lt;=Законод!$I$27),S1020-Законод!$H$27,IF('01_Доходи'!S1020&gt;=Законод!$I$26,Законод!$H$28,0)))),0)))</f>
        <v>0</v>
      </c>
      <c r="T1026" s="942"/>
      <c r="U1026" s="935" t="s">
        <v>423</v>
      </c>
      <c r="V1026" s="936"/>
      <c r="W1026" s="936"/>
      <c r="X1026" s="936"/>
      <c r="Y1026" s="937"/>
      <c r="Z1026" s="196">
        <f ca="1">IF($B$1016="Лікар загальної практики - сімейний лікар",IF(Z1020&lt;Законод!$C$22,0,(IF(AND(Z1020&gt;=Законод!$I$22,Z1020&lt;=Законод!$I$23),Z1020-Законод!$H$23,IF('01_Доходи'!Z1020&gt;=Законод!$I$22,Законод!$I$24,0)))),IF($B$1016="Лікар-педіатр",IF(Z1020&lt;Законод!$C$18,0,(IF(AND(Z1020&gt;=Законод!$I$18,Z1020&lt;=Законод!$I$19),Z1020-Законод!$H$19,IF('01_Доходи'!Z1020&gt;=Законод!$I$18,Законод!$H$20,0)))),IF($B$1016="Лікар-терапевт",IF(Z1020&lt;Законод!$C$26,0,(IF(AND(Z1020&gt;=Законод!$I$26,Z1020&lt;=Законод!$I$27),Z1020-Законод!$H$27,IF('01_Доходи'!Z1020&gt;=Законод!$I$26,Законод!$H$28,0)))),0)))</f>
        <v>0</v>
      </c>
      <c r="AA1026" s="942"/>
      <c r="AB1026" s="935" t="s">
        <v>423</v>
      </c>
      <c r="AC1026" s="936"/>
      <c r="AD1026" s="936"/>
      <c r="AE1026" s="936"/>
      <c r="AF1026" s="937"/>
      <c r="AG1026" s="196">
        <f ca="1">IF($B$1016="Лікар загальної практики - сімейний лікар",IF(AG1020&lt;Законод!$C$22,0,(IF(AND(AG1020&gt;=Законод!$I$22,AG1020&lt;=Законод!$I$23),AG1020-Законод!$H$23,IF('01_Доходи'!AG1020&gt;=Законод!$I$22,Законод!$I$24,0)))),IF($B$1016="Лікар-педіатр",IF(AG1020&lt;Законод!$C$18,0,(IF(AND(AG1020&gt;=Законод!$I$18,AG1020&lt;=Законод!$I$19),AG1020-Законод!$H$19,IF('01_Доходи'!AG1020&gt;=Законод!$I$18,Законод!$H$20,0)))),IF($B$1016="Лікар-терапевт",IF(AG1020&lt;Законод!$C$26,0,(IF(AND(AG1020&gt;=Законод!$I$26,AG1020&lt;=Законод!$I$27),AG1020-Законод!$H$27,IF('01_Доходи'!AG1020&gt;=Законод!$I$26,Законод!$H$28,0)))),0)))</f>
        <v>0</v>
      </c>
      <c r="AH1026" s="942"/>
      <c r="AI1026" s="201"/>
      <c r="AJ1026" s="945"/>
      <c r="AK1026" s="960"/>
      <c r="AL1026" s="960"/>
      <c r="AM1026" s="927"/>
      <c r="AN1026" s="210">
        <f ca="1">IF(B1016="Лікар загальної практики - сімейний лікар",L1026*Законод!$C$9/4*Законод!$I$16,IF(B1016="Лікар-педіатр",L1026*Законод!$C$9/4*Законод!$I$16,IF(B1016="Лікар-терапевт",L1026*Законод!$C$9/4*Законод!$I$16,0)))</f>
        <v>0</v>
      </c>
      <c r="AO1026" s="210">
        <f ca="1">IF(B1016="Лікар загальної практики - сімейний лікар",S1026*Законод!$C$9/4*Законод!$I$16,IF(B1016="Лікар-педіатр",S1026*Законод!$C$9/4*Законод!$I$16,IF(B1016="Лікар-терапевт",S1026*Законод!$C$9/4*Законод!$I$16,0)))</f>
        <v>0</v>
      </c>
      <c r="AP1026" s="210">
        <f ca="1">IF(B1016="Лікар загальної практики - сімейний лікар",Z1026*Законод!$C$9/4*Законод!$I$16,IF(B1016="Лікар-педіатр",Z1026*Законод!$C$9/4*Законод!$I$16,IF(B1016="Лікар-терапевт",Z1026*Законод!$C$9/4*Законод!$I$16,0)))</f>
        <v>0</v>
      </c>
      <c r="AQ1026" s="210">
        <f ca="1">IF(B1016="Лікар загальної практики - сімейний лікар",AG1026*Законод!$C$9/4*Законод!$I$16,IF(B1016="Лікар-педіатр",AG1026*Законод!$C$9/4*Законод!$I$16,IF(B1016="Лікар-терапевт",AG1026*Законод!$C$9/4*Законод!$I$16,0)))</f>
        <v>0</v>
      </c>
      <c r="AR1026" s="211">
        <f t="shared" si="118"/>
        <v>0</v>
      </c>
    </row>
    <row r="1027" spans="1:44" s="218" customFormat="1" ht="31.9" hidden="1" customHeight="1" thickBot="1">
      <c r="A1027" s="213"/>
      <c r="B1027" s="952"/>
      <c r="C1027" s="955"/>
      <c r="D1027" s="958"/>
      <c r="E1027" s="940"/>
      <c r="F1027" s="239" t="str">
        <f ca="1">IF(B1016="Лікар-педіатр",Законод!$J$17,IF(B1016="Лікар загальної практики - сімейний лікар",Законод!$J$21,IF(B1016="Лікар-терапевт",Законод!$J$25,"х")))</f>
        <v>х</v>
      </c>
      <c r="G1027" s="932" t="s">
        <v>423</v>
      </c>
      <c r="H1027" s="933"/>
      <c r="I1027" s="933"/>
      <c r="J1027" s="933"/>
      <c r="K1027" s="934"/>
      <c r="L1027" s="196">
        <f ca="1">IF($B$1016="Лікар загальної практики - сімейний лікар",IF(L1020&gt;=Законод!$J$22,'01_Доходи'!L1020-('01_Доходи'!L1021+'01_Доходи'!L1022+'01_Доходи'!L1023+'01_Доходи'!L1024+'01_Доходи'!L1025+'01_Доходи'!L1026),0),IF($B$1016="Лікар-педіатр",IF(L1020&gt;=Законод!$J$18,'01_Доходи'!L1020-('01_Доходи'!L1021+'01_Доходи'!L1022+'01_Доходи'!L1023+'01_Доходи'!L1024+'01_Доходи'!L1025+'01_Доходи'!L1026),0),IF($B$1016="Лікар-терапевт",IF('01_Доходи'!L1020&gt;=Законод!$J$26,L1020-Законод!$I$27,0),0)))</f>
        <v>0</v>
      </c>
      <c r="M1027" s="943"/>
      <c r="N1027" s="932" t="s">
        <v>423</v>
      </c>
      <c r="O1027" s="933"/>
      <c r="P1027" s="933"/>
      <c r="Q1027" s="933"/>
      <c r="R1027" s="934"/>
      <c r="S1027" s="196">
        <f ca="1">IF($B$1016="Лікар загальної практики - сімейний лікар",IF(S1020&gt;=Законод!$J$22,'01_Доходи'!S1020-('01_Доходи'!S1021+'01_Доходи'!S1022+'01_Доходи'!S1023+'01_Доходи'!S1024+'01_Доходи'!S1025+'01_Доходи'!S1026),0),IF($B$1016="Лікар-педіатр",IF(S1020&gt;=Законод!$J$18,'01_Доходи'!S1020-('01_Доходи'!S1021+'01_Доходи'!S1022+'01_Доходи'!S1023+'01_Доходи'!S1024+'01_Доходи'!S1025+'01_Доходи'!S1026),0),IF($B$1016="Лікар-терапевт",IF('01_Доходи'!S1020&gt;=Законод!$J$26,S1020-Законод!$I$27,0),0)))</f>
        <v>0</v>
      </c>
      <c r="T1027" s="943"/>
      <c r="U1027" s="932" t="s">
        <v>423</v>
      </c>
      <c r="V1027" s="933"/>
      <c r="W1027" s="933"/>
      <c r="X1027" s="933"/>
      <c r="Y1027" s="934"/>
      <c r="Z1027" s="196">
        <f ca="1">IF($B$1016="Лікар загальної практики - сімейний лікар",IF(Z1020&gt;=Законод!$J$22,'01_Доходи'!Z1020-('01_Доходи'!Z1021+'01_Доходи'!Z1022+'01_Доходи'!Z1023+'01_Доходи'!Z1024+'01_Доходи'!Z1025+'01_Доходи'!Z1026),0),IF($B$1016="Лікар-педіатр",IF(Z1020&gt;=Законод!$J$18,'01_Доходи'!Z1020-('01_Доходи'!Z1021+'01_Доходи'!Z1022+'01_Доходи'!Z1023+'01_Доходи'!Z1024+'01_Доходи'!Z1025+'01_Доходи'!Z1026),0),IF($B$1016="Лікар-терапевт",IF('01_Доходи'!Z1020&gt;=Законод!$J$26,Z1020-Законод!$I$27,0),0)))</f>
        <v>0</v>
      </c>
      <c r="AA1027" s="943"/>
      <c r="AB1027" s="932" t="s">
        <v>423</v>
      </c>
      <c r="AC1027" s="933"/>
      <c r="AD1027" s="933"/>
      <c r="AE1027" s="933"/>
      <c r="AF1027" s="934"/>
      <c r="AG1027" s="196">
        <f ca="1">IF($B$1016="Лікар загальної практики - сімейний лікар",IF(AG1020&gt;=Законод!$J$22,'01_Доходи'!AG1020-('01_Доходи'!AG1021+'01_Доходи'!AG1022+'01_Доходи'!AG1023+'01_Доходи'!AG1024+'01_Доходи'!AG1025+'01_Доходи'!AG1026),0),IF($B$1016="Лікар-педіатр",IF(AG1020&gt;=Законод!$J$18,'01_Доходи'!AG1020-('01_Доходи'!AG1021+'01_Доходи'!AG1022+'01_Доходи'!AG1023+'01_Доходи'!AG1024+'01_Доходи'!AG1025+'01_Доходи'!AG1026),0),IF($B$1016="Лікар-терапевт",IF('01_Доходи'!AG1020&gt;=Законод!$J$26,AG1020-Законод!$I$27,0),0)))</f>
        <v>0</v>
      </c>
      <c r="AH1027" s="943"/>
      <c r="AI1027" s="215"/>
      <c r="AJ1027" s="946"/>
      <c r="AK1027" s="961"/>
      <c r="AL1027" s="961"/>
      <c r="AM1027" s="928"/>
      <c r="AN1027" s="216">
        <f ca="1">IF(B1016="Лікар загальної практики - сімейний лікар",L1027*Законод!$C$9/4*Законод!$J$16,IF(B1016="Лікар-педіатр",L1027*Законод!$C$9/4*Законод!$J$16,IF(B1016="Лікар-терапевт",L1027*Законод!$C$9/4*Законод!$J$16,0)))</f>
        <v>0</v>
      </c>
      <c r="AO1027" s="216">
        <f ca="1">IF(B1016="Лікар загальної практики - сімейний лікар",S1027*Законод!$C$9/4*Законод!$J$16,IF(B1016="Лікар-педіатр",S1027*Законод!$C$9/4*Законод!$J$16,IF(B1016="Лікар-терапевт",S1027*Законод!$C$9/4*Законод!$J$16,0)))</f>
        <v>0</v>
      </c>
      <c r="AP1027" s="216">
        <f ca="1">IF(B1016="Лікар загальної практики - сімейний лікар",S1027*Законод!$C$9/4*Законод!$J$16,IF(B1016="Лікар-педіатр",S1027*Законод!$C$9/4*Законод!$J$16,IF(B1016="Лікар-терапевт",S1027*Законод!$C$9/4*Законод!$J$16,0)))</f>
        <v>0</v>
      </c>
      <c r="AQ1027" s="216">
        <f ca="1">IF(B1016="Лікар загальної практики - сімейний лікар",AG1027*Законод!$C$9/4*Законод!$J$16,IF(B1016="Лікар-педіатр",AG1027*Законод!$C$9/4*Законод!$J$16,IF(B1016="Лікар-терапевт",AG1027*Законод!$C$9/4*Законод!$J$16,0)))</f>
        <v>0</v>
      </c>
      <c r="AR1027" s="217">
        <f t="shared" si="118"/>
        <v>0</v>
      </c>
    </row>
    <row r="1028" spans="1:44" s="247" customFormat="1" ht="23.45" hidden="1" customHeight="1" thickBot="1">
      <c r="A1028" s="243"/>
      <c r="B1028" s="244"/>
      <c r="C1028" s="244"/>
      <c r="D1028" s="244"/>
      <c r="E1028" s="244"/>
      <c r="F1028" s="245"/>
      <c r="G1028" s="246"/>
      <c r="H1028" s="246"/>
      <c r="L1028" s="248"/>
      <c r="S1028" s="248"/>
      <c r="Z1028" s="248"/>
      <c r="AG1028" s="248"/>
      <c r="AM1028" s="249"/>
      <c r="AR1028" s="250"/>
    </row>
    <row r="1029" spans="1:44" s="191" customFormat="1" ht="24.6" hidden="1" customHeight="1">
      <c r="A1029" s="194">
        <f>A1016+1</f>
        <v>77</v>
      </c>
      <c r="B1029" s="950"/>
      <c r="C1029" s="953"/>
      <c r="D1029" s="956"/>
      <c r="E1029" s="938"/>
      <c r="F1029" s="234" t="s">
        <v>659</v>
      </c>
      <c r="G1029" s="196">
        <f>IF($B$1029="Лікар-педіатр",G1032*L1029,IF($B$1029="Лікар-терапевт","х",IF($B$1029="Лікар загальної практики - сімейний лікар",G1032*L1029,0)))</f>
        <v>0</v>
      </c>
      <c r="H1029" s="196">
        <f>IF($B$1029="Лікар-педіатр",H1032*L1029,IF($B$1029="Лікар-терапевт","х",IF($B$1029="Лікар загальної практики - сімейний лікар",H1032*L1029,0)))</f>
        <v>0</v>
      </c>
      <c r="I1029" s="196">
        <f>IF($B$1029="Лікар-педіатр","x",IF($B$1029="Лікар-терапевт",I1032*L1029,IF($B$1029="Лікар загальної практики - сімейний лікар",I1032*L1029,0)))</f>
        <v>0</v>
      </c>
      <c r="J1029" s="196">
        <f>IF($B$1029="Лікар-педіатр","x",IF($B$1029="Лікар-терапевт",J1032*L1029,IF($B$1029="Лікар загальної практики - сімейний лікар",J1032*L1029,0)))</f>
        <v>0</v>
      </c>
      <c r="K1029" s="196">
        <f>IF($B$1029="Лікар-педіатр","x",IF($B$1029="Лікар-терапевт",K1032*L1029,IF($B$1029="Лікар загальної практики - сімейний лікар",K1032*L1029,0)))</f>
        <v>0</v>
      </c>
      <c r="L1029" s="557"/>
      <c r="M1029" s="941"/>
      <c r="N1029" s="196">
        <f>IF($B$1029="Лікар-педіатр",N1032*S1029,IF($B$1029="Лікар-терапевт","х",IF($B$1029="Лікар загальної практики - сімейний лікар",N1032*S1029,0)))</f>
        <v>0</v>
      </c>
      <c r="O1029" s="196">
        <f>IF($B$1029="Лікар-педіатр",O1032*S1029,IF($B$1029="Лікар-терапевт","х",IF($B$1029="Лікар загальної практики - сімейний лікар",O1032*S1029,0)))</f>
        <v>0</v>
      </c>
      <c r="P1029" s="196">
        <f>IF($B$1029="Лікар-педіатр","x",IF($B$1029="Лікар-терапевт",P1032*S1029,IF($B$1029="Лікар загальної практики - сімейний лікар",P1032*S1029,0)))</f>
        <v>0</v>
      </c>
      <c r="Q1029" s="196">
        <f>IF($B$1029="Лікар-педіатр","x",IF($B$1029="Лікар-терапевт",Q1032*S1029,IF($B$1029="Лікар загальної практики - сімейний лікар",Q1032*S1029,0)))</f>
        <v>0</v>
      </c>
      <c r="R1029" s="196">
        <f>IF($B$1029="Лікар-педіатр","x",IF($B$1029="Лікар-терапевт",R1032*S1029,IF($B$1029="Лікар загальної практики - сімейний лікар",R1032*S1029,0)))</f>
        <v>0</v>
      </c>
      <c r="S1029" s="557"/>
      <c r="T1029" s="941"/>
      <c r="U1029" s="196">
        <f>IF($B$1029="Лікар-педіатр",U1032*Z1029,IF($B$1029="Лікар-терапевт","х",IF($B$1029="Лікар загальної практики - сімейний лікар",U1032*Z1029,0)))</f>
        <v>0</v>
      </c>
      <c r="V1029" s="196">
        <f>IF($B$1029="Лікар-педіатр",V1032*Z1029,IF($B$1029="Лікар-терапевт","х",IF($B$1029="Лікар загальної практики - сімейний лікар",V1032*Z1029,0)))</f>
        <v>0</v>
      </c>
      <c r="W1029" s="196">
        <f>IF($B$1029="Лікар-педіатр","x",IF($B$1029="Лікар-терапевт",W1032*Z1029,IF($B$1029="Лікар загальної практики - сімейний лікар",W1032*Z1029,0)))</f>
        <v>0</v>
      </c>
      <c r="X1029" s="196">
        <f>IF($B$1029="Лікар-педіатр","x",IF($B$1029="Лікар-терапевт",X1032*Z1029,IF($B$1029="Лікар загальної практики - сімейний лікар",X1032*Z1029,0)))</f>
        <v>0</v>
      </c>
      <c r="Y1029" s="196">
        <f>IF($B$1029="Лікар-педіатр","x",IF($B$1029="Лікар-терапевт",Y1032*Z1029,IF($B$1029="Лікар загальної практики - сімейний лікар",Y1032*Z1029,0)))</f>
        <v>0</v>
      </c>
      <c r="Z1029" s="557"/>
      <c r="AA1029" s="941"/>
      <c r="AB1029" s="196">
        <f>IF($B$1029="Лікар-педіатр",AB1032*AG1029,IF($B$1029="Лікар-терапевт","х",IF($B$1029="Лікар загальної практики - сімейний лікар",AB1032*AG1029,0)))</f>
        <v>0</v>
      </c>
      <c r="AC1029" s="196">
        <f>IF($B$1029="Лікар-педіатр",AC1032*AG1029,IF($B$1029="Лікар-терапевт","х",IF($B$1029="Лікар загальної практики - сімейний лікар",AC1032*AG1029,0)))</f>
        <v>0</v>
      </c>
      <c r="AD1029" s="196">
        <f>IF($B$1029="Лікар-педіатр","x",IF($B$1029="Лікар-терапевт",AD1032*AG1029,IF($B$1029="Лікар загальної практики - сімейний лікар",AD1032*AG1029,0)))</f>
        <v>0</v>
      </c>
      <c r="AE1029" s="196">
        <f>IF($B$1029="Лікар-педіатр","x",IF($B$1029="Лікар-терапевт",AE1032*AG1029,IF($B$1029="Лікар загальної практики - сімейний лікар",AE1032*AG1029,0)))</f>
        <v>0</v>
      </c>
      <c r="AF1029" s="196">
        <f>IF($B$1029="Лікар-педіатр","x",IF($B$1029="Лікар-терапевт",AF1032*AG1029,IF($B$1029="Лікар загальної практики - сімейний лікар",AF1032*AG1029,0)))</f>
        <v>0</v>
      </c>
      <c r="AG1029" s="557"/>
      <c r="AH1029" s="941"/>
      <c r="AI1029" s="540">
        <f>A1029</f>
        <v>77</v>
      </c>
      <c r="AJ1029" s="944">
        <f>B1029</f>
        <v>0</v>
      </c>
      <c r="AK1029" s="959">
        <f>C1029</f>
        <v>0</v>
      </c>
      <c r="AL1029" s="959">
        <f>D1029</f>
        <v>0</v>
      </c>
      <c r="AM1029" s="929" t="s">
        <v>79</v>
      </c>
      <c r="AN1029" s="947">
        <f>SUM(AN1034:AN1040)</f>
        <v>0</v>
      </c>
      <c r="AO1029" s="947">
        <f>SUM(AO1034:AO1040)</f>
        <v>0</v>
      </c>
      <c r="AP1029" s="947">
        <f>SUM(AP1034:AP1040)</f>
        <v>0</v>
      </c>
      <c r="AQ1029" s="947">
        <f>SUM(AQ1034:AQ1040)</f>
        <v>0</v>
      </c>
      <c r="AR1029" s="962">
        <f>SUM(AN1029:AQ1033)</f>
        <v>0</v>
      </c>
    </row>
    <row r="1030" spans="1:44" s="50" customFormat="1" ht="28.15" hidden="1" customHeight="1">
      <c r="A1030" s="197"/>
      <c r="B1030" s="951"/>
      <c r="C1030" s="954"/>
      <c r="D1030" s="957"/>
      <c r="E1030" s="939"/>
      <c r="F1030" s="234" t="s">
        <v>660</v>
      </c>
      <c r="G1030" s="196">
        <f>IF($B$1029="Лікар-педіатр",G1032*L1030,IF($B$1029="Лікар-терапевт","х",IF($B$1029="Лікар загальної практики - сімейний лікар",G1032*L1030,0)))</f>
        <v>0</v>
      </c>
      <c r="H1030" s="196">
        <f>IF($B$1029="Лікар-педіатр",H1032*L1030,IF($B$1029="Лікар-терапевт","х",IF($B$1029="Лікар загальної практики - сімейний лікар",H1032*L1030,0)))</f>
        <v>0</v>
      </c>
      <c r="I1030" s="196">
        <f>IF($B$1029="Лікар-педіатр","x",IF($B$1029="Лікар-терапевт",I1032*L1030,IF($B$1029="Лікар загальної практики - сімейний лікар",I1032*L1030,0)))</f>
        <v>0</v>
      </c>
      <c r="J1030" s="196">
        <f>IF($B$1029="Лікар-педіатр","x",IF($B$1029="Лікар-терапевт",J1032*L1030,IF($B$1029="Лікар загальної практики - сімейний лікар",J1032*L1030,0)))</f>
        <v>0</v>
      </c>
      <c r="K1030" s="196">
        <f>IF($B$1029="Лікар-педіатр","x",IF($B$1029="Лікар-терапевт",K1032*L1030,IF($B$1029="Лікар загальної практики - сімейний лікар",K1032*L1030,0)))</f>
        <v>0</v>
      </c>
      <c r="L1030" s="557"/>
      <c r="M1030" s="942"/>
      <c r="N1030" s="196">
        <f>IF($B$1029="Лікар-педіатр",N1032*S1030,IF($B$1029="Лікар-терапевт","х",IF($B$1029="Лікар загальної практики - сімейний лікар",N1032*S1030,0)))</f>
        <v>0</v>
      </c>
      <c r="O1030" s="196">
        <f>IF($B$1029="Лікар-педіатр",O1032*S1030,IF($B$1029="Лікар-терапевт","х",IF($B$1029="Лікар загальної практики - сімейний лікар",O1032*S1030,0)))</f>
        <v>0</v>
      </c>
      <c r="P1030" s="196">
        <f>IF($B$1029="Лікар-педіатр","x",IF($B$1029="Лікар-терапевт",P1032*S1030,IF($B$1029="Лікар загальної практики - сімейний лікар",P1032*S1030,0)))</f>
        <v>0</v>
      </c>
      <c r="Q1030" s="196">
        <f>IF($B$1029="Лікар-педіатр","x",IF($B$1029="Лікар-терапевт",Q1032*S1030,IF($B$1029="Лікар загальної практики - сімейний лікар",Q1032*S1030,0)))</f>
        <v>0</v>
      </c>
      <c r="R1030" s="196">
        <f>IF($B$1029="Лікар-педіатр","x",IF($B$1029="Лікар-терапевт",R1032*S1030,IF($B$1029="Лікар загальної практики - сімейний лікар",R1032*S1030,0)))</f>
        <v>0</v>
      </c>
      <c r="S1030" s="557"/>
      <c r="T1030" s="942"/>
      <c r="U1030" s="196">
        <f>IF($B$1029="Лікар-педіатр",U1032*Z1030,IF($B$1029="Лікар-терапевт","х",IF($B$1029="Лікар загальної практики - сімейний лікар",U1032*Z1030,0)))</f>
        <v>0</v>
      </c>
      <c r="V1030" s="196">
        <f>IF($B$1029="Лікар-педіатр",V1032*Z1030,IF($B$1029="Лікар-терапевт","х",IF($B$1029="Лікар загальної практики - сімейний лікар",V1032*Z1030,0)))</f>
        <v>0</v>
      </c>
      <c r="W1030" s="196">
        <f>IF($B$1029="Лікар-педіатр","x",IF($B$1029="Лікар-терапевт",W1032*Z1030,IF($B$1029="Лікар загальної практики - сімейний лікар",W1032*Z1030,0)))</f>
        <v>0</v>
      </c>
      <c r="X1030" s="196">
        <f>IF($B$1029="Лікар-педіатр","x",IF($B$1029="Лікар-терапевт",X1032*Z1030,IF($B$1029="Лікар загальної практики - сімейний лікар",X1032*Z1030,0)))</f>
        <v>0</v>
      </c>
      <c r="Y1030" s="196">
        <f>IF($B$1029="Лікар-педіатр","x",IF($B$1029="Лікар-терапевт",Y1032*Z1030,IF($B$1029="Лікар загальної практики - сімейний лікар",Y1032*Z1030,0)))</f>
        <v>0</v>
      </c>
      <c r="Z1030" s="557"/>
      <c r="AA1030" s="942"/>
      <c r="AB1030" s="196">
        <f>IF($B$1029="Лікар-педіатр",AB1032*AG1030,IF($B$1029="Лікар-терапевт","х",IF($B$1029="Лікар загальної практики - сімейний лікар",AB1032*AG1030,0)))</f>
        <v>0</v>
      </c>
      <c r="AC1030" s="196">
        <f>IF($B$1029="Лікар-педіатр",AC1032*AG1030,IF($B$1029="Лікар-терапевт","х",IF($B$1029="Лікар загальної практики - сімейний лікар",AC1032*AG1030,0)))</f>
        <v>0</v>
      </c>
      <c r="AD1030" s="196">
        <f>IF($B$1029="Лікар-педіатр","x",IF($B$1029="Лікар-терапевт",AD1032*AG1030,IF($B$1029="Лікар загальної практики - сімейний лікар",AD1032*AG1030,0)))</f>
        <v>0</v>
      </c>
      <c r="AE1030" s="196">
        <f>IF($B$1029="Лікар-педіатр","x",IF($B$1029="Лікар-терапевт",AE1032*AG1030,IF($B$1029="Лікар загальної практики - сімейний лікар",AE1032*AG1030,0)))</f>
        <v>0</v>
      </c>
      <c r="AF1030" s="196">
        <f>IF($B$1029="Лікар-педіатр","x",IF($B$1029="Лікар-терапевт",AF1032*AG1030,IF($B$1029="Лікар загальної практики - сімейний лікар",AF1032*AG1030,0)))</f>
        <v>0</v>
      </c>
      <c r="AG1030" s="557"/>
      <c r="AH1030" s="942"/>
      <c r="AI1030" s="198"/>
      <c r="AJ1030" s="945"/>
      <c r="AK1030" s="960"/>
      <c r="AL1030" s="960"/>
      <c r="AM1030" s="930"/>
      <c r="AN1030" s="948"/>
      <c r="AO1030" s="948"/>
      <c r="AP1030" s="948"/>
      <c r="AQ1030" s="948"/>
      <c r="AR1030" s="963"/>
    </row>
    <row r="1031" spans="1:44" s="90" customFormat="1" ht="31.15" hidden="1" customHeight="1">
      <c r="A1031" s="240"/>
      <c r="B1031" s="951"/>
      <c r="C1031" s="954"/>
      <c r="D1031" s="957"/>
      <c r="E1031" s="939"/>
      <c r="F1031" s="241" t="s">
        <v>661</v>
      </c>
      <c r="G1031" s="199">
        <f>IF(B1029="Лікар загальної практики - сімейний лікар"," ",IF(B1029="Лікар-педіатр"," ",IF(B1029="Лікар-терапевт","х",0)))</f>
        <v>0</v>
      </c>
      <c r="H1031" s="199">
        <f>IF(B1029="Лікар загальної практики - сімейний лікар"," ",IF(B1029="Лікар-педіатр"," ",IF(B1029="Лікар-терапевт","х",0)))</f>
        <v>0</v>
      </c>
      <c r="I1031" s="199">
        <f>IF(B1029="Лікар загальної практики - сімейний лікар"," ",IF(B1029="Лікар-педіатр","х",IF(B1029="Лікар-терапевт"," ",0)))</f>
        <v>0</v>
      </c>
      <c r="J1031" s="199">
        <f>IF(B1029="Лікар загальної практики - сімейний лікар"," ",IF(B1029="Лікар-педіатр","х",IF(B1029="Лікар-терапевт"," ",0)))</f>
        <v>0</v>
      </c>
      <c r="K1031" s="199">
        <f>IF(B1029="Лікар загальної практики - сімейний лікар"," ",IF(B1029="Лікар-педіатр","х",IF(B1029="Лікар-терапевт"," ",0)))</f>
        <v>0</v>
      </c>
      <c r="L1031" s="200">
        <f>SUM(G1031:K1031)</f>
        <v>0</v>
      </c>
      <c r="M1031" s="942"/>
      <c r="N1031" s="199">
        <f>IF(B1029="Лікар загальної практики - сімейний лікар"," ",IF(B1029="Лікар-педіатр"," ",IF(B1029="Лікар-терапевт","х",0)))</f>
        <v>0</v>
      </c>
      <c r="O1031" s="199">
        <f>IF(B1029="Лікар загальної практики - сімейний лікар"," ",IF(B1029="Лікар-педіатр"," ",IF(B1029="Лікар-терапевт","х",0)))</f>
        <v>0</v>
      </c>
      <c r="P1031" s="199">
        <f>IF(B1029="Лікар загальної практики - сімейний лікар"," ",IF(B1029="Лікар-педіатр","х",IF(B1029="Лікар-терапевт"," ",0)))</f>
        <v>0</v>
      </c>
      <c r="Q1031" s="199">
        <f>IF(B1029="Лікар загальної практики - сімейний лікар"," ",IF(B1029="Лікар-педіатр","х",IF(B1029="Лікар-терапевт"," ",0)))</f>
        <v>0</v>
      </c>
      <c r="R1031" s="199">
        <f>IF(B1029="Лікар загальної практики - сімейний лікар"," ",IF(B1029="Лікар-педіатр","х",IF(B1029="Лікар-терапевт"," ",0)))</f>
        <v>0</v>
      </c>
      <c r="S1031" s="200">
        <f>SUM(N1031:R1031)</f>
        <v>0</v>
      </c>
      <c r="T1031" s="942"/>
      <c r="U1031" s="199">
        <f>IF(B1029="Лікар загальної практики - сімейний лікар"," ",IF(B1029="Лікар-педіатр"," ",IF(B1029="Лікар-терапевт","х",0)))</f>
        <v>0</v>
      </c>
      <c r="V1031" s="199">
        <f>IF(B1029="Лікар загальної практики - сімейний лікар"," ",IF(B1029="Лікар-педіатр"," ",IF(B1029="Лікар-терапевт","х",0)))</f>
        <v>0</v>
      </c>
      <c r="W1031" s="199">
        <f>IF(B1029="Лікар загальної практики - сімейний лікар"," ",IF(B1029="Лікар-педіатр","х",IF(B1029="Лікар-терапевт"," ",0)))</f>
        <v>0</v>
      </c>
      <c r="X1031" s="199">
        <f>IF(B1029="Лікар загальної практики - сімейний лікар"," ",IF(B1029="Лікар-педіатр","х",IF(B1029="Лікар-терапевт"," ",0)))</f>
        <v>0</v>
      </c>
      <c r="Y1031" s="199">
        <f>IF(B1029="Лікар загальної практики - сімейний лікар"," ",IF(B1029="Лікар-педіатр","х",IF(B1029="Лікар-терапевт"," ",0)))</f>
        <v>0</v>
      </c>
      <c r="Z1031" s="200">
        <f>SUM(U1031:Y1031)</f>
        <v>0</v>
      </c>
      <c r="AA1031" s="942"/>
      <c r="AB1031" s="199">
        <f>IF(B1029="Лікар загальної практики - сімейний лікар"," ",IF(B1029="Лікар-педіатр"," ",IF(B1029="Лікар-терапевт","х",0)))</f>
        <v>0</v>
      </c>
      <c r="AC1031" s="199">
        <f>IF(B1029="Лікар загальної практики - сімейний лікар"," ",IF(B1029="Лікар-педіатр"," ",IF(B1029="Лікар-терапевт","х",0)))</f>
        <v>0</v>
      </c>
      <c r="AD1031" s="199">
        <f>IF(B1029="Лікар загальної практики - сімейний лікар"," ",IF(B1029="Лікар-педіатр","х",IF(B1029="Лікар-терапевт"," ",0)))</f>
        <v>0</v>
      </c>
      <c r="AE1031" s="199">
        <f>IF(B1029="Лікар загальної практики - сімейний лікар"," ",IF(B1029="Лікар-педіатр","х",IF(B1029="Лікар-терапевт"," ",0)))</f>
        <v>0</v>
      </c>
      <c r="AF1031" s="199">
        <f>IF(B1029="Лікар загальної практики - сімейний лікар"," ",IF(B1029="Лікар-педіатр","х",IF(B1029="Лікар-терапевт"," ",0)))</f>
        <v>0</v>
      </c>
      <c r="AG1031" s="200">
        <f>SUM(AB1031:AF1031)</f>
        <v>0</v>
      </c>
      <c r="AH1031" s="942"/>
      <c r="AI1031" s="242"/>
      <c r="AJ1031" s="945"/>
      <c r="AK1031" s="960"/>
      <c r="AL1031" s="960"/>
      <c r="AM1031" s="930"/>
      <c r="AN1031" s="948"/>
      <c r="AO1031" s="948"/>
      <c r="AP1031" s="948"/>
      <c r="AQ1031" s="948"/>
      <c r="AR1031" s="963"/>
    </row>
    <row r="1032" spans="1:44" s="50" customFormat="1" ht="31.9" hidden="1" customHeight="1" thickBot="1">
      <c r="A1032" s="197"/>
      <c r="B1032" s="951"/>
      <c r="C1032" s="954"/>
      <c r="D1032" s="957"/>
      <c r="E1032" s="939"/>
      <c r="F1032" s="236" t="s">
        <v>426</v>
      </c>
      <c r="G1032" s="203">
        <f>IF($B$1029="Лікар-педіатр",G1031/L1031,IF($B$1029="Лікар-терапевт","х",IF($B$1029="Лікар загальної практики - сімейний лікар",G1031/L1031,0)))</f>
        <v>0</v>
      </c>
      <c r="H1032" s="203">
        <f>IF($B$1029="Лікар-педіатр",H1031/L1031,IF($B$1029="Лікар-терапевт","х",IF($B$1029="Лікар загальної практики - сімейний лікар",H1031/L1031,0)))</f>
        <v>0</v>
      </c>
      <c r="I1032" s="203">
        <f>IF($B$1029="Лікар-педіатр","x",IF($B$1029="Лікар-терапевт",I1031/L1031,IF($B$1029="Лікар загальної практики - сімейний лікар",I1031/L1031,0)))</f>
        <v>0</v>
      </c>
      <c r="J1032" s="203">
        <f>IF($B$1029="Лікар-педіатр","x",IF($B$1029="Лікар-терапевт",J1031/L1031,IF($B$1029="Лікар загальної практики - сімейний лікар",J1031/L1031,0)))</f>
        <v>0</v>
      </c>
      <c r="K1032" s="203">
        <f>IF($B$1029="Лікар-педіатр","x",IF($B$1029="Лікар-терапевт",K1031/L1031,IF($B$1029="Лікар загальної практики - сімейний лікар",K1031/L1031,0)))</f>
        <v>0</v>
      </c>
      <c r="L1032" s="203">
        <f>SUM(G1032:K1032)</f>
        <v>0</v>
      </c>
      <c r="M1032" s="942"/>
      <c r="N1032" s="203">
        <f>IF($B$1029="Лікар-педіатр",N1031/S1031,IF($B$1029="Лікар-терапевт","х",IF($B$1029="Лікар загальної практики - сімейний лікар",N1031/S1031,0)))</f>
        <v>0</v>
      </c>
      <c r="O1032" s="203">
        <f>IF($B$1029="Лікар-педіатр",O1031/S1031,IF($B$1029="Лікар-терапевт","х",IF($B$1029="Лікар загальної практики - сімейний лікар",O1031/S1031,0)))</f>
        <v>0</v>
      </c>
      <c r="P1032" s="203">
        <f>IF($B$1029="Лікар-педіатр","x",IF($B$1029="Лікар-терапевт",P1031/S1031,IF($B$1029="Лікар загальної практики - сімейний лікар",P1031/S1031,0)))</f>
        <v>0</v>
      </c>
      <c r="Q1032" s="203">
        <f>IF($B$1029="Лікар-педіатр","x",IF($B$1029="Лікар-терапевт",Q1031/S1031,IF($B$1029="Лікар загальної практики - сімейний лікар",Q1031/S1031,0)))</f>
        <v>0</v>
      </c>
      <c r="R1032" s="203">
        <f>IF($B$1029="Лікар-педіатр","x",IF($B$1029="Лікар-терапевт",R1031/S1031,IF($B$1029="Лікар загальної практики - сімейний лікар",R1031/S1031,0)))</f>
        <v>0</v>
      </c>
      <c r="S1032" s="203">
        <f>SUM(N1032:R1032)</f>
        <v>0</v>
      </c>
      <c r="T1032" s="942"/>
      <c r="U1032" s="203">
        <f>IF($B$1029="Лікар-педіатр",U1031/Z1031,IF($B$1029="Лікар-терапевт","х",IF($B$1029="Лікар загальної практики - сімейний лікар",U1031/Z1031,0)))</f>
        <v>0</v>
      </c>
      <c r="V1032" s="203">
        <f>IF($B$1029="Лікар-педіатр",V1031/Z1031,IF($B$1029="Лікар-терапевт","х",IF($B$1029="Лікар загальної практики - сімейний лікар",V1031/Z1031,0)))</f>
        <v>0</v>
      </c>
      <c r="W1032" s="203">
        <f>IF($B$1029="Лікар-педіатр","x",IF($B$1029="Лікар-терапевт",W1031/Z1031,IF($B$1029="Лікар загальної практики - сімейний лікар",W1031/Z1031,0)))</f>
        <v>0</v>
      </c>
      <c r="X1032" s="203">
        <f>IF($B$1029="Лікар-педіатр","x",IF($B$1029="Лікар-терапевт",X1031/Z1031,IF($B$1029="Лікар загальної практики - сімейний лікар",X1031/Z1031,0)))</f>
        <v>0</v>
      </c>
      <c r="Y1032" s="203">
        <f>IF($B$1029="Лікар-педіатр","x",IF($B$1029="Лікар-терапевт",Y1031/Z1031,IF($B$1029="Лікар загальної практики - сімейний лікар",Y1031/Z1031,0)))</f>
        <v>0</v>
      </c>
      <c r="Z1032" s="203">
        <f>SUM(U1032:Y1032)</f>
        <v>0</v>
      </c>
      <c r="AA1032" s="942"/>
      <c r="AB1032" s="203">
        <f>IF($B$1029="Лікар-педіатр",AB1031/AG1031,IF($B$1029="Лікар-терапевт","х",IF($B$1029="Лікар загальної практики - сімейний лікар",AB1031/AG1031,0)))</f>
        <v>0</v>
      </c>
      <c r="AC1032" s="203">
        <f>IF($B$1029="Лікар-педіатр",AC1031/AG1031,IF($B$1029="Лікар-терапевт","х",IF($B$1029="Лікар загальної практики - сімейний лікар",AC1031/AG1031,0)))</f>
        <v>0</v>
      </c>
      <c r="AD1032" s="203">
        <f>IF($B$1029="Лікар-педіатр","x",IF($B$1029="Лікар-терапевт",AD1031/AG1031,IF($B$1029="Лікар загальної практики - сімейний лікар",AD1031/AG1031,0)))</f>
        <v>0</v>
      </c>
      <c r="AE1032" s="203">
        <f>IF($B$1029="Лікар-педіатр","x",IF($B$1029="Лікар-терапевт",AE1031/AG1031,IF($B$1029="Лікар загальної практики - сімейний лікар",AE1031/AG1031,0)))</f>
        <v>0</v>
      </c>
      <c r="AF1032" s="203">
        <f>IF($B$1029="Лікар-педіатр","x",IF($B$1029="Лікар-терапевт",AF1031/AG1031,IF($B$1029="Лікар загальної практики - сімейний лікар",AF1031/AG1031,0)))</f>
        <v>0</v>
      </c>
      <c r="AG1032" s="203">
        <f>SUM(AB1032:AF1032)</f>
        <v>0</v>
      </c>
      <c r="AH1032" s="942"/>
      <c r="AI1032" s="201"/>
      <c r="AJ1032" s="945"/>
      <c r="AK1032" s="960"/>
      <c r="AL1032" s="960"/>
      <c r="AM1032" s="930"/>
      <c r="AN1032" s="948"/>
      <c r="AO1032" s="948"/>
      <c r="AP1032" s="948"/>
      <c r="AQ1032" s="948"/>
      <c r="AR1032" s="963"/>
    </row>
    <row r="1033" spans="1:44" s="50" customFormat="1" ht="45" hidden="1" customHeight="1" thickBot="1">
      <c r="A1033" s="197"/>
      <c r="B1033" s="951"/>
      <c r="C1033" s="954"/>
      <c r="D1033" s="957"/>
      <c r="E1033" s="939"/>
      <c r="F1033" s="204" t="s">
        <v>662</v>
      </c>
      <c r="G1033" s="205">
        <f>IF($B$1029="Лікар загальної практики - сімейний лікар",AVERAGE(G1029:G1031),IF($B$1029="Лікар-педіатр",AVERAGE(G1029:G1031),IF($B$1029="Лікар-терапевт","х",0)))</f>
        <v>0</v>
      </c>
      <c r="H1033" s="205">
        <f>IF($B$1029="Лікар загальної практики - сімейний лікар",AVERAGE(H1029:H1031),IF($B$1029="Лікар-педіатр",AVERAGE(H1029:H1031),IF($B$1029="Лікар-терапевт","х",0)))</f>
        <v>0</v>
      </c>
      <c r="I1033" s="205">
        <f>IF($B$1029="Лікар загальної практики - сімейний лікар",AVERAGE(I1029:I1031),IF($B$1029="Лікар-педіатр","x",IF($B$1029="Лікар-терапевт",AVERAGE(I1029:I1031),0)))</f>
        <v>0</v>
      </c>
      <c r="J1033" s="205">
        <f>IF($B$1029="Лікар загальної практики - сімейний лікар",AVERAGE(J1029:J1031),IF($B$1029="Лікар-педіатр","x",IF($B$1029="Лікар-терапевт",AVERAGE(J1029:J1031),0)))</f>
        <v>0</v>
      </c>
      <c r="K1033" s="205">
        <f>IF($B$1029="Лікар загальної практики - сімейний лікар",AVERAGE(K1029:K1031),IF($B$1029="Лікар-педіатр","x",IF($B$1029="Лікар-терапевт",AVERAGE(K1029:K1031),0)))</f>
        <v>0</v>
      </c>
      <c r="L1033" s="206">
        <f>SUM(G1033:K1033)</f>
        <v>0</v>
      </c>
      <c r="M1033" s="942"/>
      <c r="N1033" s="205">
        <f>IF($B$1029="Лікар загальної практики - сімейний лікар",AVERAGE(N1029:N1031),IF($B$1029="Лікар-педіатр",AVERAGE(N1029:N1031),IF($B$1029="Лікар-терапевт","х",0)))</f>
        <v>0</v>
      </c>
      <c r="O1033" s="205">
        <f>IF($B$1029="Лікар загальної практики - сімейний лікар",AVERAGE(O1029:O1031),IF($B$1029="Лікар-педіатр",AVERAGE(O1029:O1031),IF($B$1029="Лікар-терапевт","х",0)))</f>
        <v>0</v>
      </c>
      <c r="P1033" s="205">
        <f>IF($B$1029="Лікар загальної практики - сімейний лікар",AVERAGE(P1029:P1031),IF($B$1029="Лікар-педіатр","x",IF($B$1029="Лікар-терапевт",AVERAGE(P1029:P1031),0)))</f>
        <v>0</v>
      </c>
      <c r="Q1033" s="205">
        <f>IF($B$1029="Лікар загальної практики - сімейний лікар",AVERAGE(Q1029:Q1031),IF($B$1029="Лікар-педіатр","x",IF($B$1029="Лікар-терапевт",AVERAGE(Q1029:Q1031),0)))</f>
        <v>0</v>
      </c>
      <c r="R1033" s="205">
        <f>IF($B$1029="Лікар загальної практики - сімейний лікар",AVERAGE(R1029:R1031),IF($B$1029="Лікар-педіатр","x",IF($B$1029="Лікар-терапевт",AVERAGE(R1029:R1031),0)))</f>
        <v>0</v>
      </c>
      <c r="S1033" s="206">
        <f>SUM(N1033:R1033)</f>
        <v>0</v>
      </c>
      <c r="T1033" s="942"/>
      <c r="U1033" s="205">
        <f>IF($B$1029="Лікар загальної практики - сімейний лікар",AVERAGE(U1029:U1031),IF($B$1029="Лікар-педіатр",AVERAGE(U1029:U1031),IF($B$1029="Лікар-терапевт","х",0)))</f>
        <v>0</v>
      </c>
      <c r="V1033" s="205">
        <f>IF($B$1029="Лікар загальної практики - сімейний лікар",AVERAGE(V1029:V1031),IF($B$1029="Лікар-педіатр",AVERAGE(V1029:V1031),IF($B$1029="Лікар-терапевт","х",0)))</f>
        <v>0</v>
      </c>
      <c r="W1033" s="205">
        <f>IF($B$1029="Лікар загальної практики - сімейний лікар",AVERAGE(W1029:W1031),IF($B$1029="Лікар-педіатр","x",IF($B$1029="Лікар-терапевт",AVERAGE(W1029:W1031),0)))</f>
        <v>0</v>
      </c>
      <c r="X1033" s="205">
        <f>IF($B$1029="Лікар загальної практики - сімейний лікар",AVERAGE(X1029:X1031),IF($B$1029="Лікар-педіатр","x",IF($B$1029="Лікар-терапевт",AVERAGE(X1029:X1031),0)))</f>
        <v>0</v>
      </c>
      <c r="Y1033" s="205">
        <f>IF($B$1029="Лікар загальної практики - сімейний лікар",AVERAGE(Y1029:Y1031),IF($B$1029="Лікар-педіатр","x",IF($B$1029="Лікар-терапевт",AVERAGE(Y1029:Y1031),0)))</f>
        <v>0</v>
      </c>
      <c r="Z1033" s="206">
        <f>SUM(U1033:Y1033)</f>
        <v>0</v>
      </c>
      <c r="AA1033" s="942"/>
      <c r="AB1033" s="205">
        <f>IF($B$1029="Лікар загальної практики - сімейний лікар",AVERAGE(AB1029:AB1031),IF($B$1029="Лікар-педіатр",AVERAGE(AB1029:AB1031),IF($B$1029="Лікар-терапевт","х",0)))</f>
        <v>0</v>
      </c>
      <c r="AC1033" s="205">
        <f>IF($B$1029="Лікар загальної практики - сімейний лікар",AVERAGE(AC1029:AC1031),IF($B$1029="Лікар-педіатр",AVERAGE(AC1029:AC1031),IF($B$1029="Лікар-терапевт","х",0)))</f>
        <v>0</v>
      </c>
      <c r="AD1033" s="205">
        <f>IF($B$1029="Лікар загальної практики - сімейний лікар",AVERAGE(AD1029:AD1031),IF($B$1029="Лікар-педіатр","x",IF($B$1029="Лікар-терапевт",AVERAGE(AD1029:AD1031),0)))</f>
        <v>0</v>
      </c>
      <c r="AE1033" s="205">
        <f>IF($B$1029="Лікар загальної практики - сімейний лікар",AVERAGE(AE1029:AE1031),IF($B$1029="Лікар-педіатр","x",IF($B$1029="Лікар-терапевт",AVERAGE(AE1029:AE1031),0)))</f>
        <v>0</v>
      </c>
      <c r="AF1033" s="205">
        <f>IF($B$1029="Лікар загальної практики - сімейний лікар",AVERAGE(AF1029:AF1031),IF($B$1029="Лікар-педіатр","x",IF($B$1029="Лікар-терапевт",AVERAGE(AF1029:AF1031),0)))</f>
        <v>0</v>
      </c>
      <c r="AG1033" s="206">
        <f>SUM(AB1033:AF1033)</f>
        <v>0</v>
      </c>
      <c r="AH1033" s="942"/>
      <c r="AI1033" s="201"/>
      <c r="AJ1033" s="945"/>
      <c r="AK1033" s="960"/>
      <c r="AL1033" s="960"/>
      <c r="AM1033" s="931"/>
      <c r="AN1033" s="949"/>
      <c r="AO1033" s="949"/>
      <c r="AP1033" s="949"/>
      <c r="AQ1033" s="949"/>
      <c r="AR1033" s="964"/>
    </row>
    <row r="1034" spans="1:44" s="50" customFormat="1" ht="40.5" hidden="1">
      <c r="A1034" s="197"/>
      <c r="B1034" s="951"/>
      <c r="C1034" s="954"/>
      <c r="D1034" s="957"/>
      <c r="E1034" s="939"/>
      <c r="F1034" s="237" t="str">
        <f ca="1">IF(B1029="Лікар-педіатр",Законод!$C$17,IF(B1029="Лікар загальної практики - сімейний лікар",Законод!$C$21,IF(B1029="Лікар-терапевт",Законод!$C$25,"х")))</f>
        <v>х</v>
      </c>
      <c r="G1034" s="208">
        <f ca="1">IF($B$1029="Лікар загальної практики - сімейний лікар",IF(L1033&lt;=Законод!$C$22,G1033,Законод!$C$22*'01_Доходи'!G1032),IF($B$1029="Лікар-педіатр",IF(L1033&lt;=Законод!$C$18,G1033,Законод!$C$18*'01_Доходи'!G1032),IF($B$1029="Лікар-терапевт","x",0)))</f>
        <v>0</v>
      </c>
      <c r="H1034" s="208">
        <f ca="1">IF($B$1029="Лікар загальної практики - сімейний лікар",IF(L1033&lt;=Законод!$C$22,H1033,Законод!$C$22*'01_Доходи'!H1032),IF($B$1029="Лікар-педіатр",IF(L1033&lt;=Законод!$C$18,H1033,Законод!$C$18*'01_Доходи'!H1032),IF($B$1029="Лікар-терапевт","x",0)))</f>
        <v>0</v>
      </c>
      <c r="I1034" s="208">
        <f ca="1">IF($B$1029="Лікар загальної практики - сімейний лікар",IF(L1033&lt;=Законод!$C$22,I1033,Законод!$C$22*'01_Доходи'!I1032),IF($B$1029="Лікар-педіатр","x",IF($B$1029="Лікар-терапевт",IF(L1033&lt;=Законод!$C$26,I1033,Законод!$C$26*'01_Доходи'!I1032),0)))</f>
        <v>0</v>
      </c>
      <c r="J1034" s="208">
        <f ca="1">IF($B$1029="Лікар загальної практики - сімейний лікар",IF(L1033&lt;=Законод!$C$22,J1033,Законод!$C$22*'01_Доходи'!J1032),IF($B$1029="Лікар-педіатр","x",IF($B$1029="Лікар-терапевт",IF(L1033&lt;=Законод!$C$26,J1033,Законод!$C$26*'01_Доходи'!J1032),0)))</f>
        <v>0</v>
      </c>
      <c r="K1034" s="208">
        <f ca="1">IF($B$1029="Лікар загальної практики - сімейний лікар",IF(L1033&lt;=Законод!$C$22,K1033,Законод!$C$22*'01_Доходи'!K1032),IF($B$1029="Лікар-педіатр","x",IF($B$1029="Лікар-терапевт",IF(L1033&lt;=Законод!$C$26,K1033,Законод!$C$26*'01_Доходи'!K1032),0)))</f>
        <v>0</v>
      </c>
      <c r="L1034" s="209">
        <f ca="1">SUM(G1034:K1034)</f>
        <v>0</v>
      </c>
      <c r="M1034" s="942"/>
      <c r="N1034" s="208">
        <f ca="1">IF($B$1029="Лікар загальної практики - сімейний лікар",IF(S1033&lt;=Законод!$C$22,N1033,Законод!$C$22*'01_Доходи'!N1032),IF($B$1029="Лікар-педіатр",IF(S1033&lt;=Законод!$C$18,N1033,Законод!$C$18*'01_Доходи'!N1032),IF($B$1029="Лікар-терапевт","x",0)))</f>
        <v>0</v>
      </c>
      <c r="O1034" s="208">
        <f ca="1">IF($B$1029="Лікар загальної практики - сімейний лікар",IF(S1033&lt;=Законод!$C$22,O1033,Законод!$C$22*'01_Доходи'!O1032),IF($B$1029="Лікар-педіатр",IF(S1033&lt;=Законод!$C$18,O1033,Законод!$C$18*'01_Доходи'!O1032),IF($B$1029="Лікар-терапевт","x",0)))</f>
        <v>0</v>
      </c>
      <c r="P1034" s="208">
        <f ca="1">IF($B$1029="Лікар загальної практики - сімейний лікар",IF(S1033&lt;=Законод!$C$22,P1033,Законод!$C$22*'01_Доходи'!P1032),IF($B$1029="Лікар-педіатр","x",IF($B$1029="Лікар-терапевт",IF(S1033&lt;=Законод!$C$26,P1033,Законод!$C$26*'01_Доходи'!P1032),0)))</f>
        <v>0</v>
      </c>
      <c r="Q1034" s="208">
        <f ca="1">IF($B$1029="Лікар загальної практики - сімейний лікар",IF(S1033&lt;=Законод!$C$22,Q1033,Законод!$C$22*'01_Доходи'!Q1032),IF($B$1029="Лікар-педіатр","x",IF($B$1029="Лікар-терапевт",IF(S1033&lt;=Законод!$C$26,Q1033,Законод!$C$26*'01_Доходи'!Q1032),0)))</f>
        <v>0</v>
      </c>
      <c r="R1034" s="208">
        <f ca="1">IF($B$1029="Лікар загальної практики - сімейний лікар",IF(S1033&lt;=Законод!$C$22,R1033,Законод!$C$22*'01_Доходи'!R1032),IF($B$1029="Лікар-педіатр","x",IF($B$1029="Лікар-терапевт",IF(S1033&lt;=Законод!$C$26,R1033,Законод!$C$26*'01_Доходи'!R1032),0)))</f>
        <v>0</v>
      </c>
      <c r="S1034" s="209">
        <f ca="1">SUM(N1034:R1034)</f>
        <v>0</v>
      </c>
      <c r="T1034" s="942"/>
      <c r="U1034" s="208">
        <f ca="1">IF($B$1029="Лікар загальної практики - сімейний лікар",IF(Z1033&lt;=Законод!$C$22,U1033,Законод!$C$22*'01_Доходи'!U1032),IF($B$1029="Лікар-педіатр",IF(Z1033&lt;=Законод!$C$18,U1033,Законод!$C$18*'01_Доходи'!U1032),IF($B$1029="Лікар-терапевт","x",0)))</f>
        <v>0</v>
      </c>
      <c r="V1034" s="208">
        <f ca="1">IF($B$1029="Лікар загальної практики - сімейний лікар",IF(Z1033&lt;=Законод!$C$22,V1033,Законод!$C$22*'01_Доходи'!V1032),IF($B$1029="Лікар-педіатр",IF(Z1033&lt;=Законод!$C$18,V1033,Законод!$C$18*'01_Доходи'!V1032),IF($B$1029="Лікар-терапевт","x",0)))</f>
        <v>0</v>
      </c>
      <c r="W1034" s="208">
        <f ca="1">IF($B$1029="Лікар загальної практики - сімейний лікар",IF(Z1033&lt;=Законод!$C$22,W1033,Законод!$C$22*'01_Доходи'!W1032),IF($B$1029="Лікар-педіатр","x",IF($B$1029="Лікар-терапевт",IF(Z1033&lt;=Законод!$C$26,W1033,Законод!$C$26*'01_Доходи'!W1032),0)))</f>
        <v>0</v>
      </c>
      <c r="X1034" s="208">
        <f ca="1">IF($B$1029="Лікар загальної практики - сімейний лікар",IF(Z1033&lt;=Законод!$C$22,X1033,Законод!$C$22*'01_Доходи'!X1032),IF($B$1029="Лікар-педіатр","x",IF($B$1029="Лікар-терапевт",IF(Z1033&lt;=Законод!$C$26,X1033,Законод!$C$26*'01_Доходи'!X1032),0)))</f>
        <v>0</v>
      </c>
      <c r="Y1034" s="208">
        <f ca="1">IF($B$1029="Лікар загальної практики - сімейний лікар",IF(Z1033&lt;=Законод!$C$22,Y1033,Законод!$C$22*'01_Доходи'!Y1032),IF($B$1029="Лікар-педіатр","x",IF($B$1029="Лікар-терапевт",IF(Z1033&lt;=Законод!$C$26,Y1033,Законод!$C$26*'01_Доходи'!Y1032),0)))</f>
        <v>0</v>
      </c>
      <c r="Z1034" s="209">
        <f ca="1">SUM(U1034:Y1034)</f>
        <v>0</v>
      </c>
      <c r="AA1034" s="942"/>
      <c r="AB1034" s="208">
        <f ca="1">IF($B$1029="Лікар загальної практики - сімейний лікар",IF(AG1033&lt;=Законод!$C$22,AB1033,Законод!$C$22*'01_Доходи'!AB1032),IF($B$1029="Лікар-педіатр",IF(AG1033&lt;=Законод!$C$18,AB1033,Законод!$C$18*'01_Доходи'!AB1032),IF($B$1029="Лікар-терапевт","x",0)))</f>
        <v>0</v>
      </c>
      <c r="AC1034" s="208">
        <f ca="1">IF($B$1029="Лікар загальної практики - сімейний лікар",IF(AG1033&lt;=Законод!$C$22,AC1033,Законод!$C$22*'01_Доходи'!AC1032),IF($B$1029="Лікар-педіатр",IF(AG1033&lt;=Законод!$C$18,AC1033,Законод!$C$18*'01_Доходи'!AC1032),IF($B$1029="Лікар-терапевт","x",0)))</f>
        <v>0</v>
      </c>
      <c r="AD1034" s="208">
        <f ca="1">IF($B$1029="Лікар загальної практики - сімейний лікар",IF(AG1033&lt;=Законод!$C$22,AD1033,Законод!$C$22*'01_Доходи'!AD1032),IF($B$1029="Лікар-педіатр","x",IF($B$1029="Лікар-терапевт",IF(AG1033&lt;=Законод!$C$26,AD1033,Законод!$C$26*'01_Доходи'!AD1032),0)))</f>
        <v>0</v>
      </c>
      <c r="AE1034" s="208">
        <f ca="1">IF($B$1029="Лікар загальної практики - сімейний лікар",IF(AG1033&lt;=Законод!$C$22,AE1033,Законод!$C$22*'01_Доходи'!AE1032),IF($B$1029="Лікар-педіатр","x",IF($B$1029="Лікар-терапевт",IF(AG1033&lt;=Законод!$C$26,AE1033,Законод!$C$26*'01_Доходи'!AE1032),0)))</f>
        <v>0</v>
      </c>
      <c r="AF1034" s="208">
        <f ca="1">IF($B$1029="Лікар загальної практики - сімейний лікар",IF(AG1033&lt;=Законод!$C$22,AF1033,Законод!$C$22*'01_Доходи'!AF1032),IF($B$1029="Лікар-педіатр","x",IF($B$1029="Лікар-терапевт",IF(AG1033&lt;=Законод!$C$26,AF1033,Законод!$C$26*'01_Доходи'!AF1032),0)))</f>
        <v>0</v>
      </c>
      <c r="AG1034" s="209">
        <f ca="1">SUM(AB1034:AF1034)</f>
        <v>0</v>
      </c>
      <c r="AH1034" s="942"/>
      <c r="AI1034" s="201"/>
      <c r="AJ1034" s="945"/>
      <c r="AK1034" s="960"/>
      <c r="AL1034" s="960"/>
      <c r="AM1034" s="348" t="s">
        <v>451</v>
      </c>
      <c r="AN1034" s="210">
        <f ca="1">IF(B1029="Лікар загальної практики - сімейний лікар",G1034*Законод!$C$11+'01_Доходи'!H1034*Законод!$D$11+'01_Доходи'!I1034*Законод!$E$11+'01_Доходи'!J1034*Законод!$F$11+'01_Доходи'!K1034*Законод!$G$11,IF(B1029="Лікар-педіатр",G1034*Законод!$C$11+'01_Доходи'!H1034*Законод!$D$11,IF(B1029="Лікар-терапевт",'01_Доходи'!I1034*Законод!$E$11+'01_Доходи'!J1034*Законод!$F$11+'01_Доходи'!K1034*Законод!$G$11,0)))</f>
        <v>0</v>
      </c>
      <c r="AO1034" s="210">
        <f ca="1">IF(B1029="Лікар загальної практики - сімейний лікар",N1034*Законод!$C$11+'01_Доходи'!O1034*Законод!$D$11+'01_Доходи'!P1034*Законод!$E$11+'01_Доходи'!Q1034*Законод!$F$11+'01_Доходи'!R1034*Законод!$G$11,IF(B1029="Лікар-педіатр",N1034*Законод!$C$11+'01_Доходи'!O1034*Законод!$D$11,IF(B1029="Лікар-терапевт",'01_Доходи'!P1034*Законод!$E$11+'01_Доходи'!Q1034*Законод!$F$11+'01_Доходи'!R1034*Законод!$G$11,0)))</f>
        <v>0</v>
      </c>
      <c r="AP1034" s="210">
        <f ca="1">IF(B1029="Лікар загальної практики - сімейний лікар",U1034*Законод!$C$11+'01_Доходи'!V1034*Законод!$D$11+'01_Доходи'!W1034*Законод!$E$11+'01_Доходи'!X1034*Законод!$F$11+'01_Доходи'!Y1034*Законод!$G$11,IF(B1029="Лікар-педіатр",U1034*Законод!$C$11+'01_Доходи'!V1034*Законод!$D$11,IF(B1029="Лікар-терапевт",'01_Доходи'!W1034*Законод!$E$11+'01_Доходи'!X1034*Законод!$F$11+'01_Доходи'!Y1034*Законод!$G$11,0)))</f>
        <v>0</v>
      </c>
      <c r="AQ1034" s="210">
        <f ca="1">IF(B1029="Лікар загальної практики - сімейний лікар",AB1034*Законод!$C$11+'01_Доходи'!AC1034*Законод!$D$11+'01_Доходи'!AD1034*Законод!$E$11+'01_Доходи'!AE1034*Законод!$F$11+'01_Доходи'!AF1034*Законод!$G$11,IF(B1029="Лікар-педіатр",AB1034*Законод!$C$11+'01_Доходи'!AC1034*Законод!$D$11,IF(B1029="Лікар-терапевт",'01_Доходи'!AD1034*Законод!$E$11+'01_Доходи'!AE1034*Законод!$F$11+'01_Доходи'!AF1034*Законод!$G$11,0)))</f>
        <v>0</v>
      </c>
      <c r="AR1034" s="211">
        <f t="shared" ref="AR1034:AR1040" si="119">SUM(AN1034:AQ1034)</f>
        <v>0</v>
      </c>
    </row>
    <row r="1035" spans="1:44" s="50" customFormat="1" ht="31.9" hidden="1" customHeight="1">
      <c r="A1035" s="197"/>
      <c r="B1035" s="951"/>
      <c r="C1035" s="954"/>
      <c r="D1035" s="957"/>
      <c r="E1035" s="939"/>
      <c r="F1035" s="238" t="str">
        <f ca="1">IF(B1029="Лікар-педіатр",Законод!$E$17,IF(B1029="Лікар загальної практики - сімейний лікар",Законод!$E$21,IF(B1029="Лікар-терапевт",Законод!$E$25,"х")))</f>
        <v>х</v>
      </c>
      <c r="G1035" s="935" t="s">
        <v>423</v>
      </c>
      <c r="H1035" s="936"/>
      <c r="I1035" s="936"/>
      <c r="J1035" s="936"/>
      <c r="K1035" s="937"/>
      <c r="L1035" s="196">
        <f ca="1">IF($B$1029="Лікар загальної практики - сімейний лікар",IF(L1033&lt;Законод!$C$22,0,(IF(AND(L1033&gt;=Законод!$E$22,L1033&lt;=Законод!$E$23),L1033-Законод!$C$22,IF('01_Доходи'!L1033&gt;=Законод!$F$22,Законод!$E$24,0)))),IF($B$1029="Лікар-педіатр",IF(L1033&lt;Законод!$C$18,0,(IF(AND(L1033&gt;=Законод!$E$18,L1033&lt;=Законод!$E$19),L1033-Законод!$C$18,IF('01_Доходи'!L1033&gt;=Законод!$F$18,Законод!$E$20,0)))),IF($B$1029="Лікар-терапевт",IF(L1033&lt;Законод!$C$26,0,(IF(AND(L1033&gt;=Законод!$E$26,L1033&lt;=Законод!$E$27),L1033-Законод!$C$26,IF('01_Доходи'!L1033&gt;=Законод!$F$26,Законод!$E$28,0)))),0)))</f>
        <v>0</v>
      </c>
      <c r="M1035" s="942"/>
      <c r="N1035" s="935" t="s">
        <v>423</v>
      </c>
      <c r="O1035" s="936"/>
      <c r="P1035" s="936"/>
      <c r="Q1035" s="936"/>
      <c r="R1035" s="937"/>
      <c r="S1035" s="196">
        <f ca="1">IF($B$1029="Лікар загальної практики - сімейний лікар",IF(S1033&lt;Законод!$C$22,0,(IF(AND(S1033&gt;=Законод!$E$22,S1033&lt;=Законод!$E$23),S1033-Законод!$C$22,IF('01_Доходи'!S1033&gt;=Законод!$F$22,Законод!$E$24,0)))),IF($B$1029="Лікар-педіатр",IF(S1033&lt;Законод!$C$18,0,(IF(AND(S1033&gt;=Законод!$E$18,S1033&lt;=Законод!$E$19),S1033-Законод!$C$18,IF('01_Доходи'!S1033&gt;=Законод!$F$18,Законод!$E$20,0)))),IF($B$1029="Лікар-терапевт",IF(S1033&lt;Законод!$C$26,0,(IF(AND(S1033&gt;=Законод!$E$26,S1033&lt;=Законод!$E$27),S1033-Законод!$C$26,IF('01_Доходи'!S1033&gt;=Законод!$F$26,Законод!$E$28,0)))),0)))</f>
        <v>0</v>
      </c>
      <c r="T1035" s="942"/>
      <c r="U1035" s="935" t="s">
        <v>423</v>
      </c>
      <c r="V1035" s="936"/>
      <c r="W1035" s="936"/>
      <c r="X1035" s="936"/>
      <c r="Y1035" s="937"/>
      <c r="Z1035" s="196">
        <f ca="1">IF($B$1029="Лікар загальної практики - сімейний лікар",IF(Z1033&lt;Законод!$C$22,0,(IF(AND(Z1033&gt;=Законод!$E$22,Z1033&lt;=Законод!$E$23),Z1033-Законод!$C$22,IF('01_Доходи'!Z1033&gt;=Законод!$F$22,Законод!$E$24,0)))),IF($B$1029="Лікар-педіатр",IF(Z1033&lt;Законод!$C$18,0,(IF(AND(Z1033&gt;=Законод!$E$18,Z1033&lt;=Законод!$E$19),Z1033-Законод!$C$18,IF('01_Доходи'!Z1033&gt;=Законод!$F$18,Законод!$E$20,0)))),IF($B$1029="Лікар-терапевт",IF(Z1033&lt;Законод!$C$26,0,(IF(AND(Z1033&gt;=Законод!$E$26,Z1033&lt;=Законод!$E$27),Z1033-Законод!$C$26,IF('01_Доходи'!Z1033&gt;=Законод!$F$26,Законод!$E$28,0)))),0)))</f>
        <v>0</v>
      </c>
      <c r="AA1035" s="942"/>
      <c r="AB1035" s="935" t="s">
        <v>423</v>
      </c>
      <c r="AC1035" s="936"/>
      <c r="AD1035" s="936"/>
      <c r="AE1035" s="936"/>
      <c r="AF1035" s="937"/>
      <c r="AG1035" s="196">
        <f ca="1">IF($B$1029="Лікар загальної практики - сімейний лікар",IF(AG1033&lt;Законод!$C$22,0,(IF(AND(AG1033&gt;=Законод!$E$22,AG1033&lt;=Законод!$E$23),AG1033-Законод!$C$22,IF('01_Доходи'!AG1033&gt;=Законод!$F$22,Законод!$E$24,0)))),IF($B$1029="Лікар-педіатр",IF(AG1033&lt;Законод!$C$18,0,(IF(AND(AG1033&gt;=Законод!$E$18,AG1033&lt;=Законод!$E$19),AG1033-Законод!$C$18,IF('01_Доходи'!AG1033&gt;=Законод!$F$18,Законод!$E$20,0)))),IF($B$1029="Лікар-терапевт",IF(AG1033&lt;Законод!$C$26,0,(IF(AND(AG1033&gt;=Законод!$E$26,AG1033&lt;=Законод!$E$27),AG1033-Законод!$C$26,IF('01_Доходи'!AG1033&gt;=Законод!$F$26,Законод!$E$28,0)))),0)))</f>
        <v>0</v>
      </c>
      <c r="AH1035" s="942"/>
      <c r="AI1035" s="201"/>
      <c r="AJ1035" s="945"/>
      <c r="AK1035" s="960"/>
      <c r="AL1035" s="960"/>
      <c r="AM1035" s="926" t="s">
        <v>452</v>
      </c>
      <c r="AN1035" s="210">
        <f ca="1">IF(B1029="Лікар загальної практики - сімейний лікар",L1035*Законод!$C$9/4*Законод!$E$16,IF(B1029="Лікар-педіатр",L1035*Законод!$C$9/4*Законод!$E$16,IF(B1029="Лікар-терапевт",L1035*Законод!$C$9/4*Законод!$E$16,0)))</f>
        <v>0</v>
      </c>
      <c r="AO1035" s="210">
        <f ca="1">IF(B1029="Лікар загальної практики - сімейний лікар",S1035*Законод!$C$9/4*Законод!$E$16,IF(B1029="Лікар-педіатр",S1035*Законод!$C$9/4*Законод!$E$16,IF(B1029="Лікар-терапевт",S1035*Законод!$C$9/4*Законод!$E$16,0)))</f>
        <v>0</v>
      </c>
      <c r="AP1035" s="210">
        <f ca="1">IF(B1029="Лікар загальної практики - сімейний лікар",Z1035*Законод!$C$9/4*Законод!$E$16,IF(B1029="Лікар-педіатр",Z1035*Законод!$C$9/4*Законод!$E$16,IF(B1029="Лікар-терапевт",Z1035*Законод!$C$9/4*Законод!$E$16,0)))</f>
        <v>0</v>
      </c>
      <c r="AQ1035" s="210">
        <f ca="1">IF(B1029="Лікар загальної практики - сімейний лікар",AG1035*Законод!$C$9/4*Законод!$E$16,IF(B1029="Лікар-педіатр",AG1035*Законод!$C$9/4*Законод!$E$16,IF(B1029="Лікар-терапевт",AG1035*Законод!$C$9/4*Законод!$E$16,0)))</f>
        <v>0</v>
      </c>
      <c r="AR1035" s="211">
        <f t="shared" si="119"/>
        <v>0</v>
      </c>
    </row>
    <row r="1036" spans="1:44" s="50" customFormat="1" ht="31.9" hidden="1" customHeight="1">
      <c r="A1036" s="197"/>
      <c r="B1036" s="951"/>
      <c r="C1036" s="954"/>
      <c r="D1036" s="957"/>
      <c r="E1036" s="939"/>
      <c r="F1036" s="238" t="str">
        <f ca="1">IF(B1029="Лікар-педіатр",Законод!$F$17,IF(B1029="Лікар загальної практики - сімейний лікар",Законод!$F$21,IF(B1029="Лікар-терапевт",Законод!$F$25,"х")))</f>
        <v>х</v>
      </c>
      <c r="G1036" s="935" t="s">
        <v>423</v>
      </c>
      <c r="H1036" s="936"/>
      <c r="I1036" s="936"/>
      <c r="J1036" s="936"/>
      <c r="K1036" s="937"/>
      <c r="L1036" s="196">
        <f ca="1">IF($B$1029="Лікар загальної практики - сімейний лікар",IF(L1033&lt;Законод!$C$22,0,(IF(AND(L1033&gt;=Законод!$F$22,L1033&lt;=Законод!$F$23),L1033-Законод!$E$23,IF('01_Доходи'!L1033&gt;=Законод!$G$22,Законод!$F$24,0)))),IF($B$1029="Лікар-педіатр",IF(L1033&lt;Законод!$C$18,0,(IF(AND(L1033&gt;=Законод!$F$18,L1033&lt;=Законод!$F$19),L1033-Законод!$E$19,IF('01_Доходи'!L1033&gt;=Законод!$G$18,Законод!$F$20,0)))),IF($B$1029="Лікар-терапевт",IF(L1033&lt;Законод!$C$26,0,(IF(AND(L1033&gt;=Законод!$F$26,L1033&lt;=Законод!$F$27),L1033-Законод!$E$27,IF('01_Доходи'!L1033&gt;=Законод!$G$26,Законод!$F$28,0)))),0)))</f>
        <v>0</v>
      </c>
      <c r="M1036" s="942"/>
      <c r="N1036" s="935" t="s">
        <v>423</v>
      </c>
      <c r="O1036" s="936"/>
      <c r="P1036" s="936"/>
      <c r="Q1036" s="936"/>
      <c r="R1036" s="937"/>
      <c r="S1036" s="196">
        <f ca="1">IF($B$1029="Лікар загальної практики - сімейний лікар",IF(S1033&lt;Законод!$C$22,0,(IF(AND(S1033&gt;=Законод!$F$22,S1033&lt;=Законод!$F$23),S1033-Законод!$E$23,IF('01_Доходи'!S1033&gt;=Законод!$G$22,Законод!$F$24,0)))),IF($B$1029="Лікар-педіатр",IF(S1033&lt;Законод!$C$18,0,(IF(AND(S1033&gt;=Законод!$F$18,S1033&lt;=Законод!$F$19),S1033-Законод!$E$19,IF('01_Доходи'!S1033&gt;=Законод!$G$18,Законод!$F$20,0)))),IF($B$1029="Лікар-терапевт",IF(S1033&lt;Законод!$C$26,0,(IF(AND(S1033&gt;=Законод!$F$26,S1033&lt;=Законод!$F$27),S1033-Законод!$E$27,IF('01_Доходи'!S1033&gt;=Законод!$G$26,Законод!$F$28,0)))),0)))</f>
        <v>0</v>
      </c>
      <c r="T1036" s="942"/>
      <c r="U1036" s="935" t="s">
        <v>423</v>
      </c>
      <c r="V1036" s="936"/>
      <c r="W1036" s="936"/>
      <c r="X1036" s="936"/>
      <c r="Y1036" s="937"/>
      <c r="Z1036" s="196">
        <f ca="1">IF($B$1029="Лікар загальної практики - сімейний лікар",IF(Z1033&lt;Законод!$C$22,0,(IF(AND(Z1033&gt;=Законод!$F$22,Z1033&lt;=Законод!$F$23),Z1033-Законод!$E$23,IF('01_Доходи'!Z1033&gt;=Законод!$G$22,Законод!$F$24,0)))),IF($B$1029="Лікар-педіатр",IF(Z1033&lt;Законод!$C$18,0,(IF(AND(Z1033&gt;=Законод!$F$18,Z1033&lt;=Законод!$F$19),Z1033-Законод!$E$19,IF('01_Доходи'!Z1033&gt;=Законод!$G$18,Законод!$F$20,0)))),IF($B$1029="Лікар-терапевт",IF(Z1033&lt;Законод!$C$26,0,(IF(AND(Z1033&gt;=Законод!$F$26,Z1033&lt;=Законод!$F$27),Z1033-Законод!$E$27,IF('01_Доходи'!Z1033&gt;=Законод!$G$26,Законод!$F$28,0)))),0)))</f>
        <v>0</v>
      </c>
      <c r="AA1036" s="942"/>
      <c r="AB1036" s="935" t="s">
        <v>423</v>
      </c>
      <c r="AC1036" s="936"/>
      <c r="AD1036" s="936"/>
      <c r="AE1036" s="936"/>
      <c r="AF1036" s="937"/>
      <c r="AG1036" s="196">
        <f ca="1">IF($B$1029="Лікар загальної практики - сімейний лікар",IF(AG1033&lt;Законод!$C$22,0,(IF(AND(AG1033&gt;=Законод!$F$22,AG1033&lt;=Законод!$F$23),AG1033-Законод!$E$23,IF('01_Доходи'!AG1033&gt;=Законод!$G$22,Законод!$F$24,0)))),IF($B$1029="Лікар-педіатр",IF(AG1033&lt;Законод!$C$18,0,(IF(AND(AG1033&gt;=Законод!$F$18,AG1033&lt;=Законод!$F$19),AG1033-Законод!$E$19,IF('01_Доходи'!AG1033&gt;=Законод!$G$18,Законод!$F$20,0)))),IF($B$1029="Лікар-терапевт",IF(AG1033&lt;Законод!$C$26,0,(IF(AND(AG1033&gt;=Законод!$F$26,AG1033&lt;=Законод!$F$27),AG1033-Законод!$E$27,IF('01_Доходи'!AG1033&gt;=Законод!$G$26,Законод!$F$28,0)))),0)))</f>
        <v>0</v>
      </c>
      <c r="AH1036" s="942"/>
      <c r="AI1036" s="201"/>
      <c r="AJ1036" s="945"/>
      <c r="AK1036" s="960"/>
      <c r="AL1036" s="960"/>
      <c r="AM1036" s="927"/>
      <c r="AN1036" s="210">
        <f ca="1">IF(B1029="Лікар загальної практики - сімейний лікар",L1036*Законод!$C$9/4*Законод!$F$16,IF(B1029="Лікар-педіатр",L1036*Законод!$C$9/4*Законод!$F$16,IF(B1029="Лікар-терапевт",L1036*Законод!$C$9/4*Законод!$F$16,0)))</f>
        <v>0</v>
      </c>
      <c r="AO1036" s="210">
        <f ca="1">IF(B1029="Лікар загальної практики - сімейний лікар",S1036*Законод!$C$9/4*Законод!$F$16,IF(B1029="Лікар-педіатр",S1036*Законод!$C$9/4*Законод!$F$16,IF(B1029="Лікар-терапевт",S1036*Законод!$C$9/4*Законод!$F$16,0)))</f>
        <v>0</v>
      </c>
      <c r="AP1036" s="210">
        <f ca="1">IF(B1029="Лікар загальної практики - сімейний лікар",Z1036*Законод!$C$9/4*Законод!$F$16,IF(B1029="Лікар-педіатр",Z1036*Законод!$C$9/4*Законод!$F$16,IF(B1029="Лікар-терапевт",Z1036*Законод!$C$9/4*Законод!$F$16,0)))</f>
        <v>0</v>
      </c>
      <c r="AQ1036" s="210">
        <f ca="1">IF(B1029="Лікар загальної практики - сімейний лікар",AG1036*Законод!$C$9/4*Законод!$F$16,IF(B1029="Лікар-педіатр",AG1036*Законод!$C$9/4*Законод!$F$16,IF(B1029="Лікар-терапевт",AG1036*Законод!$C$9/4*Законод!$F$16,0)))</f>
        <v>0</v>
      </c>
      <c r="AR1036" s="211">
        <f t="shared" si="119"/>
        <v>0</v>
      </c>
    </row>
    <row r="1037" spans="1:44" s="50" customFormat="1" ht="31.9" hidden="1" customHeight="1">
      <c r="A1037" s="197"/>
      <c r="B1037" s="951"/>
      <c r="C1037" s="954"/>
      <c r="D1037" s="957"/>
      <c r="E1037" s="939"/>
      <c r="F1037" s="238" t="str">
        <f ca="1">IF(B1029="Лікар-педіатр",Законод!$G$17,IF(B1029="Лікар загальної практики - сімейний лікар",Законод!$G$21,IF(B1029="Лікар-терапевт",Законод!$G$25,"х")))</f>
        <v>х</v>
      </c>
      <c r="G1037" s="935" t="s">
        <v>423</v>
      </c>
      <c r="H1037" s="936"/>
      <c r="I1037" s="936"/>
      <c r="J1037" s="936"/>
      <c r="K1037" s="937"/>
      <c r="L1037" s="196">
        <f ca="1">IF($B$1029="Лікар загальної практики - сімейний лікар",IF(L1033&lt;Законод!$C$22,0,(IF(AND(L1033&gt;=Законод!$G$22,L1033&lt;=Законод!$G$23),L1033-Законод!$F$23,IF('01_Доходи'!L1033&gt;=Законод!$H$22,Законод!$G$24,0)))),IF($B$1029="Лікар-педіатр",IF(L1033&lt;Законод!$C$18,0,(IF(AND(L1033&gt;=Законод!$G$18,L1033&lt;=Законод!$G$19),L1033-Законод!$F$19,IF('01_Доходи'!L1033&gt;=Законод!$H$18,Законод!$G$20,0)))),IF($B$1029="Лікар-терапевт",IF(L1033&lt;Законод!$C$26,0,(IF(AND(L1033&gt;=Законод!$G$26,L1033&lt;=Законод!$G$27),L1033-Законод!$F$27,IF('01_Доходи'!L1033&gt;=Законод!$H$26,Законод!$G$28,0)))),0)))</f>
        <v>0</v>
      </c>
      <c r="M1037" s="942"/>
      <c r="N1037" s="935" t="s">
        <v>423</v>
      </c>
      <c r="O1037" s="936"/>
      <c r="P1037" s="936"/>
      <c r="Q1037" s="936"/>
      <c r="R1037" s="937"/>
      <c r="S1037" s="196">
        <f ca="1">IF($B$1029="Лікар загальної практики - сімейний лікар",IF(S1033&lt;Законод!$C$22,0,(IF(AND(S1033&gt;=Законод!$G$22,S1033&lt;=Законод!$G$23),S1033-Законод!$F$23,IF('01_Доходи'!S1033&gt;=Законод!$H$22,Законод!$G$24,0)))),IF($B$1029="Лікар-педіатр",IF(S1033&lt;Законод!$C$18,0,(IF(AND(S1033&gt;=Законод!$G$18,S1033&lt;=Законод!$G$19),S1033-Законод!$F$19,IF('01_Доходи'!S1033&gt;=Законод!$H$18,Законод!$G$20,0)))),IF($B$1029="Лікар-терапевт",IF(S1033&lt;Законод!$C$26,0,(IF(AND(S1033&gt;=Законод!$G$26,S1033&lt;=Законод!$G$27),S1033-Законод!$F$27,IF('01_Доходи'!S1033&gt;=Законод!$H$26,Законод!$G$28,0)))),0)))</f>
        <v>0</v>
      </c>
      <c r="T1037" s="942"/>
      <c r="U1037" s="935" t="s">
        <v>423</v>
      </c>
      <c r="V1037" s="936"/>
      <c r="W1037" s="936"/>
      <c r="X1037" s="936"/>
      <c r="Y1037" s="937"/>
      <c r="Z1037" s="196">
        <f ca="1">IF($B$1029="Лікар загальної практики - сімейний лікар",IF(Z1033&lt;Законод!$C$22,0,(IF(AND(Z1033&gt;=Законод!$G$22,Z1033&lt;=Законод!$G$23),Z1033-Законод!$F$23,IF('01_Доходи'!Z1033&gt;=Законод!$H$22,Законод!$G$24,0)))),IF($B$1029="Лікар-педіатр",IF(Z1033&lt;Законод!$C$18,0,(IF(AND(Z1033&gt;=Законод!$G$18,Z1033&lt;=Законод!$G$19),Z1033-Законод!$F$19,IF('01_Доходи'!Z1033&gt;=Законод!$H$18,Законод!$G$20,0)))),IF($B$1029="Лікар-терапевт",IF(Z1033&lt;Законод!$C$26,0,(IF(AND(Z1033&gt;=Законод!$G$26,Z1033&lt;=Законод!$G$27),Z1033-Законод!$F$27,IF('01_Доходи'!Z1033&gt;=Законод!$H$26,Законод!$G$28,0)))),0)))</f>
        <v>0</v>
      </c>
      <c r="AA1037" s="942"/>
      <c r="AB1037" s="935" t="s">
        <v>423</v>
      </c>
      <c r="AC1037" s="936"/>
      <c r="AD1037" s="936"/>
      <c r="AE1037" s="936"/>
      <c r="AF1037" s="937"/>
      <c r="AG1037" s="196">
        <f ca="1">IF($B$1029="Лікар загальної практики - сімейний лікар",IF(AG1033&lt;Законод!$C$22,0,(IF(AND(AG1033&gt;=Законод!$G$22,AG1033&lt;=Законод!$G$23),AG1033-Законод!$F$23,IF('01_Доходи'!AG1033&gt;=Законод!$H$22,Законод!$G$24,0)))),IF($B$1029="Лікар-педіатр",IF(AG1033&lt;Законод!$C$18,0,(IF(AND(AG1033&gt;=Законод!$G$18,AG1033&lt;=Законод!$G$19),AG1033-Законод!$F$19,IF('01_Доходи'!AG1033&gt;=Законод!$H$18,Законод!$G$20,0)))),IF($B$1029="Лікар-терапевт",IF(AG1033&lt;Законод!$C$26,0,(IF(AND(AG1033&gt;=Законод!$G$26,AG1033&lt;=Законод!$G$27),AG1033-Законод!$F$27,IF('01_Доходи'!AG1033&gt;=Законод!$H$26,Законод!$G$28,0)))),0)))</f>
        <v>0</v>
      </c>
      <c r="AH1037" s="942"/>
      <c r="AI1037" s="201"/>
      <c r="AJ1037" s="945"/>
      <c r="AK1037" s="960"/>
      <c r="AL1037" s="960"/>
      <c r="AM1037" s="927"/>
      <c r="AN1037" s="210">
        <f ca="1">IF(B1029="Лікар загальної практики - сімейний лікар",L1037*Законод!$C$9/4*Законод!$G$16,IF(B1029="Лікар-педіатр",L1037*Законод!$C$9/4*Законод!$G$16,IF(B1029="Лікар-терапевт",L1037*Законод!$C$9/4*Законод!$G$16,0)))</f>
        <v>0</v>
      </c>
      <c r="AO1037" s="210">
        <f ca="1">IF(B1029="Лікар загальної практики - сімейний лікар",S1037*Законод!$C$9/4*Законод!$G$16,IF(B1029="Лікар-педіатр",S1037*Законод!$C$9/4*Законод!$G$16,IF(B1029="Лікар-терапевт",S1037*Законод!$C$9/4*Законод!$G$16,0)))</f>
        <v>0</v>
      </c>
      <c r="AP1037" s="210">
        <f ca="1">IF(B1029="Лікар загальної практики - сімейний лікар",Z1037*Законод!$C$9/4*Законод!$G$16,IF(B1029="Лікар-педіатр",Z1037*Законод!$C$9/4*Законод!$G$16,IF(B1029="Лікар-терапевт",Z1037*Законод!$C$9/4*Законод!$G$16,0)))</f>
        <v>0</v>
      </c>
      <c r="AQ1037" s="210">
        <f ca="1">IF(B1029="Лікар загальної практики - сімейний лікар",AG1037*Законод!$C$9/4*Законод!$G$16,IF(B1029="Лікар-педіатр",AG1037*Законод!$C$9/4*Законод!$G$16,IF(B1029="Лікар-терапевт",AG1037*Законод!$C$9/4*Законод!$G$16,0)))</f>
        <v>0</v>
      </c>
      <c r="AR1037" s="211">
        <f t="shared" si="119"/>
        <v>0</v>
      </c>
    </row>
    <row r="1038" spans="1:44" s="50" customFormat="1" ht="31.9" hidden="1" customHeight="1">
      <c r="A1038" s="197"/>
      <c r="B1038" s="951"/>
      <c r="C1038" s="954"/>
      <c r="D1038" s="957"/>
      <c r="E1038" s="939"/>
      <c r="F1038" s="238" t="str">
        <f ca="1">IF(B1029="Лікар-педіатр",Законод!$H$17,IF(B1029="Лікар загальної практики - сімейний лікар",Законод!$H$21,IF(B1029="Лікар-терапевт",Законод!$H$25,"х")))</f>
        <v>х</v>
      </c>
      <c r="G1038" s="935" t="s">
        <v>423</v>
      </c>
      <c r="H1038" s="936"/>
      <c r="I1038" s="936"/>
      <c r="J1038" s="936"/>
      <c r="K1038" s="937"/>
      <c r="L1038" s="196">
        <f ca="1">IF($B$1029="Лікар загальної практики - сімейний лікар",IF(L1033&lt;Законод!$C$22,0,(IF(AND(L1033&gt;=Законод!$H$22,L1033&lt;=Законод!$H$23),L1033-Законод!$G$23,IF('01_Доходи'!L1033&gt;=Законод!$I$22,Законод!$H$24,0)))),IF($B$1029="Лікар-педіатр",IF(L1033&lt;Законод!$C$18,0,(IF(AND(L1033&gt;=Законод!$H$18,L1033&lt;=Законод!$H$19),L1033-Законод!$G$19,IF('01_Доходи'!L1033&gt;=Законод!$I$18,Законод!$H$20,0)))),IF($B$1029="Лікар-терапевт",IF(L1033&lt;Законод!$C$26,0,(IF(AND(L1033&gt;=Законод!$H$26,L1033&lt;=Законод!$H$27),L1033-Законод!$G$27,IF(L1033&gt;=Законод!$I$26,Законод!$H$28,0)))),0)))</f>
        <v>0</v>
      </c>
      <c r="M1038" s="942"/>
      <c r="N1038" s="935" t="s">
        <v>423</v>
      </c>
      <c r="O1038" s="936"/>
      <c r="P1038" s="936"/>
      <c r="Q1038" s="936"/>
      <c r="R1038" s="937"/>
      <c r="S1038" s="196">
        <f ca="1">IF($B$1029="Лікар загальної практики - сімейний лікар",IF(S1033&lt;Законод!$C$22,0,(IF(AND(S1033&gt;=Законод!$H$22,S1033&lt;=Законод!$H$23),S1033-Законод!$G$23,IF('01_Доходи'!S1033&gt;=Законод!$I$22,Законод!$H$24,0)))),IF($B$1029="Лікар-педіатр",IF(S1033&lt;Законод!$C$18,0,(IF(AND(S1033&gt;=Законод!$H$18,S1033&lt;=Законод!$H$19),S1033-Законод!$G$19,IF('01_Доходи'!S1033&gt;=Законод!$I$18,Законод!$H$20,0)))),IF($B$1029="Лікар-терапевт",IF(S1033&lt;Законод!$C$26,0,(IF(AND(S1033&gt;=Законод!$H$26,S1033&lt;=Законод!$H$27),S1033-Законод!$G$27,IF(S1033&gt;=Законод!$I$26,Законод!$H$28,0)))),0)))</f>
        <v>0</v>
      </c>
      <c r="T1038" s="942"/>
      <c r="U1038" s="935" t="s">
        <v>423</v>
      </c>
      <c r="V1038" s="936"/>
      <c r="W1038" s="936"/>
      <c r="X1038" s="936"/>
      <c r="Y1038" s="937"/>
      <c r="Z1038" s="196">
        <f ca="1">IF($B$1029="Лікар загальної практики - сімейний лікар",IF(Z1033&lt;Законод!$C$22,0,(IF(AND(Z1033&gt;=Законод!$H$22,Z1033&lt;=Законод!$H$23),Z1033-Законод!$G$23,IF('01_Доходи'!Z1033&gt;=Законод!$I$22,Законод!$H$24,0)))),IF($B$1029="Лікар-педіатр",IF(Z1033&lt;Законод!$C$18,0,(IF(AND(Z1033&gt;=Законод!$H$18,Z1033&lt;=Законод!$H$19),Z1033-Законод!$G$19,IF('01_Доходи'!Z1033&gt;=Законод!$I$18,Законод!$H$20,0)))),IF($B$1029="Лікар-терапевт",IF(Z1033&lt;Законод!$C$26,0,(IF(AND(Z1033&gt;=Законод!$H$26,Z1033&lt;=Законод!$H$27),Z1033-Законод!$G$27,IF(Z1033&gt;=Законод!$I$26,Законод!$H$28,0)))),0)))</f>
        <v>0</v>
      </c>
      <c r="AA1038" s="942"/>
      <c r="AB1038" s="935" t="s">
        <v>423</v>
      </c>
      <c r="AC1038" s="936"/>
      <c r="AD1038" s="936"/>
      <c r="AE1038" s="936"/>
      <c r="AF1038" s="937"/>
      <c r="AG1038" s="196">
        <f ca="1">IF($B$1029="Лікар загальної практики - сімейний лікар",IF(AG1033&lt;Законод!$C$22,0,(IF(AND(AG1033&gt;=Законод!$H$22,AG1033&lt;=Законод!$H$23),AG1033-Законод!$G$23,IF('01_Доходи'!AG1033&gt;=Законод!$I$22,Законод!$H$24,0)))),IF($B$1029="Лікар-педіатр",IF(AG1033&lt;Законод!$C$18,0,(IF(AND(AG1033&gt;=Законод!$H$18,AG1033&lt;=Законод!$H$19),AG1033-Законод!$G$19,IF('01_Доходи'!AG1033&gt;=Законод!$I$18,Законод!$H$20,0)))),IF($B$1029="Лікар-терапевт",IF(AG1033&lt;Законод!$C$26,0,(IF(AND(AG1033&gt;=Законод!$H$26,AG1033&lt;=Законод!$H$27),AG1033-Законод!$G$27,IF(AG1033&gt;=Законод!$I$26,Законод!$H$28,0)))),0)))</f>
        <v>0</v>
      </c>
      <c r="AH1038" s="942"/>
      <c r="AI1038" s="201"/>
      <c r="AJ1038" s="945"/>
      <c r="AK1038" s="960"/>
      <c r="AL1038" s="960"/>
      <c r="AM1038" s="927"/>
      <c r="AN1038" s="210">
        <f ca="1">IF(B1029="Лікар загальної практики - сімейний лікар",L1038*Законод!$C$9/4*Законод!$H$16,IF(B1029="Лікар-педіатр",L1038*Законод!$C$9/4*Законод!$H$16,IF(B1029="Лікар-терапевт",L1038*Законод!$C$9/4*Законод!$H$16,0)))</f>
        <v>0</v>
      </c>
      <c r="AO1038" s="210">
        <f ca="1">IF(B1029="Лікар загальної практики - сімейний лікар",S1038*Законод!$C$9/4*Законод!$H$16,IF(B1029="Лікар-педіатр",S1038*Законод!$C$9/4*Законод!$H$16,IF(B1029="Лікар-терапевт",S1038*Законод!$C$9/4*Законод!$H$16,0)))</f>
        <v>0</v>
      </c>
      <c r="AP1038" s="210">
        <f ca="1">IF(B1029="Лікар загальної практики - сімейний лікар",Z1038*Законод!$C$9/4*Законод!$H$16,IF(B1029="Лікар-педіатр",Z1038*Законод!$C$9/4*Законод!$H$16,IF(B1029="Лікар-терапевт",Z1038*Законод!$C$9/4*Законод!$H$16,0)))</f>
        <v>0</v>
      </c>
      <c r="AQ1038" s="210">
        <f ca="1">IF(B1029="Лікар загальної практики - сімейний лікар",AG1038*Законод!$C$9/4*Законод!$H$16,IF(B1029="Лікар-педіатр",AG1038*Законод!$C$9/4*Законод!$H$16,IF(B1029="Лікар-терапевт",AG1038*Законод!$C$9/4*Законод!$H$16,0)))</f>
        <v>0</v>
      </c>
      <c r="AR1038" s="211">
        <f t="shared" si="119"/>
        <v>0</v>
      </c>
    </row>
    <row r="1039" spans="1:44" s="50" customFormat="1" ht="31.9" hidden="1" customHeight="1">
      <c r="A1039" s="197"/>
      <c r="B1039" s="951"/>
      <c r="C1039" s="954"/>
      <c r="D1039" s="957"/>
      <c r="E1039" s="939"/>
      <c r="F1039" s="238" t="str">
        <f ca="1">IF(B1029="Лікар-педіатр",Законод!$I$17,IF(B1029="Лікар загальної практики - сімейний лікар",Законод!$I$21,IF(B1029="Лікар-терапевт",Законод!$I$25,"х")))</f>
        <v>х</v>
      </c>
      <c r="G1039" s="935" t="s">
        <v>423</v>
      </c>
      <c r="H1039" s="936"/>
      <c r="I1039" s="936"/>
      <c r="J1039" s="936"/>
      <c r="K1039" s="937"/>
      <c r="L1039" s="196">
        <f ca="1">IF($B$1029="Лікар загальної практики - сімейний лікар",IF(L1033&lt;Законод!$C$22,0,(IF(AND(L1033&gt;=Законод!$I$22,L1033&lt;=Законод!$I$23),L1033-Законод!$H$23,IF('01_Доходи'!L1033&gt;=Законод!$I$22,Законод!$I$24,0)))),IF($B$1029="Лікар-педіатр",IF(L1033&lt;Законод!$C$18,0,(IF(AND(L1033&gt;=Законод!$I$18,L1033&lt;=Законод!$I$19),L1033-Законод!$H$19,IF('01_Доходи'!L1033&gt;=Законод!$I$18,Законод!$H$20,0)))),IF($B$1029="Лікар-терапевт",IF(L1033&lt;Законод!$C$26,0,(IF(AND(L1033&gt;=Законод!$I$26,L1033&lt;=Законод!$I$27),L1033-Законод!$H$27,IF('01_Доходи'!L1033&gt;=Законод!$I$26,Законод!$H$28,0)))),0)))</f>
        <v>0</v>
      </c>
      <c r="M1039" s="942"/>
      <c r="N1039" s="935" t="s">
        <v>423</v>
      </c>
      <c r="O1039" s="936"/>
      <c r="P1039" s="936"/>
      <c r="Q1039" s="936"/>
      <c r="R1039" s="937"/>
      <c r="S1039" s="196">
        <f ca="1">IF($B$1029="Лікар загальної практики - сімейний лікар",IF(S1033&lt;Законод!$C$22,0,(IF(AND(S1033&gt;=Законод!$I$22,S1033&lt;=Законод!$I$23),S1033-Законод!$H$23,IF('01_Доходи'!S1033&gt;=Законод!$I$22,Законод!$I$24,0)))),IF($B$1029="Лікар-педіатр",IF(S1033&lt;Законод!$C$18,0,(IF(AND(S1033&gt;=Законод!$I$18,S1033&lt;=Законод!$I$19),S1033-Законод!$H$19,IF('01_Доходи'!S1033&gt;=Законод!$I$18,Законод!$H$20,0)))),IF($B$1029="Лікар-терапевт",IF(S1033&lt;Законод!$C$26,0,(IF(AND(S1033&gt;=Законод!$I$26,S1033&lt;=Законод!$I$27),S1033-Законод!$H$27,IF('01_Доходи'!S1033&gt;=Законод!$I$26,Законод!$H$28,0)))),0)))</f>
        <v>0</v>
      </c>
      <c r="T1039" s="942"/>
      <c r="U1039" s="935" t="s">
        <v>423</v>
      </c>
      <c r="V1039" s="936"/>
      <c r="W1039" s="936"/>
      <c r="X1039" s="936"/>
      <c r="Y1039" s="937"/>
      <c r="Z1039" s="196">
        <f ca="1">IF($B$1029="Лікар загальної практики - сімейний лікар",IF(Z1033&lt;Законод!$C$22,0,(IF(AND(Z1033&gt;=Законод!$I$22,Z1033&lt;=Законод!$I$23),Z1033-Законод!$H$23,IF('01_Доходи'!Z1033&gt;=Законод!$I$22,Законод!$I$24,0)))),IF($B$1029="Лікар-педіатр",IF(Z1033&lt;Законод!$C$18,0,(IF(AND(Z1033&gt;=Законод!$I$18,Z1033&lt;=Законод!$I$19),Z1033-Законод!$H$19,IF('01_Доходи'!Z1033&gt;=Законод!$I$18,Законод!$H$20,0)))),IF($B$1029="Лікар-терапевт",IF(Z1033&lt;Законод!$C$26,0,(IF(AND(Z1033&gt;=Законод!$I$26,Z1033&lt;=Законод!$I$27),Z1033-Законод!$H$27,IF('01_Доходи'!Z1033&gt;=Законод!$I$26,Законод!$H$28,0)))),0)))</f>
        <v>0</v>
      </c>
      <c r="AA1039" s="942"/>
      <c r="AB1039" s="935" t="s">
        <v>423</v>
      </c>
      <c r="AC1039" s="936"/>
      <c r="AD1039" s="936"/>
      <c r="AE1039" s="936"/>
      <c r="AF1039" s="937"/>
      <c r="AG1039" s="196">
        <f ca="1">IF($B$1029="Лікар загальної практики - сімейний лікар",IF(AG1033&lt;Законод!$C$22,0,(IF(AND(AG1033&gt;=Законод!$I$22,AG1033&lt;=Законод!$I$23),AG1033-Законод!$H$23,IF('01_Доходи'!AG1033&gt;=Законод!$I$22,Законод!$I$24,0)))),IF($B$1029="Лікар-педіатр",IF(AG1033&lt;Законод!$C$18,0,(IF(AND(AG1033&gt;=Законод!$I$18,AG1033&lt;=Законод!$I$19),AG1033-Законод!$H$19,IF('01_Доходи'!AG1033&gt;=Законод!$I$18,Законод!$H$20,0)))),IF($B$1029="Лікар-терапевт",IF(AG1033&lt;Законод!$C$26,0,(IF(AND(AG1033&gt;=Законод!$I$26,AG1033&lt;=Законод!$I$27),AG1033-Законод!$H$27,IF('01_Доходи'!AG1033&gt;=Законод!$I$26,Законод!$H$28,0)))),0)))</f>
        <v>0</v>
      </c>
      <c r="AH1039" s="942"/>
      <c r="AI1039" s="201"/>
      <c r="AJ1039" s="945"/>
      <c r="AK1039" s="960"/>
      <c r="AL1039" s="960"/>
      <c r="AM1039" s="927"/>
      <c r="AN1039" s="210">
        <f ca="1">IF(B1029="Лікар загальної практики - сімейний лікар",L1039*Законод!$C$9/4*Законод!$I$16,IF(B1029="Лікар-педіатр",L1039*Законод!$C$9/4*Законод!$I$16,IF(B1029="Лікар-терапевт",L1039*Законод!$C$9/4*Законод!$I$16,0)))</f>
        <v>0</v>
      </c>
      <c r="AO1039" s="210">
        <f ca="1">IF(B1029="Лікар загальної практики - сімейний лікар",S1039*Законод!$C$9/4*Законод!$I$16,IF(B1029="Лікар-педіатр",S1039*Законод!$C$9/4*Законод!$I$16,IF(B1029="Лікар-терапевт",S1039*Законод!$C$9/4*Законод!$I$16,0)))</f>
        <v>0</v>
      </c>
      <c r="AP1039" s="210">
        <f ca="1">IF(B1029="Лікар загальної практики - сімейний лікар",Z1039*Законод!$C$9/4*Законод!$I$16,IF(B1029="Лікар-педіатр",Z1039*Законод!$C$9/4*Законод!$I$16,IF(B1029="Лікар-терапевт",Z1039*Законод!$C$9/4*Законод!$I$16,0)))</f>
        <v>0</v>
      </c>
      <c r="AQ1039" s="210">
        <f ca="1">IF(B1029="Лікар загальної практики - сімейний лікар",AG1039*Законод!$C$9/4*Законод!$I$16,IF(B1029="Лікар-педіатр",AG1039*Законод!$C$9/4*Законод!$I$16,IF(B1029="Лікар-терапевт",AG1039*Законод!$C$9/4*Законод!$I$16,0)))</f>
        <v>0</v>
      </c>
      <c r="AR1039" s="211">
        <f t="shared" si="119"/>
        <v>0</v>
      </c>
    </row>
    <row r="1040" spans="1:44" s="218" customFormat="1" ht="31.9" hidden="1" customHeight="1" thickBot="1">
      <c r="A1040" s="213"/>
      <c r="B1040" s="952"/>
      <c r="C1040" s="955"/>
      <c r="D1040" s="958"/>
      <c r="E1040" s="940"/>
      <c r="F1040" s="239" t="str">
        <f ca="1">IF(B1029="Лікар-педіатр",Законод!$J$17,IF(B1029="Лікар загальної практики - сімейний лікар",Законод!$J$21,IF(B1029="Лікар-терапевт",Законод!$J$25,"х")))</f>
        <v>х</v>
      </c>
      <c r="G1040" s="932" t="s">
        <v>423</v>
      </c>
      <c r="H1040" s="933"/>
      <c r="I1040" s="933"/>
      <c r="J1040" s="933"/>
      <c r="K1040" s="934"/>
      <c r="L1040" s="196">
        <f ca="1">IF($B$1029="Лікар загальної практики - сімейний лікар",IF(L1033&gt;=Законод!$J$22,'01_Доходи'!L1033-('01_Доходи'!L1034+'01_Доходи'!L1035+'01_Доходи'!L1036+'01_Доходи'!L1037+'01_Доходи'!L1038+'01_Доходи'!L1039),0),IF($B$1029="Лікар-педіатр",IF(L1033&gt;=Законод!$J$18,'01_Доходи'!L1033-('01_Доходи'!L1034+'01_Доходи'!L1035+'01_Доходи'!L1036+'01_Доходи'!L1037+'01_Доходи'!L1038+'01_Доходи'!L1039),0),IF($B$1029="Лікар-терапевт",IF('01_Доходи'!L1033&gt;=Законод!$J$26,L1033-Законод!$I$27,0),0)))</f>
        <v>0</v>
      </c>
      <c r="M1040" s="943"/>
      <c r="N1040" s="932" t="s">
        <v>423</v>
      </c>
      <c r="O1040" s="933"/>
      <c r="P1040" s="933"/>
      <c r="Q1040" s="933"/>
      <c r="R1040" s="934"/>
      <c r="S1040" s="196">
        <f ca="1">IF($B$1029="Лікар загальної практики - сімейний лікар",IF(S1033&gt;=Законод!$J$22,'01_Доходи'!S1033-('01_Доходи'!S1034+'01_Доходи'!S1035+'01_Доходи'!S1036+'01_Доходи'!S1037+'01_Доходи'!S1038+'01_Доходи'!S1039),0),IF($B$1029="Лікар-педіатр",IF(S1033&gt;=Законод!$J$18,'01_Доходи'!S1033-('01_Доходи'!S1034+'01_Доходи'!S1035+'01_Доходи'!S1036+'01_Доходи'!S1037+'01_Доходи'!S1038+'01_Доходи'!S1039),0),IF($B$1029="Лікар-терапевт",IF('01_Доходи'!S1033&gt;=Законод!$J$26,S1033-Законод!$I$27,0),0)))</f>
        <v>0</v>
      </c>
      <c r="T1040" s="943"/>
      <c r="U1040" s="932" t="s">
        <v>423</v>
      </c>
      <c r="V1040" s="933"/>
      <c r="W1040" s="933"/>
      <c r="X1040" s="933"/>
      <c r="Y1040" s="934"/>
      <c r="Z1040" s="196">
        <f ca="1">IF($B$1029="Лікар загальної практики - сімейний лікар",IF(Z1033&gt;=Законод!$J$22,'01_Доходи'!Z1033-('01_Доходи'!Z1034+'01_Доходи'!Z1035+'01_Доходи'!Z1036+'01_Доходи'!Z1037+'01_Доходи'!Z1038+'01_Доходи'!Z1039),0),IF($B$1029="Лікар-педіатр",IF(Z1033&gt;=Законод!$J$18,'01_Доходи'!Z1033-('01_Доходи'!Z1034+'01_Доходи'!Z1035+'01_Доходи'!Z1036+'01_Доходи'!Z1037+'01_Доходи'!Z1038+'01_Доходи'!Z1039),0),IF($B$1029="Лікар-терапевт",IF('01_Доходи'!Z1033&gt;=Законод!$J$26,Z1033-Законод!$I$27,0),0)))</f>
        <v>0</v>
      </c>
      <c r="AA1040" s="943"/>
      <c r="AB1040" s="932" t="s">
        <v>423</v>
      </c>
      <c r="AC1040" s="933"/>
      <c r="AD1040" s="933"/>
      <c r="AE1040" s="933"/>
      <c r="AF1040" s="934"/>
      <c r="AG1040" s="196">
        <f ca="1">IF($B$1029="Лікар загальної практики - сімейний лікар",IF(AG1033&gt;=Законод!$J$22,'01_Доходи'!AG1033-('01_Доходи'!AG1034+'01_Доходи'!AG1035+'01_Доходи'!AG1036+'01_Доходи'!AG1037+'01_Доходи'!AG1038+'01_Доходи'!AG1039),0),IF($B$1029="Лікар-педіатр",IF(AG1033&gt;=Законод!$J$18,'01_Доходи'!AG1033-('01_Доходи'!AG1034+'01_Доходи'!AG1035+'01_Доходи'!AG1036+'01_Доходи'!AG1037+'01_Доходи'!AG1038+'01_Доходи'!AG1039),0),IF($B$1029="Лікар-терапевт",IF('01_Доходи'!AG1033&gt;=Законод!$J$26,AG1033-Законод!$I$27,0),0)))</f>
        <v>0</v>
      </c>
      <c r="AH1040" s="943"/>
      <c r="AI1040" s="215"/>
      <c r="AJ1040" s="946"/>
      <c r="AK1040" s="961"/>
      <c r="AL1040" s="961"/>
      <c r="AM1040" s="928"/>
      <c r="AN1040" s="216">
        <f ca="1">IF(B1029="Лікар загальної практики - сімейний лікар",L1040*Законод!$C$9/4*Законод!$J$16,IF(B1029="Лікар-педіатр",L1040*Законод!$C$9/4*Законод!$J$16,IF(B1029="Лікар-терапевт",L1040*Законод!$C$9/4*Законод!$J$16,0)))</f>
        <v>0</v>
      </c>
      <c r="AO1040" s="216">
        <f ca="1">IF(B1029="Лікар загальної практики - сімейний лікар",S1040*Законод!$C$9/4*Законод!$J$16,IF(B1029="Лікар-педіатр",S1040*Законод!$C$9/4*Законод!$J$16,IF(B1029="Лікар-терапевт",S1040*Законод!$C$9/4*Законод!$J$16,0)))</f>
        <v>0</v>
      </c>
      <c r="AP1040" s="216">
        <f ca="1">IF(B1029="Лікар загальної практики - сімейний лікар",S1040*Законод!$C$9/4*Законод!$J$16,IF(B1029="Лікар-педіатр",S1040*Законод!$C$9/4*Законод!$J$16,IF(B1029="Лікар-терапевт",S1040*Законод!$C$9/4*Законод!$J$16,0)))</f>
        <v>0</v>
      </c>
      <c r="AQ1040" s="216">
        <f ca="1">IF(B1029="Лікар загальної практики - сімейний лікар",AG1040*Законод!$C$9/4*Законод!$J$16,IF(B1029="Лікар-педіатр",AG1040*Законод!$C$9/4*Законод!$J$16,IF(B1029="Лікар-терапевт",AG1040*Законод!$C$9/4*Законод!$J$16,0)))</f>
        <v>0</v>
      </c>
      <c r="AR1040" s="217">
        <f t="shared" si="119"/>
        <v>0</v>
      </c>
    </row>
    <row r="1041" spans="1:44" s="247" customFormat="1" ht="23.45" hidden="1" customHeight="1" thickBot="1">
      <c r="A1041" s="243"/>
      <c r="B1041" s="244"/>
      <c r="C1041" s="244"/>
      <c r="D1041" s="244"/>
      <c r="E1041" s="244"/>
      <c r="F1041" s="245"/>
      <c r="G1041" s="246"/>
      <c r="H1041" s="246"/>
      <c r="L1041" s="248"/>
      <c r="S1041" s="248"/>
      <c r="Z1041" s="248"/>
      <c r="AG1041" s="248"/>
      <c r="AM1041" s="249"/>
      <c r="AR1041" s="250"/>
    </row>
    <row r="1042" spans="1:44" s="191" customFormat="1" ht="24.6" hidden="1" customHeight="1">
      <c r="A1042" s="194">
        <f>A1029+1</f>
        <v>78</v>
      </c>
      <c r="B1042" s="950"/>
      <c r="C1042" s="953"/>
      <c r="D1042" s="956"/>
      <c r="E1042" s="938"/>
      <c r="F1042" s="234" t="s">
        <v>659</v>
      </c>
      <c r="G1042" s="196">
        <f>IF($B$1042="Лікар-педіатр",G1045*L1042,IF($B$1042="Лікар-терапевт","х",IF($B$1042="Лікар загальної практики - сімейний лікар",G1045*L1042,0)))</f>
        <v>0</v>
      </c>
      <c r="H1042" s="196">
        <f>IF($B$1042="Лікар-педіатр",H1045*L1042,IF($B$1042="Лікар-терапевт","х",IF($B$1042="Лікар загальної практики - сімейний лікар",H1045*L1042,0)))</f>
        <v>0</v>
      </c>
      <c r="I1042" s="196">
        <f>IF($B$1042="Лікар-педіатр","x",IF($B$1042="Лікар-терапевт",I1045*L1042,IF($B$1042="Лікар загальної практики - сімейний лікар",I1045*L1042,0)))</f>
        <v>0</v>
      </c>
      <c r="J1042" s="196">
        <f>IF($B$1042="Лікар-педіатр","x",IF($B$1042="Лікар-терапевт",J1045*L1042,IF($B$1042="Лікар загальної практики - сімейний лікар",J1045*L1042,0)))</f>
        <v>0</v>
      </c>
      <c r="K1042" s="196">
        <f>IF($B$1042="Лікар-педіатр","x",IF($B$1042="Лікар-терапевт",K1045*L1042,IF($B$1042="Лікар загальної практики - сімейний лікар",K1045*L1042,0)))</f>
        <v>0</v>
      </c>
      <c r="L1042" s="557"/>
      <c r="M1042" s="941"/>
      <c r="N1042" s="196">
        <f>IF($B$1042="Лікар-педіатр",N1045*S1042,IF($B$1042="Лікар-терапевт","х",IF($B$1042="Лікар загальної практики - сімейний лікар",N1045*S1042,0)))</f>
        <v>0</v>
      </c>
      <c r="O1042" s="196">
        <f>IF($B$1042="Лікар-педіатр",O1045*S1042,IF($B$1042="Лікар-терапевт","х",IF($B$1042="Лікар загальної практики - сімейний лікар",O1045*S1042,0)))</f>
        <v>0</v>
      </c>
      <c r="P1042" s="196">
        <f>IF($B$1042="Лікар-педіатр","x",IF($B$1042="Лікар-терапевт",P1045*S1042,IF($B$1042="Лікар загальної практики - сімейний лікар",P1045*S1042,0)))</f>
        <v>0</v>
      </c>
      <c r="Q1042" s="196">
        <f>IF($B$1042="Лікар-педіатр","x",IF($B$1042="Лікар-терапевт",Q1045*S1042,IF($B$1042="Лікар загальної практики - сімейний лікар",Q1045*S1042,0)))</f>
        <v>0</v>
      </c>
      <c r="R1042" s="196">
        <f>IF($B$1042="Лікар-педіатр","x",IF($B$1042="Лікар-терапевт",R1045*S1042,IF($B$1042="Лікар загальної практики - сімейний лікар",R1045*S1042,0)))</f>
        <v>0</v>
      </c>
      <c r="S1042" s="557"/>
      <c r="T1042" s="941"/>
      <c r="U1042" s="196">
        <f>IF($B$1042="Лікар-педіатр",U1045*Z1042,IF($B$1042="Лікар-терапевт","х",IF($B$1042="Лікар загальної практики - сімейний лікар",U1045*Z1042,0)))</f>
        <v>0</v>
      </c>
      <c r="V1042" s="196">
        <f>IF($B$1042="Лікар-педіатр",V1045*Z1042,IF($B$1042="Лікар-терапевт","х",IF($B$1042="Лікар загальної практики - сімейний лікар",V1045*Z1042,0)))</f>
        <v>0</v>
      </c>
      <c r="W1042" s="196">
        <f>IF($B$1042="Лікар-педіатр","x",IF($B$1042="Лікар-терапевт",W1045*Z1042,IF($B$1042="Лікар загальної практики - сімейний лікар",W1045*Z1042,0)))</f>
        <v>0</v>
      </c>
      <c r="X1042" s="196">
        <f>IF($B$1042="Лікар-педіатр","x",IF($B$1042="Лікар-терапевт",X1045*Z1042,IF($B$1042="Лікар загальної практики - сімейний лікар",X1045*Z1042,0)))</f>
        <v>0</v>
      </c>
      <c r="Y1042" s="196">
        <f>IF($B$1042="Лікар-педіатр","x",IF($B$1042="Лікар-терапевт",Y1045*Z1042,IF($B$1042="Лікар загальної практики - сімейний лікар",Y1045*Z1042,0)))</f>
        <v>0</v>
      </c>
      <c r="Z1042" s="557"/>
      <c r="AA1042" s="941"/>
      <c r="AB1042" s="196">
        <f>IF($B$1042="Лікар-педіатр",AB1045*AG1042,IF($B$1042="Лікар-терапевт","х",IF($B$1042="Лікар загальної практики - сімейний лікар",AB1045*AG1042,0)))</f>
        <v>0</v>
      </c>
      <c r="AC1042" s="196">
        <f>IF($B$1042="Лікар-педіатр",AC1045*AG1042,IF($B$1042="Лікар-терапевт","х",IF($B$1042="Лікар загальної практики - сімейний лікар",AC1045*AG1042,0)))</f>
        <v>0</v>
      </c>
      <c r="AD1042" s="196">
        <f>IF($B$1042="Лікар-педіатр","x",IF($B$1042="Лікар-терапевт",AD1045*AG1042,IF($B$1042="Лікар загальної практики - сімейний лікар",AD1045*AG1042,0)))</f>
        <v>0</v>
      </c>
      <c r="AE1042" s="196">
        <f>IF($B$1042="Лікар-педіатр","x",IF($B$1042="Лікар-терапевт",AE1045*AG1042,IF($B$1042="Лікар загальної практики - сімейний лікар",AE1045*AG1042,0)))</f>
        <v>0</v>
      </c>
      <c r="AF1042" s="196">
        <f>IF($B$1042="Лікар-педіатр","x",IF($B$1042="Лікар-терапевт",AF1045*AG1042,IF($B$1042="Лікар загальної практики - сімейний лікар",AF1045*AG1042,0)))</f>
        <v>0</v>
      </c>
      <c r="AG1042" s="557"/>
      <c r="AH1042" s="941"/>
      <c r="AI1042" s="540">
        <f>A1042</f>
        <v>78</v>
      </c>
      <c r="AJ1042" s="944">
        <f>B1042</f>
        <v>0</v>
      </c>
      <c r="AK1042" s="959">
        <f>C1042</f>
        <v>0</v>
      </c>
      <c r="AL1042" s="959">
        <f>D1042</f>
        <v>0</v>
      </c>
      <c r="AM1042" s="929" t="s">
        <v>79</v>
      </c>
      <c r="AN1042" s="947">
        <f>SUM(AN1047:AN1053)</f>
        <v>0</v>
      </c>
      <c r="AO1042" s="947">
        <f>SUM(AO1047:AO1053)</f>
        <v>0</v>
      </c>
      <c r="AP1042" s="947">
        <f>SUM(AP1047:AP1053)</f>
        <v>0</v>
      </c>
      <c r="AQ1042" s="947">
        <f>SUM(AQ1047:AQ1053)</f>
        <v>0</v>
      </c>
      <c r="AR1042" s="962">
        <f>SUM(AN1042:AQ1046)</f>
        <v>0</v>
      </c>
    </row>
    <row r="1043" spans="1:44" s="50" customFormat="1" ht="28.15" hidden="1" customHeight="1">
      <c r="A1043" s="197"/>
      <c r="B1043" s="951"/>
      <c r="C1043" s="954"/>
      <c r="D1043" s="957"/>
      <c r="E1043" s="939"/>
      <c r="F1043" s="234" t="s">
        <v>660</v>
      </c>
      <c r="G1043" s="196">
        <f>IF($B$1042="Лікар-педіатр",G1045*L1043,IF($B$1042="Лікар-терапевт","х",IF($B$1042="Лікар загальної практики - сімейний лікар",G1045*L1043,0)))</f>
        <v>0</v>
      </c>
      <c r="H1043" s="196">
        <f>IF($B$1042="Лікар-педіатр",H1045*L1043,IF($B$1042="Лікар-терапевт","х",IF($B$1042="Лікар загальної практики - сімейний лікар",H1045*L1043,0)))</f>
        <v>0</v>
      </c>
      <c r="I1043" s="196">
        <f>IF($B$1042="Лікар-педіатр","x",IF($B$1042="Лікар-терапевт",I1045*L1043,IF($B$1042="Лікар загальної практики - сімейний лікар",I1045*L1043,0)))</f>
        <v>0</v>
      </c>
      <c r="J1043" s="196">
        <f>IF($B$1042="Лікар-педіатр","x",IF($B$1042="Лікар-терапевт",J1045*L1043,IF($B$1042="Лікар загальної практики - сімейний лікар",J1045*L1043,0)))</f>
        <v>0</v>
      </c>
      <c r="K1043" s="196">
        <f>IF($B$1042="Лікар-педіатр","x",IF($B$1042="Лікар-терапевт",K1045*L1043,IF($B$1042="Лікар загальної практики - сімейний лікар",K1045*L1043,0)))</f>
        <v>0</v>
      </c>
      <c r="L1043" s="557"/>
      <c r="M1043" s="942"/>
      <c r="N1043" s="196">
        <f>IF($B$1042="Лікар-педіатр",N1045*S1043,IF($B$1042="Лікар-терапевт","х",IF($B$1042="Лікар загальної практики - сімейний лікар",N1045*S1043,0)))</f>
        <v>0</v>
      </c>
      <c r="O1043" s="196">
        <f>IF($B$1042="Лікар-педіатр",O1045*S1043,IF($B$1042="Лікар-терапевт","х",IF($B$1042="Лікар загальної практики - сімейний лікар",O1045*S1043,0)))</f>
        <v>0</v>
      </c>
      <c r="P1043" s="196">
        <f>IF($B$1042="Лікар-педіатр","x",IF($B$1042="Лікар-терапевт",P1045*S1043,IF($B$1042="Лікар загальної практики - сімейний лікар",P1045*S1043,0)))</f>
        <v>0</v>
      </c>
      <c r="Q1043" s="196">
        <f>IF($B$1042="Лікар-педіатр","x",IF($B$1042="Лікар-терапевт",Q1045*S1043,IF($B$1042="Лікар загальної практики - сімейний лікар",Q1045*S1043,0)))</f>
        <v>0</v>
      </c>
      <c r="R1043" s="196">
        <f>IF($B$1042="Лікар-педіатр","x",IF($B$1042="Лікар-терапевт",R1045*S1043,IF($B$1042="Лікар загальної практики - сімейний лікар",R1045*S1043,0)))</f>
        <v>0</v>
      </c>
      <c r="S1043" s="557"/>
      <c r="T1043" s="942"/>
      <c r="U1043" s="196">
        <f>IF($B$1042="Лікар-педіатр",U1045*Z1043,IF($B$1042="Лікар-терапевт","х",IF($B$1042="Лікар загальної практики - сімейний лікар",U1045*Z1043,0)))</f>
        <v>0</v>
      </c>
      <c r="V1043" s="196">
        <f>IF($B$1042="Лікар-педіатр",V1045*Z1043,IF($B$1042="Лікар-терапевт","х",IF($B$1042="Лікар загальної практики - сімейний лікар",V1045*Z1043,0)))</f>
        <v>0</v>
      </c>
      <c r="W1043" s="196">
        <f>IF($B$1042="Лікар-педіатр","x",IF($B$1042="Лікар-терапевт",W1045*Z1043,IF($B$1042="Лікар загальної практики - сімейний лікар",W1045*Z1043,0)))</f>
        <v>0</v>
      </c>
      <c r="X1043" s="196">
        <f>IF($B$1042="Лікар-педіатр","x",IF($B$1042="Лікар-терапевт",X1045*Z1043,IF($B$1042="Лікар загальної практики - сімейний лікар",X1045*Z1043,0)))</f>
        <v>0</v>
      </c>
      <c r="Y1043" s="196">
        <f>IF($B$1042="Лікар-педіатр","x",IF($B$1042="Лікар-терапевт",Y1045*Z1043,IF($B$1042="Лікар загальної практики - сімейний лікар",Y1045*Z1043,0)))</f>
        <v>0</v>
      </c>
      <c r="Z1043" s="557"/>
      <c r="AA1043" s="942"/>
      <c r="AB1043" s="196">
        <f>IF($B$1042="Лікар-педіатр",AB1045*AG1043,IF($B$1042="Лікар-терапевт","х",IF($B$1042="Лікар загальної практики - сімейний лікар",AB1045*AG1043,0)))</f>
        <v>0</v>
      </c>
      <c r="AC1043" s="196">
        <f>IF($B$1042="Лікар-педіатр",AC1045*AG1043,IF($B$1042="Лікар-терапевт","х",IF($B$1042="Лікар загальної практики - сімейний лікар",AC1045*AG1043,0)))</f>
        <v>0</v>
      </c>
      <c r="AD1043" s="196">
        <f>IF($B$1042="Лікар-педіатр","x",IF($B$1042="Лікар-терапевт",AD1045*AG1043,IF($B$1042="Лікар загальної практики - сімейний лікар",AD1045*AG1043,0)))</f>
        <v>0</v>
      </c>
      <c r="AE1043" s="196">
        <f>IF($B$1042="Лікар-педіатр","x",IF($B$1042="Лікар-терапевт",AE1045*AG1043,IF($B$1042="Лікар загальної практики - сімейний лікар",AE1045*AG1043,0)))</f>
        <v>0</v>
      </c>
      <c r="AF1043" s="196">
        <f>IF($B$1042="Лікар-педіатр","x",IF($B$1042="Лікар-терапевт",AF1045*AG1043,IF($B$1042="Лікар загальної практики - сімейний лікар",AF1045*AG1043,0)))</f>
        <v>0</v>
      </c>
      <c r="AG1043" s="557"/>
      <c r="AH1043" s="942"/>
      <c r="AI1043" s="198"/>
      <c r="AJ1043" s="945"/>
      <c r="AK1043" s="960"/>
      <c r="AL1043" s="960"/>
      <c r="AM1043" s="930"/>
      <c r="AN1043" s="948"/>
      <c r="AO1043" s="948"/>
      <c r="AP1043" s="948"/>
      <c r="AQ1043" s="948"/>
      <c r="AR1043" s="963"/>
    </row>
    <row r="1044" spans="1:44" s="90" customFormat="1" ht="31.15" hidden="1" customHeight="1">
      <c r="A1044" s="240"/>
      <c r="B1044" s="951"/>
      <c r="C1044" s="954"/>
      <c r="D1044" s="957"/>
      <c r="E1044" s="939"/>
      <c r="F1044" s="241" t="s">
        <v>661</v>
      </c>
      <c r="G1044" s="199">
        <f>IF(B1042="Лікар загальної практики - сімейний лікар"," ",IF(B1042="Лікар-педіатр"," ",IF(B1042="Лікар-терапевт","х",0)))</f>
        <v>0</v>
      </c>
      <c r="H1044" s="199">
        <f>IF(B1042="Лікар загальної практики - сімейний лікар"," ",IF(B1042="Лікар-педіатр"," ",IF(B1042="Лікар-терапевт","х",0)))</f>
        <v>0</v>
      </c>
      <c r="I1044" s="199">
        <f>IF(B1042="Лікар загальної практики - сімейний лікар"," ",IF(B1042="Лікар-педіатр","х",IF(B1042="Лікар-терапевт"," ",0)))</f>
        <v>0</v>
      </c>
      <c r="J1044" s="199">
        <f>IF(B1042="Лікар загальної практики - сімейний лікар"," ",IF(B1042="Лікар-педіатр","х",IF(B1042="Лікар-терапевт"," ",0)))</f>
        <v>0</v>
      </c>
      <c r="K1044" s="199">
        <f>IF(B1042="Лікар загальної практики - сімейний лікар"," ",IF(B1042="Лікар-педіатр","х",IF(B1042="Лікар-терапевт"," ",0)))</f>
        <v>0</v>
      </c>
      <c r="L1044" s="200">
        <f>SUM(G1044:K1044)</f>
        <v>0</v>
      </c>
      <c r="M1044" s="942"/>
      <c r="N1044" s="199">
        <f>IF(B1042="Лікар загальної практики - сімейний лікар"," ",IF(B1042="Лікар-педіатр"," ",IF(B1042="Лікар-терапевт","х",0)))</f>
        <v>0</v>
      </c>
      <c r="O1044" s="199">
        <f>IF(B1042="Лікар загальної практики - сімейний лікар"," ",IF(B1042="Лікар-педіатр"," ",IF(B1042="Лікар-терапевт","х",0)))</f>
        <v>0</v>
      </c>
      <c r="P1044" s="199">
        <f>IF(B1042="Лікар загальної практики - сімейний лікар"," ",IF(B1042="Лікар-педіатр","х",IF(B1042="Лікар-терапевт"," ",0)))</f>
        <v>0</v>
      </c>
      <c r="Q1044" s="199">
        <f>IF(B1042="Лікар загальної практики - сімейний лікар"," ",IF(B1042="Лікар-педіатр","х",IF(B1042="Лікар-терапевт"," ",0)))</f>
        <v>0</v>
      </c>
      <c r="R1044" s="199">
        <f>IF(B1042="Лікар загальної практики - сімейний лікар"," ",IF(B1042="Лікар-педіатр","х",IF(B1042="Лікар-терапевт"," ",0)))</f>
        <v>0</v>
      </c>
      <c r="S1044" s="200">
        <f>SUM(N1044:R1044)</f>
        <v>0</v>
      </c>
      <c r="T1044" s="942"/>
      <c r="U1044" s="199">
        <f>IF(B1042="Лікар загальної практики - сімейний лікар"," ",IF(B1042="Лікар-педіатр"," ",IF(B1042="Лікар-терапевт","х",0)))</f>
        <v>0</v>
      </c>
      <c r="V1044" s="199">
        <f>IF(B1042="Лікар загальної практики - сімейний лікар"," ",IF(B1042="Лікар-педіатр"," ",IF(B1042="Лікар-терапевт","х",0)))</f>
        <v>0</v>
      </c>
      <c r="W1044" s="199">
        <f>IF(B1042="Лікар загальної практики - сімейний лікар"," ",IF(B1042="Лікар-педіатр","х",IF(B1042="Лікар-терапевт"," ",0)))</f>
        <v>0</v>
      </c>
      <c r="X1044" s="199">
        <f>IF(B1042="Лікар загальної практики - сімейний лікар"," ",IF(B1042="Лікар-педіатр","х",IF(B1042="Лікар-терапевт"," ",0)))</f>
        <v>0</v>
      </c>
      <c r="Y1044" s="199">
        <f>IF(B1042="Лікар загальної практики - сімейний лікар"," ",IF(B1042="Лікар-педіатр","х",IF(B1042="Лікар-терапевт"," ",0)))</f>
        <v>0</v>
      </c>
      <c r="Z1044" s="200">
        <f>SUM(U1044:Y1044)</f>
        <v>0</v>
      </c>
      <c r="AA1044" s="942"/>
      <c r="AB1044" s="199">
        <f>IF(B1042="Лікар загальної практики - сімейний лікар"," ",IF(B1042="Лікар-педіатр"," ",IF(B1042="Лікар-терапевт","х",0)))</f>
        <v>0</v>
      </c>
      <c r="AC1044" s="199">
        <f>IF(B1042="Лікар загальної практики - сімейний лікар"," ",IF(B1042="Лікар-педіатр"," ",IF(B1042="Лікар-терапевт","х",0)))</f>
        <v>0</v>
      </c>
      <c r="AD1044" s="199">
        <f>IF(B1042="Лікар загальної практики - сімейний лікар"," ",IF(B1042="Лікар-педіатр","х",IF(B1042="Лікар-терапевт"," ",0)))</f>
        <v>0</v>
      </c>
      <c r="AE1044" s="199">
        <f>IF(B1042="Лікар загальної практики - сімейний лікар"," ",IF(B1042="Лікар-педіатр","х",IF(B1042="Лікар-терапевт"," ",0)))</f>
        <v>0</v>
      </c>
      <c r="AF1044" s="199">
        <f>IF(B1042="Лікар загальної практики - сімейний лікар"," ",IF(B1042="Лікар-педіатр","х",IF(B1042="Лікар-терапевт"," ",0)))</f>
        <v>0</v>
      </c>
      <c r="AG1044" s="200">
        <f>SUM(AB1044:AF1044)</f>
        <v>0</v>
      </c>
      <c r="AH1044" s="942"/>
      <c r="AI1044" s="242"/>
      <c r="AJ1044" s="945"/>
      <c r="AK1044" s="960"/>
      <c r="AL1044" s="960"/>
      <c r="AM1044" s="930"/>
      <c r="AN1044" s="948"/>
      <c r="AO1044" s="948"/>
      <c r="AP1044" s="948"/>
      <c r="AQ1044" s="948"/>
      <c r="AR1044" s="963"/>
    </row>
    <row r="1045" spans="1:44" s="50" customFormat="1" ht="31.9" hidden="1" customHeight="1" thickBot="1">
      <c r="A1045" s="197"/>
      <c r="B1045" s="951"/>
      <c r="C1045" s="954"/>
      <c r="D1045" s="957"/>
      <c r="E1045" s="939"/>
      <c r="F1045" s="236" t="s">
        <v>426</v>
      </c>
      <c r="G1045" s="203">
        <f>IF($B$1042="Лікар-педіатр",G1044/L1044,IF($B$1042="Лікар-терапевт","х",IF($B$1042="Лікар загальної практики - сімейний лікар",G1044/L1044,0)))</f>
        <v>0</v>
      </c>
      <c r="H1045" s="203">
        <f>IF($B$1042="Лікар-педіатр",H1044/L1044,IF($B$1042="Лікар-терапевт","х",IF($B$1042="Лікар загальної практики - сімейний лікар",H1044/L1044,0)))</f>
        <v>0</v>
      </c>
      <c r="I1045" s="203">
        <f>IF($B$1042="Лікар-педіатр","x",IF($B$1042="Лікар-терапевт",I1044/L1044,IF($B$1042="Лікар загальної практики - сімейний лікар",I1044/L1044,0)))</f>
        <v>0</v>
      </c>
      <c r="J1045" s="203">
        <f>IF($B$1042="Лікар-педіатр","x",IF($B$1042="Лікар-терапевт",J1044/L1044,IF($B$1042="Лікар загальної практики - сімейний лікар",J1044/L1044,0)))</f>
        <v>0</v>
      </c>
      <c r="K1045" s="203">
        <f>IF($B$1042="Лікар-педіатр","x",IF($B$1042="Лікар-терапевт",K1044/L1044,IF($B$1042="Лікар загальної практики - сімейний лікар",K1044/L1044,0)))</f>
        <v>0</v>
      </c>
      <c r="L1045" s="203">
        <f>SUM(G1045:K1045)</f>
        <v>0</v>
      </c>
      <c r="M1045" s="942"/>
      <c r="N1045" s="203">
        <f>IF($B$1042="Лікар-педіатр",N1044/S1044,IF($B$1042="Лікар-терапевт","х",IF($B$1042="Лікар загальної практики - сімейний лікар",N1044/S1044,0)))</f>
        <v>0</v>
      </c>
      <c r="O1045" s="203">
        <f>IF($B$1042="Лікар-педіатр",O1044/S1044,IF($B$1042="Лікар-терапевт","х",IF($B$1042="Лікар загальної практики - сімейний лікар",O1044/S1044,0)))</f>
        <v>0</v>
      </c>
      <c r="P1045" s="203">
        <f>IF($B$1042="Лікар-педіатр","x",IF($B$1042="Лікар-терапевт",P1044/S1044,IF($B$1042="Лікар загальної практики - сімейний лікар",P1044/S1044,0)))</f>
        <v>0</v>
      </c>
      <c r="Q1045" s="203">
        <f>IF($B$1042="Лікар-педіатр","x",IF($B$1042="Лікар-терапевт",Q1044/S1044,IF($B$1042="Лікар загальної практики - сімейний лікар",Q1044/S1044,0)))</f>
        <v>0</v>
      </c>
      <c r="R1045" s="203">
        <f>IF($B$1042="Лікар-педіатр","x",IF($B$1042="Лікар-терапевт",R1044/S1044,IF($B$1042="Лікар загальної практики - сімейний лікар",R1044/S1044,0)))</f>
        <v>0</v>
      </c>
      <c r="S1045" s="203">
        <f>SUM(N1045:R1045)</f>
        <v>0</v>
      </c>
      <c r="T1045" s="942"/>
      <c r="U1045" s="203">
        <f>IF($B$1042="Лікар-педіатр",U1044/Z1044,IF($B$1042="Лікар-терапевт","х",IF($B$1042="Лікар загальної практики - сімейний лікар",U1044/Z1044,0)))</f>
        <v>0</v>
      </c>
      <c r="V1045" s="203">
        <f>IF($B$1042="Лікар-педіатр",V1044/Z1044,IF($B$1042="Лікар-терапевт","х",IF($B$1042="Лікар загальної практики - сімейний лікар",V1044/Z1044,0)))</f>
        <v>0</v>
      </c>
      <c r="W1045" s="203">
        <f>IF($B$1042="Лікар-педіатр","x",IF($B$1042="Лікар-терапевт",W1044/Z1044,IF($B$1042="Лікар загальної практики - сімейний лікар",W1044/Z1044,0)))</f>
        <v>0</v>
      </c>
      <c r="X1045" s="203">
        <f>IF($B$1042="Лікар-педіатр","x",IF($B$1042="Лікар-терапевт",X1044/Z1044,IF($B$1042="Лікар загальної практики - сімейний лікар",X1044/Z1044,0)))</f>
        <v>0</v>
      </c>
      <c r="Y1045" s="203">
        <f>IF($B$1042="Лікар-педіатр","x",IF($B$1042="Лікар-терапевт",Y1044/Z1044,IF($B$1042="Лікар загальної практики - сімейний лікар",Y1044/Z1044,0)))</f>
        <v>0</v>
      </c>
      <c r="Z1045" s="203">
        <f>SUM(U1045:Y1045)</f>
        <v>0</v>
      </c>
      <c r="AA1045" s="942"/>
      <c r="AB1045" s="203">
        <f>IF($B$1042="Лікар-педіатр",AB1044/AG1044,IF($B$1042="Лікар-терапевт","х",IF($B$1042="Лікар загальної практики - сімейний лікар",AB1044/AG1044,0)))</f>
        <v>0</v>
      </c>
      <c r="AC1045" s="203">
        <f>IF($B$1042="Лікар-педіатр",AC1044/AG1044,IF($B$1042="Лікар-терапевт","х",IF($B$1042="Лікар загальної практики - сімейний лікар",AC1044/AG1044,0)))</f>
        <v>0</v>
      </c>
      <c r="AD1045" s="203">
        <f>IF($B$1042="Лікар-педіатр","x",IF($B$1042="Лікар-терапевт",AD1044/AG1044,IF($B$1042="Лікар загальної практики - сімейний лікар",AD1044/AG1044,0)))</f>
        <v>0</v>
      </c>
      <c r="AE1045" s="203">
        <f>IF($B$1042="Лікар-педіатр","x",IF($B$1042="Лікар-терапевт",AE1044/AG1044,IF($B$1042="Лікар загальної практики - сімейний лікар",AE1044/AG1044,0)))</f>
        <v>0</v>
      </c>
      <c r="AF1045" s="203">
        <f>IF($B$1042="Лікар-педіатр","x",IF($B$1042="Лікар-терапевт",AF1044/AG1044,IF($B$1042="Лікар загальної практики - сімейний лікар",AF1044/AG1044,0)))</f>
        <v>0</v>
      </c>
      <c r="AG1045" s="203">
        <f>SUM(AB1045:AF1045)</f>
        <v>0</v>
      </c>
      <c r="AH1045" s="942"/>
      <c r="AI1045" s="201"/>
      <c r="AJ1045" s="945"/>
      <c r="AK1045" s="960"/>
      <c r="AL1045" s="960"/>
      <c r="AM1045" s="930"/>
      <c r="AN1045" s="948"/>
      <c r="AO1045" s="948"/>
      <c r="AP1045" s="948"/>
      <c r="AQ1045" s="948"/>
      <c r="AR1045" s="963"/>
    </row>
    <row r="1046" spans="1:44" s="50" customFormat="1" ht="45" hidden="1" customHeight="1" thickBot="1">
      <c r="A1046" s="197"/>
      <c r="B1046" s="951"/>
      <c r="C1046" s="954"/>
      <c r="D1046" s="957"/>
      <c r="E1046" s="939"/>
      <c r="F1046" s="204" t="s">
        <v>662</v>
      </c>
      <c r="G1046" s="205">
        <f>IF($B$1042="Лікар загальної практики - сімейний лікар",AVERAGE(G1042:G1044),IF($B$1042="Лікар-педіатр",AVERAGE(G1042:G1044),IF($B$1042="Лікар-терапевт","х",0)))</f>
        <v>0</v>
      </c>
      <c r="H1046" s="205">
        <f>IF($B$1042="Лікар загальної практики - сімейний лікар",AVERAGE(H1042:H1044),IF($B$1042="Лікар-педіатр",AVERAGE(H1042:H1044),IF($B$1042="Лікар-терапевт","х",0)))</f>
        <v>0</v>
      </c>
      <c r="I1046" s="205">
        <f>IF($B$1042="Лікар загальної практики - сімейний лікар",AVERAGE(I1042:I1044),IF($B$1042="Лікар-педіатр","x",IF($B$1042="Лікар-терапевт",AVERAGE(I1042:I1044),0)))</f>
        <v>0</v>
      </c>
      <c r="J1046" s="205">
        <f>IF($B$1042="Лікар загальної практики - сімейний лікар",AVERAGE(J1042:J1044),IF($B$1042="Лікар-педіатр","x",IF($B$1042="Лікар-терапевт",AVERAGE(J1042:J1044),0)))</f>
        <v>0</v>
      </c>
      <c r="K1046" s="205">
        <f>IF($B$1042="Лікар загальної практики - сімейний лікар",AVERAGE(K1042:K1044),IF($B$1042="Лікар-педіатр","x",IF($B$1042="Лікар-терапевт",AVERAGE(K1042:K1044),0)))</f>
        <v>0</v>
      </c>
      <c r="L1046" s="206">
        <f>SUM(G1046:K1046)</f>
        <v>0</v>
      </c>
      <c r="M1046" s="942"/>
      <c r="N1046" s="205">
        <f>IF($B$1042="Лікар загальної практики - сімейний лікар",AVERAGE(N1042:N1044),IF($B$1042="Лікар-педіатр",AVERAGE(N1042:N1044),IF($B$1042="Лікар-терапевт","х",0)))</f>
        <v>0</v>
      </c>
      <c r="O1046" s="205">
        <f>IF($B$1042="Лікар загальної практики - сімейний лікар",AVERAGE(O1042:O1044),IF($B$1042="Лікар-педіатр",AVERAGE(O1042:O1044),IF($B$1042="Лікар-терапевт","х",0)))</f>
        <v>0</v>
      </c>
      <c r="P1046" s="205">
        <f>IF($B$1042="Лікар загальної практики - сімейний лікар",AVERAGE(P1042:P1044),IF($B$1042="Лікар-педіатр","x",IF($B$1042="Лікар-терапевт",AVERAGE(P1042:P1044),0)))</f>
        <v>0</v>
      </c>
      <c r="Q1046" s="205">
        <f>IF($B$1042="Лікар загальної практики - сімейний лікар",AVERAGE(Q1042:Q1044),IF($B$1042="Лікар-педіатр","x",IF($B$1042="Лікар-терапевт",AVERAGE(Q1042:Q1044),0)))</f>
        <v>0</v>
      </c>
      <c r="R1046" s="205">
        <f>IF($B$1042="Лікар загальної практики - сімейний лікар",AVERAGE(R1042:R1044),IF($B$1042="Лікар-педіатр","x",IF($B$1042="Лікар-терапевт",AVERAGE(R1042:R1044),0)))</f>
        <v>0</v>
      </c>
      <c r="S1046" s="206">
        <f>SUM(N1046:R1046)</f>
        <v>0</v>
      </c>
      <c r="T1046" s="942"/>
      <c r="U1046" s="205">
        <f>IF($B$1042="Лікар загальної практики - сімейний лікар",AVERAGE(U1042:U1044),IF($B$1042="Лікар-педіатр",AVERAGE(U1042:U1044),IF($B$1042="Лікар-терапевт","х",0)))</f>
        <v>0</v>
      </c>
      <c r="V1046" s="205">
        <f>IF($B$1042="Лікар загальної практики - сімейний лікар",AVERAGE(V1042:V1044),IF($B$1042="Лікар-педіатр",AVERAGE(V1042:V1044),IF($B$1042="Лікар-терапевт","х",0)))</f>
        <v>0</v>
      </c>
      <c r="W1046" s="205">
        <f>IF($B$1042="Лікар загальної практики - сімейний лікар",AVERAGE(W1042:W1044),IF($B$1042="Лікар-педіатр","x",IF($B$1042="Лікар-терапевт",AVERAGE(W1042:W1044),0)))</f>
        <v>0</v>
      </c>
      <c r="X1046" s="205">
        <f>IF($B$1042="Лікар загальної практики - сімейний лікар",AVERAGE(X1042:X1044),IF($B$1042="Лікар-педіатр","x",IF($B$1042="Лікар-терапевт",AVERAGE(X1042:X1044),0)))</f>
        <v>0</v>
      </c>
      <c r="Y1046" s="205">
        <f>IF($B$1042="Лікар загальної практики - сімейний лікар",AVERAGE(Y1042:Y1044),IF($B$1042="Лікар-педіатр","x",IF($B$1042="Лікар-терапевт",AVERAGE(Y1042:Y1044),0)))</f>
        <v>0</v>
      </c>
      <c r="Z1046" s="206">
        <f>SUM(U1046:Y1046)</f>
        <v>0</v>
      </c>
      <c r="AA1046" s="942"/>
      <c r="AB1046" s="205">
        <f>IF($B$1042="Лікар загальної практики - сімейний лікар",AVERAGE(AB1042:AB1044),IF($B$1042="Лікар-педіатр",AVERAGE(AB1042:AB1044),IF($B$1042="Лікар-терапевт","х",0)))</f>
        <v>0</v>
      </c>
      <c r="AC1046" s="205">
        <f>IF($B$1042="Лікар загальної практики - сімейний лікар",AVERAGE(AC1042:AC1044),IF($B$1042="Лікар-педіатр",AVERAGE(AC1042:AC1044),IF($B$1042="Лікар-терапевт","х",0)))</f>
        <v>0</v>
      </c>
      <c r="AD1046" s="205">
        <f>IF($B$1042="Лікар загальної практики - сімейний лікар",AVERAGE(AD1042:AD1044),IF($B$1042="Лікар-педіатр","x",IF($B$1042="Лікар-терапевт",AVERAGE(AD1042:AD1044),0)))</f>
        <v>0</v>
      </c>
      <c r="AE1046" s="205">
        <f>IF($B$1042="Лікар загальної практики - сімейний лікар",AVERAGE(AE1042:AE1044),IF($B$1042="Лікар-педіатр","x",IF($B$1042="Лікар-терапевт",AVERAGE(AE1042:AE1044),0)))</f>
        <v>0</v>
      </c>
      <c r="AF1046" s="205">
        <f>IF($B$1042="Лікар загальної практики - сімейний лікар",AVERAGE(AF1042:AF1044),IF($B$1042="Лікар-педіатр","x",IF($B$1042="Лікар-терапевт",AVERAGE(AF1042:AF1044),0)))</f>
        <v>0</v>
      </c>
      <c r="AG1046" s="206">
        <f>SUM(AB1046:AF1046)</f>
        <v>0</v>
      </c>
      <c r="AH1046" s="942"/>
      <c r="AI1046" s="201"/>
      <c r="AJ1046" s="945"/>
      <c r="AK1046" s="960"/>
      <c r="AL1046" s="960"/>
      <c r="AM1046" s="931"/>
      <c r="AN1046" s="949"/>
      <c r="AO1046" s="949"/>
      <c r="AP1046" s="949"/>
      <c r="AQ1046" s="949"/>
      <c r="AR1046" s="964"/>
    </row>
    <row r="1047" spans="1:44" s="50" customFormat="1" ht="40.5" hidden="1">
      <c r="A1047" s="197"/>
      <c r="B1047" s="951"/>
      <c r="C1047" s="954"/>
      <c r="D1047" s="957"/>
      <c r="E1047" s="939"/>
      <c r="F1047" s="237" t="str">
        <f ca="1">IF(B1042="Лікар-педіатр",Законод!$C$17,IF(B1042="Лікар загальної практики - сімейний лікар",Законод!$C$21,IF(B1042="Лікар-терапевт",Законод!$C$25,"х")))</f>
        <v>х</v>
      </c>
      <c r="G1047" s="208">
        <f ca="1">IF($B$1042="Лікар загальної практики - сімейний лікар",IF(L1046&lt;=Законод!$C$22,G1046,Законод!$C$22*'01_Доходи'!G1045),IF($B$1042="Лікар-педіатр",IF(L1046&lt;=Законод!$C$18,G1046,Законод!$C$18*'01_Доходи'!G1045),IF($B$1042="Лікар-терапевт","x",0)))</f>
        <v>0</v>
      </c>
      <c r="H1047" s="208">
        <f ca="1">IF($B$1042="Лікар загальної практики - сімейний лікар",IF(L1046&lt;=Законод!$C$22,H1046,Законод!$C$22*'01_Доходи'!H1045),IF($B$1042="Лікар-педіатр",IF(L1046&lt;=Законод!$C$18,H1046,Законод!$C$18*'01_Доходи'!H1045),IF($B$1042="Лікар-терапевт","x",0)))</f>
        <v>0</v>
      </c>
      <c r="I1047" s="208">
        <f ca="1">IF($B$1042="Лікар загальної практики - сімейний лікар",IF(L1046&lt;=Законод!$C$22,I1046,Законод!$C$22*'01_Доходи'!I1045),IF($B$1042="Лікар-педіатр","x",IF($B$1042="Лікар-терапевт",IF(L1046&lt;=Законод!$C$26,I1046,Законод!$C$26*'01_Доходи'!I1045),0)))</f>
        <v>0</v>
      </c>
      <c r="J1047" s="208">
        <f ca="1">IF($B$1042="Лікар загальної практики - сімейний лікар",IF(L1046&lt;=Законод!$C$22,J1046,Законод!$C$22*'01_Доходи'!J1045),IF($B$1042="Лікар-педіатр","x",IF($B$1042="Лікар-терапевт",IF(L1046&lt;=Законод!$C$26,J1046,Законод!$C$26*'01_Доходи'!J1045),0)))</f>
        <v>0</v>
      </c>
      <c r="K1047" s="208">
        <f ca="1">IF($B$1042="Лікар загальної практики - сімейний лікар",IF(L1046&lt;=Законод!$C$22,K1046,Законод!$C$22*'01_Доходи'!K1045),IF($B$1042="Лікар-педіатр","x",IF($B$1042="Лікар-терапевт",IF(L1046&lt;=Законод!$C$26,K1046,Законод!$C$26*'01_Доходи'!K1045),0)))</f>
        <v>0</v>
      </c>
      <c r="L1047" s="209">
        <f ca="1">SUM(G1047:K1047)</f>
        <v>0</v>
      </c>
      <c r="M1047" s="942"/>
      <c r="N1047" s="208">
        <f ca="1">IF($B$1042="Лікар загальної практики - сімейний лікар",IF(S1046&lt;=Законод!$C$22,N1046,Законод!$C$22*'01_Доходи'!N1045),IF($B$1042="Лікар-педіатр",IF(S1046&lt;=Законод!$C$18,N1046,Законод!$C$18*'01_Доходи'!N1045),IF($B$1042="Лікар-терапевт","x",0)))</f>
        <v>0</v>
      </c>
      <c r="O1047" s="208">
        <f ca="1">IF($B$1042="Лікар загальної практики - сімейний лікар",IF(S1046&lt;=Законод!$C$22,O1046,Законод!$C$22*'01_Доходи'!O1045),IF($B$1042="Лікар-педіатр",IF(S1046&lt;=Законод!$C$18,O1046,Законод!$C$18*'01_Доходи'!O1045),IF($B$1042="Лікар-терапевт","x",0)))</f>
        <v>0</v>
      </c>
      <c r="P1047" s="208">
        <f ca="1">IF($B$1042="Лікар загальної практики - сімейний лікар",IF(S1046&lt;=Законод!$C$22,P1046,Законод!$C$22*'01_Доходи'!P1045),IF($B$1042="Лікар-педіатр","x",IF($B$1042="Лікар-терапевт",IF(S1046&lt;=Законод!$C$26,P1046,Законод!$C$26*'01_Доходи'!P1045),0)))</f>
        <v>0</v>
      </c>
      <c r="Q1047" s="208">
        <f ca="1">IF($B$1042="Лікар загальної практики - сімейний лікар",IF(S1046&lt;=Законод!$C$22,Q1046,Законод!$C$22*'01_Доходи'!Q1045),IF($B$1042="Лікар-педіатр","x",IF($B$1042="Лікар-терапевт",IF(S1046&lt;=Законод!$C$26,Q1046,Законод!$C$26*'01_Доходи'!Q1045),0)))</f>
        <v>0</v>
      </c>
      <c r="R1047" s="208">
        <f ca="1">IF($B$1042="Лікар загальної практики - сімейний лікар",IF(S1046&lt;=Законод!$C$22,R1046,Законод!$C$22*'01_Доходи'!R1045),IF($B$1042="Лікар-педіатр","x",IF($B$1042="Лікар-терапевт",IF(S1046&lt;=Законод!$C$26,R1046,Законод!$C$26*'01_Доходи'!R1045),0)))</f>
        <v>0</v>
      </c>
      <c r="S1047" s="209">
        <f ca="1">SUM(N1047:R1047)</f>
        <v>0</v>
      </c>
      <c r="T1047" s="942"/>
      <c r="U1047" s="208">
        <f ca="1">IF($B$1042="Лікар загальної практики - сімейний лікар",IF(Z1046&lt;=Законод!$C$22,U1046,Законод!$C$22*'01_Доходи'!U1045),IF($B$1042="Лікар-педіатр",IF(Z1046&lt;=Законод!$C$18,U1046,Законод!$C$18*'01_Доходи'!U1045),IF($B$1042="Лікар-терапевт","x",0)))</f>
        <v>0</v>
      </c>
      <c r="V1047" s="208">
        <f ca="1">IF($B$1042="Лікар загальної практики - сімейний лікар",IF(Z1046&lt;=Законод!$C$22,V1046,Законод!$C$22*'01_Доходи'!V1045),IF($B$1042="Лікар-педіатр",IF(Z1046&lt;=Законод!$C$18,V1046,Законод!$C$18*'01_Доходи'!V1045),IF($B$1042="Лікар-терапевт","x",0)))</f>
        <v>0</v>
      </c>
      <c r="W1047" s="208">
        <f ca="1">IF($B$1042="Лікар загальної практики - сімейний лікар",IF(Z1046&lt;=Законод!$C$22,W1046,Законод!$C$22*'01_Доходи'!W1045),IF($B$1042="Лікар-педіатр","x",IF($B$1042="Лікар-терапевт",IF(Z1046&lt;=Законод!$C$26,W1046,Законод!$C$26*'01_Доходи'!W1045),0)))</f>
        <v>0</v>
      </c>
      <c r="X1047" s="208">
        <f ca="1">IF($B$1042="Лікар загальної практики - сімейний лікар",IF(Z1046&lt;=Законод!$C$22,X1046,Законод!$C$22*'01_Доходи'!X1045),IF($B$1042="Лікар-педіатр","x",IF($B$1042="Лікар-терапевт",IF(Z1046&lt;=Законод!$C$26,X1046,Законод!$C$26*'01_Доходи'!X1045),0)))</f>
        <v>0</v>
      </c>
      <c r="Y1047" s="208">
        <f ca="1">IF($B$1042="Лікар загальної практики - сімейний лікар",IF(Z1046&lt;=Законод!$C$22,Y1046,Законод!$C$22*'01_Доходи'!Y1045),IF($B$1042="Лікар-педіатр","x",IF($B$1042="Лікар-терапевт",IF(Z1046&lt;=Законод!$C$26,Y1046,Законод!$C$26*'01_Доходи'!Y1045),0)))</f>
        <v>0</v>
      </c>
      <c r="Z1047" s="209">
        <f ca="1">SUM(U1047:Y1047)</f>
        <v>0</v>
      </c>
      <c r="AA1047" s="942"/>
      <c r="AB1047" s="208">
        <f ca="1">IF($B$1042="Лікар загальної практики - сімейний лікар",IF(AG1046&lt;=Законод!$C$22,AB1046,Законод!$C$22*'01_Доходи'!AB1045),IF($B$1042="Лікар-педіатр",IF(AG1046&lt;=Законод!$C$18,AB1046,Законод!$C$18*'01_Доходи'!AB1045),IF($B$1042="Лікар-терапевт","x",0)))</f>
        <v>0</v>
      </c>
      <c r="AC1047" s="208">
        <f ca="1">IF($B$1042="Лікар загальної практики - сімейний лікар",IF(AG1046&lt;=Законод!$C$22,AC1046,Законод!$C$22*'01_Доходи'!AC1045),IF($B$1042="Лікар-педіатр",IF(AG1046&lt;=Законод!$C$18,AC1046,Законод!$C$18*'01_Доходи'!AC1045),IF($B$1042="Лікар-терапевт","x",0)))</f>
        <v>0</v>
      </c>
      <c r="AD1047" s="208">
        <f ca="1">IF($B$1042="Лікар загальної практики - сімейний лікар",IF(AG1046&lt;=Законод!$C$22,AD1046,Законод!$C$22*'01_Доходи'!AD1045),IF($B$1042="Лікар-педіатр","x",IF($B$1042="Лікар-терапевт",IF(AG1046&lt;=Законод!$C$26,AD1046,Законод!$C$26*'01_Доходи'!AD1045),0)))</f>
        <v>0</v>
      </c>
      <c r="AE1047" s="208">
        <f ca="1">IF($B$1042="Лікар загальної практики - сімейний лікар",IF(AG1046&lt;=Законод!$C$22,AE1046,Законод!$C$22*'01_Доходи'!AE1045),IF($B$1042="Лікар-педіатр","x",IF($B$1042="Лікар-терапевт",IF(AG1046&lt;=Законод!$C$26,AE1046,Законод!$C$26*'01_Доходи'!AE1045),0)))</f>
        <v>0</v>
      </c>
      <c r="AF1047" s="208">
        <f ca="1">IF($B$1042="Лікар загальної практики - сімейний лікар",IF(AG1046&lt;=Законод!$C$22,AF1046,Законод!$C$22*'01_Доходи'!AF1045),IF($B$1042="Лікар-педіатр","x",IF($B$1042="Лікар-терапевт",IF(AG1046&lt;=Законод!$C$26,AF1046,Законод!$C$26*'01_Доходи'!AF1045),0)))</f>
        <v>0</v>
      </c>
      <c r="AG1047" s="209">
        <f ca="1">SUM(AB1047:AF1047)</f>
        <v>0</v>
      </c>
      <c r="AH1047" s="942"/>
      <c r="AI1047" s="201"/>
      <c r="AJ1047" s="945"/>
      <c r="AK1047" s="960"/>
      <c r="AL1047" s="960"/>
      <c r="AM1047" s="348" t="s">
        <v>451</v>
      </c>
      <c r="AN1047" s="210">
        <f ca="1">IF(B1042="Лікар загальної практики - сімейний лікар",G1047*Законод!$C$11+'01_Доходи'!H1047*Законод!$D$11+'01_Доходи'!I1047*Законод!$E$11+'01_Доходи'!J1047*Законод!$F$11+'01_Доходи'!K1047*Законод!$G$11,IF(B1042="Лікар-педіатр",G1047*Законод!$C$11+'01_Доходи'!H1047*Законод!$D$11,IF(B1042="Лікар-терапевт",'01_Доходи'!I1047*Законод!$E$11+'01_Доходи'!J1047*Законод!$F$11+'01_Доходи'!K1047*Законод!$G$11,0)))</f>
        <v>0</v>
      </c>
      <c r="AO1047" s="210">
        <f ca="1">IF(B1042="Лікар загальної практики - сімейний лікар",N1047*Законод!$C$11+'01_Доходи'!O1047*Законод!$D$11+'01_Доходи'!P1047*Законод!$E$11+'01_Доходи'!Q1047*Законод!$F$11+'01_Доходи'!R1047*Законод!$G$11,IF(B1042="Лікар-педіатр",N1047*Законод!$C$11+'01_Доходи'!O1047*Законод!$D$11,IF(B1042="Лікар-терапевт",'01_Доходи'!P1047*Законод!$E$11+'01_Доходи'!Q1047*Законод!$F$11+'01_Доходи'!R1047*Законод!$G$11,0)))</f>
        <v>0</v>
      </c>
      <c r="AP1047" s="210">
        <f ca="1">IF(B1042="Лікар загальної практики - сімейний лікар",U1047*Законод!$C$11+'01_Доходи'!V1047*Законод!$D$11+'01_Доходи'!W1047*Законод!$E$11+'01_Доходи'!X1047*Законод!$F$11+'01_Доходи'!Y1047*Законод!$G$11,IF(B1042="Лікар-педіатр",U1047*Законод!$C$11+'01_Доходи'!V1047*Законод!$D$11,IF(B1042="Лікар-терапевт",'01_Доходи'!W1047*Законод!$E$11+'01_Доходи'!X1047*Законод!$F$11+'01_Доходи'!Y1047*Законод!$G$11,0)))</f>
        <v>0</v>
      </c>
      <c r="AQ1047" s="210">
        <f ca="1">IF(B1042="Лікар загальної практики - сімейний лікар",AB1047*Законод!$C$11+'01_Доходи'!AC1047*Законод!$D$11+'01_Доходи'!AD1047*Законод!$E$11+'01_Доходи'!AE1047*Законод!$F$11+'01_Доходи'!AF1047*Законод!$G$11,IF(B1042="Лікар-педіатр",AB1047*Законод!$C$11+'01_Доходи'!AC1047*Законод!$D$11,IF(B1042="Лікар-терапевт",'01_Доходи'!AD1047*Законод!$E$11+'01_Доходи'!AE1047*Законод!$F$11+'01_Доходи'!AF1047*Законод!$G$11,0)))</f>
        <v>0</v>
      </c>
      <c r="AR1047" s="211">
        <f t="shared" ref="AR1047:AR1053" si="120">SUM(AN1047:AQ1047)</f>
        <v>0</v>
      </c>
    </row>
    <row r="1048" spans="1:44" s="50" customFormat="1" ht="31.9" hidden="1" customHeight="1">
      <c r="A1048" s="197"/>
      <c r="B1048" s="951"/>
      <c r="C1048" s="954"/>
      <c r="D1048" s="957"/>
      <c r="E1048" s="939"/>
      <c r="F1048" s="238" t="str">
        <f ca="1">IF(B1042="Лікар-педіатр",Законод!$E$17,IF(B1042="Лікар загальної практики - сімейний лікар",Законод!$E$21,IF(B1042="Лікар-терапевт",Законод!$E$25,"х")))</f>
        <v>х</v>
      </c>
      <c r="G1048" s="935" t="s">
        <v>423</v>
      </c>
      <c r="H1048" s="936"/>
      <c r="I1048" s="936"/>
      <c r="J1048" s="936"/>
      <c r="K1048" s="937"/>
      <c r="L1048" s="196">
        <f ca="1">IF($B$1042="Лікар загальної практики - сімейний лікар",IF(L1046&lt;Законод!$C$22,0,(IF(AND(L1046&gt;=Законод!$E$22,L1046&lt;=Законод!$E$23),L1046-Законод!$C$22,IF('01_Доходи'!L1046&gt;=Законод!$F$22,Законод!$E$24,0)))),IF($B$1042="Лікар-педіатр",IF(L1046&lt;Законод!$C$18,0,(IF(AND(L1046&gt;=Законод!$E$18,L1046&lt;=Законод!$E$19),L1046-Законод!$C$18,IF('01_Доходи'!L1046&gt;=Законод!$F$18,Законод!$E$20,0)))),IF($B$1042="Лікар-терапевт",IF(L1046&lt;Законод!$C$26,0,(IF(AND(L1046&gt;=Законод!$E$26,L1046&lt;=Законод!$E$27),L1046-Законод!$C$26,IF('01_Доходи'!L1046&gt;=Законод!$F$26,Законод!$E$28,0)))),0)))</f>
        <v>0</v>
      </c>
      <c r="M1048" s="942"/>
      <c r="N1048" s="935" t="s">
        <v>423</v>
      </c>
      <c r="O1048" s="936"/>
      <c r="P1048" s="936"/>
      <c r="Q1048" s="936"/>
      <c r="R1048" s="937"/>
      <c r="S1048" s="196">
        <f ca="1">IF($B$1042="Лікар загальної практики - сімейний лікар",IF(S1046&lt;Законод!$C$22,0,(IF(AND(S1046&gt;=Законод!$E$22,S1046&lt;=Законод!$E$23),S1046-Законод!$C$22,IF('01_Доходи'!S1046&gt;=Законод!$F$22,Законод!$E$24,0)))),IF($B$1042="Лікар-педіатр",IF(S1046&lt;Законод!$C$18,0,(IF(AND(S1046&gt;=Законод!$E$18,S1046&lt;=Законод!$E$19),S1046-Законод!$C$18,IF('01_Доходи'!S1046&gt;=Законод!$F$18,Законод!$E$20,0)))),IF($B$1042="Лікар-терапевт",IF(S1046&lt;Законод!$C$26,0,(IF(AND(S1046&gt;=Законод!$E$26,S1046&lt;=Законод!$E$27),S1046-Законод!$C$26,IF('01_Доходи'!S1046&gt;=Законод!$F$26,Законод!$E$28,0)))),0)))</f>
        <v>0</v>
      </c>
      <c r="T1048" s="942"/>
      <c r="U1048" s="935" t="s">
        <v>423</v>
      </c>
      <c r="V1048" s="936"/>
      <c r="W1048" s="936"/>
      <c r="X1048" s="936"/>
      <c r="Y1048" s="937"/>
      <c r="Z1048" s="196">
        <f ca="1">IF($B$1042="Лікар загальної практики - сімейний лікар",IF(Z1046&lt;Законод!$C$22,0,(IF(AND(Z1046&gt;=Законод!$E$22,Z1046&lt;=Законод!$E$23),Z1046-Законод!$C$22,IF('01_Доходи'!Z1046&gt;=Законод!$F$22,Законод!$E$24,0)))),IF($B$1042="Лікар-педіатр",IF(Z1046&lt;Законод!$C$18,0,(IF(AND(Z1046&gt;=Законод!$E$18,Z1046&lt;=Законод!$E$19),Z1046-Законод!$C$18,IF('01_Доходи'!Z1046&gt;=Законод!$F$18,Законод!$E$20,0)))),IF($B$1042="Лікар-терапевт",IF(Z1046&lt;Законод!$C$26,0,(IF(AND(Z1046&gt;=Законод!$E$26,Z1046&lt;=Законод!$E$27),Z1046-Законод!$C$26,IF('01_Доходи'!Z1046&gt;=Законод!$F$26,Законод!$E$28,0)))),0)))</f>
        <v>0</v>
      </c>
      <c r="AA1048" s="942"/>
      <c r="AB1048" s="935" t="s">
        <v>423</v>
      </c>
      <c r="AC1048" s="936"/>
      <c r="AD1048" s="936"/>
      <c r="AE1048" s="936"/>
      <c r="AF1048" s="937"/>
      <c r="AG1048" s="196">
        <f ca="1">IF($B$1042="Лікар загальної практики - сімейний лікар",IF(AG1046&lt;Законод!$C$22,0,(IF(AND(AG1046&gt;=Законод!$E$22,AG1046&lt;=Законод!$E$23),AG1046-Законод!$C$22,IF('01_Доходи'!AG1046&gt;=Законод!$F$22,Законод!$E$24,0)))),IF($B$1042="Лікар-педіатр",IF(AG1046&lt;Законод!$C$18,0,(IF(AND(AG1046&gt;=Законод!$E$18,AG1046&lt;=Законод!$E$19),AG1046-Законод!$C$18,IF('01_Доходи'!AG1046&gt;=Законод!$F$18,Законод!$E$20,0)))),IF($B$1042="Лікар-терапевт",IF(AG1046&lt;Законод!$C$26,0,(IF(AND(AG1046&gt;=Законод!$E$26,AG1046&lt;=Законод!$E$27),AG1046-Законод!$C$26,IF('01_Доходи'!AG1046&gt;=Законод!$F$26,Законод!$E$28,0)))),0)))</f>
        <v>0</v>
      </c>
      <c r="AH1048" s="942"/>
      <c r="AI1048" s="201"/>
      <c r="AJ1048" s="945"/>
      <c r="AK1048" s="960"/>
      <c r="AL1048" s="960"/>
      <c r="AM1048" s="926" t="s">
        <v>452</v>
      </c>
      <c r="AN1048" s="210">
        <f ca="1">IF(B1042="Лікар загальної практики - сімейний лікар",L1048*Законод!$C$9/4*Законод!$E$16,IF(B1042="Лікар-педіатр",L1048*Законод!$C$9/4*Законод!$E$16,IF(B1042="Лікар-терапевт",L1048*Законод!$C$9/4*Законод!$E$16,0)))</f>
        <v>0</v>
      </c>
      <c r="AO1048" s="210">
        <f ca="1">IF(B1042="Лікар загальної практики - сімейний лікар",S1048*Законод!$C$9/4*Законод!$E$16,IF(B1042="Лікар-педіатр",S1048*Законод!$C$9/4*Законод!$E$16,IF(B1042="Лікар-терапевт",S1048*Законод!$C$9/4*Законод!$E$16,0)))</f>
        <v>0</v>
      </c>
      <c r="AP1048" s="210">
        <f ca="1">IF(B1042="Лікар загальної практики - сімейний лікар",Z1048*Законод!$C$9/4*Законод!$E$16,IF(B1042="Лікар-педіатр",Z1048*Законод!$C$9/4*Законод!$E$16,IF(B1042="Лікар-терапевт",Z1048*Законод!$C$9/4*Законод!$E$16,0)))</f>
        <v>0</v>
      </c>
      <c r="AQ1048" s="210">
        <f ca="1">IF(B1042="Лікар загальної практики - сімейний лікар",AG1048*Законод!$C$9/4*Законод!$E$16,IF(B1042="Лікар-педіатр",AG1048*Законод!$C$9/4*Законод!$E$16,IF(B1042="Лікар-терапевт",AG1048*Законод!$C$9/4*Законод!$E$16,0)))</f>
        <v>0</v>
      </c>
      <c r="AR1048" s="211">
        <f t="shared" si="120"/>
        <v>0</v>
      </c>
    </row>
    <row r="1049" spans="1:44" s="50" customFormat="1" ht="31.9" hidden="1" customHeight="1">
      <c r="A1049" s="197"/>
      <c r="B1049" s="951"/>
      <c r="C1049" s="954"/>
      <c r="D1049" s="957"/>
      <c r="E1049" s="939"/>
      <c r="F1049" s="238" t="str">
        <f ca="1">IF(B1042="Лікар-педіатр",Законод!$F$17,IF(B1042="Лікар загальної практики - сімейний лікар",Законод!$F$21,IF(B1042="Лікар-терапевт",Законод!$F$25,"х")))</f>
        <v>х</v>
      </c>
      <c r="G1049" s="935" t="s">
        <v>423</v>
      </c>
      <c r="H1049" s="936"/>
      <c r="I1049" s="936"/>
      <c r="J1049" s="936"/>
      <c r="K1049" s="937"/>
      <c r="L1049" s="196">
        <f ca="1">IF($B$1042="Лікар загальної практики - сімейний лікар",IF(L1046&lt;Законод!$C$22,0,(IF(AND(L1046&gt;=Законод!$F$22,L1046&lt;=Законод!$F$23),L1046-Законод!$E$23,IF('01_Доходи'!L1046&gt;=Законод!$G$22,Законод!$F$24,0)))),IF($B$1042="Лікар-педіатр",IF(L1046&lt;Законод!$C$18,0,(IF(AND(L1046&gt;=Законод!$F$18,L1046&lt;=Законод!$F$19),L1046-Законод!$E$19,IF('01_Доходи'!L1046&gt;=Законод!$G$18,Законод!$F$20,0)))),IF($B$1042="Лікар-терапевт",IF(L1046&lt;Законод!$C$26,0,(IF(AND(L1046&gt;=Законод!$F$26,L1046&lt;=Законод!$F$27),L1046-Законод!$E$27,IF('01_Доходи'!L1046&gt;=Законод!$G$26,Законод!$F$28,0)))),0)))</f>
        <v>0</v>
      </c>
      <c r="M1049" s="942"/>
      <c r="N1049" s="935" t="s">
        <v>423</v>
      </c>
      <c r="O1049" s="936"/>
      <c r="P1049" s="936"/>
      <c r="Q1049" s="936"/>
      <c r="R1049" s="937"/>
      <c r="S1049" s="196">
        <f ca="1">IF($B$1042="Лікар загальної практики - сімейний лікар",IF(S1046&lt;Законод!$C$22,0,(IF(AND(S1046&gt;=Законод!$F$22,S1046&lt;=Законод!$F$23),S1046-Законод!$E$23,IF('01_Доходи'!S1046&gt;=Законод!$G$22,Законод!$F$24,0)))),IF($B$1042="Лікар-педіатр",IF(S1046&lt;Законод!$C$18,0,(IF(AND(S1046&gt;=Законод!$F$18,S1046&lt;=Законод!$F$19),S1046-Законод!$E$19,IF('01_Доходи'!S1046&gt;=Законод!$G$18,Законод!$F$20,0)))),IF($B$1042="Лікар-терапевт",IF(S1046&lt;Законод!$C$26,0,(IF(AND(S1046&gt;=Законод!$F$26,S1046&lt;=Законод!$F$27),S1046-Законод!$E$27,IF('01_Доходи'!S1046&gt;=Законод!$G$26,Законод!$F$28,0)))),0)))</f>
        <v>0</v>
      </c>
      <c r="T1049" s="942"/>
      <c r="U1049" s="935" t="s">
        <v>423</v>
      </c>
      <c r="V1049" s="936"/>
      <c r="W1049" s="936"/>
      <c r="X1049" s="936"/>
      <c r="Y1049" s="937"/>
      <c r="Z1049" s="196">
        <f ca="1">IF($B$1042="Лікар загальної практики - сімейний лікар",IF(Z1046&lt;Законод!$C$22,0,(IF(AND(Z1046&gt;=Законод!$F$22,Z1046&lt;=Законод!$F$23),Z1046-Законод!$E$23,IF('01_Доходи'!Z1046&gt;=Законод!$G$22,Законод!$F$24,0)))),IF($B$1042="Лікар-педіатр",IF(Z1046&lt;Законод!$C$18,0,(IF(AND(Z1046&gt;=Законод!$F$18,Z1046&lt;=Законод!$F$19),Z1046-Законод!$E$19,IF('01_Доходи'!Z1046&gt;=Законод!$G$18,Законод!$F$20,0)))),IF($B$1042="Лікар-терапевт",IF(Z1046&lt;Законод!$C$26,0,(IF(AND(Z1046&gt;=Законод!$F$26,Z1046&lt;=Законод!$F$27),Z1046-Законод!$E$27,IF('01_Доходи'!Z1046&gt;=Законод!$G$26,Законод!$F$28,0)))),0)))</f>
        <v>0</v>
      </c>
      <c r="AA1049" s="942"/>
      <c r="AB1049" s="935" t="s">
        <v>423</v>
      </c>
      <c r="AC1049" s="936"/>
      <c r="AD1049" s="936"/>
      <c r="AE1049" s="936"/>
      <c r="AF1049" s="937"/>
      <c r="AG1049" s="196">
        <f ca="1">IF($B$1042="Лікар загальної практики - сімейний лікар",IF(AG1046&lt;Законод!$C$22,0,(IF(AND(AG1046&gt;=Законод!$F$22,AG1046&lt;=Законод!$F$23),AG1046-Законод!$E$23,IF('01_Доходи'!AG1046&gt;=Законод!$G$22,Законод!$F$24,0)))),IF($B$1042="Лікар-педіатр",IF(AG1046&lt;Законод!$C$18,0,(IF(AND(AG1046&gt;=Законод!$F$18,AG1046&lt;=Законод!$F$19),AG1046-Законод!$E$19,IF('01_Доходи'!AG1046&gt;=Законод!$G$18,Законод!$F$20,0)))),IF($B$1042="Лікар-терапевт",IF(AG1046&lt;Законод!$C$26,0,(IF(AND(AG1046&gt;=Законод!$F$26,AG1046&lt;=Законод!$F$27),AG1046-Законод!$E$27,IF('01_Доходи'!AG1046&gt;=Законод!$G$26,Законод!$F$28,0)))),0)))</f>
        <v>0</v>
      </c>
      <c r="AH1049" s="942"/>
      <c r="AI1049" s="201"/>
      <c r="AJ1049" s="945"/>
      <c r="AK1049" s="960"/>
      <c r="AL1049" s="960"/>
      <c r="AM1049" s="927"/>
      <c r="AN1049" s="210">
        <f ca="1">IF(B1042="Лікар загальної практики - сімейний лікар",L1049*Законод!$C$9/4*Законод!$F$16,IF(B1042="Лікар-педіатр",L1049*Законод!$C$9/4*Законод!$F$16,IF(B1042="Лікар-терапевт",L1049*Законод!$C$9/4*Законод!$F$16,0)))</f>
        <v>0</v>
      </c>
      <c r="AO1049" s="210">
        <f ca="1">IF(B1042="Лікар загальної практики - сімейний лікар",S1049*Законод!$C$9/4*Законод!$F$16,IF(B1042="Лікар-педіатр",S1049*Законод!$C$9/4*Законод!$F$16,IF(B1042="Лікар-терапевт",S1049*Законод!$C$9/4*Законод!$F$16,0)))</f>
        <v>0</v>
      </c>
      <c r="AP1049" s="210">
        <f ca="1">IF(B1042="Лікар загальної практики - сімейний лікар",Z1049*Законод!$C$9/4*Законод!$F$16,IF(B1042="Лікар-педіатр",Z1049*Законод!$C$9/4*Законод!$F$16,IF(B1042="Лікар-терапевт",Z1049*Законод!$C$9/4*Законод!$F$16,0)))</f>
        <v>0</v>
      </c>
      <c r="AQ1049" s="210">
        <f ca="1">IF(B1042="Лікар загальної практики - сімейний лікар",AG1049*Законод!$C$9/4*Законод!$F$16,IF(B1042="Лікар-педіатр",AG1049*Законод!$C$9/4*Законод!$F$16,IF(B1042="Лікар-терапевт",AG1049*Законод!$C$9/4*Законод!$F$16,0)))</f>
        <v>0</v>
      </c>
      <c r="AR1049" s="211">
        <f t="shared" si="120"/>
        <v>0</v>
      </c>
    </row>
    <row r="1050" spans="1:44" s="50" customFormat="1" ht="31.9" hidden="1" customHeight="1">
      <c r="A1050" s="197"/>
      <c r="B1050" s="951"/>
      <c r="C1050" s="954"/>
      <c r="D1050" s="957"/>
      <c r="E1050" s="939"/>
      <c r="F1050" s="238" t="str">
        <f ca="1">IF(B1042="Лікар-педіатр",Законод!$G$17,IF(B1042="Лікар загальної практики - сімейний лікар",Законод!$G$21,IF(B1042="Лікар-терапевт",Законод!$G$25,"х")))</f>
        <v>х</v>
      </c>
      <c r="G1050" s="935" t="s">
        <v>423</v>
      </c>
      <c r="H1050" s="936"/>
      <c r="I1050" s="936"/>
      <c r="J1050" s="936"/>
      <c r="K1050" s="937"/>
      <c r="L1050" s="196">
        <f ca="1">IF($B$1042="Лікар загальної практики - сімейний лікар",IF(L1046&lt;Законод!$C$22,0,(IF(AND(L1046&gt;=Законод!$G$22,L1046&lt;=Законод!$G$23),L1046-Законод!$F$23,IF('01_Доходи'!L1046&gt;=Законод!$H$22,Законод!$G$24,0)))),IF($B$1042="Лікар-педіатр",IF(L1046&lt;Законод!$C$18,0,(IF(AND(L1046&gt;=Законод!$G$18,L1046&lt;=Законод!$G$19),L1046-Законод!$F$19,IF('01_Доходи'!L1046&gt;=Законод!$H$18,Законод!$G$20,0)))),IF($B$1042="Лікар-терапевт",IF(L1046&lt;Законод!$C$26,0,(IF(AND(L1046&gt;=Законод!$G$26,L1046&lt;=Законод!$G$27),L1046-Законод!$F$27,IF('01_Доходи'!L1046&gt;=Законод!$H$26,Законод!$G$28,0)))),0)))</f>
        <v>0</v>
      </c>
      <c r="M1050" s="942"/>
      <c r="N1050" s="935" t="s">
        <v>423</v>
      </c>
      <c r="O1050" s="936"/>
      <c r="P1050" s="936"/>
      <c r="Q1050" s="936"/>
      <c r="R1050" s="937"/>
      <c r="S1050" s="196">
        <f ca="1">IF($B$1042="Лікар загальної практики - сімейний лікар",IF(S1046&lt;Законод!$C$22,0,(IF(AND(S1046&gt;=Законод!$G$22,S1046&lt;=Законод!$G$23),S1046-Законод!$F$23,IF('01_Доходи'!S1046&gt;=Законод!$H$22,Законод!$G$24,0)))),IF($B$1042="Лікар-педіатр",IF(S1046&lt;Законод!$C$18,0,(IF(AND(S1046&gt;=Законод!$G$18,S1046&lt;=Законод!$G$19),S1046-Законод!$F$19,IF('01_Доходи'!S1046&gt;=Законод!$H$18,Законод!$G$20,0)))),IF($B$1042="Лікар-терапевт",IF(S1046&lt;Законод!$C$26,0,(IF(AND(S1046&gt;=Законод!$G$26,S1046&lt;=Законод!$G$27),S1046-Законод!$F$27,IF('01_Доходи'!S1046&gt;=Законод!$H$26,Законод!$G$28,0)))),0)))</f>
        <v>0</v>
      </c>
      <c r="T1050" s="942"/>
      <c r="U1050" s="935" t="s">
        <v>423</v>
      </c>
      <c r="V1050" s="936"/>
      <c r="W1050" s="936"/>
      <c r="X1050" s="936"/>
      <c r="Y1050" s="937"/>
      <c r="Z1050" s="196">
        <f ca="1">IF($B$1042="Лікар загальної практики - сімейний лікар",IF(Z1046&lt;Законод!$C$22,0,(IF(AND(Z1046&gt;=Законод!$G$22,Z1046&lt;=Законод!$G$23),Z1046-Законод!$F$23,IF('01_Доходи'!Z1046&gt;=Законод!$H$22,Законод!$G$24,0)))),IF($B$1042="Лікар-педіатр",IF(Z1046&lt;Законод!$C$18,0,(IF(AND(Z1046&gt;=Законод!$G$18,Z1046&lt;=Законод!$G$19),Z1046-Законод!$F$19,IF('01_Доходи'!Z1046&gt;=Законод!$H$18,Законод!$G$20,0)))),IF($B$1042="Лікар-терапевт",IF(Z1046&lt;Законод!$C$26,0,(IF(AND(Z1046&gt;=Законод!$G$26,Z1046&lt;=Законод!$G$27),Z1046-Законод!$F$27,IF('01_Доходи'!Z1046&gt;=Законод!$H$26,Законод!$G$28,0)))),0)))</f>
        <v>0</v>
      </c>
      <c r="AA1050" s="942"/>
      <c r="AB1050" s="935" t="s">
        <v>423</v>
      </c>
      <c r="AC1050" s="936"/>
      <c r="AD1050" s="936"/>
      <c r="AE1050" s="936"/>
      <c r="AF1050" s="937"/>
      <c r="AG1050" s="196">
        <f ca="1">IF($B$1042="Лікар загальної практики - сімейний лікар",IF(AG1046&lt;Законод!$C$22,0,(IF(AND(AG1046&gt;=Законод!$G$22,AG1046&lt;=Законод!$G$23),AG1046-Законод!$F$23,IF('01_Доходи'!AG1046&gt;=Законод!$H$22,Законод!$G$24,0)))),IF($B$1042="Лікар-педіатр",IF(AG1046&lt;Законод!$C$18,0,(IF(AND(AG1046&gt;=Законод!$G$18,AG1046&lt;=Законод!$G$19),AG1046-Законод!$F$19,IF('01_Доходи'!AG1046&gt;=Законод!$H$18,Законод!$G$20,0)))),IF($B$1042="Лікар-терапевт",IF(AG1046&lt;Законод!$C$26,0,(IF(AND(AG1046&gt;=Законод!$G$26,AG1046&lt;=Законод!$G$27),AG1046-Законод!$F$27,IF('01_Доходи'!AG1046&gt;=Законод!$H$26,Законод!$G$28,0)))),0)))</f>
        <v>0</v>
      </c>
      <c r="AH1050" s="942"/>
      <c r="AI1050" s="201"/>
      <c r="AJ1050" s="945"/>
      <c r="AK1050" s="960"/>
      <c r="AL1050" s="960"/>
      <c r="AM1050" s="927"/>
      <c r="AN1050" s="210">
        <f ca="1">IF(B1042="Лікар загальної практики - сімейний лікар",L1050*Законод!$C$9/4*Законод!$G$16,IF(B1042="Лікар-педіатр",L1050*Законод!$C$9/4*Законод!$G$16,IF(B1042="Лікар-терапевт",L1050*Законод!$C$9/4*Законод!$G$16,0)))</f>
        <v>0</v>
      </c>
      <c r="AO1050" s="210">
        <f ca="1">IF(B1042="Лікар загальної практики - сімейний лікар",S1050*Законод!$C$9/4*Законод!$G$16,IF(B1042="Лікар-педіатр",S1050*Законод!$C$9/4*Законод!$G$16,IF(B1042="Лікар-терапевт",S1050*Законод!$C$9/4*Законод!$G$16,0)))</f>
        <v>0</v>
      </c>
      <c r="AP1050" s="210">
        <f ca="1">IF(B1042="Лікар загальної практики - сімейний лікар",Z1050*Законод!$C$9/4*Законод!$G$16,IF(B1042="Лікар-педіатр",Z1050*Законод!$C$9/4*Законод!$G$16,IF(B1042="Лікар-терапевт",Z1050*Законод!$C$9/4*Законод!$G$16,0)))</f>
        <v>0</v>
      </c>
      <c r="AQ1050" s="210">
        <f ca="1">IF(B1042="Лікар загальної практики - сімейний лікар",AG1050*Законод!$C$9/4*Законод!$G$16,IF(B1042="Лікар-педіатр",AG1050*Законод!$C$9/4*Законод!$G$16,IF(B1042="Лікар-терапевт",AG1050*Законод!$C$9/4*Законод!$G$16,0)))</f>
        <v>0</v>
      </c>
      <c r="AR1050" s="211">
        <f t="shared" si="120"/>
        <v>0</v>
      </c>
    </row>
    <row r="1051" spans="1:44" s="50" customFormat="1" ht="31.9" hidden="1" customHeight="1">
      <c r="A1051" s="197"/>
      <c r="B1051" s="951"/>
      <c r="C1051" s="954"/>
      <c r="D1051" s="957"/>
      <c r="E1051" s="939"/>
      <c r="F1051" s="238" t="str">
        <f ca="1">IF(B1042="Лікар-педіатр",Законод!$H$17,IF(B1042="Лікар загальної практики - сімейний лікар",Законод!$H$21,IF(B1042="Лікар-терапевт",Законод!$H$25,"х")))</f>
        <v>х</v>
      </c>
      <c r="G1051" s="935" t="s">
        <v>423</v>
      </c>
      <c r="H1051" s="936"/>
      <c r="I1051" s="936"/>
      <c r="J1051" s="936"/>
      <c r="K1051" s="937"/>
      <c r="L1051" s="196">
        <f ca="1">IF($B$1042="Лікар загальної практики - сімейний лікар",IF(L1046&lt;Законод!$C$22,0,(IF(AND(L1046&gt;=Законод!$H$22,L1046&lt;=Законод!$H$23),L1046-Законод!$G$23,IF('01_Доходи'!L1046&gt;=Законод!$I$22,Законод!$H$24,0)))),IF($B$1042="Лікар-педіатр",IF(L1046&lt;Законод!$C$18,0,(IF(AND(L1046&gt;=Законод!$H$18,L1046&lt;=Законод!$H$19),L1046-Законод!$G$19,IF('01_Доходи'!L1046&gt;=Законод!$I$18,Законод!$H$20,0)))),IF($B$1042="Лікар-терапевт",IF(L1046&lt;Законод!$C$26,0,(IF(AND(L1046&gt;=Законод!$H$26,L1046&lt;=Законод!$H$27),L1046-Законод!$G$27,IF(L1046&gt;=Законод!$I$26,Законод!$H$28,0)))),0)))</f>
        <v>0</v>
      </c>
      <c r="M1051" s="942"/>
      <c r="N1051" s="935" t="s">
        <v>423</v>
      </c>
      <c r="O1051" s="936"/>
      <c r="P1051" s="936"/>
      <c r="Q1051" s="936"/>
      <c r="R1051" s="937"/>
      <c r="S1051" s="196">
        <f ca="1">IF($B$1042="Лікар загальної практики - сімейний лікар",IF(S1046&lt;Законод!$C$22,0,(IF(AND(S1046&gt;=Законод!$H$22,S1046&lt;=Законод!$H$23),S1046-Законод!$G$23,IF('01_Доходи'!S1046&gt;=Законод!$I$22,Законод!$H$24,0)))),IF($B$1042="Лікар-педіатр",IF(S1046&lt;Законод!$C$18,0,(IF(AND(S1046&gt;=Законод!$H$18,S1046&lt;=Законод!$H$19),S1046-Законод!$G$19,IF('01_Доходи'!S1046&gt;=Законод!$I$18,Законод!$H$20,0)))),IF($B$1042="Лікар-терапевт",IF(S1046&lt;Законод!$C$26,0,(IF(AND(S1046&gt;=Законод!$H$26,S1046&lt;=Законод!$H$27),S1046-Законод!$G$27,IF(S1046&gt;=Законод!$I$26,Законод!$H$28,0)))),0)))</f>
        <v>0</v>
      </c>
      <c r="T1051" s="942"/>
      <c r="U1051" s="935" t="s">
        <v>423</v>
      </c>
      <c r="V1051" s="936"/>
      <c r="W1051" s="936"/>
      <c r="X1051" s="936"/>
      <c r="Y1051" s="937"/>
      <c r="Z1051" s="196">
        <f ca="1">IF($B$1042="Лікар загальної практики - сімейний лікар",IF(Z1046&lt;Законод!$C$22,0,(IF(AND(Z1046&gt;=Законод!$H$22,Z1046&lt;=Законод!$H$23),Z1046-Законод!$G$23,IF('01_Доходи'!Z1046&gt;=Законод!$I$22,Законод!$H$24,0)))),IF($B$1042="Лікар-педіатр",IF(Z1046&lt;Законод!$C$18,0,(IF(AND(Z1046&gt;=Законод!$H$18,Z1046&lt;=Законод!$H$19),Z1046-Законод!$G$19,IF('01_Доходи'!Z1046&gt;=Законод!$I$18,Законод!$H$20,0)))),IF($B$1042="Лікар-терапевт",IF(Z1046&lt;Законод!$C$26,0,(IF(AND(Z1046&gt;=Законод!$H$26,Z1046&lt;=Законод!$H$27),Z1046-Законод!$G$27,IF(Z1046&gt;=Законод!$I$26,Законод!$H$28,0)))),0)))</f>
        <v>0</v>
      </c>
      <c r="AA1051" s="942"/>
      <c r="AB1051" s="935" t="s">
        <v>423</v>
      </c>
      <c r="AC1051" s="936"/>
      <c r="AD1051" s="936"/>
      <c r="AE1051" s="936"/>
      <c r="AF1051" s="937"/>
      <c r="AG1051" s="196">
        <f ca="1">IF($B$1042="Лікар загальної практики - сімейний лікар",IF(AG1046&lt;Законод!$C$22,0,(IF(AND(AG1046&gt;=Законод!$H$22,AG1046&lt;=Законод!$H$23),AG1046-Законод!$G$23,IF('01_Доходи'!AG1046&gt;=Законод!$I$22,Законод!$H$24,0)))),IF($B$1042="Лікар-педіатр",IF(AG1046&lt;Законод!$C$18,0,(IF(AND(AG1046&gt;=Законод!$H$18,AG1046&lt;=Законод!$H$19),AG1046-Законод!$G$19,IF('01_Доходи'!AG1046&gt;=Законод!$I$18,Законод!$H$20,0)))),IF($B$1042="Лікар-терапевт",IF(AG1046&lt;Законод!$C$26,0,(IF(AND(AG1046&gt;=Законод!$H$26,AG1046&lt;=Законод!$H$27),AG1046-Законод!$G$27,IF(AG1046&gt;=Законод!$I$26,Законод!$H$28,0)))),0)))</f>
        <v>0</v>
      </c>
      <c r="AH1051" s="942"/>
      <c r="AI1051" s="201"/>
      <c r="AJ1051" s="945"/>
      <c r="AK1051" s="960"/>
      <c r="AL1051" s="960"/>
      <c r="AM1051" s="927"/>
      <c r="AN1051" s="210">
        <f ca="1">IF(B1042="Лікар загальної практики - сімейний лікар",L1051*Законод!$C$9/4*Законод!$H$16,IF(B1042="Лікар-педіатр",L1051*Законод!$C$9/4*Законод!$H$16,IF(B1042="Лікар-терапевт",L1051*Законод!$C$9/4*Законод!$H$16,0)))</f>
        <v>0</v>
      </c>
      <c r="AO1051" s="210">
        <f ca="1">IF(B1042="Лікар загальної практики - сімейний лікар",S1051*Законод!$C$9/4*Законод!$H$16,IF(B1042="Лікар-педіатр",S1051*Законод!$C$9/4*Законод!$H$16,IF(B1042="Лікар-терапевт",S1051*Законод!$C$9/4*Законод!$H$16,0)))</f>
        <v>0</v>
      </c>
      <c r="AP1051" s="210">
        <f ca="1">IF(B1042="Лікар загальної практики - сімейний лікар",Z1051*Законод!$C$9/4*Законод!$H$16,IF(B1042="Лікар-педіатр",Z1051*Законод!$C$9/4*Законод!$H$16,IF(B1042="Лікар-терапевт",Z1051*Законод!$C$9/4*Законод!$H$16,0)))</f>
        <v>0</v>
      </c>
      <c r="AQ1051" s="210">
        <f ca="1">IF(B1042="Лікар загальної практики - сімейний лікар",AG1051*Законод!$C$9/4*Законод!$H$16,IF(B1042="Лікар-педіатр",AG1051*Законод!$C$9/4*Законод!$H$16,IF(B1042="Лікар-терапевт",AG1051*Законод!$C$9/4*Законод!$H$16,0)))</f>
        <v>0</v>
      </c>
      <c r="AR1051" s="211">
        <f t="shared" si="120"/>
        <v>0</v>
      </c>
    </row>
    <row r="1052" spans="1:44" s="50" customFormat="1" ht="31.9" hidden="1" customHeight="1">
      <c r="A1052" s="197"/>
      <c r="B1052" s="951"/>
      <c r="C1052" s="954"/>
      <c r="D1052" s="957"/>
      <c r="E1052" s="939"/>
      <c r="F1052" s="238" t="str">
        <f ca="1">IF(B1042="Лікар-педіатр",Законод!$I$17,IF(B1042="Лікар загальної практики - сімейний лікар",Законод!$I$21,IF(B1042="Лікар-терапевт",Законод!$I$25,"х")))</f>
        <v>х</v>
      </c>
      <c r="G1052" s="935" t="s">
        <v>423</v>
      </c>
      <c r="H1052" s="936"/>
      <c r="I1052" s="936"/>
      <c r="J1052" s="936"/>
      <c r="K1052" s="937"/>
      <c r="L1052" s="196">
        <f ca="1">IF($B$1042="Лікар загальної практики - сімейний лікар",IF(L1046&lt;Законод!$C$22,0,(IF(AND(L1046&gt;=Законод!$I$22,L1046&lt;=Законод!$I$23),L1046-Законод!$H$23,IF('01_Доходи'!L1046&gt;=Законод!$I$22,Законод!$I$24,0)))),IF($B$1042="Лікар-педіатр",IF(L1046&lt;Законод!$C$18,0,(IF(AND(L1046&gt;=Законод!$I$18,L1046&lt;=Законод!$I$19),L1046-Законод!$H$19,IF('01_Доходи'!L1046&gt;=Законод!$I$18,Законод!$H$20,0)))),IF($B$1042="Лікар-терапевт",IF(L1046&lt;Законод!$C$26,0,(IF(AND(L1046&gt;=Законод!$I$26,L1046&lt;=Законод!$I$27),L1046-Законод!$H$27,IF('01_Доходи'!L1046&gt;=Законод!$I$26,Законод!$H$28,0)))),0)))</f>
        <v>0</v>
      </c>
      <c r="M1052" s="942"/>
      <c r="N1052" s="935" t="s">
        <v>423</v>
      </c>
      <c r="O1052" s="936"/>
      <c r="P1052" s="936"/>
      <c r="Q1052" s="936"/>
      <c r="R1052" s="937"/>
      <c r="S1052" s="196">
        <f ca="1">IF($B$1042="Лікар загальної практики - сімейний лікар",IF(S1046&lt;Законод!$C$22,0,(IF(AND(S1046&gt;=Законод!$I$22,S1046&lt;=Законод!$I$23),S1046-Законод!$H$23,IF('01_Доходи'!S1046&gt;=Законод!$I$22,Законод!$I$24,0)))),IF($B$1042="Лікар-педіатр",IF(S1046&lt;Законод!$C$18,0,(IF(AND(S1046&gt;=Законод!$I$18,S1046&lt;=Законод!$I$19),S1046-Законод!$H$19,IF('01_Доходи'!S1046&gt;=Законод!$I$18,Законод!$H$20,0)))),IF($B$1042="Лікар-терапевт",IF(S1046&lt;Законод!$C$26,0,(IF(AND(S1046&gt;=Законод!$I$26,S1046&lt;=Законод!$I$27),S1046-Законод!$H$27,IF('01_Доходи'!S1046&gt;=Законод!$I$26,Законод!$H$28,0)))),0)))</f>
        <v>0</v>
      </c>
      <c r="T1052" s="942"/>
      <c r="U1052" s="935" t="s">
        <v>423</v>
      </c>
      <c r="V1052" s="936"/>
      <c r="W1052" s="936"/>
      <c r="X1052" s="936"/>
      <c r="Y1052" s="937"/>
      <c r="Z1052" s="196">
        <f ca="1">IF($B$1042="Лікар загальної практики - сімейний лікар",IF(Z1046&lt;Законод!$C$22,0,(IF(AND(Z1046&gt;=Законод!$I$22,Z1046&lt;=Законод!$I$23),Z1046-Законод!$H$23,IF('01_Доходи'!Z1046&gt;=Законод!$I$22,Законод!$I$24,0)))),IF($B$1042="Лікар-педіатр",IF(Z1046&lt;Законод!$C$18,0,(IF(AND(Z1046&gt;=Законод!$I$18,Z1046&lt;=Законод!$I$19),Z1046-Законод!$H$19,IF('01_Доходи'!Z1046&gt;=Законод!$I$18,Законод!$H$20,0)))),IF($B$1042="Лікар-терапевт",IF(Z1046&lt;Законод!$C$26,0,(IF(AND(Z1046&gt;=Законод!$I$26,Z1046&lt;=Законод!$I$27),Z1046-Законод!$H$27,IF('01_Доходи'!Z1046&gt;=Законод!$I$26,Законод!$H$28,0)))),0)))</f>
        <v>0</v>
      </c>
      <c r="AA1052" s="942"/>
      <c r="AB1052" s="935" t="s">
        <v>423</v>
      </c>
      <c r="AC1052" s="936"/>
      <c r="AD1052" s="936"/>
      <c r="AE1052" s="936"/>
      <c r="AF1052" s="937"/>
      <c r="AG1052" s="196">
        <f ca="1">IF($B$1042="Лікар загальної практики - сімейний лікар",IF(AG1046&lt;Законод!$C$22,0,(IF(AND(AG1046&gt;=Законод!$I$22,AG1046&lt;=Законод!$I$23),AG1046-Законод!$H$23,IF('01_Доходи'!AG1046&gt;=Законод!$I$22,Законод!$I$24,0)))),IF($B$1042="Лікар-педіатр",IF(AG1046&lt;Законод!$C$18,0,(IF(AND(AG1046&gt;=Законод!$I$18,AG1046&lt;=Законод!$I$19),AG1046-Законод!$H$19,IF('01_Доходи'!AG1046&gt;=Законод!$I$18,Законод!$H$20,0)))),IF($B$1042="Лікар-терапевт",IF(AG1046&lt;Законод!$C$26,0,(IF(AND(AG1046&gt;=Законод!$I$26,AG1046&lt;=Законод!$I$27),AG1046-Законод!$H$27,IF('01_Доходи'!AG1046&gt;=Законод!$I$26,Законод!$H$28,0)))),0)))</f>
        <v>0</v>
      </c>
      <c r="AH1052" s="942"/>
      <c r="AI1052" s="201"/>
      <c r="AJ1052" s="945"/>
      <c r="AK1052" s="960"/>
      <c r="AL1052" s="960"/>
      <c r="AM1052" s="927"/>
      <c r="AN1052" s="210">
        <f ca="1">IF(B1042="Лікар загальної практики - сімейний лікар",L1052*Законод!$C$9/4*Законод!$I$16,IF(B1042="Лікар-педіатр",L1052*Законод!$C$9/4*Законод!$I$16,IF(B1042="Лікар-терапевт",L1052*Законод!$C$9/4*Законод!$I$16,0)))</f>
        <v>0</v>
      </c>
      <c r="AO1052" s="210">
        <f ca="1">IF(B1042="Лікар загальної практики - сімейний лікар",S1052*Законод!$C$9/4*Законод!$I$16,IF(B1042="Лікар-педіатр",S1052*Законод!$C$9/4*Законод!$I$16,IF(B1042="Лікар-терапевт",S1052*Законод!$C$9/4*Законод!$I$16,0)))</f>
        <v>0</v>
      </c>
      <c r="AP1052" s="210">
        <f ca="1">IF(B1042="Лікар загальної практики - сімейний лікар",Z1052*Законод!$C$9/4*Законод!$I$16,IF(B1042="Лікар-педіатр",Z1052*Законод!$C$9/4*Законод!$I$16,IF(B1042="Лікар-терапевт",Z1052*Законод!$C$9/4*Законод!$I$16,0)))</f>
        <v>0</v>
      </c>
      <c r="AQ1052" s="210">
        <f ca="1">IF(B1042="Лікар загальної практики - сімейний лікар",AG1052*Законод!$C$9/4*Законод!$I$16,IF(B1042="Лікар-педіатр",AG1052*Законод!$C$9/4*Законод!$I$16,IF(B1042="Лікар-терапевт",AG1052*Законод!$C$9/4*Законод!$I$16,0)))</f>
        <v>0</v>
      </c>
      <c r="AR1052" s="211">
        <f t="shared" si="120"/>
        <v>0</v>
      </c>
    </row>
    <row r="1053" spans="1:44" s="218" customFormat="1" ht="31.9" hidden="1" customHeight="1" thickBot="1">
      <c r="A1053" s="213"/>
      <c r="B1053" s="952"/>
      <c r="C1053" s="955"/>
      <c r="D1053" s="958"/>
      <c r="E1053" s="940"/>
      <c r="F1053" s="239" t="str">
        <f ca="1">IF(B1042="Лікар-педіатр",Законод!$J$17,IF(B1042="Лікар загальної практики - сімейний лікар",Законод!$J$21,IF(B1042="Лікар-терапевт",Законод!$J$25,"х")))</f>
        <v>х</v>
      </c>
      <c r="G1053" s="932" t="s">
        <v>423</v>
      </c>
      <c r="H1053" s="933"/>
      <c r="I1053" s="933"/>
      <c r="J1053" s="933"/>
      <c r="K1053" s="934"/>
      <c r="L1053" s="196">
        <f ca="1">IF($B$1042="Лікар загальної практики - сімейний лікар",IF(L1046&gt;=Законод!$J$22,'01_Доходи'!L1046-('01_Доходи'!L1047+'01_Доходи'!L1048+'01_Доходи'!L1049+'01_Доходи'!L1050+'01_Доходи'!L1051+'01_Доходи'!L1052),0),IF($B$1042="Лікар-педіатр",IF(L1046&gt;=Законод!$J$18,'01_Доходи'!L1046-('01_Доходи'!L1047+'01_Доходи'!L1048+'01_Доходи'!L1049+'01_Доходи'!L1050+'01_Доходи'!L1051+'01_Доходи'!L1052),0),IF($B$1042="Лікар-терапевт",IF('01_Доходи'!L1046&gt;=Законод!$J$26,L1046-Законод!$I$27,0),0)))</f>
        <v>0</v>
      </c>
      <c r="M1053" s="943"/>
      <c r="N1053" s="932" t="s">
        <v>423</v>
      </c>
      <c r="O1053" s="933"/>
      <c r="P1053" s="933"/>
      <c r="Q1053" s="933"/>
      <c r="R1053" s="934"/>
      <c r="S1053" s="196">
        <f ca="1">IF($B$1042="Лікар загальної практики - сімейний лікар",IF(S1046&gt;=Законод!$J$22,'01_Доходи'!S1046-('01_Доходи'!S1047+'01_Доходи'!S1048+'01_Доходи'!S1049+'01_Доходи'!S1050+'01_Доходи'!S1051+'01_Доходи'!S1052),0),IF($B$1042="Лікар-педіатр",IF(S1046&gt;=Законод!$J$18,'01_Доходи'!S1046-('01_Доходи'!S1047+'01_Доходи'!S1048+'01_Доходи'!S1049+'01_Доходи'!S1050+'01_Доходи'!S1051+'01_Доходи'!S1052),0),IF($B$1042="Лікар-терапевт",IF('01_Доходи'!S1046&gt;=Законод!$J$26,S1046-Законод!$I$27,0),0)))</f>
        <v>0</v>
      </c>
      <c r="T1053" s="943"/>
      <c r="U1053" s="932" t="s">
        <v>423</v>
      </c>
      <c r="V1053" s="933"/>
      <c r="W1053" s="933"/>
      <c r="X1053" s="933"/>
      <c r="Y1053" s="934"/>
      <c r="Z1053" s="196">
        <f ca="1">IF($B$1042="Лікар загальної практики - сімейний лікар",IF(Z1046&gt;=Законод!$J$22,'01_Доходи'!Z1046-('01_Доходи'!Z1047+'01_Доходи'!Z1048+'01_Доходи'!Z1049+'01_Доходи'!Z1050+'01_Доходи'!Z1051+'01_Доходи'!Z1052),0),IF($B$1042="Лікар-педіатр",IF(Z1046&gt;=Законод!$J$18,'01_Доходи'!Z1046-('01_Доходи'!Z1047+'01_Доходи'!Z1048+'01_Доходи'!Z1049+'01_Доходи'!Z1050+'01_Доходи'!Z1051+'01_Доходи'!Z1052),0),IF($B$1042="Лікар-терапевт",IF('01_Доходи'!Z1046&gt;=Законод!$J$26,Z1046-Законод!$I$27,0),0)))</f>
        <v>0</v>
      </c>
      <c r="AA1053" s="943"/>
      <c r="AB1053" s="932" t="s">
        <v>423</v>
      </c>
      <c r="AC1053" s="933"/>
      <c r="AD1053" s="933"/>
      <c r="AE1053" s="933"/>
      <c r="AF1053" s="934"/>
      <c r="AG1053" s="196">
        <f ca="1">IF($B$1042="Лікар загальної практики - сімейний лікар",IF(AG1046&gt;=Законод!$J$22,'01_Доходи'!AG1046-('01_Доходи'!AG1047+'01_Доходи'!AG1048+'01_Доходи'!AG1049+'01_Доходи'!AG1050+'01_Доходи'!AG1051+'01_Доходи'!AG1052),0),IF($B$1042="Лікар-педіатр",IF(AG1046&gt;=Законод!$J$18,'01_Доходи'!AG1046-('01_Доходи'!AG1047+'01_Доходи'!AG1048+'01_Доходи'!AG1049+'01_Доходи'!AG1050+'01_Доходи'!AG1051+'01_Доходи'!AG1052),0),IF($B$1042="Лікар-терапевт",IF('01_Доходи'!AG1046&gt;=Законод!$J$26,AG1046-Законод!$I$27,0),0)))</f>
        <v>0</v>
      </c>
      <c r="AH1053" s="943"/>
      <c r="AI1053" s="215"/>
      <c r="AJ1053" s="946"/>
      <c r="AK1053" s="961"/>
      <c r="AL1053" s="961"/>
      <c r="AM1053" s="928"/>
      <c r="AN1053" s="216">
        <f ca="1">IF(B1042="Лікар загальної практики - сімейний лікар",L1053*Законод!$C$9/4*Законод!$J$16,IF(B1042="Лікар-педіатр",L1053*Законод!$C$9/4*Законод!$J$16,IF(B1042="Лікар-терапевт",L1053*Законод!$C$9/4*Законод!$J$16,0)))</f>
        <v>0</v>
      </c>
      <c r="AO1053" s="216">
        <f ca="1">IF(B1042="Лікар загальної практики - сімейний лікар",S1053*Законод!$C$9/4*Законод!$J$16,IF(B1042="Лікар-педіатр",S1053*Законод!$C$9/4*Законод!$J$16,IF(B1042="Лікар-терапевт",S1053*Законод!$C$9/4*Законод!$J$16,0)))</f>
        <v>0</v>
      </c>
      <c r="AP1053" s="216">
        <f ca="1">IF(B1042="Лікар загальної практики - сімейний лікар",S1053*Законод!$C$9/4*Законод!$J$16,IF(B1042="Лікар-педіатр",S1053*Законод!$C$9/4*Законод!$J$16,IF(B1042="Лікар-терапевт",S1053*Законод!$C$9/4*Законод!$J$16,0)))</f>
        <v>0</v>
      </c>
      <c r="AQ1053" s="216">
        <f ca="1">IF(B1042="Лікар загальної практики - сімейний лікар",AG1053*Законод!$C$9/4*Законод!$J$16,IF(B1042="Лікар-педіатр",AG1053*Законод!$C$9/4*Законод!$J$16,IF(B1042="Лікар-терапевт",AG1053*Законод!$C$9/4*Законод!$J$16,0)))</f>
        <v>0</v>
      </c>
      <c r="AR1053" s="217">
        <f t="shared" si="120"/>
        <v>0</v>
      </c>
    </row>
    <row r="1054" spans="1:44" s="247" customFormat="1" ht="23.45" hidden="1" customHeight="1" thickBot="1">
      <c r="A1054" s="243"/>
      <c r="B1054" s="244"/>
      <c r="C1054" s="244"/>
      <c r="D1054" s="244"/>
      <c r="E1054" s="244"/>
      <c r="F1054" s="245"/>
      <c r="G1054" s="246"/>
      <c r="H1054" s="246"/>
      <c r="L1054" s="248"/>
      <c r="S1054" s="248"/>
      <c r="Z1054" s="248"/>
      <c r="AG1054" s="248"/>
      <c r="AM1054" s="249"/>
      <c r="AR1054" s="250"/>
    </row>
    <row r="1055" spans="1:44" s="191" customFormat="1" ht="24.6" hidden="1" customHeight="1">
      <c r="A1055" s="194">
        <f>A1042+1</f>
        <v>79</v>
      </c>
      <c r="B1055" s="950"/>
      <c r="C1055" s="953"/>
      <c r="D1055" s="956"/>
      <c r="E1055" s="938"/>
      <c r="F1055" s="234" t="s">
        <v>659</v>
      </c>
      <c r="G1055" s="196">
        <f>IF($B$1055="Лікар-педіатр",G1058*L1055,IF($B$1055="Лікар-терапевт","х",IF($B$1055="Лікар загальної практики - сімейний лікар",G1058*L1055,0)))</f>
        <v>0</v>
      </c>
      <c r="H1055" s="196">
        <f>IF($B$1055="Лікар-педіатр",H1058*L1055,IF($B$1055="Лікар-терапевт","х",IF($B$1055="Лікар загальної практики - сімейний лікар",H1058*L1055,0)))</f>
        <v>0</v>
      </c>
      <c r="I1055" s="196">
        <f>IF($B$1055="Лікар-педіатр","x",IF($B$1055="Лікар-терапевт",I1058*L1055,IF($B$1055="Лікар загальної практики - сімейний лікар",I1058*L1055,0)))</f>
        <v>0</v>
      </c>
      <c r="J1055" s="196">
        <f>IF($B$1055="Лікар-педіатр","x",IF($B$1055="Лікар-терапевт",J1058*L1055,IF($B$1055="Лікар загальної практики - сімейний лікар",J1058*L1055,0)))</f>
        <v>0</v>
      </c>
      <c r="K1055" s="196">
        <f>IF($B$1055="Лікар-педіатр","x",IF($B$1055="Лікар-терапевт",K1058*L1055,IF($B$1055="Лікар загальної практики - сімейний лікар",K1058*L1055,0)))</f>
        <v>0</v>
      </c>
      <c r="L1055" s="557"/>
      <c r="M1055" s="941"/>
      <c r="N1055" s="196">
        <f>IF($B$1055="Лікар-педіатр",N1058*S1055,IF($B$1055="Лікар-терапевт","х",IF($B$1055="Лікар загальної практики - сімейний лікар",N1058*S1055,0)))</f>
        <v>0</v>
      </c>
      <c r="O1055" s="196">
        <f>IF($B$1055="Лікар-педіатр",O1058*S1055,IF($B$1055="Лікар-терапевт","х",IF($B$1055="Лікар загальної практики - сімейний лікар",O1058*S1055,0)))</f>
        <v>0</v>
      </c>
      <c r="P1055" s="196">
        <f>IF($B$1055="Лікар-педіатр","x",IF($B$1055="Лікар-терапевт",P1058*S1055,IF($B$1055="Лікар загальної практики - сімейний лікар",P1058*S1055,0)))</f>
        <v>0</v>
      </c>
      <c r="Q1055" s="196">
        <f>IF($B$1055="Лікар-педіатр","x",IF($B$1055="Лікар-терапевт",Q1058*S1055,IF($B$1055="Лікар загальної практики - сімейний лікар",Q1058*S1055,0)))</f>
        <v>0</v>
      </c>
      <c r="R1055" s="196">
        <f>IF($B$1055="Лікар-педіатр","x",IF($B$1055="Лікар-терапевт",R1058*S1055,IF($B$1055="Лікар загальної практики - сімейний лікар",R1058*S1055,0)))</f>
        <v>0</v>
      </c>
      <c r="S1055" s="557"/>
      <c r="T1055" s="941"/>
      <c r="U1055" s="196">
        <f>IF($B$1055="Лікар-педіатр",U1058*Z1055,IF($B$1055="Лікар-терапевт","х",IF($B$1055="Лікар загальної практики - сімейний лікар",U1058*Z1055,0)))</f>
        <v>0</v>
      </c>
      <c r="V1055" s="196">
        <f>IF($B$1055="Лікар-педіатр",V1058*Z1055,IF($B$1055="Лікар-терапевт","х",IF($B$1055="Лікар загальної практики - сімейний лікар",V1058*Z1055,0)))</f>
        <v>0</v>
      </c>
      <c r="W1055" s="196">
        <f>IF($B$1055="Лікар-педіатр","x",IF($B$1055="Лікар-терапевт",W1058*Z1055,IF($B$1055="Лікар загальної практики - сімейний лікар",W1058*Z1055,0)))</f>
        <v>0</v>
      </c>
      <c r="X1055" s="196">
        <f>IF($B$1055="Лікар-педіатр","x",IF($B$1055="Лікар-терапевт",X1058*Z1055,IF($B$1055="Лікар загальної практики - сімейний лікар",X1058*Z1055,0)))</f>
        <v>0</v>
      </c>
      <c r="Y1055" s="196">
        <f>IF($B$1055="Лікар-педіатр","x",IF($B$1055="Лікар-терапевт",Y1058*Z1055,IF($B$1055="Лікар загальної практики - сімейний лікар",Y1058*Z1055,0)))</f>
        <v>0</v>
      </c>
      <c r="Z1055" s="557"/>
      <c r="AA1055" s="941"/>
      <c r="AB1055" s="196">
        <f>IF($B$1055="Лікар-педіатр",AB1058*AG1055,IF($B$1055="Лікар-терапевт","х",IF($B$1055="Лікар загальної практики - сімейний лікар",AB1058*AG1055,0)))</f>
        <v>0</v>
      </c>
      <c r="AC1055" s="196">
        <f>IF($B$1055="Лікар-педіатр",AC1058*AG1055,IF($B$1055="Лікар-терапевт","х",IF($B$1055="Лікар загальної практики - сімейний лікар",AC1058*AG1055,0)))</f>
        <v>0</v>
      </c>
      <c r="AD1055" s="196">
        <f>IF($B$1055="Лікар-педіатр","x",IF($B$1055="Лікар-терапевт",AD1058*AG1055,IF($B$1055="Лікар загальної практики - сімейний лікар",AD1058*AG1055,0)))</f>
        <v>0</v>
      </c>
      <c r="AE1055" s="196">
        <f>IF($B$1055="Лікар-педіатр","x",IF($B$1055="Лікар-терапевт",AE1058*AG1055,IF($B$1055="Лікар загальної практики - сімейний лікар",AE1058*AG1055,0)))</f>
        <v>0</v>
      </c>
      <c r="AF1055" s="196">
        <f>IF($B$1055="Лікар-педіатр","x",IF($B$1055="Лікар-терапевт",AF1058*AG1055,IF($B$1055="Лікар загальної практики - сімейний лікар",AF1058*AG1055,0)))</f>
        <v>0</v>
      </c>
      <c r="AG1055" s="557"/>
      <c r="AH1055" s="941"/>
      <c r="AI1055" s="540">
        <f>A1055</f>
        <v>79</v>
      </c>
      <c r="AJ1055" s="944">
        <f>B1055</f>
        <v>0</v>
      </c>
      <c r="AK1055" s="959">
        <f>C1055</f>
        <v>0</v>
      </c>
      <c r="AL1055" s="959">
        <f>D1055</f>
        <v>0</v>
      </c>
      <c r="AM1055" s="929" t="s">
        <v>79</v>
      </c>
      <c r="AN1055" s="947">
        <f>SUM(AN1060:AN1066)</f>
        <v>0</v>
      </c>
      <c r="AO1055" s="947">
        <f>SUM(AO1060:AO1066)</f>
        <v>0</v>
      </c>
      <c r="AP1055" s="947">
        <f>SUM(AP1060:AP1066)</f>
        <v>0</v>
      </c>
      <c r="AQ1055" s="947">
        <f>SUM(AQ1060:AQ1066)</f>
        <v>0</v>
      </c>
      <c r="AR1055" s="962">
        <f>SUM(AN1055:AQ1059)</f>
        <v>0</v>
      </c>
    </row>
    <row r="1056" spans="1:44" s="50" customFormat="1" ht="28.15" hidden="1" customHeight="1">
      <c r="A1056" s="197"/>
      <c r="B1056" s="951"/>
      <c r="C1056" s="954"/>
      <c r="D1056" s="957"/>
      <c r="E1056" s="939"/>
      <c r="F1056" s="234" t="s">
        <v>660</v>
      </c>
      <c r="G1056" s="196">
        <f>IF($B$1055="Лікар-педіатр",G1058*L1056,IF($B$1055="Лікар-терапевт","х",IF($B$1055="Лікар загальної практики - сімейний лікар",G1058*L1056,0)))</f>
        <v>0</v>
      </c>
      <c r="H1056" s="196">
        <f>IF($B$1055="Лікар-педіатр",H1058*L1056,IF($B$1055="Лікар-терапевт","х",IF($B$1055="Лікар загальної практики - сімейний лікар",H1058*L1056,0)))</f>
        <v>0</v>
      </c>
      <c r="I1056" s="196">
        <f>IF($B$1055="Лікар-педіатр","x",IF($B$1055="Лікар-терапевт",I1058*L1056,IF($B$1055="Лікар загальної практики - сімейний лікар",I1058*L1056,0)))</f>
        <v>0</v>
      </c>
      <c r="J1056" s="196">
        <f>IF($B$1055="Лікар-педіатр","x",IF($B$1055="Лікар-терапевт",J1058*L1056,IF($B$1055="Лікар загальної практики - сімейний лікар",J1058*L1056,0)))</f>
        <v>0</v>
      </c>
      <c r="K1056" s="196">
        <f>IF($B$1055="Лікар-педіатр","x",IF($B$1055="Лікар-терапевт",K1058*L1056,IF($B$1055="Лікар загальної практики - сімейний лікар",K1058*L1056,0)))</f>
        <v>0</v>
      </c>
      <c r="L1056" s="557"/>
      <c r="M1056" s="942"/>
      <c r="N1056" s="196">
        <f>IF($B$1055="Лікар-педіатр",N1058*S1056,IF($B$1055="Лікар-терапевт","х",IF($B$1055="Лікар загальної практики - сімейний лікар",N1058*S1056,0)))</f>
        <v>0</v>
      </c>
      <c r="O1056" s="196">
        <f>IF($B$1055="Лікар-педіатр",O1058*S1056,IF($B$1055="Лікар-терапевт","х",IF($B$1055="Лікар загальної практики - сімейний лікар",O1058*S1056,0)))</f>
        <v>0</v>
      </c>
      <c r="P1056" s="196">
        <f>IF($B$1055="Лікар-педіатр","x",IF($B$1055="Лікар-терапевт",P1058*S1056,IF($B$1055="Лікар загальної практики - сімейний лікар",P1058*S1056,0)))</f>
        <v>0</v>
      </c>
      <c r="Q1056" s="196">
        <f>IF($B$1055="Лікар-педіатр","x",IF($B$1055="Лікар-терапевт",Q1058*S1056,IF($B$1055="Лікар загальної практики - сімейний лікар",Q1058*S1056,0)))</f>
        <v>0</v>
      </c>
      <c r="R1056" s="196">
        <f>IF($B$1055="Лікар-педіатр","x",IF($B$1055="Лікар-терапевт",R1058*S1056,IF($B$1055="Лікар загальної практики - сімейний лікар",R1058*S1056,0)))</f>
        <v>0</v>
      </c>
      <c r="S1056" s="557"/>
      <c r="T1056" s="942"/>
      <c r="U1056" s="196">
        <f>IF($B$1055="Лікар-педіатр",U1058*Z1056,IF($B$1055="Лікар-терапевт","х",IF($B$1055="Лікар загальної практики - сімейний лікар",U1058*Z1056,0)))</f>
        <v>0</v>
      </c>
      <c r="V1056" s="196">
        <f>IF($B$1055="Лікар-педіатр",V1058*Z1056,IF($B$1055="Лікар-терапевт","х",IF($B$1055="Лікар загальної практики - сімейний лікар",V1058*Z1056,0)))</f>
        <v>0</v>
      </c>
      <c r="W1056" s="196">
        <f>IF($B$1055="Лікар-педіатр","x",IF($B$1055="Лікар-терапевт",W1058*Z1056,IF($B$1055="Лікар загальної практики - сімейний лікар",W1058*Z1056,0)))</f>
        <v>0</v>
      </c>
      <c r="X1056" s="196">
        <f>IF($B$1055="Лікар-педіатр","x",IF($B$1055="Лікар-терапевт",X1058*Z1056,IF($B$1055="Лікар загальної практики - сімейний лікар",X1058*Z1056,0)))</f>
        <v>0</v>
      </c>
      <c r="Y1056" s="196">
        <f>IF($B$1055="Лікар-педіатр","x",IF($B$1055="Лікар-терапевт",Y1058*Z1056,IF($B$1055="Лікар загальної практики - сімейний лікар",Y1058*Z1056,0)))</f>
        <v>0</v>
      </c>
      <c r="Z1056" s="557"/>
      <c r="AA1056" s="942"/>
      <c r="AB1056" s="196">
        <f>IF($B$1055="Лікар-педіатр",AB1058*AG1056,IF($B$1055="Лікар-терапевт","х",IF($B$1055="Лікар загальної практики - сімейний лікар",AB1058*AG1056,0)))</f>
        <v>0</v>
      </c>
      <c r="AC1056" s="196">
        <f>IF($B$1055="Лікар-педіатр",AC1058*AG1056,IF($B$1055="Лікар-терапевт","х",IF($B$1055="Лікар загальної практики - сімейний лікар",AC1058*AG1056,0)))</f>
        <v>0</v>
      </c>
      <c r="AD1056" s="196">
        <f>IF($B$1055="Лікар-педіатр","x",IF($B$1055="Лікар-терапевт",AD1058*AG1056,IF($B$1055="Лікар загальної практики - сімейний лікар",AD1058*AG1056,0)))</f>
        <v>0</v>
      </c>
      <c r="AE1056" s="196">
        <f>IF($B$1055="Лікар-педіатр","x",IF($B$1055="Лікар-терапевт",AE1058*AG1056,IF($B$1055="Лікар загальної практики - сімейний лікар",AE1058*AG1056,0)))</f>
        <v>0</v>
      </c>
      <c r="AF1056" s="196">
        <f>IF($B$1055="Лікар-педіатр","x",IF($B$1055="Лікар-терапевт",AF1058*AG1056,IF($B$1055="Лікар загальної практики - сімейний лікар",AF1058*AG1056,0)))</f>
        <v>0</v>
      </c>
      <c r="AG1056" s="557"/>
      <c r="AH1056" s="942"/>
      <c r="AI1056" s="198"/>
      <c r="AJ1056" s="945"/>
      <c r="AK1056" s="960"/>
      <c r="AL1056" s="960"/>
      <c r="AM1056" s="930"/>
      <c r="AN1056" s="948"/>
      <c r="AO1056" s="948"/>
      <c r="AP1056" s="948"/>
      <c r="AQ1056" s="948"/>
      <c r="AR1056" s="963"/>
    </row>
    <row r="1057" spans="1:44" s="90" customFormat="1" ht="31.15" hidden="1" customHeight="1">
      <c r="A1057" s="240"/>
      <c r="B1057" s="951"/>
      <c r="C1057" s="954"/>
      <c r="D1057" s="957"/>
      <c r="E1057" s="939"/>
      <c r="F1057" s="241" t="s">
        <v>661</v>
      </c>
      <c r="G1057" s="199">
        <f>IF(B1055="Лікар загальної практики - сімейний лікар"," ",IF(B1055="Лікар-педіатр"," ",IF(B1055="Лікар-терапевт","х",0)))</f>
        <v>0</v>
      </c>
      <c r="H1057" s="199">
        <f>IF(B1055="Лікар загальної практики - сімейний лікар"," ",IF(B1055="Лікар-педіатр"," ",IF(B1055="Лікар-терапевт","х",0)))</f>
        <v>0</v>
      </c>
      <c r="I1057" s="199">
        <f>IF(B1055="Лікар загальної практики - сімейний лікар"," ",IF(B1055="Лікар-педіатр","х",IF(B1055="Лікар-терапевт"," ",0)))</f>
        <v>0</v>
      </c>
      <c r="J1057" s="199">
        <f>IF(B1055="Лікар загальної практики - сімейний лікар"," ",IF(B1055="Лікар-педіатр","х",IF(B1055="Лікар-терапевт"," ",0)))</f>
        <v>0</v>
      </c>
      <c r="K1057" s="199">
        <f>IF(B1055="Лікар загальної практики - сімейний лікар"," ",IF(B1055="Лікар-педіатр","х",IF(B1055="Лікар-терапевт"," ",0)))</f>
        <v>0</v>
      </c>
      <c r="L1057" s="200">
        <f>SUM(G1057:K1057)</f>
        <v>0</v>
      </c>
      <c r="M1057" s="942"/>
      <c r="N1057" s="199">
        <f>IF(B1055="Лікар загальної практики - сімейний лікар"," ",IF(B1055="Лікар-педіатр"," ",IF(B1055="Лікар-терапевт","х",0)))</f>
        <v>0</v>
      </c>
      <c r="O1057" s="199">
        <f>IF(B1055="Лікар загальної практики - сімейний лікар"," ",IF(B1055="Лікар-педіатр"," ",IF(B1055="Лікар-терапевт","х",0)))</f>
        <v>0</v>
      </c>
      <c r="P1057" s="199">
        <f>IF(B1055="Лікар загальної практики - сімейний лікар"," ",IF(B1055="Лікар-педіатр","х",IF(B1055="Лікар-терапевт"," ",0)))</f>
        <v>0</v>
      </c>
      <c r="Q1057" s="199">
        <f>IF(B1055="Лікар загальної практики - сімейний лікар"," ",IF(B1055="Лікар-педіатр","х",IF(B1055="Лікар-терапевт"," ",0)))</f>
        <v>0</v>
      </c>
      <c r="R1057" s="199">
        <f>IF(B1055="Лікар загальної практики - сімейний лікар"," ",IF(B1055="Лікар-педіатр","х",IF(B1055="Лікар-терапевт"," ",0)))</f>
        <v>0</v>
      </c>
      <c r="S1057" s="200">
        <f>SUM(N1057:R1057)</f>
        <v>0</v>
      </c>
      <c r="T1057" s="942"/>
      <c r="U1057" s="199">
        <f>IF(B1055="Лікар загальної практики - сімейний лікар"," ",IF(B1055="Лікар-педіатр"," ",IF(B1055="Лікар-терапевт","х",0)))</f>
        <v>0</v>
      </c>
      <c r="V1057" s="199">
        <f>IF(B1055="Лікар загальної практики - сімейний лікар"," ",IF(B1055="Лікар-педіатр"," ",IF(B1055="Лікар-терапевт","х",0)))</f>
        <v>0</v>
      </c>
      <c r="W1057" s="199">
        <f>IF(B1055="Лікар загальної практики - сімейний лікар"," ",IF(B1055="Лікар-педіатр","х",IF(B1055="Лікар-терапевт"," ",0)))</f>
        <v>0</v>
      </c>
      <c r="X1057" s="199">
        <f>IF(B1055="Лікар загальної практики - сімейний лікар"," ",IF(B1055="Лікар-педіатр","х",IF(B1055="Лікар-терапевт"," ",0)))</f>
        <v>0</v>
      </c>
      <c r="Y1057" s="199">
        <f>IF(B1055="Лікар загальної практики - сімейний лікар"," ",IF(B1055="Лікар-педіатр","х",IF(B1055="Лікар-терапевт"," ",0)))</f>
        <v>0</v>
      </c>
      <c r="Z1057" s="200">
        <f>SUM(U1057:Y1057)</f>
        <v>0</v>
      </c>
      <c r="AA1057" s="942"/>
      <c r="AB1057" s="199">
        <f>IF(B1055="Лікар загальної практики - сімейний лікар"," ",IF(B1055="Лікар-педіатр"," ",IF(B1055="Лікар-терапевт","х",0)))</f>
        <v>0</v>
      </c>
      <c r="AC1057" s="199">
        <f>IF(B1055="Лікар загальної практики - сімейний лікар"," ",IF(B1055="Лікар-педіатр"," ",IF(B1055="Лікар-терапевт","х",0)))</f>
        <v>0</v>
      </c>
      <c r="AD1057" s="199">
        <f>IF(B1055="Лікар загальної практики - сімейний лікар"," ",IF(B1055="Лікар-педіатр","х",IF(B1055="Лікар-терапевт"," ",0)))</f>
        <v>0</v>
      </c>
      <c r="AE1057" s="199">
        <f>IF(B1055="Лікар загальної практики - сімейний лікар"," ",IF(B1055="Лікар-педіатр","х",IF(B1055="Лікар-терапевт"," ",0)))</f>
        <v>0</v>
      </c>
      <c r="AF1057" s="199">
        <f>IF(B1055="Лікар загальної практики - сімейний лікар"," ",IF(B1055="Лікар-педіатр","х",IF(B1055="Лікар-терапевт"," ",0)))</f>
        <v>0</v>
      </c>
      <c r="AG1057" s="200">
        <f>SUM(AB1057:AF1057)</f>
        <v>0</v>
      </c>
      <c r="AH1057" s="942"/>
      <c r="AI1057" s="242"/>
      <c r="AJ1057" s="945"/>
      <c r="AK1057" s="960"/>
      <c r="AL1057" s="960"/>
      <c r="AM1057" s="930"/>
      <c r="AN1057" s="948"/>
      <c r="AO1057" s="948"/>
      <c r="AP1057" s="948"/>
      <c r="AQ1057" s="948"/>
      <c r="AR1057" s="963"/>
    </row>
    <row r="1058" spans="1:44" s="50" customFormat="1" ht="31.9" hidden="1" customHeight="1" thickBot="1">
      <c r="A1058" s="197"/>
      <c r="B1058" s="951"/>
      <c r="C1058" s="954"/>
      <c r="D1058" s="957"/>
      <c r="E1058" s="939"/>
      <c r="F1058" s="236" t="s">
        <v>426</v>
      </c>
      <c r="G1058" s="203">
        <f>IF($B$1055="Лікар-педіатр",G1057/L1057,IF($B$1055="Лікар-терапевт","х",IF($B$1055="Лікар загальної практики - сімейний лікар",G1057/L1057,0)))</f>
        <v>0</v>
      </c>
      <c r="H1058" s="203">
        <f>IF($B$1055="Лікар-педіатр",H1057/L1057,IF($B$1055="Лікар-терапевт","х",IF($B$1055="Лікар загальної практики - сімейний лікар",H1057/L1057,0)))</f>
        <v>0</v>
      </c>
      <c r="I1058" s="203">
        <f>IF($B$1055="Лікар-педіатр","x",IF($B$1055="Лікар-терапевт",I1057/L1057,IF($B$1055="Лікар загальної практики - сімейний лікар",I1057/L1057,0)))</f>
        <v>0</v>
      </c>
      <c r="J1058" s="203">
        <f>IF($B$1055="Лікар-педіатр","x",IF($B$1055="Лікар-терапевт",J1057/L1057,IF($B$1055="Лікар загальної практики - сімейний лікар",J1057/L1057,0)))</f>
        <v>0</v>
      </c>
      <c r="K1058" s="203">
        <f>IF($B$1055="Лікар-педіатр","x",IF($B$1055="Лікар-терапевт",K1057/L1057,IF($B$1055="Лікар загальної практики - сімейний лікар",K1057/L1057,0)))</f>
        <v>0</v>
      </c>
      <c r="L1058" s="203">
        <f>SUM(G1058:K1058)</f>
        <v>0</v>
      </c>
      <c r="M1058" s="942"/>
      <c r="N1058" s="203">
        <f>IF($B$1055="Лікар-педіатр",N1057/S1057,IF($B$1055="Лікар-терапевт","х",IF($B$1055="Лікар загальної практики - сімейний лікар",N1057/S1057,0)))</f>
        <v>0</v>
      </c>
      <c r="O1058" s="203">
        <f>IF($B$1055="Лікар-педіатр",O1057/S1057,IF($B$1055="Лікар-терапевт","х",IF($B$1055="Лікар загальної практики - сімейний лікар",O1057/S1057,0)))</f>
        <v>0</v>
      </c>
      <c r="P1058" s="203">
        <f>IF($B$1055="Лікар-педіатр","x",IF($B$1055="Лікар-терапевт",P1057/S1057,IF($B$1055="Лікар загальної практики - сімейний лікар",P1057/S1057,0)))</f>
        <v>0</v>
      </c>
      <c r="Q1058" s="203">
        <f>IF($B$1055="Лікар-педіатр","x",IF($B$1055="Лікар-терапевт",Q1057/S1057,IF($B$1055="Лікар загальної практики - сімейний лікар",Q1057/S1057,0)))</f>
        <v>0</v>
      </c>
      <c r="R1058" s="203">
        <f>IF($B$1055="Лікар-педіатр","x",IF($B$1055="Лікар-терапевт",R1057/S1057,IF($B$1055="Лікар загальної практики - сімейний лікар",R1057/S1057,0)))</f>
        <v>0</v>
      </c>
      <c r="S1058" s="203">
        <f>SUM(N1058:R1058)</f>
        <v>0</v>
      </c>
      <c r="T1058" s="942"/>
      <c r="U1058" s="203">
        <f>IF($B$1055="Лікар-педіатр",U1057/Z1057,IF($B$1055="Лікар-терапевт","х",IF($B$1055="Лікар загальної практики - сімейний лікар",U1057/Z1057,0)))</f>
        <v>0</v>
      </c>
      <c r="V1058" s="203">
        <f>IF($B$1055="Лікар-педіатр",V1057/Z1057,IF($B$1055="Лікар-терапевт","х",IF($B$1055="Лікар загальної практики - сімейний лікар",V1057/Z1057,0)))</f>
        <v>0</v>
      </c>
      <c r="W1058" s="203">
        <f>IF($B$1055="Лікар-педіатр","x",IF($B$1055="Лікар-терапевт",W1057/Z1057,IF($B$1055="Лікар загальної практики - сімейний лікар",W1057/Z1057,0)))</f>
        <v>0</v>
      </c>
      <c r="X1058" s="203">
        <f>IF($B$1055="Лікар-педіатр","x",IF($B$1055="Лікар-терапевт",X1057/Z1057,IF($B$1055="Лікар загальної практики - сімейний лікар",X1057/Z1057,0)))</f>
        <v>0</v>
      </c>
      <c r="Y1058" s="203">
        <f>IF($B$1055="Лікар-педіатр","x",IF($B$1055="Лікар-терапевт",Y1057/Z1057,IF($B$1055="Лікар загальної практики - сімейний лікар",Y1057/Z1057,0)))</f>
        <v>0</v>
      </c>
      <c r="Z1058" s="203">
        <f>SUM(U1058:Y1058)</f>
        <v>0</v>
      </c>
      <c r="AA1058" s="942"/>
      <c r="AB1058" s="203">
        <f>IF($B$1055="Лікар-педіатр",AB1057/AG1057,IF($B$1055="Лікар-терапевт","х",IF($B$1055="Лікар загальної практики - сімейний лікар",AB1057/AG1057,0)))</f>
        <v>0</v>
      </c>
      <c r="AC1058" s="203">
        <f>IF($B$1055="Лікар-педіатр",AC1057/AG1057,IF($B$1055="Лікар-терапевт","х",IF($B$1055="Лікар загальної практики - сімейний лікар",AC1057/AG1057,0)))</f>
        <v>0</v>
      </c>
      <c r="AD1058" s="203">
        <f>IF($B$1055="Лікар-педіатр","x",IF($B$1055="Лікар-терапевт",AD1057/AG1057,IF($B$1055="Лікар загальної практики - сімейний лікар",AD1057/AG1057,0)))</f>
        <v>0</v>
      </c>
      <c r="AE1058" s="203">
        <f>IF($B$1055="Лікар-педіатр","x",IF($B$1055="Лікар-терапевт",AE1057/AG1057,IF($B$1055="Лікар загальної практики - сімейний лікар",AE1057/AG1057,0)))</f>
        <v>0</v>
      </c>
      <c r="AF1058" s="203">
        <f>IF($B$1055="Лікар-педіатр","x",IF($B$1055="Лікар-терапевт",AF1057/AG1057,IF($B$1055="Лікар загальної практики - сімейний лікар",AF1057/AG1057,0)))</f>
        <v>0</v>
      </c>
      <c r="AG1058" s="203">
        <f>SUM(AB1058:AF1058)</f>
        <v>0</v>
      </c>
      <c r="AH1058" s="942"/>
      <c r="AI1058" s="201"/>
      <c r="AJ1058" s="945"/>
      <c r="AK1058" s="960"/>
      <c r="AL1058" s="960"/>
      <c r="AM1058" s="930"/>
      <c r="AN1058" s="948"/>
      <c r="AO1058" s="948"/>
      <c r="AP1058" s="948"/>
      <c r="AQ1058" s="948"/>
      <c r="AR1058" s="963"/>
    </row>
    <row r="1059" spans="1:44" s="50" customFormat="1" ht="45" hidden="1" customHeight="1" thickBot="1">
      <c r="A1059" s="197"/>
      <c r="B1059" s="951"/>
      <c r="C1059" s="954"/>
      <c r="D1059" s="957"/>
      <c r="E1059" s="939"/>
      <c r="F1059" s="204" t="s">
        <v>662</v>
      </c>
      <c r="G1059" s="205">
        <f>IF($B$1055="Лікар загальної практики - сімейний лікар",AVERAGE(G1055:G1057),IF($B$1055="Лікар-педіатр",AVERAGE(G1055:G1057),IF($B$1055="Лікар-терапевт","х",0)))</f>
        <v>0</v>
      </c>
      <c r="H1059" s="205">
        <f>IF($B$1055="Лікар загальної практики - сімейний лікар",AVERAGE(H1055:H1057),IF($B$1055="Лікар-педіатр",AVERAGE(H1055:H1057),IF($B$1055="Лікар-терапевт","х",0)))</f>
        <v>0</v>
      </c>
      <c r="I1059" s="205">
        <f>IF($B$1055="Лікар загальної практики - сімейний лікар",AVERAGE(I1055:I1057),IF($B$1055="Лікар-педіатр","x",IF($B$1055="Лікар-терапевт",AVERAGE(I1055:I1057),0)))</f>
        <v>0</v>
      </c>
      <c r="J1059" s="205">
        <f>IF($B$1055="Лікар загальної практики - сімейний лікар",AVERAGE(J1055:J1057),IF($B$1055="Лікар-педіатр","x",IF($B$1055="Лікар-терапевт",AVERAGE(J1055:J1057),0)))</f>
        <v>0</v>
      </c>
      <c r="K1059" s="205">
        <f>IF($B$1055="Лікар загальної практики - сімейний лікар",AVERAGE(K1055:K1057),IF($B$1055="Лікар-педіатр","x",IF($B$1055="Лікар-терапевт",AVERAGE(K1055:K1057),0)))</f>
        <v>0</v>
      </c>
      <c r="L1059" s="206">
        <f>SUM(G1059:K1059)</f>
        <v>0</v>
      </c>
      <c r="M1059" s="942"/>
      <c r="N1059" s="205">
        <f>IF($B$1055="Лікар загальної практики - сімейний лікар",AVERAGE(N1055:N1057),IF($B$1055="Лікар-педіатр",AVERAGE(N1055:N1057),IF($B$1055="Лікар-терапевт","х",0)))</f>
        <v>0</v>
      </c>
      <c r="O1059" s="205">
        <f>IF($B$1055="Лікар загальної практики - сімейний лікар",AVERAGE(O1055:O1057),IF($B$1055="Лікар-педіатр",AVERAGE(O1055:O1057),IF($B$1055="Лікар-терапевт","х",0)))</f>
        <v>0</v>
      </c>
      <c r="P1059" s="205">
        <f>IF($B$1055="Лікар загальної практики - сімейний лікар",AVERAGE(P1055:P1057),IF($B$1055="Лікар-педіатр","x",IF($B$1055="Лікар-терапевт",AVERAGE(P1055:P1057),0)))</f>
        <v>0</v>
      </c>
      <c r="Q1059" s="205">
        <f>IF($B$1055="Лікар загальної практики - сімейний лікар",AVERAGE(Q1055:Q1057),IF($B$1055="Лікар-педіатр","x",IF($B$1055="Лікар-терапевт",AVERAGE(Q1055:Q1057),0)))</f>
        <v>0</v>
      </c>
      <c r="R1059" s="205">
        <f>IF($B$1055="Лікар загальної практики - сімейний лікар",AVERAGE(R1055:R1057),IF($B$1055="Лікар-педіатр","x",IF($B$1055="Лікар-терапевт",AVERAGE(R1055:R1057),0)))</f>
        <v>0</v>
      </c>
      <c r="S1059" s="206">
        <f>SUM(N1059:R1059)</f>
        <v>0</v>
      </c>
      <c r="T1059" s="942"/>
      <c r="U1059" s="205">
        <f>IF($B$1055="Лікар загальної практики - сімейний лікар",AVERAGE(U1055:U1057),IF($B$1055="Лікар-педіатр",AVERAGE(U1055:U1057),IF($B$1055="Лікар-терапевт","х",0)))</f>
        <v>0</v>
      </c>
      <c r="V1059" s="205">
        <f>IF($B$1055="Лікар загальної практики - сімейний лікар",AVERAGE(V1055:V1057),IF($B$1055="Лікар-педіатр",AVERAGE(V1055:V1057),IF($B$1055="Лікар-терапевт","х",0)))</f>
        <v>0</v>
      </c>
      <c r="W1059" s="205">
        <f>IF($B$1055="Лікар загальної практики - сімейний лікар",AVERAGE(W1055:W1057),IF($B$1055="Лікар-педіатр","x",IF($B$1055="Лікар-терапевт",AVERAGE(W1055:W1057),0)))</f>
        <v>0</v>
      </c>
      <c r="X1059" s="205">
        <f>IF($B$1055="Лікар загальної практики - сімейний лікар",AVERAGE(X1055:X1057),IF($B$1055="Лікар-педіатр","x",IF($B$1055="Лікар-терапевт",AVERAGE(X1055:X1057),0)))</f>
        <v>0</v>
      </c>
      <c r="Y1059" s="205">
        <f>IF($B$1055="Лікар загальної практики - сімейний лікар",AVERAGE(Y1055:Y1057),IF($B$1055="Лікар-педіатр","x",IF($B$1055="Лікар-терапевт",AVERAGE(Y1055:Y1057),0)))</f>
        <v>0</v>
      </c>
      <c r="Z1059" s="206">
        <f>SUM(U1059:Y1059)</f>
        <v>0</v>
      </c>
      <c r="AA1059" s="942"/>
      <c r="AB1059" s="205">
        <f>IF($B$1055="Лікар загальної практики - сімейний лікар",AVERAGE(AB1055:AB1057),IF($B$1055="Лікар-педіатр",AVERAGE(AB1055:AB1057),IF($B$1055="Лікар-терапевт","х",0)))</f>
        <v>0</v>
      </c>
      <c r="AC1059" s="205">
        <f>IF($B$1055="Лікар загальної практики - сімейний лікар",AVERAGE(AC1055:AC1057),IF($B$1055="Лікар-педіатр",AVERAGE(AC1055:AC1057),IF($B$1055="Лікар-терапевт","х",0)))</f>
        <v>0</v>
      </c>
      <c r="AD1059" s="205">
        <f>IF($B$1055="Лікар загальної практики - сімейний лікар",AVERAGE(AD1055:AD1057),IF($B$1055="Лікар-педіатр","x",IF($B$1055="Лікар-терапевт",AVERAGE(AD1055:AD1057),0)))</f>
        <v>0</v>
      </c>
      <c r="AE1059" s="205">
        <f>IF($B$1055="Лікар загальної практики - сімейний лікар",AVERAGE(AE1055:AE1057),IF($B$1055="Лікар-педіатр","x",IF($B$1055="Лікар-терапевт",AVERAGE(AE1055:AE1057),0)))</f>
        <v>0</v>
      </c>
      <c r="AF1059" s="205">
        <f>IF($B$1055="Лікар загальної практики - сімейний лікар",AVERAGE(AF1055:AF1057),IF($B$1055="Лікар-педіатр","x",IF($B$1055="Лікар-терапевт",AVERAGE(AF1055:AF1057),0)))</f>
        <v>0</v>
      </c>
      <c r="AG1059" s="206">
        <f>SUM(AB1059:AF1059)</f>
        <v>0</v>
      </c>
      <c r="AH1059" s="942"/>
      <c r="AI1059" s="201"/>
      <c r="AJ1059" s="945"/>
      <c r="AK1059" s="960"/>
      <c r="AL1059" s="960"/>
      <c r="AM1059" s="931"/>
      <c r="AN1059" s="949"/>
      <c r="AO1059" s="949"/>
      <c r="AP1059" s="949"/>
      <c r="AQ1059" s="949"/>
      <c r="AR1059" s="964"/>
    </row>
    <row r="1060" spans="1:44" s="50" customFormat="1" ht="40.5" hidden="1">
      <c r="A1060" s="197"/>
      <c r="B1060" s="951"/>
      <c r="C1060" s="954"/>
      <c r="D1060" s="957"/>
      <c r="E1060" s="939"/>
      <c r="F1060" s="237" t="str">
        <f ca="1">IF(B1055="Лікар-педіатр",Законод!$C$17,IF(B1055="Лікар загальної практики - сімейний лікар",Законод!$C$21,IF(B1055="Лікар-терапевт",Законод!$C$25,"х")))</f>
        <v>х</v>
      </c>
      <c r="G1060" s="208">
        <f ca="1">IF($B$1055="Лікар загальної практики - сімейний лікар",IF(L1059&lt;=Законод!$C$22,G1059,Законод!$C$22*'01_Доходи'!G1058),IF($B$1055="Лікар-педіатр",IF(L1059&lt;=Законод!$C$18,G1059,Законод!$C$18*'01_Доходи'!G1058),IF($B$1055="Лікар-терапевт","x",0)))</f>
        <v>0</v>
      </c>
      <c r="H1060" s="208">
        <f ca="1">IF($B$1055="Лікар загальної практики - сімейний лікар",IF(L1059&lt;=Законод!$C$22,H1059,Законод!$C$22*'01_Доходи'!H1058),IF($B$1055="Лікар-педіатр",IF(L1059&lt;=Законод!$C$18,H1059,Законод!$C$18*'01_Доходи'!H1058),IF($B$1055="Лікар-терапевт","x",0)))</f>
        <v>0</v>
      </c>
      <c r="I1060" s="208">
        <f ca="1">IF($B$1055="Лікар загальної практики - сімейний лікар",IF(L1059&lt;=Законод!$C$22,I1059,Законод!$C$22*'01_Доходи'!I1058),IF($B$1055="Лікар-педіатр","x",IF($B$1055="Лікар-терапевт",IF(L1059&lt;=Законод!$C$26,I1059,Законод!$C$26*'01_Доходи'!I1058),0)))</f>
        <v>0</v>
      </c>
      <c r="J1060" s="208">
        <f ca="1">IF($B$1055="Лікар загальної практики - сімейний лікар",IF(L1059&lt;=Законод!$C$22,J1059,Законод!$C$22*'01_Доходи'!J1058),IF($B$1055="Лікар-педіатр","x",IF($B$1055="Лікар-терапевт",IF(L1059&lt;=Законод!$C$26,J1059,Законод!$C$26*'01_Доходи'!J1058),0)))</f>
        <v>0</v>
      </c>
      <c r="K1060" s="208">
        <f ca="1">IF($B$1055="Лікар загальної практики - сімейний лікар",IF(L1059&lt;=Законод!$C$22,K1059,Законод!$C$22*'01_Доходи'!K1058),IF($B$1055="Лікар-педіатр","x",IF($B$1055="Лікар-терапевт",IF(L1059&lt;=Законод!$C$26,K1059,Законод!$C$26*'01_Доходи'!K1058),0)))</f>
        <v>0</v>
      </c>
      <c r="L1060" s="209">
        <f ca="1">SUM(G1060:K1060)</f>
        <v>0</v>
      </c>
      <c r="M1060" s="942"/>
      <c r="N1060" s="208">
        <f ca="1">IF($B$1055="Лікар загальної практики - сімейний лікар",IF(S1059&lt;=Законод!$C$22,N1059,Законод!$C$22*'01_Доходи'!N1058),IF($B$1055="Лікар-педіатр",IF(S1059&lt;=Законод!$C$18,N1059,Законод!$C$18*'01_Доходи'!N1058),IF($B$1055="Лікар-терапевт","x",0)))</f>
        <v>0</v>
      </c>
      <c r="O1060" s="208">
        <f ca="1">IF($B$1055="Лікар загальної практики - сімейний лікар",IF(S1059&lt;=Законод!$C$22,O1059,Законод!$C$22*'01_Доходи'!O1058),IF($B$1055="Лікар-педіатр",IF(S1059&lt;=Законод!$C$18,O1059,Законод!$C$18*'01_Доходи'!O1058),IF($B$1055="Лікар-терапевт","x",0)))</f>
        <v>0</v>
      </c>
      <c r="P1060" s="208">
        <f ca="1">IF($B$1055="Лікар загальної практики - сімейний лікар",IF(S1059&lt;=Законод!$C$22,P1059,Законод!$C$22*'01_Доходи'!P1058),IF($B$1055="Лікар-педіатр","x",IF($B$1055="Лікар-терапевт",IF(S1059&lt;=Законод!$C$26,P1059,Законод!$C$26*'01_Доходи'!P1058),0)))</f>
        <v>0</v>
      </c>
      <c r="Q1060" s="208">
        <f ca="1">IF($B$1055="Лікар загальної практики - сімейний лікар",IF(S1059&lt;=Законод!$C$22,Q1059,Законод!$C$22*'01_Доходи'!Q1058),IF($B$1055="Лікар-педіатр","x",IF($B$1055="Лікар-терапевт",IF(S1059&lt;=Законод!$C$26,Q1059,Законод!$C$26*'01_Доходи'!Q1058),0)))</f>
        <v>0</v>
      </c>
      <c r="R1060" s="208">
        <f ca="1">IF($B$1055="Лікар загальної практики - сімейний лікар",IF(S1059&lt;=Законод!$C$22,R1059,Законод!$C$22*'01_Доходи'!R1058),IF($B$1055="Лікар-педіатр","x",IF($B$1055="Лікар-терапевт",IF(S1059&lt;=Законод!$C$26,R1059,Законод!$C$26*'01_Доходи'!R1058),0)))</f>
        <v>0</v>
      </c>
      <c r="S1060" s="209">
        <f ca="1">SUM(N1060:R1060)</f>
        <v>0</v>
      </c>
      <c r="T1060" s="942"/>
      <c r="U1060" s="208">
        <f ca="1">IF($B$1055="Лікар загальної практики - сімейний лікар",IF(Z1059&lt;=Законод!$C$22,U1059,Законод!$C$22*'01_Доходи'!U1058),IF($B$1055="Лікар-педіатр",IF(Z1059&lt;=Законод!$C$18,U1059,Законод!$C$18*'01_Доходи'!U1058),IF($B$1055="Лікар-терапевт","x",0)))</f>
        <v>0</v>
      </c>
      <c r="V1060" s="208">
        <f ca="1">IF($B$1055="Лікар загальної практики - сімейний лікар",IF(Z1059&lt;=Законод!$C$22,V1059,Законод!$C$22*'01_Доходи'!V1058),IF($B$1055="Лікар-педіатр",IF(Z1059&lt;=Законод!$C$18,V1059,Законод!$C$18*'01_Доходи'!V1058),IF($B$1055="Лікар-терапевт","x",0)))</f>
        <v>0</v>
      </c>
      <c r="W1060" s="208">
        <f ca="1">IF($B$1055="Лікар загальної практики - сімейний лікар",IF(Z1059&lt;=Законод!$C$22,W1059,Законод!$C$22*'01_Доходи'!W1058),IF($B$1055="Лікар-педіатр","x",IF($B$1055="Лікар-терапевт",IF(Z1059&lt;=Законод!$C$26,W1059,Законод!$C$26*'01_Доходи'!W1058),0)))</f>
        <v>0</v>
      </c>
      <c r="X1060" s="208">
        <f ca="1">IF($B$1055="Лікар загальної практики - сімейний лікар",IF(Z1059&lt;=Законод!$C$22,X1059,Законод!$C$22*'01_Доходи'!X1058),IF($B$1055="Лікар-педіатр","x",IF($B$1055="Лікар-терапевт",IF(Z1059&lt;=Законод!$C$26,X1059,Законод!$C$26*'01_Доходи'!X1058),0)))</f>
        <v>0</v>
      </c>
      <c r="Y1060" s="208">
        <f ca="1">IF($B$1055="Лікар загальної практики - сімейний лікар",IF(Z1059&lt;=Законод!$C$22,Y1059,Законод!$C$22*'01_Доходи'!Y1058),IF($B$1055="Лікар-педіатр","x",IF($B$1055="Лікар-терапевт",IF(Z1059&lt;=Законод!$C$26,Y1059,Законод!$C$26*'01_Доходи'!Y1058),0)))</f>
        <v>0</v>
      </c>
      <c r="Z1060" s="209">
        <f ca="1">SUM(U1060:Y1060)</f>
        <v>0</v>
      </c>
      <c r="AA1060" s="942"/>
      <c r="AB1060" s="208">
        <f ca="1">IF($B$1055="Лікар загальної практики - сімейний лікар",IF(AG1059&lt;=Законод!$C$22,AB1059,Законод!$C$22*'01_Доходи'!AB1058),IF($B$1055="Лікар-педіатр",IF(AG1059&lt;=Законод!$C$18,AB1059,Законод!$C$18*'01_Доходи'!AB1058),IF($B$1055="Лікар-терапевт","x",0)))</f>
        <v>0</v>
      </c>
      <c r="AC1060" s="208">
        <f ca="1">IF($B$1055="Лікар загальної практики - сімейний лікар",IF(AG1059&lt;=Законод!$C$22,AC1059,Законод!$C$22*'01_Доходи'!AC1058),IF($B$1055="Лікар-педіатр",IF(AG1059&lt;=Законод!$C$18,AC1059,Законод!$C$18*'01_Доходи'!AC1058),IF($B$1055="Лікар-терапевт","x",0)))</f>
        <v>0</v>
      </c>
      <c r="AD1060" s="208">
        <f ca="1">IF($B$1055="Лікар загальної практики - сімейний лікар",IF(AG1059&lt;=Законод!$C$22,AD1059,Законод!$C$22*'01_Доходи'!AD1058),IF($B$1055="Лікар-педіатр","x",IF($B$1055="Лікар-терапевт",IF(AG1059&lt;=Законод!$C$26,AD1059,Законод!$C$26*'01_Доходи'!AD1058),0)))</f>
        <v>0</v>
      </c>
      <c r="AE1060" s="208">
        <f ca="1">IF($B$1055="Лікар загальної практики - сімейний лікар",IF(AG1059&lt;=Законод!$C$22,AE1059,Законод!$C$22*'01_Доходи'!AE1058),IF($B$1055="Лікар-педіатр","x",IF($B$1055="Лікар-терапевт",IF(AG1059&lt;=Законод!$C$26,AE1059,Законод!$C$26*'01_Доходи'!AE1058),0)))</f>
        <v>0</v>
      </c>
      <c r="AF1060" s="208">
        <f ca="1">IF($B$1055="Лікар загальної практики - сімейний лікар",IF(AG1059&lt;=Законод!$C$22,AF1059,Законод!$C$22*'01_Доходи'!AF1058),IF($B$1055="Лікар-педіатр","x",IF($B$1055="Лікар-терапевт",IF(AG1059&lt;=Законод!$C$26,AF1059,Законод!$C$26*'01_Доходи'!AF1058),0)))</f>
        <v>0</v>
      </c>
      <c r="AG1060" s="209">
        <f ca="1">SUM(AB1060:AF1060)</f>
        <v>0</v>
      </c>
      <c r="AH1060" s="942"/>
      <c r="AI1060" s="201"/>
      <c r="AJ1060" s="945"/>
      <c r="AK1060" s="960"/>
      <c r="AL1060" s="960"/>
      <c r="AM1060" s="348" t="s">
        <v>451</v>
      </c>
      <c r="AN1060" s="210">
        <f ca="1">IF(B1055="Лікар загальної практики - сімейний лікар",G1060*Законод!$C$11+'01_Доходи'!H1060*Законод!$D$11+'01_Доходи'!I1060*Законод!$E$11+'01_Доходи'!J1060*Законод!$F$11+'01_Доходи'!K1060*Законод!$G$11,IF(B1055="Лікар-педіатр",G1060*Законод!$C$11+'01_Доходи'!H1060*Законод!$D$11,IF(B1055="Лікар-терапевт",'01_Доходи'!I1060*Законод!$E$11+'01_Доходи'!J1060*Законод!$F$11+'01_Доходи'!K1060*Законод!$G$11,0)))</f>
        <v>0</v>
      </c>
      <c r="AO1060" s="210">
        <f ca="1">IF(B1055="Лікар загальної практики - сімейний лікар",N1060*Законод!$C$11+'01_Доходи'!O1060*Законод!$D$11+'01_Доходи'!P1060*Законод!$E$11+'01_Доходи'!Q1060*Законод!$F$11+'01_Доходи'!R1060*Законод!$G$11,IF(B1055="Лікар-педіатр",N1060*Законод!$C$11+'01_Доходи'!O1060*Законод!$D$11,IF(B1055="Лікар-терапевт",'01_Доходи'!P1060*Законод!$E$11+'01_Доходи'!Q1060*Законод!$F$11+'01_Доходи'!R1060*Законод!$G$11,0)))</f>
        <v>0</v>
      </c>
      <c r="AP1060" s="210">
        <f ca="1">IF(B1055="Лікар загальної практики - сімейний лікар",U1060*Законод!$C$11+'01_Доходи'!V1060*Законод!$D$11+'01_Доходи'!W1060*Законод!$E$11+'01_Доходи'!X1060*Законод!$F$11+'01_Доходи'!Y1060*Законод!$G$11,IF(B1055="Лікар-педіатр",U1060*Законод!$C$11+'01_Доходи'!V1060*Законод!$D$11,IF(B1055="Лікар-терапевт",'01_Доходи'!W1060*Законод!$E$11+'01_Доходи'!X1060*Законод!$F$11+'01_Доходи'!Y1060*Законод!$G$11,0)))</f>
        <v>0</v>
      </c>
      <c r="AQ1060" s="210">
        <f ca="1">IF(B1055="Лікар загальної практики - сімейний лікар",AB1060*Законод!$C$11+'01_Доходи'!AC1060*Законод!$D$11+'01_Доходи'!AD1060*Законод!$E$11+'01_Доходи'!AE1060*Законод!$F$11+'01_Доходи'!AF1060*Законод!$G$11,IF(B1055="Лікар-педіатр",AB1060*Законод!$C$11+'01_Доходи'!AC1060*Законод!$D$11,IF(B1055="Лікар-терапевт",'01_Доходи'!AD1060*Законод!$E$11+'01_Доходи'!AE1060*Законод!$F$11+'01_Доходи'!AF1060*Законод!$G$11,0)))</f>
        <v>0</v>
      </c>
      <c r="AR1060" s="211">
        <f t="shared" ref="AR1060:AR1066" si="121">SUM(AN1060:AQ1060)</f>
        <v>0</v>
      </c>
    </row>
    <row r="1061" spans="1:44" s="50" customFormat="1" ht="31.9" hidden="1" customHeight="1">
      <c r="A1061" s="197"/>
      <c r="B1061" s="951"/>
      <c r="C1061" s="954"/>
      <c r="D1061" s="957"/>
      <c r="E1061" s="939"/>
      <c r="F1061" s="238" t="str">
        <f ca="1">IF(B1055="Лікар-педіатр",Законод!$E$17,IF(B1055="Лікар загальної практики - сімейний лікар",Законод!$E$21,IF(B1055="Лікар-терапевт",Законод!$E$25,"х")))</f>
        <v>х</v>
      </c>
      <c r="G1061" s="935" t="s">
        <v>423</v>
      </c>
      <c r="H1061" s="936"/>
      <c r="I1061" s="936"/>
      <c r="J1061" s="936"/>
      <c r="K1061" s="937"/>
      <c r="L1061" s="196">
        <f ca="1">IF($B$1055="Лікар загальної практики - сімейний лікар",IF(L1059&lt;Законод!$C$22,0,(IF(AND(L1059&gt;=Законод!$E$22,L1059&lt;=Законод!$E$23),L1059-Законод!$C$22,IF('01_Доходи'!L1059&gt;=Законод!$F$22,Законод!$E$24,0)))),IF($B$1055="Лікар-педіатр",IF(L1059&lt;Законод!$C$18,0,(IF(AND(L1059&gt;=Законод!$E$18,L1059&lt;=Законод!$E$19),L1059-Законод!$C$18,IF('01_Доходи'!L1059&gt;=Законод!$F$18,Законод!$E$20,0)))),IF($B$1055="Лікар-терапевт",IF(L1059&lt;Законод!$C$26,0,(IF(AND(L1059&gt;=Законод!$E$26,L1059&lt;=Законод!$E$27),L1059-Законод!$C$26,IF('01_Доходи'!L1059&gt;=Законод!$F$26,Законод!$E$28,0)))),0)))</f>
        <v>0</v>
      </c>
      <c r="M1061" s="942"/>
      <c r="N1061" s="935" t="s">
        <v>423</v>
      </c>
      <c r="O1061" s="936"/>
      <c r="P1061" s="936"/>
      <c r="Q1061" s="936"/>
      <c r="R1061" s="937"/>
      <c r="S1061" s="196">
        <f ca="1">IF($B$1055="Лікар загальної практики - сімейний лікар",IF(S1059&lt;Законод!$C$22,0,(IF(AND(S1059&gt;=Законод!$E$22,S1059&lt;=Законод!$E$23),S1059-Законод!$C$22,IF('01_Доходи'!S1059&gt;=Законод!$F$22,Законод!$E$24,0)))),IF($B$1055="Лікар-педіатр",IF(S1059&lt;Законод!$C$18,0,(IF(AND(S1059&gt;=Законод!$E$18,S1059&lt;=Законод!$E$19),S1059-Законод!$C$18,IF('01_Доходи'!S1059&gt;=Законод!$F$18,Законод!$E$20,0)))),IF($B$1055="Лікар-терапевт",IF(S1059&lt;Законод!$C$26,0,(IF(AND(S1059&gt;=Законод!$E$26,S1059&lt;=Законод!$E$27),S1059-Законод!$C$26,IF('01_Доходи'!S1059&gt;=Законод!$F$26,Законод!$E$28,0)))),0)))</f>
        <v>0</v>
      </c>
      <c r="T1061" s="942"/>
      <c r="U1061" s="935" t="s">
        <v>423</v>
      </c>
      <c r="V1061" s="936"/>
      <c r="W1061" s="936"/>
      <c r="X1061" s="936"/>
      <c r="Y1061" s="937"/>
      <c r="Z1061" s="196">
        <f ca="1">IF($B$1055="Лікар загальної практики - сімейний лікар",IF(Z1059&lt;Законод!$C$22,0,(IF(AND(Z1059&gt;=Законод!$E$22,Z1059&lt;=Законод!$E$23),Z1059-Законод!$C$22,IF('01_Доходи'!Z1059&gt;=Законод!$F$22,Законод!$E$24,0)))),IF($B$1055="Лікар-педіатр",IF(Z1059&lt;Законод!$C$18,0,(IF(AND(Z1059&gt;=Законод!$E$18,Z1059&lt;=Законод!$E$19),Z1059-Законод!$C$18,IF('01_Доходи'!Z1059&gt;=Законод!$F$18,Законод!$E$20,0)))),IF($B$1055="Лікар-терапевт",IF(Z1059&lt;Законод!$C$26,0,(IF(AND(Z1059&gt;=Законод!$E$26,Z1059&lt;=Законод!$E$27),Z1059-Законод!$C$26,IF('01_Доходи'!Z1059&gt;=Законод!$F$26,Законод!$E$28,0)))),0)))</f>
        <v>0</v>
      </c>
      <c r="AA1061" s="942"/>
      <c r="AB1061" s="935" t="s">
        <v>423</v>
      </c>
      <c r="AC1061" s="936"/>
      <c r="AD1061" s="936"/>
      <c r="AE1061" s="936"/>
      <c r="AF1061" s="937"/>
      <c r="AG1061" s="196">
        <f ca="1">IF($B$1055="Лікар загальної практики - сімейний лікар",IF(AG1059&lt;Законод!$C$22,0,(IF(AND(AG1059&gt;=Законод!$E$22,AG1059&lt;=Законод!$E$23),AG1059-Законод!$C$22,IF('01_Доходи'!AG1059&gt;=Законод!$F$22,Законод!$E$24,0)))),IF($B$1055="Лікар-педіатр",IF(AG1059&lt;Законод!$C$18,0,(IF(AND(AG1059&gt;=Законод!$E$18,AG1059&lt;=Законод!$E$19),AG1059-Законод!$C$18,IF('01_Доходи'!AG1059&gt;=Законод!$F$18,Законод!$E$20,0)))),IF($B$1055="Лікар-терапевт",IF(AG1059&lt;Законод!$C$26,0,(IF(AND(AG1059&gt;=Законод!$E$26,AG1059&lt;=Законод!$E$27),AG1059-Законод!$C$26,IF('01_Доходи'!AG1059&gt;=Законод!$F$26,Законод!$E$28,0)))),0)))</f>
        <v>0</v>
      </c>
      <c r="AH1061" s="942"/>
      <c r="AI1061" s="201"/>
      <c r="AJ1061" s="945"/>
      <c r="AK1061" s="960"/>
      <c r="AL1061" s="960"/>
      <c r="AM1061" s="926" t="s">
        <v>452</v>
      </c>
      <c r="AN1061" s="210">
        <f ca="1">IF(B1055="Лікар загальної практики - сімейний лікар",L1061*Законод!$C$9/4*Законод!$E$16,IF(B1055="Лікар-педіатр",L1061*Законод!$C$9/4*Законод!$E$16,IF(B1055="Лікар-терапевт",L1061*Законод!$C$9/4*Законод!$E$16,0)))</f>
        <v>0</v>
      </c>
      <c r="AO1061" s="210">
        <f ca="1">IF(B1055="Лікар загальної практики - сімейний лікар",S1061*Законод!$C$9/4*Законод!$E$16,IF(B1055="Лікар-педіатр",S1061*Законод!$C$9/4*Законод!$E$16,IF(B1055="Лікар-терапевт",S1061*Законод!$C$9/4*Законод!$E$16,0)))</f>
        <v>0</v>
      </c>
      <c r="AP1061" s="210">
        <f ca="1">IF(B1055="Лікар загальної практики - сімейний лікар",Z1061*Законод!$C$9/4*Законод!$E$16,IF(B1055="Лікар-педіатр",Z1061*Законод!$C$9/4*Законод!$E$16,IF(B1055="Лікар-терапевт",Z1061*Законод!$C$9/4*Законод!$E$16,0)))</f>
        <v>0</v>
      </c>
      <c r="AQ1061" s="210">
        <f ca="1">IF(B1055="Лікар загальної практики - сімейний лікар",AG1061*Законод!$C$9/4*Законод!$E$16,IF(B1055="Лікар-педіатр",AG1061*Законод!$C$9/4*Законод!$E$16,IF(B1055="Лікар-терапевт",AG1061*Законод!$C$9/4*Законод!$E$16,0)))</f>
        <v>0</v>
      </c>
      <c r="AR1061" s="211">
        <f t="shared" si="121"/>
        <v>0</v>
      </c>
    </row>
    <row r="1062" spans="1:44" s="50" customFormat="1" ht="31.9" hidden="1" customHeight="1">
      <c r="A1062" s="197"/>
      <c r="B1062" s="951"/>
      <c r="C1062" s="954"/>
      <c r="D1062" s="957"/>
      <c r="E1062" s="939"/>
      <c r="F1062" s="238" t="str">
        <f ca="1">IF(B1055="Лікар-педіатр",Законод!$F$17,IF(B1055="Лікар загальної практики - сімейний лікар",Законод!$F$21,IF(B1055="Лікар-терапевт",Законод!$F$25,"х")))</f>
        <v>х</v>
      </c>
      <c r="G1062" s="935" t="s">
        <v>423</v>
      </c>
      <c r="H1062" s="936"/>
      <c r="I1062" s="936"/>
      <c r="J1062" s="936"/>
      <c r="K1062" s="937"/>
      <c r="L1062" s="196">
        <f ca="1">IF($B$1055="Лікар загальної практики - сімейний лікар",IF(L1059&lt;Законод!$C$22,0,(IF(AND(L1059&gt;=Законод!$F$22,L1059&lt;=Законод!$F$23),L1059-Законод!$E$23,IF('01_Доходи'!L1059&gt;=Законод!$G$22,Законод!$F$24,0)))),IF($B$1055="Лікар-педіатр",IF(L1059&lt;Законод!$C$18,0,(IF(AND(L1059&gt;=Законод!$F$18,L1059&lt;=Законод!$F$19),L1059-Законод!$E$19,IF('01_Доходи'!L1059&gt;=Законод!$G$18,Законод!$F$20,0)))),IF($B$1055="Лікар-терапевт",IF(L1059&lt;Законод!$C$26,0,(IF(AND(L1059&gt;=Законод!$F$26,L1059&lt;=Законод!$F$27),L1059-Законод!$E$27,IF('01_Доходи'!L1059&gt;=Законод!$G$26,Законод!$F$28,0)))),0)))</f>
        <v>0</v>
      </c>
      <c r="M1062" s="942"/>
      <c r="N1062" s="935" t="s">
        <v>423</v>
      </c>
      <c r="O1062" s="936"/>
      <c r="P1062" s="936"/>
      <c r="Q1062" s="936"/>
      <c r="R1062" s="937"/>
      <c r="S1062" s="196">
        <f ca="1">IF($B$1055="Лікар загальної практики - сімейний лікар",IF(S1059&lt;Законод!$C$22,0,(IF(AND(S1059&gt;=Законод!$F$22,S1059&lt;=Законод!$F$23),S1059-Законод!$E$23,IF('01_Доходи'!S1059&gt;=Законод!$G$22,Законод!$F$24,0)))),IF($B$1055="Лікар-педіатр",IF(S1059&lt;Законод!$C$18,0,(IF(AND(S1059&gt;=Законод!$F$18,S1059&lt;=Законод!$F$19),S1059-Законод!$E$19,IF('01_Доходи'!S1059&gt;=Законод!$G$18,Законод!$F$20,0)))),IF($B$1055="Лікар-терапевт",IF(S1059&lt;Законод!$C$26,0,(IF(AND(S1059&gt;=Законод!$F$26,S1059&lt;=Законод!$F$27),S1059-Законод!$E$27,IF('01_Доходи'!S1059&gt;=Законод!$G$26,Законод!$F$28,0)))),0)))</f>
        <v>0</v>
      </c>
      <c r="T1062" s="942"/>
      <c r="U1062" s="935" t="s">
        <v>423</v>
      </c>
      <c r="V1062" s="936"/>
      <c r="W1062" s="936"/>
      <c r="X1062" s="936"/>
      <c r="Y1062" s="937"/>
      <c r="Z1062" s="196">
        <f ca="1">IF($B$1055="Лікар загальної практики - сімейний лікар",IF(Z1059&lt;Законод!$C$22,0,(IF(AND(Z1059&gt;=Законод!$F$22,Z1059&lt;=Законод!$F$23),Z1059-Законод!$E$23,IF('01_Доходи'!Z1059&gt;=Законод!$G$22,Законод!$F$24,0)))),IF($B$1055="Лікар-педіатр",IF(Z1059&lt;Законод!$C$18,0,(IF(AND(Z1059&gt;=Законод!$F$18,Z1059&lt;=Законод!$F$19),Z1059-Законод!$E$19,IF('01_Доходи'!Z1059&gt;=Законод!$G$18,Законод!$F$20,0)))),IF($B$1055="Лікар-терапевт",IF(Z1059&lt;Законод!$C$26,0,(IF(AND(Z1059&gt;=Законод!$F$26,Z1059&lt;=Законод!$F$27),Z1059-Законод!$E$27,IF('01_Доходи'!Z1059&gt;=Законод!$G$26,Законод!$F$28,0)))),0)))</f>
        <v>0</v>
      </c>
      <c r="AA1062" s="942"/>
      <c r="AB1062" s="935" t="s">
        <v>423</v>
      </c>
      <c r="AC1062" s="936"/>
      <c r="AD1062" s="936"/>
      <c r="AE1062" s="936"/>
      <c r="AF1062" s="937"/>
      <c r="AG1062" s="196">
        <f ca="1">IF($B$1055="Лікар загальної практики - сімейний лікар",IF(AG1059&lt;Законод!$C$22,0,(IF(AND(AG1059&gt;=Законод!$F$22,AG1059&lt;=Законод!$F$23),AG1059-Законод!$E$23,IF('01_Доходи'!AG1059&gt;=Законод!$G$22,Законод!$F$24,0)))),IF($B$1055="Лікар-педіатр",IF(AG1059&lt;Законод!$C$18,0,(IF(AND(AG1059&gt;=Законод!$F$18,AG1059&lt;=Законод!$F$19),AG1059-Законод!$E$19,IF('01_Доходи'!AG1059&gt;=Законод!$G$18,Законод!$F$20,0)))),IF($B$1055="Лікар-терапевт",IF(AG1059&lt;Законод!$C$26,0,(IF(AND(AG1059&gt;=Законод!$F$26,AG1059&lt;=Законод!$F$27),AG1059-Законод!$E$27,IF('01_Доходи'!AG1059&gt;=Законод!$G$26,Законод!$F$28,0)))),0)))</f>
        <v>0</v>
      </c>
      <c r="AH1062" s="942"/>
      <c r="AI1062" s="201"/>
      <c r="AJ1062" s="945"/>
      <c r="AK1062" s="960"/>
      <c r="AL1062" s="960"/>
      <c r="AM1062" s="927"/>
      <c r="AN1062" s="210">
        <f ca="1">IF(B1055="Лікар загальної практики - сімейний лікар",L1062*Законод!$C$9/4*Законод!$F$16,IF(B1055="Лікар-педіатр",L1062*Законод!$C$9/4*Законод!$F$16,IF(B1055="Лікар-терапевт",L1062*Законод!$C$9/4*Законод!$F$16,0)))</f>
        <v>0</v>
      </c>
      <c r="AO1062" s="210">
        <f ca="1">IF(B1055="Лікар загальної практики - сімейний лікар",S1062*Законод!$C$9/4*Законод!$F$16,IF(B1055="Лікар-педіатр",S1062*Законод!$C$9/4*Законод!$F$16,IF(B1055="Лікар-терапевт",S1062*Законод!$C$9/4*Законод!$F$16,0)))</f>
        <v>0</v>
      </c>
      <c r="AP1062" s="210">
        <f ca="1">IF(B1055="Лікар загальної практики - сімейний лікар",Z1062*Законод!$C$9/4*Законод!$F$16,IF(B1055="Лікар-педіатр",Z1062*Законод!$C$9/4*Законод!$F$16,IF(B1055="Лікар-терапевт",Z1062*Законод!$C$9/4*Законод!$F$16,0)))</f>
        <v>0</v>
      </c>
      <c r="AQ1062" s="210">
        <f ca="1">IF(B1055="Лікар загальної практики - сімейний лікар",AG1062*Законод!$C$9/4*Законод!$F$16,IF(B1055="Лікар-педіатр",AG1062*Законод!$C$9/4*Законод!$F$16,IF(B1055="Лікар-терапевт",AG1062*Законод!$C$9/4*Законод!$F$16,0)))</f>
        <v>0</v>
      </c>
      <c r="AR1062" s="211">
        <f t="shared" si="121"/>
        <v>0</v>
      </c>
    </row>
    <row r="1063" spans="1:44" s="50" customFormat="1" ht="31.9" hidden="1" customHeight="1">
      <c r="A1063" s="197"/>
      <c r="B1063" s="951"/>
      <c r="C1063" s="954"/>
      <c r="D1063" s="957"/>
      <c r="E1063" s="939"/>
      <c r="F1063" s="238" t="str">
        <f ca="1">IF(B1055="Лікар-педіатр",Законод!$G$17,IF(B1055="Лікар загальної практики - сімейний лікар",Законод!$G$21,IF(B1055="Лікар-терапевт",Законод!$G$25,"х")))</f>
        <v>х</v>
      </c>
      <c r="G1063" s="935" t="s">
        <v>423</v>
      </c>
      <c r="H1063" s="936"/>
      <c r="I1063" s="936"/>
      <c r="J1063" s="936"/>
      <c r="K1063" s="937"/>
      <c r="L1063" s="196">
        <f ca="1">IF($B$1055="Лікар загальної практики - сімейний лікар",IF(L1059&lt;Законод!$C$22,0,(IF(AND(L1059&gt;=Законод!$G$22,L1059&lt;=Законод!$G$23),L1059-Законод!$F$23,IF('01_Доходи'!L1059&gt;=Законод!$H$22,Законод!$G$24,0)))),IF($B$1055="Лікар-педіатр",IF(L1059&lt;Законод!$C$18,0,(IF(AND(L1059&gt;=Законод!$G$18,L1059&lt;=Законод!$G$19),L1059-Законод!$F$19,IF('01_Доходи'!L1059&gt;=Законод!$H$18,Законод!$G$20,0)))),IF($B$1055="Лікар-терапевт",IF(L1059&lt;Законод!$C$26,0,(IF(AND(L1059&gt;=Законод!$G$26,L1059&lt;=Законод!$G$27),L1059-Законод!$F$27,IF('01_Доходи'!L1059&gt;=Законод!$H$26,Законод!$G$28,0)))),0)))</f>
        <v>0</v>
      </c>
      <c r="M1063" s="942"/>
      <c r="N1063" s="935" t="s">
        <v>423</v>
      </c>
      <c r="O1063" s="936"/>
      <c r="P1063" s="936"/>
      <c r="Q1063" s="936"/>
      <c r="R1063" s="937"/>
      <c r="S1063" s="196">
        <f ca="1">IF($B$1055="Лікар загальної практики - сімейний лікар",IF(S1059&lt;Законод!$C$22,0,(IF(AND(S1059&gt;=Законод!$G$22,S1059&lt;=Законод!$G$23),S1059-Законод!$F$23,IF('01_Доходи'!S1059&gt;=Законод!$H$22,Законод!$G$24,0)))),IF($B$1055="Лікар-педіатр",IF(S1059&lt;Законод!$C$18,0,(IF(AND(S1059&gt;=Законод!$G$18,S1059&lt;=Законод!$G$19),S1059-Законод!$F$19,IF('01_Доходи'!S1059&gt;=Законод!$H$18,Законод!$G$20,0)))),IF($B$1055="Лікар-терапевт",IF(S1059&lt;Законод!$C$26,0,(IF(AND(S1059&gt;=Законод!$G$26,S1059&lt;=Законод!$G$27),S1059-Законод!$F$27,IF('01_Доходи'!S1059&gt;=Законод!$H$26,Законод!$G$28,0)))),0)))</f>
        <v>0</v>
      </c>
      <c r="T1063" s="942"/>
      <c r="U1063" s="935" t="s">
        <v>423</v>
      </c>
      <c r="V1063" s="936"/>
      <c r="W1063" s="936"/>
      <c r="X1063" s="936"/>
      <c r="Y1063" s="937"/>
      <c r="Z1063" s="196">
        <f ca="1">IF($B$1055="Лікар загальної практики - сімейний лікар",IF(Z1059&lt;Законод!$C$22,0,(IF(AND(Z1059&gt;=Законод!$G$22,Z1059&lt;=Законод!$G$23),Z1059-Законод!$F$23,IF('01_Доходи'!Z1059&gt;=Законод!$H$22,Законод!$G$24,0)))),IF($B$1055="Лікар-педіатр",IF(Z1059&lt;Законод!$C$18,0,(IF(AND(Z1059&gt;=Законод!$G$18,Z1059&lt;=Законод!$G$19),Z1059-Законод!$F$19,IF('01_Доходи'!Z1059&gt;=Законод!$H$18,Законод!$G$20,0)))),IF($B$1055="Лікар-терапевт",IF(Z1059&lt;Законод!$C$26,0,(IF(AND(Z1059&gt;=Законод!$G$26,Z1059&lt;=Законод!$G$27),Z1059-Законод!$F$27,IF('01_Доходи'!Z1059&gt;=Законод!$H$26,Законод!$G$28,0)))),0)))</f>
        <v>0</v>
      </c>
      <c r="AA1063" s="942"/>
      <c r="AB1063" s="935" t="s">
        <v>423</v>
      </c>
      <c r="AC1063" s="936"/>
      <c r="AD1063" s="936"/>
      <c r="AE1063" s="936"/>
      <c r="AF1063" s="937"/>
      <c r="AG1063" s="196">
        <f ca="1">IF($B$1055="Лікар загальної практики - сімейний лікар",IF(AG1059&lt;Законод!$C$22,0,(IF(AND(AG1059&gt;=Законод!$G$22,AG1059&lt;=Законод!$G$23),AG1059-Законод!$F$23,IF('01_Доходи'!AG1059&gt;=Законод!$H$22,Законод!$G$24,0)))),IF($B$1055="Лікар-педіатр",IF(AG1059&lt;Законод!$C$18,0,(IF(AND(AG1059&gt;=Законод!$G$18,AG1059&lt;=Законод!$G$19),AG1059-Законод!$F$19,IF('01_Доходи'!AG1059&gt;=Законод!$H$18,Законод!$G$20,0)))),IF($B$1055="Лікар-терапевт",IF(AG1059&lt;Законод!$C$26,0,(IF(AND(AG1059&gt;=Законод!$G$26,AG1059&lt;=Законод!$G$27),AG1059-Законод!$F$27,IF('01_Доходи'!AG1059&gt;=Законод!$H$26,Законод!$G$28,0)))),0)))</f>
        <v>0</v>
      </c>
      <c r="AH1063" s="942"/>
      <c r="AI1063" s="201"/>
      <c r="AJ1063" s="945"/>
      <c r="AK1063" s="960"/>
      <c r="AL1063" s="960"/>
      <c r="AM1063" s="927"/>
      <c r="AN1063" s="210">
        <f ca="1">IF(B1055="Лікар загальної практики - сімейний лікар",L1063*Законод!$C$9/4*Законод!$G$16,IF(B1055="Лікар-педіатр",L1063*Законод!$C$9/4*Законод!$G$16,IF(B1055="Лікар-терапевт",L1063*Законод!$C$9/4*Законод!$G$16,0)))</f>
        <v>0</v>
      </c>
      <c r="AO1063" s="210">
        <f ca="1">IF(B1055="Лікар загальної практики - сімейний лікар",S1063*Законод!$C$9/4*Законод!$G$16,IF(B1055="Лікар-педіатр",S1063*Законод!$C$9/4*Законод!$G$16,IF(B1055="Лікар-терапевт",S1063*Законод!$C$9/4*Законод!$G$16,0)))</f>
        <v>0</v>
      </c>
      <c r="AP1063" s="210">
        <f ca="1">IF(B1055="Лікар загальної практики - сімейний лікар",Z1063*Законод!$C$9/4*Законод!$G$16,IF(B1055="Лікар-педіатр",Z1063*Законод!$C$9/4*Законод!$G$16,IF(B1055="Лікар-терапевт",Z1063*Законод!$C$9/4*Законод!$G$16,0)))</f>
        <v>0</v>
      </c>
      <c r="AQ1063" s="210">
        <f ca="1">IF(B1055="Лікар загальної практики - сімейний лікар",AG1063*Законод!$C$9/4*Законод!$G$16,IF(B1055="Лікар-педіатр",AG1063*Законод!$C$9/4*Законод!$G$16,IF(B1055="Лікар-терапевт",AG1063*Законод!$C$9/4*Законод!$G$16,0)))</f>
        <v>0</v>
      </c>
      <c r="AR1063" s="211">
        <f t="shared" si="121"/>
        <v>0</v>
      </c>
    </row>
    <row r="1064" spans="1:44" s="50" customFormat="1" ht="31.9" hidden="1" customHeight="1">
      <c r="A1064" s="197"/>
      <c r="B1064" s="951"/>
      <c r="C1064" s="954"/>
      <c r="D1064" s="957"/>
      <c r="E1064" s="939"/>
      <c r="F1064" s="238" t="str">
        <f ca="1">IF(B1055="Лікар-педіатр",Законод!$H$17,IF(B1055="Лікар загальної практики - сімейний лікар",Законод!$H$21,IF(B1055="Лікар-терапевт",Законод!$H$25,"х")))</f>
        <v>х</v>
      </c>
      <c r="G1064" s="935" t="s">
        <v>423</v>
      </c>
      <c r="H1064" s="936"/>
      <c r="I1064" s="936"/>
      <c r="J1064" s="936"/>
      <c r="K1064" s="937"/>
      <c r="L1064" s="196">
        <f ca="1">IF($B$1055="Лікар загальної практики - сімейний лікар",IF(L1059&lt;Законод!$C$22,0,(IF(AND(L1059&gt;=Законод!$H$22,L1059&lt;=Законод!$H$23),L1059-Законод!$G$23,IF('01_Доходи'!L1059&gt;=Законод!$I$22,Законод!$H$24,0)))),IF($B$1055="Лікар-педіатр",IF(L1059&lt;Законод!$C$18,0,(IF(AND(L1059&gt;=Законод!$H$18,L1059&lt;=Законод!$H$19),L1059-Законод!$G$19,IF('01_Доходи'!L1059&gt;=Законод!$I$18,Законод!$H$20,0)))),IF($B$1055="Лікар-терапевт",IF(L1059&lt;Законод!$C$26,0,(IF(AND(L1059&gt;=Законод!$H$26,L1059&lt;=Законод!$H$27),L1059-Законод!$G$27,IF(L1059&gt;=Законод!$I$26,Законод!$H$28,0)))),0)))</f>
        <v>0</v>
      </c>
      <c r="M1064" s="942"/>
      <c r="N1064" s="935" t="s">
        <v>423</v>
      </c>
      <c r="O1064" s="936"/>
      <c r="P1064" s="936"/>
      <c r="Q1064" s="936"/>
      <c r="R1064" s="937"/>
      <c r="S1064" s="196">
        <f ca="1">IF($B$1055="Лікар загальної практики - сімейний лікар",IF(S1059&lt;Законод!$C$22,0,(IF(AND(S1059&gt;=Законод!$H$22,S1059&lt;=Законод!$H$23),S1059-Законод!$G$23,IF('01_Доходи'!S1059&gt;=Законод!$I$22,Законод!$H$24,0)))),IF($B$1055="Лікар-педіатр",IF(S1059&lt;Законод!$C$18,0,(IF(AND(S1059&gt;=Законод!$H$18,S1059&lt;=Законод!$H$19),S1059-Законод!$G$19,IF('01_Доходи'!S1059&gt;=Законод!$I$18,Законод!$H$20,0)))),IF($B$1055="Лікар-терапевт",IF(S1059&lt;Законод!$C$26,0,(IF(AND(S1059&gt;=Законод!$H$26,S1059&lt;=Законод!$H$27),S1059-Законод!$G$27,IF(S1059&gt;=Законод!$I$26,Законод!$H$28,0)))),0)))</f>
        <v>0</v>
      </c>
      <c r="T1064" s="942"/>
      <c r="U1064" s="935" t="s">
        <v>423</v>
      </c>
      <c r="V1064" s="936"/>
      <c r="W1064" s="936"/>
      <c r="X1064" s="936"/>
      <c r="Y1064" s="937"/>
      <c r="Z1064" s="196">
        <f ca="1">IF($B$1055="Лікар загальної практики - сімейний лікар",IF(Z1059&lt;Законод!$C$22,0,(IF(AND(Z1059&gt;=Законод!$H$22,Z1059&lt;=Законод!$H$23),Z1059-Законод!$G$23,IF('01_Доходи'!Z1059&gt;=Законод!$I$22,Законод!$H$24,0)))),IF($B$1055="Лікар-педіатр",IF(Z1059&lt;Законод!$C$18,0,(IF(AND(Z1059&gt;=Законод!$H$18,Z1059&lt;=Законод!$H$19),Z1059-Законод!$G$19,IF('01_Доходи'!Z1059&gt;=Законод!$I$18,Законод!$H$20,0)))),IF($B$1055="Лікар-терапевт",IF(Z1059&lt;Законод!$C$26,0,(IF(AND(Z1059&gt;=Законод!$H$26,Z1059&lt;=Законод!$H$27),Z1059-Законод!$G$27,IF(Z1059&gt;=Законод!$I$26,Законод!$H$28,0)))),0)))</f>
        <v>0</v>
      </c>
      <c r="AA1064" s="942"/>
      <c r="AB1064" s="935" t="s">
        <v>423</v>
      </c>
      <c r="AC1064" s="936"/>
      <c r="AD1064" s="936"/>
      <c r="AE1064" s="936"/>
      <c r="AF1064" s="937"/>
      <c r="AG1064" s="196">
        <f ca="1">IF($B$1055="Лікар загальної практики - сімейний лікар",IF(AG1059&lt;Законод!$C$22,0,(IF(AND(AG1059&gt;=Законод!$H$22,AG1059&lt;=Законод!$H$23),AG1059-Законод!$G$23,IF('01_Доходи'!AG1059&gt;=Законод!$I$22,Законод!$H$24,0)))),IF($B$1055="Лікар-педіатр",IF(AG1059&lt;Законод!$C$18,0,(IF(AND(AG1059&gt;=Законод!$H$18,AG1059&lt;=Законод!$H$19),AG1059-Законод!$G$19,IF('01_Доходи'!AG1059&gt;=Законод!$I$18,Законод!$H$20,0)))),IF($B$1055="Лікар-терапевт",IF(AG1059&lt;Законод!$C$26,0,(IF(AND(AG1059&gt;=Законод!$H$26,AG1059&lt;=Законод!$H$27),AG1059-Законод!$G$27,IF(AG1059&gt;=Законод!$I$26,Законод!$H$28,0)))),0)))</f>
        <v>0</v>
      </c>
      <c r="AH1064" s="942"/>
      <c r="AI1064" s="201"/>
      <c r="AJ1064" s="945"/>
      <c r="AK1064" s="960"/>
      <c r="AL1064" s="960"/>
      <c r="AM1064" s="927"/>
      <c r="AN1064" s="210">
        <f ca="1">IF(B1055="Лікар загальної практики - сімейний лікар",L1064*Законод!$C$9/4*Законод!$H$16,IF(B1055="Лікар-педіатр",L1064*Законод!$C$9/4*Законод!$H$16,IF(B1055="Лікар-терапевт",L1064*Законод!$C$9/4*Законод!$H$16,0)))</f>
        <v>0</v>
      </c>
      <c r="AO1064" s="210">
        <f ca="1">IF(B1055="Лікар загальної практики - сімейний лікар",S1064*Законод!$C$9/4*Законод!$H$16,IF(B1055="Лікар-педіатр",S1064*Законод!$C$9/4*Законод!$H$16,IF(B1055="Лікар-терапевт",S1064*Законод!$C$9/4*Законод!$H$16,0)))</f>
        <v>0</v>
      </c>
      <c r="AP1064" s="210">
        <f ca="1">IF(B1055="Лікар загальної практики - сімейний лікар",Z1064*Законод!$C$9/4*Законод!$H$16,IF(B1055="Лікар-педіатр",Z1064*Законод!$C$9/4*Законод!$H$16,IF(B1055="Лікар-терапевт",Z1064*Законод!$C$9/4*Законод!$H$16,0)))</f>
        <v>0</v>
      </c>
      <c r="AQ1064" s="210">
        <f ca="1">IF(B1055="Лікар загальної практики - сімейний лікар",AG1064*Законод!$C$9/4*Законод!$H$16,IF(B1055="Лікар-педіатр",AG1064*Законод!$C$9/4*Законод!$H$16,IF(B1055="Лікар-терапевт",AG1064*Законод!$C$9/4*Законод!$H$16,0)))</f>
        <v>0</v>
      </c>
      <c r="AR1064" s="211">
        <f t="shared" si="121"/>
        <v>0</v>
      </c>
    </row>
    <row r="1065" spans="1:44" s="50" customFormat="1" ht="31.9" hidden="1" customHeight="1">
      <c r="A1065" s="197"/>
      <c r="B1065" s="951"/>
      <c r="C1065" s="954"/>
      <c r="D1065" s="957"/>
      <c r="E1065" s="939"/>
      <c r="F1065" s="238" t="str">
        <f ca="1">IF(B1055="Лікар-педіатр",Законод!$I$17,IF(B1055="Лікар загальної практики - сімейний лікар",Законод!$I$21,IF(B1055="Лікар-терапевт",Законод!$I$25,"х")))</f>
        <v>х</v>
      </c>
      <c r="G1065" s="935" t="s">
        <v>423</v>
      </c>
      <c r="H1065" s="936"/>
      <c r="I1065" s="936"/>
      <c r="J1065" s="936"/>
      <c r="K1065" s="937"/>
      <c r="L1065" s="196">
        <f ca="1">IF($B$1055="Лікар загальної практики - сімейний лікар",IF(L1059&lt;Законод!$C$22,0,(IF(AND(L1059&gt;=Законод!$I$22,L1059&lt;=Законод!$I$23),L1059-Законод!$H$23,IF('01_Доходи'!L1059&gt;=Законод!$I$22,Законод!$I$24,0)))),IF($B$1055="Лікар-педіатр",IF(L1059&lt;Законод!$C$18,0,(IF(AND(L1059&gt;=Законод!$I$18,L1059&lt;=Законод!$I$19),L1059-Законод!$H$19,IF('01_Доходи'!L1059&gt;=Законод!$I$18,Законод!$H$20,0)))),IF($B$1055="Лікар-терапевт",IF(L1059&lt;Законод!$C$26,0,(IF(AND(L1059&gt;=Законод!$I$26,L1059&lt;=Законод!$I$27),L1059-Законод!$H$27,IF('01_Доходи'!L1059&gt;=Законод!$I$26,Законод!$H$28,0)))),0)))</f>
        <v>0</v>
      </c>
      <c r="M1065" s="942"/>
      <c r="N1065" s="935" t="s">
        <v>423</v>
      </c>
      <c r="O1065" s="936"/>
      <c r="P1065" s="936"/>
      <c r="Q1065" s="936"/>
      <c r="R1065" s="937"/>
      <c r="S1065" s="196">
        <f ca="1">IF($B$1055="Лікар загальної практики - сімейний лікар",IF(S1059&lt;Законод!$C$22,0,(IF(AND(S1059&gt;=Законод!$I$22,S1059&lt;=Законод!$I$23),S1059-Законод!$H$23,IF('01_Доходи'!S1059&gt;=Законод!$I$22,Законод!$I$24,0)))),IF($B$1055="Лікар-педіатр",IF(S1059&lt;Законод!$C$18,0,(IF(AND(S1059&gt;=Законод!$I$18,S1059&lt;=Законод!$I$19),S1059-Законод!$H$19,IF('01_Доходи'!S1059&gt;=Законод!$I$18,Законод!$H$20,0)))),IF($B$1055="Лікар-терапевт",IF(S1059&lt;Законод!$C$26,0,(IF(AND(S1059&gt;=Законод!$I$26,S1059&lt;=Законод!$I$27),S1059-Законод!$H$27,IF('01_Доходи'!S1059&gt;=Законод!$I$26,Законод!$H$28,0)))),0)))</f>
        <v>0</v>
      </c>
      <c r="T1065" s="942"/>
      <c r="U1065" s="935" t="s">
        <v>423</v>
      </c>
      <c r="V1065" s="936"/>
      <c r="W1065" s="936"/>
      <c r="X1065" s="936"/>
      <c r="Y1065" s="937"/>
      <c r="Z1065" s="196">
        <f ca="1">IF($B$1055="Лікар загальної практики - сімейний лікар",IF(Z1059&lt;Законод!$C$22,0,(IF(AND(Z1059&gt;=Законод!$I$22,Z1059&lt;=Законод!$I$23),Z1059-Законод!$H$23,IF('01_Доходи'!Z1059&gt;=Законод!$I$22,Законод!$I$24,0)))),IF($B$1055="Лікар-педіатр",IF(Z1059&lt;Законод!$C$18,0,(IF(AND(Z1059&gt;=Законод!$I$18,Z1059&lt;=Законод!$I$19),Z1059-Законод!$H$19,IF('01_Доходи'!Z1059&gt;=Законод!$I$18,Законод!$H$20,0)))),IF($B$1055="Лікар-терапевт",IF(Z1059&lt;Законод!$C$26,0,(IF(AND(Z1059&gt;=Законод!$I$26,Z1059&lt;=Законод!$I$27),Z1059-Законод!$H$27,IF('01_Доходи'!Z1059&gt;=Законод!$I$26,Законод!$H$28,0)))),0)))</f>
        <v>0</v>
      </c>
      <c r="AA1065" s="942"/>
      <c r="AB1065" s="935" t="s">
        <v>423</v>
      </c>
      <c r="AC1065" s="936"/>
      <c r="AD1065" s="936"/>
      <c r="AE1065" s="936"/>
      <c r="AF1065" s="937"/>
      <c r="AG1065" s="196">
        <f ca="1">IF($B$1055="Лікар загальної практики - сімейний лікар",IF(AG1059&lt;Законод!$C$22,0,(IF(AND(AG1059&gt;=Законод!$I$22,AG1059&lt;=Законод!$I$23),AG1059-Законод!$H$23,IF('01_Доходи'!AG1059&gt;=Законод!$I$22,Законод!$I$24,0)))),IF($B$1055="Лікар-педіатр",IF(AG1059&lt;Законод!$C$18,0,(IF(AND(AG1059&gt;=Законод!$I$18,AG1059&lt;=Законод!$I$19),AG1059-Законод!$H$19,IF('01_Доходи'!AG1059&gt;=Законод!$I$18,Законод!$H$20,0)))),IF($B$1055="Лікар-терапевт",IF(AG1059&lt;Законод!$C$26,0,(IF(AND(AG1059&gt;=Законод!$I$26,AG1059&lt;=Законод!$I$27),AG1059-Законод!$H$27,IF('01_Доходи'!AG1059&gt;=Законод!$I$26,Законод!$H$28,0)))),0)))</f>
        <v>0</v>
      </c>
      <c r="AH1065" s="942"/>
      <c r="AI1065" s="201"/>
      <c r="AJ1065" s="945"/>
      <c r="AK1065" s="960"/>
      <c r="AL1065" s="960"/>
      <c r="AM1065" s="927"/>
      <c r="AN1065" s="210">
        <f ca="1">IF(B1055="Лікар загальної практики - сімейний лікар",L1065*Законод!$C$9/4*Законод!$I$16,IF(B1055="Лікар-педіатр",L1065*Законод!$C$9/4*Законод!$I$16,IF(B1055="Лікар-терапевт",L1065*Законод!$C$9/4*Законод!$I$16,0)))</f>
        <v>0</v>
      </c>
      <c r="AO1065" s="210">
        <f ca="1">IF(B1055="Лікар загальної практики - сімейний лікар",S1065*Законод!$C$9/4*Законод!$I$16,IF(B1055="Лікар-педіатр",S1065*Законод!$C$9/4*Законод!$I$16,IF(B1055="Лікар-терапевт",S1065*Законод!$C$9/4*Законод!$I$16,0)))</f>
        <v>0</v>
      </c>
      <c r="AP1065" s="210">
        <f ca="1">IF(B1055="Лікар загальної практики - сімейний лікар",Z1065*Законод!$C$9/4*Законод!$I$16,IF(B1055="Лікар-педіатр",Z1065*Законод!$C$9/4*Законод!$I$16,IF(B1055="Лікар-терапевт",Z1065*Законод!$C$9/4*Законод!$I$16,0)))</f>
        <v>0</v>
      </c>
      <c r="AQ1065" s="210">
        <f ca="1">IF(B1055="Лікар загальної практики - сімейний лікар",AG1065*Законод!$C$9/4*Законод!$I$16,IF(B1055="Лікар-педіатр",AG1065*Законод!$C$9/4*Законод!$I$16,IF(B1055="Лікар-терапевт",AG1065*Законод!$C$9/4*Законод!$I$16,0)))</f>
        <v>0</v>
      </c>
      <c r="AR1065" s="211">
        <f t="shared" si="121"/>
        <v>0</v>
      </c>
    </row>
    <row r="1066" spans="1:44" s="218" customFormat="1" ht="31.9" hidden="1" customHeight="1" thickBot="1">
      <c r="A1066" s="213"/>
      <c r="B1066" s="952"/>
      <c r="C1066" s="955"/>
      <c r="D1066" s="958"/>
      <c r="E1066" s="940"/>
      <c r="F1066" s="239" t="str">
        <f ca="1">IF(B1055="Лікар-педіатр",Законод!$J$17,IF(B1055="Лікар загальної практики - сімейний лікар",Законод!$J$21,IF(B1055="Лікар-терапевт",Законод!$J$25,"х")))</f>
        <v>х</v>
      </c>
      <c r="G1066" s="932" t="s">
        <v>423</v>
      </c>
      <c r="H1066" s="933"/>
      <c r="I1066" s="933"/>
      <c r="J1066" s="933"/>
      <c r="K1066" s="934"/>
      <c r="L1066" s="196">
        <f ca="1">IF($B$1055="Лікар загальної практики - сімейний лікар",IF(L1059&gt;=Законод!$J$22,'01_Доходи'!L1059-('01_Доходи'!L1060+'01_Доходи'!L1061+'01_Доходи'!L1062+'01_Доходи'!L1063+'01_Доходи'!L1064+'01_Доходи'!L1065),0),IF($B$1055="Лікар-педіатр",IF(L1059&gt;=Законод!$J$18,'01_Доходи'!L1059-('01_Доходи'!L1060+'01_Доходи'!L1061+'01_Доходи'!L1062+'01_Доходи'!L1063+'01_Доходи'!L1064+'01_Доходи'!L1065),0),IF($B$1055="Лікар-терапевт",IF('01_Доходи'!L1059&gt;=Законод!$J$26,L1059-Законод!$I$27,0),0)))</f>
        <v>0</v>
      </c>
      <c r="M1066" s="943"/>
      <c r="N1066" s="932" t="s">
        <v>423</v>
      </c>
      <c r="O1066" s="933"/>
      <c r="P1066" s="933"/>
      <c r="Q1066" s="933"/>
      <c r="R1066" s="934"/>
      <c r="S1066" s="196">
        <f ca="1">IF($B$1055="Лікар загальної практики - сімейний лікар",IF(S1059&gt;=Законод!$J$22,'01_Доходи'!S1059-('01_Доходи'!S1060+'01_Доходи'!S1061+'01_Доходи'!S1062+'01_Доходи'!S1063+'01_Доходи'!S1064+'01_Доходи'!S1065),0),IF($B$1055="Лікар-педіатр",IF(S1059&gt;=Законод!$J$18,'01_Доходи'!S1059-('01_Доходи'!S1060+'01_Доходи'!S1061+'01_Доходи'!S1062+'01_Доходи'!S1063+'01_Доходи'!S1064+'01_Доходи'!S1065),0),IF($B$1055="Лікар-терапевт",IF('01_Доходи'!S1059&gt;=Законод!$J$26,S1059-Законод!$I$27,0),0)))</f>
        <v>0</v>
      </c>
      <c r="T1066" s="943"/>
      <c r="U1066" s="932" t="s">
        <v>423</v>
      </c>
      <c r="V1066" s="933"/>
      <c r="W1066" s="933"/>
      <c r="X1066" s="933"/>
      <c r="Y1066" s="934"/>
      <c r="Z1066" s="196">
        <f ca="1">IF($B$1055="Лікар загальної практики - сімейний лікар",IF(Z1059&gt;=Законод!$J$22,'01_Доходи'!Z1059-('01_Доходи'!Z1060+'01_Доходи'!Z1061+'01_Доходи'!Z1062+'01_Доходи'!Z1063+'01_Доходи'!Z1064+'01_Доходи'!Z1065),0),IF($B$1055="Лікар-педіатр",IF(Z1059&gt;=Законод!$J$18,'01_Доходи'!Z1059-('01_Доходи'!Z1060+'01_Доходи'!Z1061+'01_Доходи'!Z1062+'01_Доходи'!Z1063+'01_Доходи'!Z1064+'01_Доходи'!Z1065),0),IF($B$1055="Лікар-терапевт",IF('01_Доходи'!Z1059&gt;=Законод!$J$26,Z1059-Законод!$I$27,0),0)))</f>
        <v>0</v>
      </c>
      <c r="AA1066" s="943"/>
      <c r="AB1066" s="932" t="s">
        <v>423</v>
      </c>
      <c r="AC1066" s="933"/>
      <c r="AD1066" s="933"/>
      <c r="AE1066" s="933"/>
      <c r="AF1066" s="934"/>
      <c r="AG1066" s="196">
        <f ca="1">IF($B$1055="Лікар загальної практики - сімейний лікар",IF(AG1059&gt;=Законод!$J$22,'01_Доходи'!AG1059-('01_Доходи'!AG1060+'01_Доходи'!AG1061+'01_Доходи'!AG1062+'01_Доходи'!AG1063+'01_Доходи'!AG1064+'01_Доходи'!AG1065),0),IF($B$1055="Лікар-педіатр",IF(AG1059&gt;=Законод!$J$18,'01_Доходи'!AG1059-('01_Доходи'!AG1060+'01_Доходи'!AG1061+'01_Доходи'!AG1062+'01_Доходи'!AG1063+'01_Доходи'!AG1064+'01_Доходи'!AG1065),0),IF($B$1055="Лікар-терапевт",IF('01_Доходи'!AG1059&gt;=Законод!$J$26,AG1059-Законод!$I$27,0),0)))</f>
        <v>0</v>
      </c>
      <c r="AH1066" s="943"/>
      <c r="AI1066" s="215"/>
      <c r="AJ1066" s="946"/>
      <c r="AK1066" s="961"/>
      <c r="AL1066" s="961"/>
      <c r="AM1066" s="928"/>
      <c r="AN1066" s="216">
        <f ca="1">IF(B1055="Лікар загальної практики - сімейний лікар",L1066*Законод!$C$9/4*Законод!$J$16,IF(B1055="Лікар-педіатр",L1066*Законод!$C$9/4*Законод!$J$16,IF(B1055="Лікар-терапевт",L1066*Законод!$C$9/4*Законод!$J$16,0)))</f>
        <v>0</v>
      </c>
      <c r="AO1066" s="216">
        <f ca="1">IF(B1055="Лікар загальної практики - сімейний лікар",S1066*Законод!$C$9/4*Законод!$J$16,IF(B1055="Лікар-педіатр",S1066*Законод!$C$9/4*Законод!$J$16,IF(B1055="Лікар-терапевт",S1066*Законод!$C$9/4*Законод!$J$16,0)))</f>
        <v>0</v>
      </c>
      <c r="AP1066" s="216">
        <f ca="1">IF(B1055="Лікар загальної практики - сімейний лікар",S1066*Законод!$C$9/4*Законод!$J$16,IF(B1055="Лікар-педіатр",S1066*Законод!$C$9/4*Законод!$J$16,IF(B1055="Лікар-терапевт",S1066*Законод!$C$9/4*Законод!$J$16,0)))</f>
        <v>0</v>
      </c>
      <c r="AQ1066" s="216">
        <f ca="1">IF(B1055="Лікар загальної практики - сімейний лікар",AG1066*Законод!$C$9/4*Законод!$J$16,IF(B1055="Лікар-педіатр",AG1066*Законод!$C$9/4*Законод!$J$16,IF(B1055="Лікар-терапевт",AG1066*Законод!$C$9/4*Законод!$J$16,0)))</f>
        <v>0</v>
      </c>
      <c r="AR1066" s="217">
        <f t="shared" si="121"/>
        <v>0</v>
      </c>
    </row>
    <row r="1067" spans="1:44" s="247" customFormat="1" ht="23.45" hidden="1" customHeight="1" thickBot="1">
      <c r="A1067" s="243"/>
      <c r="B1067" s="244"/>
      <c r="C1067" s="244"/>
      <c r="D1067" s="244"/>
      <c r="E1067" s="244"/>
      <c r="F1067" s="245"/>
      <c r="G1067" s="246"/>
      <c r="H1067" s="246"/>
      <c r="L1067" s="248"/>
      <c r="S1067" s="248"/>
      <c r="Z1067" s="248"/>
      <c r="AG1067" s="248"/>
      <c r="AM1067" s="249"/>
      <c r="AR1067" s="250"/>
    </row>
    <row r="1068" spans="1:44" s="191" customFormat="1" ht="24.6" hidden="1" customHeight="1">
      <c r="A1068" s="194">
        <f>A1055+1</f>
        <v>80</v>
      </c>
      <c r="B1068" s="950"/>
      <c r="C1068" s="953"/>
      <c r="D1068" s="956"/>
      <c r="E1068" s="938"/>
      <c r="F1068" s="234" t="s">
        <v>659</v>
      </c>
      <c r="G1068" s="196">
        <f>IF($B$1068="Лікар-педіатр",G1071*L1068,IF($B$1068="Лікар-терапевт","х",IF($B$1068="Лікар загальної практики - сімейний лікар",G1071*L1068,0)))</f>
        <v>0</v>
      </c>
      <c r="H1068" s="196">
        <f>IF($B$1068="Лікар-педіатр",H1071*L1068,IF($B$1068="Лікар-терапевт","х",IF($B$1068="Лікар загальної практики - сімейний лікар",H1071*L1068,0)))</f>
        <v>0</v>
      </c>
      <c r="I1068" s="196">
        <f>IF($B$1068="Лікар-педіатр","x",IF($B$1068="Лікар-терапевт",I1071*L1068,IF($B$1068="Лікар загальної практики - сімейний лікар",I1071*L1068,0)))</f>
        <v>0</v>
      </c>
      <c r="J1068" s="196">
        <f>IF($B$1068="Лікар-педіатр","x",IF($B$1068="Лікар-терапевт",J1071*L1068,IF($B$1068="Лікар загальної практики - сімейний лікар",J1071*L1068,0)))</f>
        <v>0</v>
      </c>
      <c r="K1068" s="196">
        <f>IF($B$1068="Лікар-педіатр","x",IF($B$1068="Лікар-терапевт",K1071*L1068,IF($B$1068="Лікар загальної практики - сімейний лікар",K1071*L1068,0)))</f>
        <v>0</v>
      </c>
      <c r="L1068" s="557"/>
      <c r="M1068" s="941"/>
      <c r="N1068" s="196">
        <f>IF($B$1068="Лікар-педіатр",N1071*S1068,IF($B$1068="Лікар-терапевт","х",IF($B$1068="Лікар загальної практики - сімейний лікар",N1071*S1068,0)))</f>
        <v>0</v>
      </c>
      <c r="O1068" s="196">
        <f>IF($B$1068="Лікар-педіатр",O1071*S1068,IF($B$1068="Лікар-терапевт","х",IF($B$1068="Лікар загальної практики - сімейний лікар",O1071*S1068,0)))</f>
        <v>0</v>
      </c>
      <c r="P1068" s="196">
        <f>IF($B$1068="Лікар-педіатр","x",IF($B$1068="Лікар-терапевт",P1071*S1068,IF($B$1068="Лікар загальної практики - сімейний лікар",P1071*S1068,0)))</f>
        <v>0</v>
      </c>
      <c r="Q1068" s="196">
        <f>IF($B$1068="Лікар-педіатр","x",IF($B$1068="Лікар-терапевт",Q1071*S1068,IF($B$1068="Лікар загальної практики - сімейний лікар",Q1071*S1068,0)))</f>
        <v>0</v>
      </c>
      <c r="R1068" s="196">
        <f>IF($B$1068="Лікар-педіатр","x",IF($B$1068="Лікар-терапевт",R1071*S1068,IF($B$1068="Лікар загальної практики - сімейний лікар",R1071*S1068,0)))</f>
        <v>0</v>
      </c>
      <c r="S1068" s="557"/>
      <c r="T1068" s="941"/>
      <c r="U1068" s="196">
        <f>IF($B$1068="Лікар-педіатр",U1071*Z1068,IF($B$1068="Лікар-терапевт","х",IF($B$1068="Лікар загальної практики - сімейний лікар",U1071*Z1068,0)))</f>
        <v>0</v>
      </c>
      <c r="V1068" s="196">
        <f>IF($B$1068="Лікар-педіатр",V1071*Z1068,IF($B$1068="Лікар-терапевт","х",IF($B$1068="Лікар загальної практики - сімейний лікар",V1071*Z1068,0)))</f>
        <v>0</v>
      </c>
      <c r="W1068" s="196">
        <f>IF($B$1068="Лікар-педіатр","x",IF($B$1068="Лікар-терапевт",W1071*Z1068,IF($B$1068="Лікар загальної практики - сімейний лікар",W1071*Z1068,0)))</f>
        <v>0</v>
      </c>
      <c r="X1068" s="196">
        <f>IF($B$1068="Лікар-педіатр","x",IF($B$1068="Лікар-терапевт",X1071*Z1068,IF($B$1068="Лікар загальної практики - сімейний лікар",X1071*Z1068,0)))</f>
        <v>0</v>
      </c>
      <c r="Y1068" s="196">
        <f>IF($B$1068="Лікар-педіатр","x",IF($B$1068="Лікар-терапевт",Y1071*Z1068,IF($B$1068="Лікар загальної практики - сімейний лікар",Y1071*Z1068,0)))</f>
        <v>0</v>
      </c>
      <c r="Z1068" s="557"/>
      <c r="AA1068" s="941"/>
      <c r="AB1068" s="196">
        <f>IF($B$1068="Лікар-педіатр",AB1071*AG1068,IF($B$1068="Лікар-терапевт","х",IF($B$1068="Лікар загальної практики - сімейний лікар",AB1071*AG1068,0)))</f>
        <v>0</v>
      </c>
      <c r="AC1068" s="196">
        <f>IF($B$1068="Лікар-педіатр",AC1071*AG1068,IF($B$1068="Лікар-терапевт","х",IF($B$1068="Лікар загальної практики - сімейний лікар",AC1071*AG1068,0)))</f>
        <v>0</v>
      </c>
      <c r="AD1068" s="196">
        <f>IF($B$1068="Лікар-педіатр","x",IF($B$1068="Лікар-терапевт",AD1071*AG1068,IF($B$1068="Лікар загальної практики - сімейний лікар",AD1071*AG1068,0)))</f>
        <v>0</v>
      </c>
      <c r="AE1068" s="196">
        <f>IF($B$1068="Лікар-педіатр","x",IF($B$1068="Лікар-терапевт",AE1071*AG1068,IF($B$1068="Лікар загальної практики - сімейний лікар",AE1071*AG1068,0)))</f>
        <v>0</v>
      </c>
      <c r="AF1068" s="196">
        <f>IF($B$1068="Лікар-педіатр","x",IF($B$1068="Лікар-терапевт",AF1071*AG1068,IF($B$1068="Лікар загальної практики - сімейний лікар",AF1071*AG1068,0)))</f>
        <v>0</v>
      </c>
      <c r="AG1068" s="557"/>
      <c r="AH1068" s="941"/>
      <c r="AI1068" s="540">
        <f>A1068</f>
        <v>80</v>
      </c>
      <c r="AJ1068" s="944">
        <f>B1068</f>
        <v>0</v>
      </c>
      <c r="AK1068" s="959">
        <f>C1068</f>
        <v>0</v>
      </c>
      <c r="AL1068" s="959">
        <f>D1068</f>
        <v>0</v>
      </c>
      <c r="AM1068" s="929" t="s">
        <v>79</v>
      </c>
      <c r="AN1068" s="947">
        <f>SUM(AN1073:AN1079)</f>
        <v>0</v>
      </c>
      <c r="AO1068" s="947">
        <f>SUM(AO1073:AO1079)</f>
        <v>0</v>
      </c>
      <c r="AP1068" s="947">
        <f>SUM(AP1073:AP1079)</f>
        <v>0</v>
      </c>
      <c r="AQ1068" s="947">
        <f>SUM(AQ1073:AQ1079)</f>
        <v>0</v>
      </c>
      <c r="AR1068" s="962">
        <f>SUM(AN1068:AQ1072)</f>
        <v>0</v>
      </c>
    </row>
    <row r="1069" spans="1:44" s="50" customFormat="1" ht="28.15" hidden="1" customHeight="1">
      <c r="A1069" s="197"/>
      <c r="B1069" s="951"/>
      <c r="C1069" s="954"/>
      <c r="D1069" s="957"/>
      <c r="E1069" s="939"/>
      <c r="F1069" s="234" t="s">
        <v>660</v>
      </c>
      <c r="G1069" s="196">
        <f>IF($B$1068="Лікар-педіатр",G1071*L1069,IF($B$1068="Лікар-терапевт","х",IF($B$1068="Лікар загальної практики - сімейний лікар",G1071*L1069,0)))</f>
        <v>0</v>
      </c>
      <c r="H1069" s="196">
        <f>IF($B$1068="Лікар-педіатр",H1071*L1069,IF($B$1068="Лікар-терапевт","х",IF($B$1068="Лікар загальної практики - сімейний лікар",H1071*L1069,0)))</f>
        <v>0</v>
      </c>
      <c r="I1069" s="196">
        <f>IF($B$1068="Лікар-педіатр","x",IF($B$1068="Лікар-терапевт",I1071*L1069,IF($B$1068="Лікар загальної практики - сімейний лікар",I1071*L1069,0)))</f>
        <v>0</v>
      </c>
      <c r="J1069" s="196">
        <f>IF($B$1068="Лікар-педіатр","x",IF($B$1068="Лікар-терапевт",J1071*L1069,IF($B$1068="Лікар загальної практики - сімейний лікар",J1071*L1069,0)))</f>
        <v>0</v>
      </c>
      <c r="K1069" s="196">
        <f>IF($B$1068="Лікар-педіатр","x",IF($B$1068="Лікар-терапевт",K1071*L1069,IF($B$1068="Лікар загальної практики - сімейний лікар",K1071*L1069,0)))</f>
        <v>0</v>
      </c>
      <c r="L1069" s="557"/>
      <c r="M1069" s="942"/>
      <c r="N1069" s="196">
        <f>IF($B$1068="Лікар-педіатр",N1071*S1069,IF($B$1068="Лікар-терапевт","х",IF($B$1068="Лікар загальної практики - сімейний лікар",N1071*S1069,0)))</f>
        <v>0</v>
      </c>
      <c r="O1069" s="196">
        <f>IF($B$1068="Лікар-педіатр",O1071*S1069,IF($B$1068="Лікар-терапевт","х",IF($B$1068="Лікар загальної практики - сімейний лікар",O1071*S1069,0)))</f>
        <v>0</v>
      </c>
      <c r="P1069" s="196">
        <f>IF($B$1068="Лікар-педіатр","x",IF($B$1068="Лікар-терапевт",P1071*S1069,IF($B$1068="Лікар загальної практики - сімейний лікар",P1071*S1069,0)))</f>
        <v>0</v>
      </c>
      <c r="Q1069" s="196">
        <f>IF($B$1068="Лікар-педіатр","x",IF($B$1068="Лікар-терапевт",Q1071*S1069,IF($B$1068="Лікар загальної практики - сімейний лікар",Q1071*S1069,0)))</f>
        <v>0</v>
      </c>
      <c r="R1069" s="196">
        <f>IF($B$1068="Лікар-педіатр","x",IF($B$1068="Лікар-терапевт",R1071*S1069,IF($B$1068="Лікар загальної практики - сімейний лікар",R1071*S1069,0)))</f>
        <v>0</v>
      </c>
      <c r="S1069" s="557"/>
      <c r="T1069" s="942"/>
      <c r="U1069" s="196">
        <f>IF($B$1068="Лікар-педіатр",U1071*Z1069,IF($B$1068="Лікар-терапевт","х",IF($B$1068="Лікар загальної практики - сімейний лікар",U1071*Z1069,0)))</f>
        <v>0</v>
      </c>
      <c r="V1069" s="196">
        <f>IF($B$1068="Лікар-педіатр",V1071*Z1069,IF($B$1068="Лікар-терапевт","х",IF($B$1068="Лікар загальної практики - сімейний лікар",V1071*Z1069,0)))</f>
        <v>0</v>
      </c>
      <c r="W1069" s="196">
        <f>IF($B$1068="Лікар-педіатр","x",IF($B$1068="Лікар-терапевт",W1071*Z1069,IF($B$1068="Лікар загальної практики - сімейний лікар",W1071*Z1069,0)))</f>
        <v>0</v>
      </c>
      <c r="X1069" s="196">
        <f>IF($B$1068="Лікар-педіатр","x",IF($B$1068="Лікар-терапевт",X1071*Z1069,IF($B$1068="Лікар загальної практики - сімейний лікар",X1071*Z1069,0)))</f>
        <v>0</v>
      </c>
      <c r="Y1069" s="196">
        <f>IF($B$1068="Лікар-педіатр","x",IF($B$1068="Лікар-терапевт",Y1071*Z1069,IF($B$1068="Лікар загальної практики - сімейний лікар",Y1071*Z1069,0)))</f>
        <v>0</v>
      </c>
      <c r="Z1069" s="557"/>
      <c r="AA1069" s="942"/>
      <c r="AB1069" s="196">
        <f>IF($B$1068="Лікар-педіатр",AB1071*AG1069,IF($B$1068="Лікар-терапевт","х",IF($B$1068="Лікар загальної практики - сімейний лікар",AB1071*AG1069,0)))</f>
        <v>0</v>
      </c>
      <c r="AC1069" s="196">
        <f>IF($B$1068="Лікар-педіатр",AC1071*AG1069,IF($B$1068="Лікар-терапевт","х",IF($B$1068="Лікар загальної практики - сімейний лікар",AC1071*AG1069,0)))</f>
        <v>0</v>
      </c>
      <c r="AD1069" s="196">
        <f>IF($B$1068="Лікар-педіатр","x",IF($B$1068="Лікар-терапевт",AD1071*AG1069,IF($B$1068="Лікар загальної практики - сімейний лікар",AD1071*AG1069,0)))</f>
        <v>0</v>
      </c>
      <c r="AE1069" s="196">
        <f>IF($B$1068="Лікар-педіатр","x",IF($B$1068="Лікар-терапевт",AE1071*AG1069,IF($B$1068="Лікар загальної практики - сімейний лікар",AE1071*AG1069,0)))</f>
        <v>0</v>
      </c>
      <c r="AF1069" s="196">
        <f>IF($B$1068="Лікар-педіатр","x",IF($B$1068="Лікар-терапевт",AF1071*AG1069,IF($B$1068="Лікар загальної практики - сімейний лікар",AF1071*AG1069,0)))</f>
        <v>0</v>
      </c>
      <c r="AG1069" s="557"/>
      <c r="AH1069" s="942"/>
      <c r="AI1069" s="198"/>
      <c r="AJ1069" s="945"/>
      <c r="AK1069" s="960"/>
      <c r="AL1069" s="960"/>
      <c r="AM1069" s="930"/>
      <c r="AN1069" s="948"/>
      <c r="AO1069" s="948"/>
      <c r="AP1069" s="948"/>
      <c r="AQ1069" s="948"/>
      <c r="AR1069" s="963"/>
    </row>
    <row r="1070" spans="1:44" s="90" customFormat="1" ht="31.15" hidden="1" customHeight="1">
      <c r="A1070" s="240"/>
      <c r="B1070" s="951"/>
      <c r="C1070" s="954"/>
      <c r="D1070" s="957"/>
      <c r="E1070" s="939"/>
      <c r="F1070" s="241" t="s">
        <v>661</v>
      </c>
      <c r="G1070" s="199">
        <f>IF(B1068="Лікар загальної практики - сімейний лікар"," ",IF(B1068="Лікар-педіатр"," ",IF(B1068="Лікар-терапевт","х",0)))</f>
        <v>0</v>
      </c>
      <c r="H1070" s="199">
        <f>IF(B1068="Лікар загальної практики - сімейний лікар"," ",IF(B1068="Лікар-педіатр"," ",IF(B1068="Лікар-терапевт","х",0)))</f>
        <v>0</v>
      </c>
      <c r="I1070" s="199">
        <f>IF(B1068="Лікар загальної практики - сімейний лікар"," ",IF(B1068="Лікар-педіатр","х",IF(B1068="Лікар-терапевт"," ",0)))</f>
        <v>0</v>
      </c>
      <c r="J1070" s="199">
        <f>IF(B1068="Лікар загальної практики - сімейний лікар"," ",IF(B1068="Лікар-педіатр","х",IF(B1068="Лікар-терапевт"," ",0)))</f>
        <v>0</v>
      </c>
      <c r="K1070" s="199">
        <f>IF(B1068="Лікар загальної практики - сімейний лікар"," ",IF(B1068="Лікар-педіатр","х",IF(B1068="Лікар-терапевт"," ",0)))</f>
        <v>0</v>
      </c>
      <c r="L1070" s="200">
        <f>SUM(G1070:K1070)</f>
        <v>0</v>
      </c>
      <c r="M1070" s="942"/>
      <c r="N1070" s="199">
        <f>IF(B1068="Лікар загальної практики - сімейний лікар"," ",IF(B1068="Лікар-педіатр"," ",IF(B1068="Лікар-терапевт","х",0)))</f>
        <v>0</v>
      </c>
      <c r="O1070" s="199">
        <f>IF(B1068="Лікар загальної практики - сімейний лікар"," ",IF(B1068="Лікар-педіатр"," ",IF(B1068="Лікар-терапевт","х",0)))</f>
        <v>0</v>
      </c>
      <c r="P1070" s="199">
        <f>IF(B1068="Лікар загальної практики - сімейний лікар"," ",IF(B1068="Лікар-педіатр","х",IF(B1068="Лікар-терапевт"," ",0)))</f>
        <v>0</v>
      </c>
      <c r="Q1070" s="199">
        <f>IF(B1068="Лікар загальної практики - сімейний лікар"," ",IF(B1068="Лікар-педіатр","х",IF(B1068="Лікар-терапевт"," ",0)))</f>
        <v>0</v>
      </c>
      <c r="R1070" s="199">
        <f>IF(B1068="Лікар загальної практики - сімейний лікар"," ",IF(B1068="Лікар-педіатр","х",IF(B1068="Лікар-терапевт"," ",0)))</f>
        <v>0</v>
      </c>
      <c r="S1070" s="200">
        <f>SUM(N1070:R1070)</f>
        <v>0</v>
      </c>
      <c r="T1070" s="942"/>
      <c r="U1070" s="199">
        <f>IF(B1068="Лікар загальної практики - сімейний лікар"," ",IF(B1068="Лікар-педіатр"," ",IF(B1068="Лікар-терапевт","х",0)))</f>
        <v>0</v>
      </c>
      <c r="V1070" s="199">
        <f>IF(B1068="Лікар загальної практики - сімейний лікар"," ",IF(B1068="Лікар-педіатр"," ",IF(B1068="Лікар-терапевт","х",0)))</f>
        <v>0</v>
      </c>
      <c r="W1070" s="199">
        <f>IF(B1068="Лікар загальної практики - сімейний лікар"," ",IF(B1068="Лікар-педіатр","х",IF(B1068="Лікар-терапевт"," ",0)))</f>
        <v>0</v>
      </c>
      <c r="X1070" s="199">
        <f>IF(B1068="Лікар загальної практики - сімейний лікар"," ",IF(B1068="Лікар-педіатр","х",IF(B1068="Лікар-терапевт"," ",0)))</f>
        <v>0</v>
      </c>
      <c r="Y1070" s="199">
        <f>IF(B1068="Лікар загальної практики - сімейний лікар"," ",IF(B1068="Лікар-педіатр","х",IF(B1068="Лікар-терапевт"," ",0)))</f>
        <v>0</v>
      </c>
      <c r="Z1070" s="200">
        <f>SUM(U1070:Y1070)</f>
        <v>0</v>
      </c>
      <c r="AA1070" s="942"/>
      <c r="AB1070" s="199">
        <f>IF(B1068="Лікар загальної практики - сімейний лікар"," ",IF(B1068="Лікар-педіатр"," ",IF(B1068="Лікар-терапевт","х",0)))</f>
        <v>0</v>
      </c>
      <c r="AC1070" s="199">
        <f>IF(B1068="Лікар загальної практики - сімейний лікар"," ",IF(B1068="Лікар-педіатр"," ",IF(B1068="Лікар-терапевт","х",0)))</f>
        <v>0</v>
      </c>
      <c r="AD1070" s="199">
        <f>IF(B1068="Лікар загальної практики - сімейний лікар"," ",IF(B1068="Лікар-педіатр","х",IF(B1068="Лікар-терапевт"," ",0)))</f>
        <v>0</v>
      </c>
      <c r="AE1070" s="199">
        <f>IF(B1068="Лікар загальної практики - сімейний лікар"," ",IF(B1068="Лікар-педіатр","х",IF(B1068="Лікар-терапевт"," ",0)))</f>
        <v>0</v>
      </c>
      <c r="AF1070" s="199">
        <f>IF(B1068="Лікар загальної практики - сімейний лікар"," ",IF(B1068="Лікар-педіатр","х",IF(B1068="Лікар-терапевт"," ",0)))</f>
        <v>0</v>
      </c>
      <c r="AG1070" s="200">
        <f>SUM(AB1070:AF1070)</f>
        <v>0</v>
      </c>
      <c r="AH1070" s="942"/>
      <c r="AI1070" s="242"/>
      <c r="AJ1070" s="945"/>
      <c r="AK1070" s="960"/>
      <c r="AL1070" s="960"/>
      <c r="AM1070" s="930"/>
      <c r="AN1070" s="948"/>
      <c r="AO1070" s="948"/>
      <c r="AP1070" s="948"/>
      <c r="AQ1070" s="948"/>
      <c r="AR1070" s="963"/>
    </row>
    <row r="1071" spans="1:44" s="50" customFormat="1" ht="31.9" hidden="1" customHeight="1" thickBot="1">
      <c r="A1071" s="197"/>
      <c r="B1071" s="951"/>
      <c r="C1071" s="954"/>
      <c r="D1071" s="957"/>
      <c r="E1071" s="939"/>
      <c r="F1071" s="236" t="s">
        <v>426</v>
      </c>
      <c r="G1071" s="203">
        <f>IF($B$1068="Лікар-педіатр",G1070/L1070,IF($B$1068="Лікар-терапевт","х",IF($B$1068="Лікар загальної практики - сімейний лікар",G1070/L1070,0)))</f>
        <v>0</v>
      </c>
      <c r="H1071" s="203">
        <f>IF($B$1068="Лікар-педіатр",H1070/L1070,IF($B$1068="Лікар-терапевт","х",IF($B$1068="Лікар загальної практики - сімейний лікар",H1070/L1070,0)))</f>
        <v>0</v>
      </c>
      <c r="I1071" s="203">
        <f>IF($B$1068="Лікар-педіатр","x",IF($B$1068="Лікар-терапевт",I1070/L1070,IF($B$1068="Лікар загальної практики - сімейний лікар",I1070/L1070,0)))</f>
        <v>0</v>
      </c>
      <c r="J1071" s="203">
        <f>IF($B$1068="Лікар-педіатр","x",IF($B$1068="Лікар-терапевт",J1070/L1070,IF($B$1068="Лікар загальної практики - сімейний лікар",J1070/L1070,0)))</f>
        <v>0</v>
      </c>
      <c r="K1071" s="203">
        <f>IF($B$1068="Лікар-педіатр","x",IF($B$1068="Лікар-терапевт",K1070/L1070,IF($B$1068="Лікар загальної практики - сімейний лікар",K1070/L1070,0)))</f>
        <v>0</v>
      </c>
      <c r="L1071" s="203">
        <f>SUM(G1071:K1071)</f>
        <v>0</v>
      </c>
      <c r="M1071" s="942"/>
      <c r="N1071" s="203">
        <f>IF($B$1068="Лікар-педіатр",N1070/S1070,IF($B$1068="Лікар-терапевт","х",IF($B$1068="Лікар загальної практики - сімейний лікар",N1070/S1070,0)))</f>
        <v>0</v>
      </c>
      <c r="O1071" s="203">
        <f>IF($B$1068="Лікар-педіатр",O1070/S1070,IF($B$1068="Лікар-терапевт","х",IF($B$1068="Лікар загальної практики - сімейний лікар",O1070/S1070,0)))</f>
        <v>0</v>
      </c>
      <c r="P1071" s="203">
        <f>IF($B$1068="Лікар-педіатр","x",IF($B$1068="Лікар-терапевт",P1070/S1070,IF($B$1068="Лікар загальної практики - сімейний лікар",P1070/S1070,0)))</f>
        <v>0</v>
      </c>
      <c r="Q1071" s="203">
        <f>IF($B$1068="Лікар-педіатр","x",IF($B$1068="Лікар-терапевт",Q1070/S1070,IF($B$1068="Лікар загальної практики - сімейний лікар",Q1070/S1070,0)))</f>
        <v>0</v>
      </c>
      <c r="R1071" s="203">
        <f>IF($B$1068="Лікар-педіатр","x",IF($B$1068="Лікар-терапевт",R1070/S1070,IF($B$1068="Лікар загальної практики - сімейний лікар",R1070/S1070,0)))</f>
        <v>0</v>
      </c>
      <c r="S1071" s="203">
        <f>SUM(N1071:R1071)</f>
        <v>0</v>
      </c>
      <c r="T1071" s="942"/>
      <c r="U1071" s="203">
        <f>IF($B$1068="Лікар-педіатр",U1070/Z1070,IF($B$1068="Лікар-терапевт","х",IF($B$1068="Лікар загальної практики - сімейний лікар",U1070/Z1070,0)))</f>
        <v>0</v>
      </c>
      <c r="V1071" s="203">
        <f>IF($B$1068="Лікар-педіатр",V1070/Z1070,IF($B$1068="Лікар-терапевт","х",IF($B$1068="Лікар загальної практики - сімейний лікар",V1070/Z1070,0)))</f>
        <v>0</v>
      </c>
      <c r="W1071" s="203">
        <f>IF($B$1068="Лікар-педіатр","x",IF($B$1068="Лікар-терапевт",W1070/Z1070,IF($B$1068="Лікар загальної практики - сімейний лікар",W1070/Z1070,0)))</f>
        <v>0</v>
      </c>
      <c r="X1071" s="203">
        <f>IF($B$1068="Лікар-педіатр","x",IF($B$1068="Лікар-терапевт",X1070/Z1070,IF($B$1068="Лікар загальної практики - сімейний лікар",X1070/Z1070,0)))</f>
        <v>0</v>
      </c>
      <c r="Y1071" s="203">
        <f>IF($B$1068="Лікар-педіатр","x",IF($B$1068="Лікар-терапевт",Y1070/Z1070,IF($B$1068="Лікар загальної практики - сімейний лікар",Y1070/Z1070,0)))</f>
        <v>0</v>
      </c>
      <c r="Z1071" s="203">
        <f>SUM(U1071:Y1071)</f>
        <v>0</v>
      </c>
      <c r="AA1071" s="942"/>
      <c r="AB1071" s="203">
        <f>IF($B$1068="Лікар-педіатр",AB1070/AG1070,IF($B$1068="Лікар-терапевт","х",IF($B$1068="Лікар загальної практики - сімейний лікар",AB1070/AG1070,0)))</f>
        <v>0</v>
      </c>
      <c r="AC1071" s="203">
        <f>IF($B$1068="Лікар-педіатр",AC1070/AG1070,IF($B$1068="Лікар-терапевт","х",IF($B$1068="Лікар загальної практики - сімейний лікар",AC1070/AG1070,0)))</f>
        <v>0</v>
      </c>
      <c r="AD1071" s="203">
        <f>IF($B$1068="Лікар-педіатр","x",IF($B$1068="Лікар-терапевт",AD1070/AG1070,IF($B$1068="Лікар загальної практики - сімейний лікар",AD1070/AG1070,0)))</f>
        <v>0</v>
      </c>
      <c r="AE1071" s="203">
        <f>IF($B$1068="Лікар-педіатр","x",IF($B$1068="Лікар-терапевт",AE1070/AG1070,IF($B$1068="Лікар загальної практики - сімейний лікар",AE1070/AG1070,0)))</f>
        <v>0</v>
      </c>
      <c r="AF1071" s="203">
        <f>IF($B$1068="Лікар-педіатр","x",IF($B$1068="Лікар-терапевт",AF1070/AG1070,IF($B$1068="Лікар загальної практики - сімейний лікар",AF1070/AG1070,0)))</f>
        <v>0</v>
      </c>
      <c r="AG1071" s="203">
        <f>SUM(AB1071:AF1071)</f>
        <v>0</v>
      </c>
      <c r="AH1071" s="942"/>
      <c r="AI1071" s="201"/>
      <c r="AJ1071" s="945"/>
      <c r="AK1071" s="960"/>
      <c r="AL1071" s="960"/>
      <c r="AM1071" s="930"/>
      <c r="AN1071" s="948"/>
      <c r="AO1071" s="948"/>
      <c r="AP1071" s="948"/>
      <c r="AQ1071" s="948"/>
      <c r="AR1071" s="963"/>
    </row>
    <row r="1072" spans="1:44" s="50" customFormat="1" ht="45" hidden="1" customHeight="1" thickBot="1">
      <c r="A1072" s="197"/>
      <c r="B1072" s="951"/>
      <c r="C1072" s="954"/>
      <c r="D1072" s="957"/>
      <c r="E1072" s="939"/>
      <c r="F1072" s="204" t="s">
        <v>662</v>
      </c>
      <c r="G1072" s="205">
        <f>IF($B$1068="Лікар загальної практики - сімейний лікар",AVERAGE(G1068:G1070),IF($B$1068="Лікар-педіатр",AVERAGE(G1068:G1070),IF($B$1068="Лікар-терапевт","х",0)))</f>
        <v>0</v>
      </c>
      <c r="H1072" s="205">
        <f>IF($B$1068="Лікар загальної практики - сімейний лікар",AVERAGE(H1068:H1070),IF($B$1068="Лікар-педіатр",AVERAGE(H1068:H1070),IF($B$1068="Лікар-терапевт","х",0)))</f>
        <v>0</v>
      </c>
      <c r="I1072" s="205">
        <f>IF($B$1068="Лікар загальної практики - сімейний лікар",AVERAGE(I1068:I1070),IF($B$1068="Лікар-педіатр","x",IF($B$1068="Лікар-терапевт",AVERAGE(I1068:I1070),0)))</f>
        <v>0</v>
      </c>
      <c r="J1072" s="205">
        <f>IF($B$1068="Лікар загальної практики - сімейний лікар",AVERAGE(J1068:J1070),IF($B$1068="Лікар-педіатр","x",IF($B$1068="Лікар-терапевт",AVERAGE(J1068:J1070),0)))</f>
        <v>0</v>
      </c>
      <c r="K1072" s="205">
        <f>IF($B$1068="Лікар загальної практики - сімейний лікар",AVERAGE(K1068:K1070),IF($B$1068="Лікар-педіатр","x",IF($B$1068="Лікар-терапевт",AVERAGE(K1068:K1070),0)))</f>
        <v>0</v>
      </c>
      <c r="L1072" s="206">
        <f>SUM(G1072:K1072)</f>
        <v>0</v>
      </c>
      <c r="M1072" s="942"/>
      <c r="N1072" s="205">
        <f>IF($B$1068="Лікар загальної практики - сімейний лікар",AVERAGE(N1068:N1070),IF($B$1068="Лікар-педіатр",AVERAGE(N1068:N1070),IF($B$1068="Лікар-терапевт","х",0)))</f>
        <v>0</v>
      </c>
      <c r="O1072" s="205">
        <f>IF($B$1068="Лікар загальної практики - сімейний лікар",AVERAGE(O1068:O1070),IF($B$1068="Лікар-педіатр",AVERAGE(O1068:O1070),IF($B$1068="Лікар-терапевт","х",0)))</f>
        <v>0</v>
      </c>
      <c r="P1072" s="205">
        <f>IF($B$1068="Лікар загальної практики - сімейний лікар",AVERAGE(P1068:P1070),IF($B$1068="Лікар-педіатр","x",IF($B$1068="Лікар-терапевт",AVERAGE(P1068:P1070),0)))</f>
        <v>0</v>
      </c>
      <c r="Q1072" s="205">
        <f>IF($B$1068="Лікар загальної практики - сімейний лікар",AVERAGE(Q1068:Q1070),IF($B$1068="Лікар-педіатр","x",IF($B$1068="Лікар-терапевт",AVERAGE(Q1068:Q1070),0)))</f>
        <v>0</v>
      </c>
      <c r="R1072" s="205">
        <f>IF($B$1068="Лікар загальної практики - сімейний лікар",AVERAGE(R1068:R1070),IF($B$1068="Лікар-педіатр","x",IF($B$1068="Лікар-терапевт",AVERAGE(R1068:R1070),0)))</f>
        <v>0</v>
      </c>
      <c r="S1072" s="206">
        <f>SUM(N1072:R1072)</f>
        <v>0</v>
      </c>
      <c r="T1072" s="942"/>
      <c r="U1072" s="205">
        <f>IF($B$1068="Лікар загальної практики - сімейний лікар",AVERAGE(U1068:U1070),IF($B$1068="Лікар-педіатр",AVERAGE(U1068:U1070),IF($B$1068="Лікар-терапевт","х",0)))</f>
        <v>0</v>
      </c>
      <c r="V1072" s="205">
        <f>IF($B$1068="Лікар загальної практики - сімейний лікар",AVERAGE(V1068:V1070),IF($B$1068="Лікар-педіатр",AVERAGE(V1068:V1070),IF($B$1068="Лікар-терапевт","х",0)))</f>
        <v>0</v>
      </c>
      <c r="W1072" s="205">
        <f>IF($B$1068="Лікар загальної практики - сімейний лікар",AVERAGE(W1068:W1070),IF($B$1068="Лікар-педіатр","x",IF($B$1068="Лікар-терапевт",AVERAGE(W1068:W1070),0)))</f>
        <v>0</v>
      </c>
      <c r="X1072" s="205">
        <f>IF($B$1068="Лікар загальної практики - сімейний лікар",AVERAGE(X1068:X1070),IF($B$1068="Лікар-педіатр","x",IF($B$1068="Лікар-терапевт",AVERAGE(X1068:X1070),0)))</f>
        <v>0</v>
      </c>
      <c r="Y1072" s="205">
        <f>IF($B$1068="Лікар загальної практики - сімейний лікар",AVERAGE(Y1068:Y1070),IF($B$1068="Лікар-педіатр","x",IF($B$1068="Лікар-терапевт",AVERAGE(Y1068:Y1070),0)))</f>
        <v>0</v>
      </c>
      <c r="Z1072" s="206">
        <f>SUM(U1072:Y1072)</f>
        <v>0</v>
      </c>
      <c r="AA1072" s="942"/>
      <c r="AB1072" s="205">
        <f>IF($B$1068="Лікар загальної практики - сімейний лікар",AVERAGE(AB1068:AB1070),IF($B$1068="Лікар-педіатр",AVERAGE(AB1068:AB1070),IF($B$1068="Лікар-терапевт","х",0)))</f>
        <v>0</v>
      </c>
      <c r="AC1072" s="205">
        <f>IF($B$1068="Лікар загальної практики - сімейний лікар",AVERAGE(AC1068:AC1070),IF($B$1068="Лікар-педіатр",AVERAGE(AC1068:AC1070),IF($B$1068="Лікар-терапевт","х",0)))</f>
        <v>0</v>
      </c>
      <c r="AD1072" s="205">
        <f>IF($B$1068="Лікар загальної практики - сімейний лікар",AVERAGE(AD1068:AD1070),IF($B$1068="Лікар-педіатр","x",IF($B$1068="Лікар-терапевт",AVERAGE(AD1068:AD1070),0)))</f>
        <v>0</v>
      </c>
      <c r="AE1072" s="205">
        <f>IF($B$1068="Лікар загальної практики - сімейний лікар",AVERAGE(AE1068:AE1070),IF($B$1068="Лікар-педіатр","x",IF($B$1068="Лікар-терапевт",AVERAGE(AE1068:AE1070),0)))</f>
        <v>0</v>
      </c>
      <c r="AF1072" s="205">
        <f>IF($B$1068="Лікар загальної практики - сімейний лікар",AVERAGE(AF1068:AF1070),IF($B$1068="Лікар-педіатр","x",IF($B$1068="Лікар-терапевт",AVERAGE(AF1068:AF1070),0)))</f>
        <v>0</v>
      </c>
      <c r="AG1072" s="206">
        <f>SUM(AB1072:AF1072)</f>
        <v>0</v>
      </c>
      <c r="AH1072" s="942"/>
      <c r="AI1072" s="201"/>
      <c r="AJ1072" s="945"/>
      <c r="AK1072" s="960"/>
      <c r="AL1072" s="960"/>
      <c r="AM1072" s="931"/>
      <c r="AN1072" s="949"/>
      <c r="AO1072" s="949"/>
      <c r="AP1072" s="949"/>
      <c r="AQ1072" s="949"/>
      <c r="AR1072" s="964"/>
    </row>
    <row r="1073" spans="1:44" s="50" customFormat="1" ht="40.5" hidden="1">
      <c r="A1073" s="197"/>
      <c r="B1073" s="951"/>
      <c r="C1073" s="954"/>
      <c r="D1073" s="957"/>
      <c r="E1073" s="939"/>
      <c r="F1073" s="237" t="str">
        <f ca="1">IF(B1068="Лікар-педіатр",Законод!$C$17,IF(B1068="Лікар загальної практики - сімейний лікар",Законод!$C$21,IF(B1068="Лікар-терапевт",Законод!$C$25,"х")))</f>
        <v>х</v>
      </c>
      <c r="G1073" s="208">
        <f ca="1">IF($B$1068="Лікар загальної практики - сімейний лікар",IF(L1072&lt;=Законод!$C$22,G1072,Законод!$C$22*'01_Доходи'!G1071),IF($B$1068="Лікар-педіатр",IF(L1072&lt;=Законод!$C$18,G1072,Законод!$C$18*'01_Доходи'!G1071),IF($B$1068="Лікар-терапевт","x",0)))</f>
        <v>0</v>
      </c>
      <c r="H1073" s="208">
        <f ca="1">IF($B$1068="Лікар загальної практики - сімейний лікар",IF(L1072&lt;=Законод!$C$22,H1072,Законод!$C$22*'01_Доходи'!H1071),IF($B$1068="Лікар-педіатр",IF(L1072&lt;=Законод!$C$18,H1072,Законод!$C$18*'01_Доходи'!H1071),IF($B$1068="Лікар-терапевт","x",0)))</f>
        <v>0</v>
      </c>
      <c r="I1073" s="208">
        <f ca="1">IF($B$1068="Лікар загальної практики - сімейний лікар",IF(L1072&lt;=Законод!$C$22,I1072,Законод!$C$22*'01_Доходи'!I1071),IF($B$1068="Лікар-педіатр","x",IF($B$1068="Лікар-терапевт",IF(L1072&lt;=Законод!$C$26,I1072,Законод!$C$26*'01_Доходи'!I1071),0)))</f>
        <v>0</v>
      </c>
      <c r="J1073" s="208">
        <f ca="1">IF($B$1068="Лікар загальної практики - сімейний лікар",IF(L1072&lt;=Законод!$C$22,J1072,Законод!$C$22*'01_Доходи'!J1071),IF($B$1068="Лікар-педіатр","x",IF($B$1068="Лікар-терапевт",IF(L1072&lt;=Законод!$C$26,J1072,Законод!$C$26*'01_Доходи'!J1071),0)))</f>
        <v>0</v>
      </c>
      <c r="K1073" s="208">
        <f ca="1">IF($B$1068="Лікар загальної практики - сімейний лікар",IF(L1072&lt;=Законод!$C$22,K1072,Законод!$C$22*'01_Доходи'!K1071),IF($B$1068="Лікар-педіатр","x",IF($B$1068="Лікар-терапевт",IF(L1072&lt;=Законод!$C$26,K1072,Законод!$C$26*'01_Доходи'!K1071),0)))</f>
        <v>0</v>
      </c>
      <c r="L1073" s="209">
        <f ca="1">SUM(G1073:K1073)</f>
        <v>0</v>
      </c>
      <c r="M1073" s="942"/>
      <c r="N1073" s="208">
        <f ca="1">IF($B$1068="Лікар загальної практики - сімейний лікар",IF(S1072&lt;=Законод!$C$22,N1072,Законод!$C$22*'01_Доходи'!N1071),IF($B$1068="Лікар-педіатр",IF(S1072&lt;=Законод!$C$18,N1072,Законод!$C$18*'01_Доходи'!N1071),IF($B$1068="Лікар-терапевт","x",0)))</f>
        <v>0</v>
      </c>
      <c r="O1073" s="208">
        <f ca="1">IF($B$1068="Лікар загальної практики - сімейний лікар",IF(S1072&lt;=Законод!$C$22,O1072,Законод!$C$22*'01_Доходи'!O1071),IF($B$1068="Лікар-педіатр",IF(S1072&lt;=Законод!$C$18,O1072,Законод!$C$18*'01_Доходи'!O1071),IF($B$1068="Лікар-терапевт","x",0)))</f>
        <v>0</v>
      </c>
      <c r="P1073" s="208">
        <f ca="1">IF($B$1068="Лікар загальної практики - сімейний лікар",IF(S1072&lt;=Законод!$C$22,P1072,Законод!$C$22*'01_Доходи'!P1071),IF($B$1068="Лікар-педіатр","x",IF($B$1068="Лікар-терапевт",IF(S1072&lt;=Законод!$C$26,P1072,Законод!$C$26*'01_Доходи'!P1071),0)))</f>
        <v>0</v>
      </c>
      <c r="Q1073" s="208">
        <f ca="1">IF($B$1068="Лікар загальної практики - сімейний лікар",IF(S1072&lt;=Законод!$C$22,Q1072,Законод!$C$22*'01_Доходи'!Q1071),IF($B$1068="Лікар-педіатр","x",IF($B$1068="Лікар-терапевт",IF(S1072&lt;=Законод!$C$26,Q1072,Законод!$C$26*'01_Доходи'!Q1071),0)))</f>
        <v>0</v>
      </c>
      <c r="R1073" s="208">
        <f ca="1">IF($B$1068="Лікар загальної практики - сімейний лікар",IF(S1072&lt;=Законод!$C$22,R1072,Законод!$C$22*'01_Доходи'!R1071),IF($B$1068="Лікар-педіатр","x",IF($B$1068="Лікар-терапевт",IF(S1072&lt;=Законод!$C$26,R1072,Законод!$C$26*'01_Доходи'!R1071),0)))</f>
        <v>0</v>
      </c>
      <c r="S1073" s="209">
        <f ca="1">SUM(N1073:R1073)</f>
        <v>0</v>
      </c>
      <c r="T1073" s="942"/>
      <c r="U1073" s="208">
        <f ca="1">IF($B$1068="Лікар загальної практики - сімейний лікар",IF(Z1072&lt;=Законод!$C$22,U1072,Законод!$C$22*'01_Доходи'!U1071),IF($B$1068="Лікар-педіатр",IF(Z1072&lt;=Законод!$C$18,U1072,Законод!$C$18*'01_Доходи'!U1071),IF($B$1068="Лікар-терапевт","x",0)))</f>
        <v>0</v>
      </c>
      <c r="V1073" s="208">
        <f ca="1">IF($B$1068="Лікар загальної практики - сімейний лікар",IF(Z1072&lt;=Законод!$C$22,V1072,Законод!$C$22*'01_Доходи'!V1071),IF($B$1068="Лікар-педіатр",IF(Z1072&lt;=Законод!$C$18,V1072,Законод!$C$18*'01_Доходи'!V1071),IF($B$1068="Лікар-терапевт","x",0)))</f>
        <v>0</v>
      </c>
      <c r="W1073" s="208">
        <f ca="1">IF($B$1068="Лікар загальної практики - сімейний лікар",IF(Z1072&lt;=Законод!$C$22,W1072,Законод!$C$22*'01_Доходи'!W1071),IF($B$1068="Лікар-педіатр","x",IF($B$1068="Лікар-терапевт",IF(Z1072&lt;=Законод!$C$26,W1072,Законод!$C$26*'01_Доходи'!W1071),0)))</f>
        <v>0</v>
      </c>
      <c r="X1073" s="208">
        <f ca="1">IF($B$1068="Лікар загальної практики - сімейний лікар",IF(Z1072&lt;=Законод!$C$22,X1072,Законод!$C$22*'01_Доходи'!X1071),IF($B$1068="Лікар-педіатр","x",IF($B$1068="Лікар-терапевт",IF(Z1072&lt;=Законод!$C$26,X1072,Законод!$C$26*'01_Доходи'!X1071),0)))</f>
        <v>0</v>
      </c>
      <c r="Y1073" s="208">
        <f ca="1">IF($B$1068="Лікар загальної практики - сімейний лікар",IF(Z1072&lt;=Законод!$C$22,Y1072,Законод!$C$22*'01_Доходи'!Y1071),IF($B$1068="Лікар-педіатр","x",IF($B$1068="Лікар-терапевт",IF(Z1072&lt;=Законод!$C$26,Y1072,Законод!$C$26*'01_Доходи'!Y1071),0)))</f>
        <v>0</v>
      </c>
      <c r="Z1073" s="209">
        <f ca="1">SUM(U1073:Y1073)</f>
        <v>0</v>
      </c>
      <c r="AA1073" s="942"/>
      <c r="AB1073" s="208">
        <f ca="1">IF($B$1068="Лікар загальної практики - сімейний лікар",IF(AG1072&lt;=Законод!$C$22,AB1072,Законод!$C$22*'01_Доходи'!AB1071),IF($B$1068="Лікар-педіатр",IF(AG1072&lt;=Законод!$C$18,AB1072,Законод!$C$18*'01_Доходи'!AB1071),IF($B$1068="Лікар-терапевт","x",0)))</f>
        <v>0</v>
      </c>
      <c r="AC1073" s="208">
        <f ca="1">IF($B$1068="Лікар загальної практики - сімейний лікар",IF(AG1072&lt;=Законод!$C$22,AC1072,Законод!$C$22*'01_Доходи'!AC1071),IF($B$1068="Лікар-педіатр",IF(AG1072&lt;=Законод!$C$18,AC1072,Законод!$C$18*'01_Доходи'!AC1071),IF($B$1068="Лікар-терапевт","x",0)))</f>
        <v>0</v>
      </c>
      <c r="AD1073" s="208">
        <f ca="1">IF($B$1068="Лікар загальної практики - сімейний лікар",IF(AG1072&lt;=Законод!$C$22,AD1072,Законод!$C$22*'01_Доходи'!AD1071),IF($B$1068="Лікар-педіатр","x",IF($B$1068="Лікар-терапевт",IF(AG1072&lt;=Законод!$C$26,AD1072,Законод!$C$26*'01_Доходи'!AD1071),0)))</f>
        <v>0</v>
      </c>
      <c r="AE1073" s="208">
        <f ca="1">IF($B$1068="Лікар загальної практики - сімейний лікар",IF(AG1072&lt;=Законод!$C$22,AE1072,Законод!$C$22*'01_Доходи'!AE1071),IF($B$1068="Лікар-педіатр","x",IF($B$1068="Лікар-терапевт",IF(AG1072&lt;=Законод!$C$26,AE1072,Законод!$C$26*'01_Доходи'!AE1071),0)))</f>
        <v>0</v>
      </c>
      <c r="AF1073" s="208">
        <f ca="1">IF($B$1068="Лікар загальної практики - сімейний лікар",IF(AG1072&lt;=Законод!$C$22,AF1072,Законод!$C$22*'01_Доходи'!AF1071),IF($B$1068="Лікар-педіатр","x",IF($B$1068="Лікар-терапевт",IF(AG1072&lt;=Законод!$C$26,AF1072,Законод!$C$26*'01_Доходи'!AF1071),0)))</f>
        <v>0</v>
      </c>
      <c r="AG1073" s="209">
        <f ca="1">SUM(AB1073:AF1073)</f>
        <v>0</v>
      </c>
      <c r="AH1073" s="942"/>
      <c r="AI1073" s="201"/>
      <c r="AJ1073" s="945"/>
      <c r="AK1073" s="960"/>
      <c r="AL1073" s="960"/>
      <c r="AM1073" s="348" t="s">
        <v>451</v>
      </c>
      <c r="AN1073" s="210">
        <f ca="1">IF(B1068="Лікар загальної практики - сімейний лікар",G1073*Законод!$C$11+'01_Доходи'!H1073*Законод!$D$11+'01_Доходи'!I1073*Законод!$E$11+'01_Доходи'!J1073*Законод!$F$11+'01_Доходи'!K1073*Законод!$G$11,IF(B1068="Лікар-педіатр",G1073*Законод!$C$11+'01_Доходи'!H1073*Законод!$D$11,IF(B1068="Лікар-терапевт",'01_Доходи'!I1073*Законод!$E$11+'01_Доходи'!J1073*Законод!$F$11+'01_Доходи'!K1073*Законод!$G$11,0)))</f>
        <v>0</v>
      </c>
      <c r="AO1073" s="210">
        <f ca="1">IF(B1068="Лікар загальної практики - сімейний лікар",N1073*Законод!$C$11+'01_Доходи'!O1073*Законод!$D$11+'01_Доходи'!P1073*Законод!$E$11+'01_Доходи'!Q1073*Законод!$F$11+'01_Доходи'!R1073*Законод!$G$11,IF(B1068="Лікар-педіатр",N1073*Законод!$C$11+'01_Доходи'!O1073*Законод!$D$11,IF(B1068="Лікар-терапевт",'01_Доходи'!P1073*Законод!$E$11+'01_Доходи'!Q1073*Законод!$F$11+'01_Доходи'!R1073*Законод!$G$11,0)))</f>
        <v>0</v>
      </c>
      <c r="AP1073" s="210">
        <f ca="1">IF(B1068="Лікар загальної практики - сімейний лікар",U1073*Законод!$C$11+'01_Доходи'!V1073*Законод!$D$11+'01_Доходи'!W1073*Законод!$E$11+'01_Доходи'!X1073*Законод!$F$11+'01_Доходи'!Y1073*Законод!$G$11,IF(B1068="Лікар-педіатр",U1073*Законод!$C$11+'01_Доходи'!V1073*Законод!$D$11,IF(B1068="Лікар-терапевт",'01_Доходи'!W1073*Законод!$E$11+'01_Доходи'!X1073*Законод!$F$11+'01_Доходи'!Y1073*Законод!$G$11,0)))</f>
        <v>0</v>
      </c>
      <c r="AQ1073" s="210">
        <f ca="1">IF(B1068="Лікар загальної практики - сімейний лікар",AB1073*Законод!$C$11+'01_Доходи'!AC1073*Законод!$D$11+'01_Доходи'!AD1073*Законод!$E$11+'01_Доходи'!AE1073*Законод!$F$11+'01_Доходи'!AF1073*Законод!$G$11,IF(B1068="Лікар-педіатр",AB1073*Законод!$C$11+'01_Доходи'!AC1073*Законод!$D$11,IF(B1068="Лікар-терапевт",'01_Доходи'!AD1073*Законод!$E$11+'01_Доходи'!AE1073*Законод!$F$11+'01_Доходи'!AF1073*Законод!$G$11,0)))</f>
        <v>0</v>
      </c>
      <c r="AR1073" s="211">
        <f t="shared" ref="AR1073:AR1079" si="122">SUM(AN1073:AQ1073)</f>
        <v>0</v>
      </c>
    </row>
    <row r="1074" spans="1:44" s="50" customFormat="1" ht="31.9" hidden="1" customHeight="1">
      <c r="A1074" s="197"/>
      <c r="B1074" s="951"/>
      <c r="C1074" s="954"/>
      <c r="D1074" s="957"/>
      <c r="E1074" s="939"/>
      <c r="F1074" s="238" t="str">
        <f ca="1">IF(B1068="Лікар-педіатр",Законод!$E$17,IF(B1068="Лікар загальної практики - сімейний лікар",Законод!$E$21,IF(B1068="Лікар-терапевт",Законод!$E$25,"х")))</f>
        <v>х</v>
      </c>
      <c r="G1074" s="935" t="s">
        <v>423</v>
      </c>
      <c r="H1074" s="936"/>
      <c r="I1074" s="936"/>
      <c r="J1074" s="936"/>
      <c r="K1074" s="937"/>
      <c r="L1074" s="196">
        <f ca="1">IF($B$1068="Лікар загальної практики - сімейний лікар",IF(L1072&lt;Законод!$C$22,0,(IF(AND(L1072&gt;=Законод!$E$22,L1072&lt;=Законод!$E$23),L1072-Законод!$C$22,IF('01_Доходи'!L1072&gt;=Законод!$F$22,Законод!$E$24,0)))),IF($B$1068="Лікар-педіатр",IF(L1072&lt;Законод!$C$18,0,(IF(AND(L1072&gt;=Законод!$E$18,L1072&lt;=Законод!$E$19),L1072-Законод!$C$18,IF('01_Доходи'!L1072&gt;=Законод!$F$18,Законод!$E$20,0)))),IF($B$1068="Лікар-терапевт",IF(L1072&lt;Законод!$C$26,0,(IF(AND(L1072&gt;=Законод!$E$26,L1072&lt;=Законод!$E$27),L1072-Законод!$C$26,IF('01_Доходи'!L1072&gt;=Законод!$F$26,Законод!$E$28,0)))),0)))</f>
        <v>0</v>
      </c>
      <c r="M1074" s="942"/>
      <c r="N1074" s="935" t="s">
        <v>423</v>
      </c>
      <c r="O1074" s="936"/>
      <c r="P1074" s="936"/>
      <c r="Q1074" s="936"/>
      <c r="R1074" s="937"/>
      <c r="S1074" s="196">
        <f ca="1">IF($B$1068="Лікар загальної практики - сімейний лікар",IF(S1072&lt;Законод!$C$22,0,(IF(AND(S1072&gt;=Законод!$E$22,S1072&lt;=Законод!$E$23),S1072-Законод!$C$22,IF('01_Доходи'!S1072&gt;=Законод!$F$22,Законод!$E$24,0)))),IF($B$1068="Лікар-педіатр",IF(S1072&lt;Законод!$C$18,0,(IF(AND(S1072&gt;=Законод!$E$18,S1072&lt;=Законод!$E$19),S1072-Законод!$C$18,IF('01_Доходи'!S1072&gt;=Законод!$F$18,Законод!$E$20,0)))),IF($B$1068="Лікар-терапевт",IF(S1072&lt;Законод!$C$26,0,(IF(AND(S1072&gt;=Законод!$E$26,S1072&lt;=Законод!$E$27),S1072-Законод!$C$26,IF('01_Доходи'!S1072&gt;=Законод!$F$26,Законод!$E$28,0)))),0)))</f>
        <v>0</v>
      </c>
      <c r="T1074" s="942"/>
      <c r="U1074" s="935" t="s">
        <v>423</v>
      </c>
      <c r="V1074" s="936"/>
      <c r="W1074" s="936"/>
      <c r="X1074" s="936"/>
      <c r="Y1074" s="937"/>
      <c r="Z1074" s="196">
        <f ca="1">IF($B$1068="Лікар загальної практики - сімейний лікар",IF(Z1072&lt;Законод!$C$22,0,(IF(AND(Z1072&gt;=Законод!$E$22,Z1072&lt;=Законод!$E$23),Z1072-Законод!$C$22,IF('01_Доходи'!Z1072&gt;=Законод!$F$22,Законод!$E$24,0)))),IF($B$1068="Лікар-педіатр",IF(Z1072&lt;Законод!$C$18,0,(IF(AND(Z1072&gt;=Законод!$E$18,Z1072&lt;=Законод!$E$19),Z1072-Законод!$C$18,IF('01_Доходи'!Z1072&gt;=Законод!$F$18,Законод!$E$20,0)))),IF($B$1068="Лікар-терапевт",IF(Z1072&lt;Законод!$C$26,0,(IF(AND(Z1072&gt;=Законод!$E$26,Z1072&lt;=Законод!$E$27),Z1072-Законод!$C$26,IF('01_Доходи'!Z1072&gt;=Законод!$F$26,Законод!$E$28,0)))),0)))</f>
        <v>0</v>
      </c>
      <c r="AA1074" s="942"/>
      <c r="AB1074" s="935" t="s">
        <v>423</v>
      </c>
      <c r="AC1074" s="936"/>
      <c r="AD1074" s="936"/>
      <c r="AE1074" s="936"/>
      <c r="AF1074" s="937"/>
      <c r="AG1074" s="196">
        <f ca="1">IF($B$1068="Лікар загальної практики - сімейний лікар",IF(AG1072&lt;Законод!$C$22,0,(IF(AND(AG1072&gt;=Законод!$E$22,AG1072&lt;=Законод!$E$23),AG1072-Законод!$C$22,IF('01_Доходи'!AG1072&gt;=Законод!$F$22,Законод!$E$24,0)))),IF($B$1068="Лікар-педіатр",IF(AG1072&lt;Законод!$C$18,0,(IF(AND(AG1072&gt;=Законод!$E$18,AG1072&lt;=Законод!$E$19),AG1072-Законод!$C$18,IF('01_Доходи'!AG1072&gt;=Законод!$F$18,Законод!$E$20,0)))),IF($B$1068="Лікар-терапевт",IF(AG1072&lt;Законод!$C$26,0,(IF(AND(AG1072&gt;=Законод!$E$26,AG1072&lt;=Законод!$E$27),AG1072-Законод!$C$26,IF('01_Доходи'!AG1072&gt;=Законод!$F$26,Законод!$E$28,0)))),0)))</f>
        <v>0</v>
      </c>
      <c r="AH1074" s="942"/>
      <c r="AI1074" s="201"/>
      <c r="AJ1074" s="945"/>
      <c r="AK1074" s="960"/>
      <c r="AL1074" s="960"/>
      <c r="AM1074" s="926" t="s">
        <v>452</v>
      </c>
      <c r="AN1074" s="210">
        <f ca="1">IF(B1068="Лікар загальної практики - сімейний лікар",L1074*Законод!$C$9/4*Законод!$E$16,IF(B1068="Лікар-педіатр",L1074*Законод!$C$9/4*Законод!$E$16,IF(B1068="Лікар-терапевт",L1074*Законод!$C$9/4*Законод!$E$16,0)))</f>
        <v>0</v>
      </c>
      <c r="AO1074" s="210">
        <f ca="1">IF(B1068="Лікар загальної практики - сімейний лікар",S1074*Законод!$C$9/4*Законод!$E$16,IF(B1068="Лікар-педіатр",S1074*Законод!$C$9/4*Законод!$E$16,IF(B1068="Лікар-терапевт",S1074*Законод!$C$9/4*Законод!$E$16,0)))</f>
        <v>0</v>
      </c>
      <c r="AP1074" s="210">
        <f ca="1">IF(B1068="Лікар загальної практики - сімейний лікар",Z1074*Законод!$C$9/4*Законод!$E$16,IF(B1068="Лікар-педіатр",Z1074*Законод!$C$9/4*Законод!$E$16,IF(B1068="Лікар-терапевт",Z1074*Законод!$C$9/4*Законод!$E$16,0)))</f>
        <v>0</v>
      </c>
      <c r="AQ1074" s="210">
        <f ca="1">IF(B1068="Лікар загальної практики - сімейний лікар",AG1074*Законод!$C$9/4*Законод!$E$16,IF(B1068="Лікар-педіатр",AG1074*Законод!$C$9/4*Законод!$E$16,IF(B1068="Лікар-терапевт",AG1074*Законод!$C$9/4*Законод!$E$16,0)))</f>
        <v>0</v>
      </c>
      <c r="AR1074" s="211">
        <f t="shared" si="122"/>
        <v>0</v>
      </c>
    </row>
    <row r="1075" spans="1:44" s="50" customFormat="1" ht="31.9" hidden="1" customHeight="1">
      <c r="A1075" s="197"/>
      <c r="B1075" s="951"/>
      <c r="C1075" s="954"/>
      <c r="D1075" s="957"/>
      <c r="E1075" s="939"/>
      <c r="F1075" s="238" t="str">
        <f ca="1">IF(B1068="Лікар-педіатр",Законод!$F$17,IF(B1068="Лікар загальної практики - сімейний лікар",Законод!$F$21,IF(B1068="Лікар-терапевт",Законод!$F$25,"х")))</f>
        <v>х</v>
      </c>
      <c r="G1075" s="935" t="s">
        <v>423</v>
      </c>
      <c r="H1075" s="936"/>
      <c r="I1075" s="936"/>
      <c r="J1075" s="936"/>
      <c r="K1075" s="937"/>
      <c r="L1075" s="196">
        <f ca="1">IF($B$1068="Лікар загальної практики - сімейний лікар",IF(L1072&lt;Законод!$C$22,0,(IF(AND(L1072&gt;=Законод!$F$22,L1072&lt;=Законод!$F$23),L1072-Законод!$E$23,IF('01_Доходи'!L1072&gt;=Законод!$G$22,Законод!$F$24,0)))),IF($B$1068="Лікар-педіатр",IF(L1072&lt;Законод!$C$18,0,(IF(AND(L1072&gt;=Законод!$F$18,L1072&lt;=Законод!$F$19),L1072-Законод!$E$19,IF('01_Доходи'!L1072&gt;=Законод!$G$18,Законод!$F$20,0)))),IF($B$1068="Лікар-терапевт",IF(L1072&lt;Законод!$C$26,0,(IF(AND(L1072&gt;=Законод!$F$26,L1072&lt;=Законод!$F$27),L1072-Законод!$E$27,IF('01_Доходи'!L1072&gt;=Законод!$G$26,Законод!$F$28,0)))),0)))</f>
        <v>0</v>
      </c>
      <c r="M1075" s="942"/>
      <c r="N1075" s="935" t="s">
        <v>423</v>
      </c>
      <c r="O1075" s="936"/>
      <c r="P1075" s="936"/>
      <c r="Q1075" s="936"/>
      <c r="R1075" s="937"/>
      <c r="S1075" s="196">
        <f ca="1">IF($B$1068="Лікар загальної практики - сімейний лікар",IF(S1072&lt;Законод!$C$22,0,(IF(AND(S1072&gt;=Законод!$F$22,S1072&lt;=Законод!$F$23),S1072-Законод!$E$23,IF('01_Доходи'!S1072&gt;=Законод!$G$22,Законод!$F$24,0)))),IF($B$1068="Лікар-педіатр",IF(S1072&lt;Законод!$C$18,0,(IF(AND(S1072&gt;=Законод!$F$18,S1072&lt;=Законод!$F$19),S1072-Законод!$E$19,IF('01_Доходи'!S1072&gt;=Законод!$G$18,Законод!$F$20,0)))),IF($B$1068="Лікар-терапевт",IF(S1072&lt;Законод!$C$26,0,(IF(AND(S1072&gt;=Законод!$F$26,S1072&lt;=Законод!$F$27),S1072-Законод!$E$27,IF('01_Доходи'!S1072&gt;=Законод!$G$26,Законод!$F$28,0)))),0)))</f>
        <v>0</v>
      </c>
      <c r="T1075" s="942"/>
      <c r="U1075" s="935" t="s">
        <v>423</v>
      </c>
      <c r="V1075" s="936"/>
      <c r="W1075" s="936"/>
      <c r="X1075" s="936"/>
      <c r="Y1075" s="937"/>
      <c r="Z1075" s="196">
        <f ca="1">IF($B$1068="Лікар загальної практики - сімейний лікар",IF(Z1072&lt;Законод!$C$22,0,(IF(AND(Z1072&gt;=Законод!$F$22,Z1072&lt;=Законод!$F$23),Z1072-Законод!$E$23,IF('01_Доходи'!Z1072&gt;=Законод!$G$22,Законод!$F$24,0)))),IF($B$1068="Лікар-педіатр",IF(Z1072&lt;Законод!$C$18,0,(IF(AND(Z1072&gt;=Законод!$F$18,Z1072&lt;=Законод!$F$19),Z1072-Законод!$E$19,IF('01_Доходи'!Z1072&gt;=Законод!$G$18,Законод!$F$20,0)))),IF($B$1068="Лікар-терапевт",IF(Z1072&lt;Законод!$C$26,0,(IF(AND(Z1072&gt;=Законод!$F$26,Z1072&lt;=Законод!$F$27),Z1072-Законод!$E$27,IF('01_Доходи'!Z1072&gt;=Законод!$G$26,Законод!$F$28,0)))),0)))</f>
        <v>0</v>
      </c>
      <c r="AA1075" s="942"/>
      <c r="AB1075" s="935" t="s">
        <v>423</v>
      </c>
      <c r="AC1075" s="936"/>
      <c r="AD1075" s="936"/>
      <c r="AE1075" s="936"/>
      <c r="AF1075" s="937"/>
      <c r="AG1075" s="196">
        <f ca="1">IF($B$1068="Лікар загальної практики - сімейний лікар",IF(AG1072&lt;Законод!$C$22,0,(IF(AND(AG1072&gt;=Законод!$F$22,AG1072&lt;=Законод!$F$23),AG1072-Законод!$E$23,IF('01_Доходи'!AG1072&gt;=Законод!$G$22,Законод!$F$24,0)))),IF($B$1068="Лікар-педіатр",IF(AG1072&lt;Законод!$C$18,0,(IF(AND(AG1072&gt;=Законод!$F$18,AG1072&lt;=Законод!$F$19),AG1072-Законод!$E$19,IF('01_Доходи'!AG1072&gt;=Законод!$G$18,Законод!$F$20,0)))),IF($B$1068="Лікар-терапевт",IF(AG1072&lt;Законод!$C$26,0,(IF(AND(AG1072&gt;=Законод!$F$26,AG1072&lt;=Законод!$F$27),AG1072-Законод!$E$27,IF('01_Доходи'!AG1072&gt;=Законод!$G$26,Законод!$F$28,0)))),0)))</f>
        <v>0</v>
      </c>
      <c r="AH1075" s="942"/>
      <c r="AI1075" s="201"/>
      <c r="AJ1075" s="945"/>
      <c r="AK1075" s="960"/>
      <c r="AL1075" s="960"/>
      <c r="AM1075" s="927"/>
      <c r="AN1075" s="210">
        <f ca="1">IF(B1068="Лікар загальної практики - сімейний лікар",L1075*Законод!$C$9/4*Законод!$F$16,IF(B1068="Лікар-педіатр",L1075*Законод!$C$9/4*Законод!$F$16,IF(B1068="Лікар-терапевт",L1075*Законод!$C$9/4*Законод!$F$16,0)))</f>
        <v>0</v>
      </c>
      <c r="AO1075" s="210">
        <f ca="1">IF(B1068="Лікар загальної практики - сімейний лікар",S1075*Законод!$C$9/4*Законод!$F$16,IF(B1068="Лікар-педіатр",S1075*Законод!$C$9/4*Законод!$F$16,IF(B1068="Лікар-терапевт",S1075*Законод!$C$9/4*Законод!$F$16,0)))</f>
        <v>0</v>
      </c>
      <c r="AP1075" s="210">
        <f ca="1">IF(B1068="Лікар загальної практики - сімейний лікар",Z1075*Законод!$C$9/4*Законод!$F$16,IF(B1068="Лікар-педіатр",Z1075*Законод!$C$9/4*Законод!$F$16,IF(B1068="Лікар-терапевт",Z1075*Законод!$C$9/4*Законод!$F$16,0)))</f>
        <v>0</v>
      </c>
      <c r="AQ1075" s="210">
        <f ca="1">IF(B1068="Лікар загальної практики - сімейний лікар",AG1075*Законод!$C$9/4*Законод!$F$16,IF(B1068="Лікар-педіатр",AG1075*Законод!$C$9/4*Законод!$F$16,IF(B1068="Лікар-терапевт",AG1075*Законод!$C$9/4*Законод!$F$16,0)))</f>
        <v>0</v>
      </c>
      <c r="AR1075" s="211">
        <f t="shared" si="122"/>
        <v>0</v>
      </c>
    </row>
    <row r="1076" spans="1:44" s="50" customFormat="1" ht="31.9" hidden="1" customHeight="1">
      <c r="A1076" s="197"/>
      <c r="B1076" s="951"/>
      <c r="C1076" s="954"/>
      <c r="D1076" s="957"/>
      <c r="E1076" s="939"/>
      <c r="F1076" s="238" t="str">
        <f ca="1">IF(B1068="Лікар-педіатр",Законод!$G$17,IF(B1068="Лікар загальної практики - сімейний лікар",Законод!$G$21,IF(B1068="Лікар-терапевт",Законод!$G$25,"х")))</f>
        <v>х</v>
      </c>
      <c r="G1076" s="935" t="s">
        <v>423</v>
      </c>
      <c r="H1076" s="936"/>
      <c r="I1076" s="936"/>
      <c r="J1076" s="936"/>
      <c r="K1076" s="937"/>
      <c r="L1076" s="196">
        <f ca="1">IF($B$1068="Лікар загальної практики - сімейний лікар",IF(L1072&lt;Законод!$C$22,0,(IF(AND(L1072&gt;=Законод!$G$22,L1072&lt;=Законод!$G$23),L1072-Законод!$F$23,IF('01_Доходи'!L1072&gt;=Законод!$H$22,Законод!$G$24,0)))),IF($B$1068="Лікар-педіатр",IF(L1072&lt;Законод!$C$18,0,(IF(AND(L1072&gt;=Законод!$G$18,L1072&lt;=Законод!$G$19),L1072-Законод!$F$19,IF('01_Доходи'!L1072&gt;=Законод!$H$18,Законод!$G$20,0)))),IF($B$1068="Лікар-терапевт",IF(L1072&lt;Законод!$C$26,0,(IF(AND(L1072&gt;=Законод!$G$26,L1072&lt;=Законод!$G$27),L1072-Законод!$F$27,IF('01_Доходи'!L1072&gt;=Законод!$H$26,Законод!$G$28,0)))),0)))</f>
        <v>0</v>
      </c>
      <c r="M1076" s="942"/>
      <c r="N1076" s="935" t="s">
        <v>423</v>
      </c>
      <c r="O1076" s="936"/>
      <c r="P1076" s="936"/>
      <c r="Q1076" s="936"/>
      <c r="R1076" s="937"/>
      <c r="S1076" s="196">
        <f ca="1">IF($B$1068="Лікар загальної практики - сімейний лікар",IF(S1072&lt;Законод!$C$22,0,(IF(AND(S1072&gt;=Законод!$G$22,S1072&lt;=Законод!$G$23),S1072-Законод!$F$23,IF('01_Доходи'!S1072&gt;=Законод!$H$22,Законод!$G$24,0)))),IF($B$1068="Лікар-педіатр",IF(S1072&lt;Законод!$C$18,0,(IF(AND(S1072&gt;=Законод!$G$18,S1072&lt;=Законод!$G$19),S1072-Законод!$F$19,IF('01_Доходи'!S1072&gt;=Законод!$H$18,Законод!$G$20,0)))),IF($B$1068="Лікар-терапевт",IF(S1072&lt;Законод!$C$26,0,(IF(AND(S1072&gt;=Законод!$G$26,S1072&lt;=Законод!$G$27),S1072-Законод!$F$27,IF('01_Доходи'!S1072&gt;=Законод!$H$26,Законод!$G$28,0)))),0)))</f>
        <v>0</v>
      </c>
      <c r="T1076" s="942"/>
      <c r="U1076" s="935" t="s">
        <v>423</v>
      </c>
      <c r="V1076" s="936"/>
      <c r="W1076" s="936"/>
      <c r="X1076" s="936"/>
      <c r="Y1076" s="937"/>
      <c r="Z1076" s="196">
        <f ca="1">IF($B$1068="Лікар загальної практики - сімейний лікар",IF(Z1072&lt;Законод!$C$22,0,(IF(AND(Z1072&gt;=Законод!$G$22,Z1072&lt;=Законод!$G$23),Z1072-Законод!$F$23,IF('01_Доходи'!Z1072&gt;=Законод!$H$22,Законод!$G$24,0)))),IF($B$1068="Лікар-педіатр",IF(Z1072&lt;Законод!$C$18,0,(IF(AND(Z1072&gt;=Законод!$G$18,Z1072&lt;=Законод!$G$19),Z1072-Законод!$F$19,IF('01_Доходи'!Z1072&gt;=Законод!$H$18,Законод!$G$20,0)))),IF($B$1068="Лікар-терапевт",IF(Z1072&lt;Законод!$C$26,0,(IF(AND(Z1072&gt;=Законод!$G$26,Z1072&lt;=Законод!$G$27),Z1072-Законод!$F$27,IF('01_Доходи'!Z1072&gt;=Законод!$H$26,Законод!$G$28,0)))),0)))</f>
        <v>0</v>
      </c>
      <c r="AA1076" s="942"/>
      <c r="AB1076" s="935" t="s">
        <v>423</v>
      </c>
      <c r="AC1076" s="936"/>
      <c r="AD1076" s="936"/>
      <c r="AE1076" s="936"/>
      <c r="AF1076" s="937"/>
      <c r="AG1076" s="196">
        <f ca="1">IF($B$1068="Лікар загальної практики - сімейний лікар",IF(AG1072&lt;Законод!$C$22,0,(IF(AND(AG1072&gt;=Законод!$G$22,AG1072&lt;=Законод!$G$23),AG1072-Законод!$F$23,IF('01_Доходи'!AG1072&gt;=Законод!$H$22,Законод!$G$24,0)))),IF($B$1068="Лікар-педіатр",IF(AG1072&lt;Законод!$C$18,0,(IF(AND(AG1072&gt;=Законод!$G$18,AG1072&lt;=Законод!$G$19),AG1072-Законод!$F$19,IF('01_Доходи'!AG1072&gt;=Законод!$H$18,Законод!$G$20,0)))),IF($B$1068="Лікар-терапевт",IF(AG1072&lt;Законод!$C$26,0,(IF(AND(AG1072&gt;=Законод!$G$26,AG1072&lt;=Законод!$G$27),AG1072-Законод!$F$27,IF('01_Доходи'!AG1072&gt;=Законод!$H$26,Законод!$G$28,0)))),0)))</f>
        <v>0</v>
      </c>
      <c r="AH1076" s="942"/>
      <c r="AI1076" s="201"/>
      <c r="AJ1076" s="945"/>
      <c r="AK1076" s="960"/>
      <c r="AL1076" s="960"/>
      <c r="AM1076" s="927"/>
      <c r="AN1076" s="210">
        <f ca="1">IF(B1068="Лікар загальної практики - сімейний лікар",L1076*Законод!$C$9/4*Законод!$G$16,IF(B1068="Лікар-педіатр",L1076*Законод!$C$9/4*Законод!$G$16,IF(B1068="Лікар-терапевт",L1076*Законод!$C$9/4*Законод!$G$16,0)))</f>
        <v>0</v>
      </c>
      <c r="AO1076" s="210">
        <f ca="1">IF(B1068="Лікар загальної практики - сімейний лікар",S1076*Законод!$C$9/4*Законод!$G$16,IF(B1068="Лікар-педіатр",S1076*Законод!$C$9/4*Законод!$G$16,IF(B1068="Лікар-терапевт",S1076*Законод!$C$9/4*Законод!$G$16,0)))</f>
        <v>0</v>
      </c>
      <c r="AP1076" s="210">
        <f ca="1">IF(B1068="Лікар загальної практики - сімейний лікар",Z1076*Законод!$C$9/4*Законод!$G$16,IF(B1068="Лікар-педіатр",Z1076*Законод!$C$9/4*Законод!$G$16,IF(B1068="Лікар-терапевт",Z1076*Законод!$C$9/4*Законод!$G$16,0)))</f>
        <v>0</v>
      </c>
      <c r="AQ1076" s="210">
        <f ca="1">IF(B1068="Лікар загальної практики - сімейний лікар",AG1076*Законод!$C$9/4*Законод!$G$16,IF(B1068="Лікар-педіатр",AG1076*Законод!$C$9/4*Законод!$G$16,IF(B1068="Лікар-терапевт",AG1076*Законод!$C$9/4*Законод!$G$16,0)))</f>
        <v>0</v>
      </c>
      <c r="AR1076" s="211">
        <f t="shared" si="122"/>
        <v>0</v>
      </c>
    </row>
    <row r="1077" spans="1:44" s="50" customFormat="1" ht="31.9" hidden="1" customHeight="1">
      <c r="A1077" s="197"/>
      <c r="B1077" s="951"/>
      <c r="C1077" s="954"/>
      <c r="D1077" s="957"/>
      <c r="E1077" s="939"/>
      <c r="F1077" s="238" t="str">
        <f ca="1">IF(B1068="Лікар-педіатр",Законод!$H$17,IF(B1068="Лікар загальної практики - сімейний лікар",Законод!$H$21,IF(B1068="Лікар-терапевт",Законод!$H$25,"х")))</f>
        <v>х</v>
      </c>
      <c r="G1077" s="935" t="s">
        <v>423</v>
      </c>
      <c r="H1077" s="936"/>
      <c r="I1077" s="936"/>
      <c r="J1077" s="936"/>
      <c r="K1077" s="937"/>
      <c r="L1077" s="196">
        <f ca="1">IF($B$1068="Лікар загальної практики - сімейний лікар",IF(L1072&lt;Законод!$C$22,0,(IF(AND(L1072&gt;=Законод!$H$22,L1072&lt;=Законод!$H$23),L1072-Законод!$G$23,IF('01_Доходи'!L1072&gt;=Законод!$I$22,Законод!$H$24,0)))),IF($B$1068="Лікар-педіатр",IF(L1072&lt;Законод!$C$18,0,(IF(AND(L1072&gt;=Законод!$H$18,L1072&lt;=Законод!$H$19),L1072-Законод!$G$19,IF('01_Доходи'!L1072&gt;=Законод!$I$18,Законод!$H$20,0)))),IF($B$1068="Лікар-терапевт",IF(L1072&lt;Законод!$C$26,0,(IF(AND(L1072&gt;=Законод!$H$26,L1072&lt;=Законод!$H$27),L1072-Законод!$G$27,IF(L1072&gt;=Законод!$I$26,Законод!$H$28,0)))),0)))</f>
        <v>0</v>
      </c>
      <c r="M1077" s="942"/>
      <c r="N1077" s="935" t="s">
        <v>423</v>
      </c>
      <c r="O1077" s="936"/>
      <c r="P1077" s="936"/>
      <c r="Q1077" s="936"/>
      <c r="R1077" s="937"/>
      <c r="S1077" s="196">
        <f ca="1">IF($B$1068="Лікар загальної практики - сімейний лікар",IF(S1072&lt;Законод!$C$22,0,(IF(AND(S1072&gt;=Законод!$H$22,S1072&lt;=Законод!$H$23),S1072-Законод!$G$23,IF('01_Доходи'!S1072&gt;=Законод!$I$22,Законод!$H$24,0)))),IF($B$1068="Лікар-педіатр",IF(S1072&lt;Законод!$C$18,0,(IF(AND(S1072&gt;=Законод!$H$18,S1072&lt;=Законод!$H$19),S1072-Законод!$G$19,IF('01_Доходи'!S1072&gt;=Законод!$I$18,Законод!$H$20,0)))),IF($B$1068="Лікар-терапевт",IF(S1072&lt;Законод!$C$26,0,(IF(AND(S1072&gt;=Законод!$H$26,S1072&lt;=Законод!$H$27),S1072-Законод!$G$27,IF(S1072&gt;=Законод!$I$26,Законод!$H$28,0)))),0)))</f>
        <v>0</v>
      </c>
      <c r="T1077" s="942"/>
      <c r="U1077" s="935" t="s">
        <v>423</v>
      </c>
      <c r="V1077" s="936"/>
      <c r="W1077" s="936"/>
      <c r="X1077" s="936"/>
      <c r="Y1077" s="937"/>
      <c r="Z1077" s="196">
        <f ca="1">IF($B$1068="Лікар загальної практики - сімейний лікар",IF(Z1072&lt;Законод!$C$22,0,(IF(AND(Z1072&gt;=Законод!$H$22,Z1072&lt;=Законод!$H$23),Z1072-Законод!$G$23,IF('01_Доходи'!Z1072&gt;=Законод!$I$22,Законод!$H$24,0)))),IF($B$1068="Лікар-педіатр",IF(Z1072&lt;Законод!$C$18,0,(IF(AND(Z1072&gt;=Законод!$H$18,Z1072&lt;=Законод!$H$19),Z1072-Законод!$G$19,IF('01_Доходи'!Z1072&gt;=Законод!$I$18,Законод!$H$20,0)))),IF($B$1068="Лікар-терапевт",IF(Z1072&lt;Законод!$C$26,0,(IF(AND(Z1072&gt;=Законод!$H$26,Z1072&lt;=Законод!$H$27),Z1072-Законод!$G$27,IF(Z1072&gt;=Законод!$I$26,Законод!$H$28,0)))),0)))</f>
        <v>0</v>
      </c>
      <c r="AA1077" s="942"/>
      <c r="AB1077" s="935" t="s">
        <v>423</v>
      </c>
      <c r="AC1077" s="936"/>
      <c r="AD1077" s="936"/>
      <c r="AE1077" s="936"/>
      <c r="AF1077" s="937"/>
      <c r="AG1077" s="196">
        <f ca="1">IF($B$1068="Лікар загальної практики - сімейний лікар",IF(AG1072&lt;Законод!$C$22,0,(IF(AND(AG1072&gt;=Законод!$H$22,AG1072&lt;=Законод!$H$23),AG1072-Законод!$G$23,IF('01_Доходи'!AG1072&gt;=Законод!$I$22,Законод!$H$24,0)))),IF($B$1068="Лікар-педіатр",IF(AG1072&lt;Законод!$C$18,0,(IF(AND(AG1072&gt;=Законод!$H$18,AG1072&lt;=Законод!$H$19),AG1072-Законод!$G$19,IF('01_Доходи'!AG1072&gt;=Законод!$I$18,Законод!$H$20,0)))),IF($B$1068="Лікар-терапевт",IF(AG1072&lt;Законод!$C$26,0,(IF(AND(AG1072&gt;=Законод!$H$26,AG1072&lt;=Законод!$H$27),AG1072-Законод!$G$27,IF(AG1072&gt;=Законод!$I$26,Законод!$H$28,0)))),0)))</f>
        <v>0</v>
      </c>
      <c r="AH1077" s="942"/>
      <c r="AI1077" s="201"/>
      <c r="AJ1077" s="945"/>
      <c r="AK1077" s="960"/>
      <c r="AL1077" s="960"/>
      <c r="AM1077" s="927"/>
      <c r="AN1077" s="210">
        <f ca="1">IF(B1068="Лікар загальної практики - сімейний лікар",L1077*Законод!$C$9/4*Законод!$H$16,IF(B1068="Лікар-педіатр",L1077*Законод!$C$9/4*Законод!$H$16,IF(B1068="Лікар-терапевт",L1077*Законод!$C$9/4*Законод!$H$16,0)))</f>
        <v>0</v>
      </c>
      <c r="AO1077" s="210">
        <f ca="1">IF(B1068="Лікар загальної практики - сімейний лікар",S1077*Законод!$C$9/4*Законод!$H$16,IF(B1068="Лікар-педіатр",S1077*Законод!$C$9/4*Законод!$H$16,IF(B1068="Лікар-терапевт",S1077*Законод!$C$9/4*Законод!$H$16,0)))</f>
        <v>0</v>
      </c>
      <c r="AP1077" s="210">
        <f ca="1">IF(B1068="Лікар загальної практики - сімейний лікар",Z1077*Законод!$C$9/4*Законод!$H$16,IF(B1068="Лікар-педіатр",Z1077*Законод!$C$9/4*Законод!$H$16,IF(B1068="Лікар-терапевт",Z1077*Законод!$C$9/4*Законод!$H$16,0)))</f>
        <v>0</v>
      </c>
      <c r="AQ1077" s="210">
        <f ca="1">IF(B1068="Лікар загальної практики - сімейний лікар",AG1077*Законод!$C$9/4*Законод!$H$16,IF(B1068="Лікар-педіатр",AG1077*Законод!$C$9/4*Законод!$H$16,IF(B1068="Лікар-терапевт",AG1077*Законод!$C$9/4*Законод!$H$16,0)))</f>
        <v>0</v>
      </c>
      <c r="AR1077" s="211">
        <f t="shared" si="122"/>
        <v>0</v>
      </c>
    </row>
    <row r="1078" spans="1:44" s="50" customFormat="1" ht="31.9" hidden="1" customHeight="1">
      <c r="A1078" s="197"/>
      <c r="B1078" s="951"/>
      <c r="C1078" s="954"/>
      <c r="D1078" s="957"/>
      <c r="E1078" s="939"/>
      <c r="F1078" s="238" t="str">
        <f ca="1">IF(B1068="Лікар-педіатр",Законод!$I$17,IF(B1068="Лікар загальної практики - сімейний лікар",Законод!$I$21,IF(B1068="Лікар-терапевт",Законод!$I$25,"х")))</f>
        <v>х</v>
      </c>
      <c r="G1078" s="935" t="s">
        <v>423</v>
      </c>
      <c r="H1078" s="936"/>
      <c r="I1078" s="936"/>
      <c r="J1078" s="936"/>
      <c r="K1078" s="937"/>
      <c r="L1078" s="196">
        <f ca="1">IF($B$1068="Лікар загальної практики - сімейний лікар",IF(L1072&lt;Законод!$C$22,0,(IF(AND(L1072&gt;=Законод!$I$22,L1072&lt;=Законод!$I$23),L1072-Законод!$H$23,IF('01_Доходи'!L1072&gt;=Законод!$I$22,Законод!$I$24,0)))),IF($B$1068="Лікар-педіатр",IF(L1072&lt;Законод!$C$18,0,(IF(AND(L1072&gt;=Законод!$I$18,L1072&lt;=Законод!$I$19),L1072-Законод!$H$19,IF('01_Доходи'!L1072&gt;=Законод!$I$18,Законод!$H$20,0)))),IF($B$1068="Лікар-терапевт",IF(L1072&lt;Законод!$C$26,0,(IF(AND(L1072&gt;=Законод!$I$26,L1072&lt;=Законод!$I$27),L1072-Законод!$H$27,IF('01_Доходи'!L1072&gt;=Законод!$I$26,Законод!$H$28,0)))),0)))</f>
        <v>0</v>
      </c>
      <c r="M1078" s="942"/>
      <c r="N1078" s="935" t="s">
        <v>423</v>
      </c>
      <c r="O1078" s="936"/>
      <c r="P1078" s="936"/>
      <c r="Q1078" s="936"/>
      <c r="R1078" s="937"/>
      <c r="S1078" s="196">
        <f ca="1">IF($B$1068="Лікар загальної практики - сімейний лікар",IF(S1072&lt;Законод!$C$22,0,(IF(AND(S1072&gt;=Законод!$I$22,S1072&lt;=Законод!$I$23),S1072-Законод!$H$23,IF('01_Доходи'!S1072&gt;=Законод!$I$22,Законод!$I$24,0)))),IF($B$1068="Лікар-педіатр",IF(S1072&lt;Законод!$C$18,0,(IF(AND(S1072&gt;=Законод!$I$18,S1072&lt;=Законод!$I$19),S1072-Законод!$H$19,IF('01_Доходи'!S1072&gt;=Законод!$I$18,Законод!$H$20,0)))),IF($B$1068="Лікар-терапевт",IF(S1072&lt;Законод!$C$26,0,(IF(AND(S1072&gt;=Законод!$I$26,S1072&lt;=Законод!$I$27),S1072-Законод!$H$27,IF('01_Доходи'!S1072&gt;=Законод!$I$26,Законод!$H$28,0)))),0)))</f>
        <v>0</v>
      </c>
      <c r="T1078" s="942"/>
      <c r="U1078" s="935" t="s">
        <v>423</v>
      </c>
      <c r="V1078" s="936"/>
      <c r="W1078" s="936"/>
      <c r="X1078" s="936"/>
      <c r="Y1078" s="937"/>
      <c r="Z1078" s="196">
        <f ca="1">IF($B$1068="Лікар загальної практики - сімейний лікар",IF(Z1072&lt;Законод!$C$22,0,(IF(AND(Z1072&gt;=Законод!$I$22,Z1072&lt;=Законод!$I$23),Z1072-Законод!$H$23,IF('01_Доходи'!Z1072&gt;=Законод!$I$22,Законод!$I$24,0)))),IF($B$1068="Лікар-педіатр",IF(Z1072&lt;Законод!$C$18,0,(IF(AND(Z1072&gt;=Законод!$I$18,Z1072&lt;=Законод!$I$19),Z1072-Законод!$H$19,IF('01_Доходи'!Z1072&gt;=Законод!$I$18,Законод!$H$20,0)))),IF($B$1068="Лікар-терапевт",IF(Z1072&lt;Законод!$C$26,0,(IF(AND(Z1072&gt;=Законод!$I$26,Z1072&lt;=Законод!$I$27),Z1072-Законод!$H$27,IF('01_Доходи'!Z1072&gt;=Законод!$I$26,Законод!$H$28,0)))),0)))</f>
        <v>0</v>
      </c>
      <c r="AA1078" s="942"/>
      <c r="AB1078" s="935" t="s">
        <v>423</v>
      </c>
      <c r="AC1078" s="936"/>
      <c r="AD1078" s="936"/>
      <c r="AE1078" s="936"/>
      <c r="AF1078" s="937"/>
      <c r="AG1078" s="196">
        <f ca="1">IF($B$1068="Лікар загальної практики - сімейний лікар",IF(AG1072&lt;Законод!$C$22,0,(IF(AND(AG1072&gt;=Законод!$I$22,AG1072&lt;=Законод!$I$23),AG1072-Законод!$H$23,IF('01_Доходи'!AG1072&gt;=Законод!$I$22,Законод!$I$24,0)))),IF($B$1068="Лікар-педіатр",IF(AG1072&lt;Законод!$C$18,0,(IF(AND(AG1072&gt;=Законод!$I$18,AG1072&lt;=Законод!$I$19),AG1072-Законод!$H$19,IF('01_Доходи'!AG1072&gt;=Законод!$I$18,Законод!$H$20,0)))),IF($B$1068="Лікар-терапевт",IF(AG1072&lt;Законод!$C$26,0,(IF(AND(AG1072&gt;=Законод!$I$26,AG1072&lt;=Законод!$I$27),AG1072-Законод!$H$27,IF('01_Доходи'!AG1072&gt;=Законод!$I$26,Законод!$H$28,0)))),0)))</f>
        <v>0</v>
      </c>
      <c r="AH1078" s="942"/>
      <c r="AI1078" s="201"/>
      <c r="AJ1078" s="945"/>
      <c r="AK1078" s="960"/>
      <c r="AL1078" s="960"/>
      <c r="AM1078" s="927"/>
      <c r="AN1078" s="210">
        <f ca="1">IF(B1068="Лікар загальної практики - сімейний лікар",L1078*Законод!$C$9/4*Законод!$I$16,IF(B1068="Лікар-педіатр",L1078*Законод!$C$9/4*Законод!$I$16,IF(B1068="Лікар-терапевт",L1078*Законод!$C$9/4*Законод!$I$16,0)))</f>
        <v>0</v>
      </c>
      <c r="AO1078" s="210">
        <f ca="1">IF(B1068="Лікар загальної практики - сімейний лікар",S1078*Законод!$C$9/4*Законод!$I$16,IF(B1068="Лікар-педіатр",S1078*Законод!$C$9/4*Законод!$I$16,IF(B1068="Лікар-терапевт",S1078*Законод!$C$9/4*Законод!$I$16,0)))</f>
        <v>0</v>
      </c>
      <c r="AP1078" s="210">
        <f ca="1">IF(B1068="Лікар загальної практики - сімейний лікар",Z1078*Законод!$C$9/4*Законод!$I$16,IF(B1068="Лікар-педіатр",Z1078*Законод!$C$9/4*Законод!$I$16,IF(B1068="Лікар-терапевт",Z1078*Законод!$C$9/4*Законод!$I$16,0)))</f>
        <v>0</v>
      </c>
      <c r="AQ1078" s="210">
        <f ca="1">IF(B1068="Лікар загальної практики - сімейний лікар",AG1078*Законод!$C$9/4*Законод!$I$16,IF(B1068="Лікар-педіатр",AG1078*Законод!$C$9/4*Законод!$I$16,IF(B1068="Лікар-терапевт",AG1078*Законод!$C$9/4*Законод!$I$16,0)))</f>
        <v>0</v>
      </c>
      <c r="AR1078" s="211">
        <f t="shared" si="122"/>
        <v>0</v>
      </c>
    </row>
    <row r="1079" spans="1:44" s="218" customFormat="1" ht="31.9" hidden="1" customHeight="1" thickBot="1">
      <c r="A1079" s="213"/>
      <c r="B1079" s="952"/>
      <c r="C1079" s="955"/>
      <c r="D1079" s="958"/>
      <c r="E1079" s="940"/>
      <c r="F1079" s="239" t="str">
        <f ca="1">IF(B1068="Лікар-педіатр",Законод!$J$17,IF(B1068="Лікар загальної практики - сімейний лікар",Законод!$J$21,IF(B1068="Лікар-терапевт",Законод!$J$25,"х")))</f>
        <v>х</v>
      </c>
      <c r="G1079" s="932" t="s">
        <v>423</v>
      </c>
      <c r="H1079" s="933"/>
      <c r="I1079" s="933"/>
      <c r="J1079" s="933"/>
      <c r="K1079" s="934"/>
      <c r="L1079" s="196">
        <f ca="1">IF($B$1068="Лікар загальної практики - сімейний лікар",IF(L1072&gt;=Законод!$J$22,'01_Доходи'!L1072-('01_Доходи'!L1073+'01_Доходи'!L1074+'01_Доходи'!L1075+'01_Доходи'!L1076+'01_Доходи'!L1077+'01_Доходи'!L1078),0),IF($B$1068="Лікар-педіатр",IF(L1072&gt;=Законод!$J$18,'01_Доходи'!L1072-('01_Доходи'!L1073+'01_Доходи'!L1074+'01_Доходи'!L1075+'01_Доходи'!L1076+'01_Доходи'!L1077+'01_Доходи'!L1078),0),IF($B$1068="Лікар-терапевт",IF('01_Доходи'!L1072&gt;=Законод!$J$26,L1072-Законод!$I$27,0),0)))</f>
        <v>0</v>
      </c>
      <c r="M1079" s="943"/>
      <c r="N1079" s="932" t="s">
        <v>423</v>
      </c>
      <c r="O1079" s="933"/>
      <c r="P1079" s="933"/>
      <c r="Q1079" s="933"/>
      <c r="R1079" s="934"/>
      <c r="S1079" s="196">
        <f ca="1">IF($B$1068="Лікар загальної практики - сімейний лікар",IF(S1072&gt;=Законод!$J$22,'01_Доходи'!S1072-('01_Доходи'!S1073+'01_Доходи'!S1074+'01_Доходи'!S1075+'01_Доходи'!S1076+'01_Доходи'!S1077+'01_Доходи'!S1078),0),IF($B$1068="Лікар-педіатр",IF(S1072&gt;=Законод!$J$18,'01_Доходи'!S1072-('01_Доходи'!S1073+'01_Доходи'!S1074+'01_Доходи'!S1075+'01_Доходи'!S1076+'01_Доходи'!S1077+'01_Доходи'!S1078),0),IF($B$1068="Лікар-терапевт",IF('01_Доходи'!S1072&gt;=Законод!$J$26,S1072-Законод!$I$27,0),0)))</f>
        <v>0</v>
      </c>
      <c r="T1079" s="943"/>
      <c r="U1079" s="932" t="s">
        <v>423</v>
      </c>
      <c r="V1079" s="933"/>
      <c r="W1079" s="933"/>
      <c r="X1079" s="933"/>
      <c r="Y1079" s="934"/>
      <c r="Z1079" s="196">
        <f ca="1">IF($B$1068="Лікар загальної практики - сімейний лікар",IF(Z1072&gt;=Законод!$J$22,'01_Доходи'!Z1072-('01_Доходи'!Z1073+'01_Доходи'!Z1074+'01_Доходи'!Z1075+'01_Доходи'!Z1076+'01_Доходи'!Z1077+'01_Доходи'!Z1078),0),IF($B$1068="Лікар-педіатр",IF(Z1072&gt;=Законод!$J$18,'01_Доходи'!Z1072-('01_Доходи'!Z1073+'01_Доходи'!Z1074+'01_Доходи'!Z1075+'01_Доходи'!Z1076+'01_Доходи'!Z1077+'01_Доходи'!Z1078),0),IF($B$1068="Лікар-терапевт",IF('01_Доходи'!Z1072&gt;=Законод!$J$26,Z1072-Законод!$I$27,0),0)))</f>
        <v>0</v>
      </c>
      <c r="AA1079" s="943"/>
      <c r="AB1079" s="932" t="s">
        <v>423</v>
      </c>
      <c r="AC1079" s="933"/>
      <c r="AD1079" s="933"/>
      <c r="AE1079" s="933"/>
      <c r="AF1079" s="934"/>
      <c r="AG1079" s="196">
        <f ca="1">IF($B$1068="Лікар загальної практики - сімейний лікар",IF(AG1072&gt;=Законод!$J$22,'01_Доходи'!AG1072-('01_Доходи'!AG1073+'01_Доходи'!AG1074+'01_Доходи'!AG1075+'01_Доходи'!AG1076+'01_Доходи'!AG1077+'01_Доходи'!AG1078),0),IF($B$1068="Лікар-педіатр",IF(AG1072&gt;=Законод!$J$18,'01_Доходи'!AG1072-('01_Доходи'!AG1073+'01_Доходи'!AG1074+'01_Доходи'!AG1075+'01_Доходи'!AG1076+'01_Доходи'!AG1077+'01_Доходи'!AG1078),0),IF($B$1068="Лікар-терапевт",IF('01_Доходи'!AG1072&gt;=Законод!$J$26,AG1072-Законод!$I$27,0),0)))</f>
        <v>0</v>
      </c>
      <c r="AH1079" s="943"/>
      <c r="AI1079" s="215"/>
      <c r="AJ1079" s="946"/>
      <c r="AK1079" s="961"/>
      <c r="AL1079" s="961"/>
      <c r="AM1079" s="928"/>
      <c r="AN1079" s="216">
        <f ca="1">IF(B1068="Лікар загальної практики - сімейний лікар",L1079*Законод!$C$9/4*Законод!$J$16,IF(B1068="Лікар-педіатр",L1079*Законод!$C$9/4*Законод!$J$16,IF(B1068="Лікар-терапевт",L1079*Законод!$C$9/4*Законод!$J$16,0)))</f>
        <v>0</v>
      </c>
      <c r="AO1079" s="216">
        <f ca="1">IF(B1068="Лікар загальної практики - сімейний лікар",S1079*Законод!$C$9/4*Законод!$J$16,IF(B1068="Лікар-педіатр",S1079*Законод!$C$9/4*Законод!$J$16,IF(B1068="Лікар-терапевт",S1079*Законод!$C$9/4*Законод!$J$16,0)))</f>
        <v>0</v>
      </c>
      <c r="AP1079" s="216">
        <f ca="1">IF(B1068="Лікар загальної практики - сімейний лікар",S1079*Законод!$C$9/4*Законод!$J$16,IF(B1068="Лікар-педіатр",S1079*Законод!$C$9/4*Законод!$J$16,IF(B1068="Лікар-терапевт",S1079*Законод!$C$9/4*Законод!$J$16,0)))</f>
        <v>0</v>
      </c>
      <c r="AQ1079" s="216">
        <f ca="1">IF(B1068="Лікар загальної практики - сімейний лікар",AG1079*Законод!$C$9/4*Законод!$J$16,IF(B1068="Лікар-педіатр",AG1079*Законод!$C$9/4*Законод!$J$16,IF(B1068="Лікар-терапевт",AG1079*Законод!$C$9/4*Законод!$J$16,0)))</f>
        <v>0</v>
      </c>
      <c r="AR1079" s="217">
        <f t="shared" si="122"/>
        <v>0</v>
      </c>
    </row>
    <row r="1080" spans="1:44" s="247" customFormat="1" ht="23.45" hidden="1" customHeight="1" thickBot="1">
      <c r="A1080" s="243"/>
      <c r="B1080" s="244"/>
      <c r="C1080" s="244"/>
      <c r="D1080" s="244"/>
      <c r="E1080" s="244"/>
      <c r="F1080" s="245"/>
      <c r="G1080" s="246"/>
      <c r="H1080" s="246"/>
      <c r="L1080" s="248"/>
      <c r="S1080" s="248"/>
      <c r="Z1080" s="248"/>
      <c r="AG1080" s="248"/>
      <c r="AM1080" s="249"/>
      <c r="AR1080" s="250"/>
    </row>
    <row r="1081" spans="1:44" s="191" customFormat="1" ht="24.6" hidden="1" customHeight="1">
      <c r="A1081" s="194">
        <f>A1068+1</f>
        <v>81</v>
      </c>
      <c r="B1081" s="950"/>
      <c r="C1081" s="953"/>
      <c r="D1081" s="956"/>
      <c r="E1081" s="938"/>
      <c r="F1081" s="234" t="s">
        <v>659</v>
      </c>
      <c r="G1081" s="196">
        <f>IF($B$1081="Лікар-педіатр",G1084*L1081,IF($B$1081="Лікар-терапевт","х",IF($B$1081="Лікар загальної практики - сімейний лікар",G1084*L1081,0)))</f>
        <v>0</v>
      </c>
      <c r="H1081" s="196">
        <f>IF($B$1081="Лікар-педіатр",H1084*L1081,IF($B$1081="Лікар-терапевт","х",IF($B$1081="Лікар загальної практики - сімейний лікар",H1084*L1081,0)))</f>
        <v>0</v>
      </c>
      <c r="I1081" s="196">
        <f>IF($B$1081="Лікар-педіатр","x",IF($B$1081="Лікар-терапевт",I1084*L1081,IF($B$1081="Лікар загальної практики - сімейний лікар",I1084*L1081,0)))</f>
        <v>0</v>
      </c>
      <c r="J1081" s="196">
        <f>IF($B$1081="Лікар-педіатр","x",IF($B$1081="Лікар-терапевт",J1084*L1081,IF($B$1081="Лікар загальної практики - сімейний лікар",J1084*L1081,0)))</f>
        <v>0</v>
      </c>
      <c r="K1081" s="196">
        <f>IF($B$1081="Лікар-педіатр","x",IF($B$1081="Лікар-терапевт",K1084*L1081,IF($B$1081="Лікар загальної практики - сімейний лікар",K1084*L1081,0)))</f>
        <v>0</v>
      </c>
      <c r="L1081" s="557"/>
      <c r="M1081" s="941"/>
      <c r="N1081" s="196">
        <f>IF($B$1081="Лікар-педіатр",N1084*S1081,IF($B$1081="Лікар-терапевт","х",IF($B$1081="Лікар загальної практики - сімейний лікар",N1084*S1081,0)))</f>
        <v>0</v>
      </c>
      <c r="O1081" s="196">
        <f>IF($B$1081="Лікар-педіатр",O1084*S1081,IF($B$1081="Лікар-терапевт","х",IF($B$1081="Лікар загальної практики - сімейний лікар",O1084*S1081,0)))</f>
        <v>0</v>
      </c>
      <c r="P1081" s="196">
        <f>IF($B$1081="Лікар-педіатр","x",IF($B$1081="Лікар-терапевт",P1084*S1081,IF($B$1081="Лікар загальної практики - сімейний лікар",P1084*S1081,0)))</f>
        <v>0</v>
      </c>
      <c r="Q1081" s="196">
        <f>IF($B$1081="Лікар-педіатр","x",IF($B$1081="Лікар-терапевт",Q1084*S1081,IF($B$1081="Лікар загальної практики - сімейний лікар",Q1084*S1081,0)))</f>
        <v>0</v>
      </c>
      <c r="R1081" s="196">
        <f>IF($B$1081="Лікар-педіатр","x",IF($B$1081="Лікар-терапевт",R1084*S1081,IF($B$1081="Лікар загальної практики - сімейний лікар",R1084*S1081,0)))</f>
        <v>0</v>
      </c>
      <c r="S1081" s="557"/>
      <c r="T1081" s="941"/>
      <c r="U1081" s="196">
        <f>IF($B$1081="Лікар-педіатр",U1084*Z1081,IF($B$1081="Лікар-терапевт","х",IF($B$1081="Лікар загальної практики - сімейний лікар",U1084*Z1081,0)))</f>
        <v>0</v>
      </c>
      <c r="V1081" s="196">
        <f>IF($B$1081="Лікар-педіатр",V1084*Z1081,IF($B$1081="Лікар-терапевт","х",IF($B$1081="Лікар загальної практики - сімейний лікар",V1084*Z1081,0)))</f>
        <v>0</v>
      </c>
      <c r="W1081" s="196">
        <f>IF($B$1081="Лікар-педіатр","x",IF($B$1081="Лікар-терапевт",W1084*Z1081,IF($B$1081="Лікар загальної практики - сімейний лікар",W1084*Z1081,0)))</f>
        <v>0</v>
      </c>
      <c r="X1081" s="196">
        <f>IF($B$1081="Лікар-педіатр","x",IF($B$1081="Лікар-терапевт",X1084*Z1081,IF($B$1081="Лікар загальної практики - сімейний лікар",X1084*Z1081,0)))</f>
        <v>0</v>
      </c>
      <c r="Y1081" s="196">
        <f>IF($B$1081="Лікар-педіатр","x",IF($B$1081="Лікар-терапевт",Y1084*Z1081,IF($B$1081="Лікар загальної практики - сімейний лікар",Y1084*Z1081,0)))</f>
        <v>0</v>
      </c>
      <c r="Z1081" s="557"/>
      <c r="AA1081" s="941"/>
      <c r="AB1081" s="196">
        <f>IF($B$1081="Лікар-педіатр",AB1084*AG1081,IF($B$1081="Лікар-терапевт","х",IF($B$1081="Лікар загальної практики - сімейний лікар",AB1084*AG1081,0)))</f>
        <v>0</v>
      </c>
      <c r="AC1081" s="196">
        <f>IF($B$1081="Лікар-педіатр",AC1084*AG1081,IF($B$1081="Лікар-терапевт","х",IF($B$1081="Лікар загальної практики - сімейний лікар",AC1084*AG1081,0)))</f>
        <v>0</v>
      </c>
      <c r="AD1081" s="196">
        <f>IF($B$1081="Лікар-педіатр","x",IF($B$1081="Лікар-терапевт",AD1084*AG1081,IF($B$1081="Лікар загальної практики - сімейний лікар",AD1084*AG1081,0)))</f>
        <v>0</v>
      </c>
      <c r="AE1081" s="196">
        <f>IF($B$1081="Лікар-педіатр","x",IF($B$1081="Лікар-терапевт",AE1084*AG1081,IF($B$1081="Лікар загальної практики - сімейний лікар",AE1084*AG1081,0)))</f>
        <v>0</v>
      </c>
      <c r="AF1081" s="196">
        <f>IF($B$1081="Лікар-педіатр","x",IF($B$1081="Лікар-терапевт",AF1084*AG1081,IF($B$1081="Лікар загальної практики - сімейний лікар",AF1084*AG1081,0)))</f>
        <v>0</v>
      </c>
      <c r="AG1081" s="557"/>
      <c r="AH1081" s="941"/>
      <c r="AI1081" s="540">
        <f>A1081</f>
        <v>81</v>
      </c>
      <c r="AJ1081" s="944">
        <f>B1081</f>
        <v>0</v>
      </c>
      <c r="AK1081" s="959">
        <f>C1081</f>
        <v>0</v>
      </c>
      <c r="AL1081" s="959">
        <f>D1081</f>
        <v>0</v>
      </c>
      <c r="AM1081" s="929" t="s">
        <v>79</v>
      </c>
      <c r="AN1081" s="947">
        <f>SUM(AN1086:AN1092)</f>
        <v>0</v>
      </c>
      <c r="AO1081" s="947">
        <f>SUM(AO1086:AO1092)</f>
        <v>0</v>
      </c>
      <c r="AP1081" s="947">
        <f>SUM(AP1086:AP1092)</f>
        <v>0</v>
      </c>
      <c r="AQ1081" s="947">
        <f>SUM(AQ1086:AQ1092)</f>
        <v>0</v>
      </c>
      <c r="AR1081" s="962">
        <f>SUM(AN1081:AQ1085)</f>
        <v>0</v>
      </c>
    </row>
    <row r="1082" spans="1:44" s="50" customFormat="1" ht="28.15" hidden="1" customHeight="1">
      <c r="A1082" s="197"/>
      <c r="B1082" s="951"/>
      <c r="C1082" s="954"/>
      <c r="D1082" s="957"/>
      <c r="E1082" s="939"/>
      <c r="F1082" s="234" t="s">
        <v>660</v>
      </c>
      <c r="G1082" s="196">
        <f>IF($B$1081="Лікар-педіатр",G1084*L1082,IF($B$1081="Лікар-терапевт","х",IF($B$1081="Лікар загальної практики - сімейний лікар",G1084*L1082,0)))</f>
        <v>0</v>
      </c>
      <c r="H1082" s="196">
        <f>IF($B$1081="Лікар-педіатр",H1084*L1082,IF($B$1081="Лікар-терапевт","х",IF($B$1081="Лікар загальної практики - сімейний лікар",H1084*L1082,0)))</f>
        <v>0</v>
      </c>
      <c r="I1082" s="196">
        <f>IF($B$1081="Лікар-педіатр","x",IF($B$1081="Лікар-терапевт",I1084*L1082,IF($B$1081="Лікар загальної практики - сімейний лікар",I1084*L1082,0)))</f>
        <v>0</v>
      </c>
      <c r="J1082" s="196">
        <f>IF($B$1081="Лікар-педіатр","x",IF($B$1081="Лікар-терапевт",J1084*L1082,IF($B$1081="Лікар загальної практики - сімейний лікар",J1084*L1082,0)))</f>
        <v>0</v>
      </c>
      <c r="K1082" s="196">
        <f>IF($B$1081="Лікар-педіатр","x",IF($B$1081="Лікар-терапевт",K1084*L1082,IF($B$1081="Лікар загальної практики - сімейний лікар",K1084*L1082,0)))</f>
        <v>0</v>
      </c>
      <c r="L1082" s="557"/>
      <c r="M1082" s="942"/>
      <c r="N1082" s="196">
        <f>IF($B$1081="Лікар-педіатр",N1084*S1082,IF($B$1081="Лікар-терапевт","х",IF($B$1081="Лікар загальної практики - сімейний лікар",N1084*S1082,0)))</f>
        <v>0</v>
      </c>
      <c r="O1082" s="196">
        <f>IF($B$1081="Лікар-педіатр",O1084*S1082,IF($B$1081="Лікар-терапевт","х",IF($B$1081="Лікар загальної практики - сімейний лікар",O1084*S1082,0)))</f>
        <v>0</v>
      </c>
      <c r="P1082" s="196">
        <f>IF($B$1081="Лікар-педіатр","x",IF($B$1081="Лікар-терапевт",P1084*S1082,IF($B$1081="Лікар загальної практики - сімейний лікар",P1084*S1082,0)))</f>
        <v>0</v>
      </c>
      <c r="Q1082" s="196">
        <f>IF($B$1081="Лікар-педіатр","x",IF($B$1081="Лікар-терапевт",Q1084*S1082,IF($B$1081="Лікар загальної практики - сімейний лікар",Q1084*S1082,0)))</f>
        <v>0</v>
      </c>
      <c r="R1082" s="196">
        <f>IF($B$1081="Лікар-педіатр","x",IF($B$1081="Лікар-терапевт",R1084*S1082,IF($B$1081="Лікар загальної практики - сімейний лікар",R1084*S1082,0)))</f>
        <v>0</v>
      </c>
      <c r="S1082" s="557"/>
      <c r="T1082" s="942"/>
      <c r="U1082" s="196">
        <f>IF($B$1081="Лікар-педіатр",U1084*Z1082,IF($B$1081="Лікар-терапевт","х",IF($B$1081="Лікар загальної практики - сімейний лікар",U1084*Z1082,0)))</f>
        <v>0</v>
      </c>
      <c r="V1082" s="196">
        <f>IF($B$1081="Лікар-педіатр",V1084*Z1082,IF($B$1081="Лікар-терапевт","х",IF($B$1081="Лікар загальної практики - сімейний лікар",V1084*Z1082,0)))</f>
        <v>0</v>
      </c>
      <c r="W1082" s="196">
        <f>IF($B$1081="Лікар-педіатр","x",IF($B$1081="Лікар-терапевт",W1084*Z1082,IF($B$1081="Лікар загальної практики - сімейний лікар",W1084*Z1082,0)))</f>
        <v>0</v>
      </c>
      <c r="X1082" s="196">
        <f>IF($B$1081="Лікар-педіатр","x",IF($B$1081="Лікар-терапевт",X1084*Z1082,IF($B$1081="Лікар загальної практики - сімейний лікар",X1084*Z1082,0)))</f>
        <v>0</v>
      </c>
      <c r="Y1082" s="196">
        <f>IF($B$1081="Лікар-педіатр","x",IF($B$1081="Лікар-терапевт",Y1084*Z1082,IF($B$1081="Лікар загальної практики - сімейний лікар",Y1084*Z1082,0)))</f>
        <v>0</v>
      </c>
      <c r="Z1082" s="557"/>
      <c r="AA1082" s="942"/>
      <c r="AB1082" s="196">
        <f>IF($B$1081="Лікар-педіатр",AB1084*AG1082,IF($B$1081="Лікар-терапевт","х",IF($B$1081="Лікар загальної практики - сімейний лікар",AB1084*AG1082,0)))</f>
        <v>0</v>
      </c>
      <c r="AC1082" s="196">
        <f>IF($B$1081="Лікар-педіатр",AC1084*AG1082,IF($B$1081="Лікар-терапевт","х",IF($B$1081="Лікар загальної практики - сімейний лікар",AC1084*AG1082,0)))</f>
        <v>0</v>
      </c>
      <c r="AD1082" s="196">
        <f>IF($B$1081="Лікар-педіатр","x",IF($B$1081="Лікар-терапевт",AD1084*AG1082,IF($B$1081="Лікар загальної практики - сімейний лікар",AD1084*AG1082,0)))</f>
        <v>0</v>
      </c>
      <c r="AE1082" s="196">
        <f>IF($B$1081="Лікар-педіатр","x",IF($B$1081="Лікар-терапевт",AE1084*AG1082,IF($B$1081="Лікар загальної практики - сімейний лікар",AE1084*AG1082,0)))</f>
        <v>0</v>
      </c>
      <c r="AF1082" s="196">
        <f>IF($B$1081="Лікар-педіатр","x",IF($B$1081="Лікар-терапевт",AF1084*AG1082,IF($B$1081="Лікар загальної практики - сімейний лікар",AF1084*AG1082,0)))</f>
        <v>0</v>
      </c>
      <c r="AG1082" s="557"/>
      <c r="AH1082" s="942"/>
      <c r="AI1082" s="198"/>
      <c r="AJ1082" s="945"/>
      <c r="AK1082" s="960"/>
      <c r="AL1082" s="960"/>
      <c r="AM1082" s="930"/>
      <c r="AN1082" s="948"/>
      <c r="AO1082" s="948"/>
      <c r="AP1082" s="948"/>
      <c r="AQ1082" s="948"/>
      <c r="AR1082" s="963"/>
    </row>
    <row r="1083" spans="1:44" s="90" customFormat="1" ht="31.15" hidden="1" customHeight="1">
      <c r="A1083" s="240"/>
      <c r="B1083" s="951"/>
      <c r="C1083" s="954"/>
      <c r="D1083" s="957"/>
      <c r="E1083" s="939"/>
      <c r="F1083" s="241" t="s">
        <v>661</v>
      </c>
      <c r="G1083" s="199">
        <f>IF(B1081="Лікар загальної практики - сімейний лікар"," ",IF(B1081="Лікар-педіатр"," ",IF(B1081="Лікар-терапевт","х",0)))</f>
        <v>0</v>
      </c>
      <c r="H1083" s="199">
        <f>IF(B1081="Лікар загальної практики - сімейний лікар"," ",IF(B1081="Лікар-педіатр"," ",IF(B1081="Лікар-терапевт","х",0)))</f>
        <v>0</v>
      </c>
      <c r="I1083" s="199">
        <f>IF(B1081="Лікар загальної практики - сімейний лікар"," ",IF(B1081="Лікар-педіатр","х",IF(B1081="Лікар-терапевт"," ",0)))</f>
        <v>0</v>
      </c>
      <c r="J1083" s="199">
        <f>IF(B1081="Лікар загальної практики - сімейний лікар"," ",IF(B1081="Лікар-педіатр","х",IF(B1081="Лікар-терапевт"," ",0)))</f>
        <v>0</v>
      </c>
      <c r="K1083" s="199">
        <f>IF(B1081="Лікар загальної практики - сімейний лікар"," ",IF(B1081="Лікар-педіатр","х",IF(B1081="Лікар-терапевт"," ",0)))</f>
        <v>0</v>
      </c>
      <c r="L1083" s="200">
        <f>SUM(G1083:K1083)</f>
        <v>0</v>
      </c>
      <c r="M1083" s="942"/>
      <c r="N1083" s="199">
        <f>IF(B1081="Лікар загальної практики - сімейний лікар"," ",IF(B1081="Лікар-педіатр"," ",IF(B1081="Лікар-терапевт","х",0)))</f>
        <v>0</v>
      </c>
      <c r="O1083" s="199">
        <f>IF(B1081="Лікар загальної практики - сімейний лікар"," ",IF(B1081="Лікар-педіатр"," ",IF(B1081="Лікар-терапевт","х",0)))</f>
        <v>0</v>
      </c>
      <c r="P1083" s="199">
        <f>IF(B1081="Лікар загальної практики - сімейний лікар"," ",IF(B1081="Лікар-педіатр","х",IF(B1081="Лікар-терапевт"," ",0)))</f>
        <v>0</v>
      </c>
      <c r="Q1083" s="199">
        <f>IF(B1081="Лікар загальної практики - сімейний лікар"," ",IF(B1081="Лікар-педіатр","х",IF(B1081="Лікар-терапевт"," ",0)))</f>
        <v>0</v>
      </c>
      <c r="R1083" s="199">
        <f>IF(B1081="Лікар загальної практики - сімейний лікар"," ",IF(B1081="Лікар-педіатр","х",IF(B1081="Лікар-терапевт"," ",0)))</f>
        <v>0</v>
      </c>
      <c r="S1083" s="200">
        <f>SUM(N1083:R1083)</f>
        <v>0</v>
      </c>
      <c r="T1083" s="942"/>
      <c r="U1083" s="199">
        <f>IF(B1081="Лікар загальної практики - сімейний лікар"," ",IF(B1081="Лікар-педіатр"," ",IF(B1081="Лікар-терапевт","х",0)))</f>
        <v>0</v>
      </c>
      <c r="V1083" s="199">
        <f>IF(B1081="Лікар загальної практики - сімейний лікар"," ",IF(B1081="Лікар-педіатр"," ",IF(B1081="Лікар-терапевт","х",0)))</f>
        <v>0</v>
      </c>
      <c r="W1083" s="199">
        <f>IF(B1081="Лікар загальної практики - сімейний лікар"," ",IF(B1081="Лікар-педіатр","х",IF(B1081="Лікар-терапевт"," ",0)))</f>
        <v>0</v>
      </c>
      <c r="X1083" s="199">
        <f>IF(B1081="Лікар загальної практики - сімейний лікар"," ",IF(B1081="Лікар-педіатр","х",IF(B1081="Лікар-терапевт"," ",0)))</f>
        <v>0</v>
      </c>
      <c r="Y1083" s="199">
        <f>IF(B1081="Лікар загальної практики - сімейний лікар"," ",IF(B1081="Лікар-педіатр","х",IF(B1081="Лікар-терапевт"," ",0)))</f>
        <v>0</v>
      </c>
      <c r="Z1083" s="200">
        <f>SUM(U1083:Y1083)</f>
        <v>0</v>
      </c>
      <c r="AA1083" s="942"/>
      <c r="AB1083" s="199">
        <f>IF(B1081="Лікар загальної практики - сімейний лікар"," ",IF(B1081="Лікар-педіатр"," ",IF(B1081="Лікар-терапевт","х",0)))</f>
        <v>0</v>
      </c>
      <c r="AC1083" s="199">
        <f>IF(B1081="Лікар загальної практики - сімейний лікар"," ",IF(B1081="Лікар-педіатр"," ",IF(B1081="Лікар-терапевт","х",0)))</f>
        <v>0</v>
      </c>
      <c r="AD1083" s="199">
        <f>IF(B1081="Лікар загальної практики - сімейний лікар"," ",IF(B1081="Лікар-педіатр","х",IF(B1081="Лікар-терапевт"," ",0)))</f>
        <v>0</v>
      </c>
      <c r="AE1083" s="199">
        <f>IF(B1081="Лікар загальної практики - сімейний лікар"," ",IF(B1081="Лікар-педіатр","х",IF(B1081="Лікар-терапевт"," ",0)))</f>
        <v>0</v>
      </c>
      <c r="AF1083" s="199">
        <f>IF(B1081="Лікар загальної практики - сімейний лікар"," ",IF(B1081="Лікар-педіатр","х",IF(B1081="Лікар-терапевт"," ",0)))</f>
        <v>0</v>
      </c>
      <c r="AG1083" s="200">
        <f>SUM(AB1083:AF1083)</f>
        <v>0</v>
      </c>
      <c r="AH1083" s="942"/>
      <c r="AI1083" s="242"/>
      <c r="AJ1083" s="945"/>
      <c r="AK1083" s="960"/>
      <c r="AL1083" s="960"/>
      <c r="AM1083" s="930"/>
      <c r="AN1083" s="948"/>
      <c r="AO1083" s="948"/>
      <c r="AP1083" s="948"/>
      <c r="AQ1083" s="948"/>
      <c r="AR1083" s="963"/>
    </row>
    <row r="1084" spans="1:44" s="50" customFormat="1" ht="31.9" hidden="1" customHeight="1" thickBot="1">
      <c r="A1084" s="197"/>
      <c r="B1084" s="951"/>
      <c r="C1084" s="954"/>
      <c r="D1084" s="957"/>
      <c r="E1084" s="939"/>
      <c r="F1084" s="236" t="s">
        <v>426</v>
      </c>
      <c r="G1084" s="203">
        <f>IF($B$1081="Лікар-педіатр",G1083/L1083,IF($B$1081="Лікар-терапевт","х",IF($B$1081="Лікар загальної практики - сімейний лікар",G1083/L1083,0)))</f>
        <v>0</v>
      </c>
      <c r="H1084" s="203">
        <f>IF($B$1081="Лікар-педіатр",H1083/L1083,IF($B$1081="Лікар-терапевт","х",IF($B$1081="Лікар загальної практики - сімейний лікар",H1083/L1083,0)))</f>
        <v>0</v>
      </c>
      <c r="I1084" s="203">
        <f>IF($B$1081="Лікар-педіатр","x",IF($B$1081="Лікар-терапевт",I1083/L1083,IF($B$1081="Лікар загальної практики - сімейний лікар",I1083/L1083,0)))</f>
        <v>0</v>
      </c>
      <c r="J1084" s="203">
        <f>IF($B$1081="Лікар-педіатр","x",IF($B$1081="Лікар-терапевт",J1083/L1083,IF($B$1081="Лікар загальної практики - сімейний лікар",J1083/L1083,0)))</f>
        <v>0</v>
      </c>
      <c r="K1084" s="203">
        <f>IF($B$1081="Лікар-педіатр","x",IF($B$1081="Лікар-терапевт",K1083/L1083,IF($B$1081="Лікар загальної практики - сімейний лікар",K1083/L1083,0)))</f>
        <v>0</v>
      </c>
      <c r="L1084" s="203">
        <f>SUM(G1084:K1084)</f>
        <v>0</v>
      </c>
      <c r="M1084" s="942"/>
      <c r="N1084" s="203">
        <f>IF($B$1081="Лікар-педіатр",N1083/S1083,IF($B$1081="Лікар-терапевт","х",IF($B$1081="Лікар загальної практики - сімейний лікар",N1083/S1083,0)))</f>
        <v>0</v>
      </c>
      <c r="O1084" s="203">
        <f>IF($B$1081="Лікар-педіатр",O1083/S1083,IF($B$1081="Лікар-терапевт","х",IF($B$1081="Лікар загальної практики - сімейний лікар",O1083/S1083,0)))</f>
        <v>0</v>
      </c>
      <c r="P1084" s="203">
        <f>IF($B$1081="Лікар-педіатр","x",IF($B$1081="Лікар-терапевт",P1083/S1083,IF($B$1081="Лікар загальної практики - сімейний лікар",P1083/S1083,0)))</f>
        <v>0</v>
      </c>
      <c r="Q1084" s="203">
        <f>IF($B$1081="Лікар-педіатр","x",IF($B$1081="Лікар-терапевт",Q1083/S1083,IF($B$1081="Лікар загальної практики - сімейний лікар",Q1083/S1083,0)))</f>
        <v>0</v>
      </c>
      <c r="R1084" s="203">
        <f>IF($B$1081="Лікар-педіатр","x",IF($B$1081="Лікар-терапевт",R1083/S1083,IF($B$1081="Лікар загальної практики - сімейний лікар",R1083/S1083,0)))</f>
        <v>0</v>
      </c>
      <c r="S1084" s="203">
        <f>SUM(N1084:R1084)</f>
        <v>0</v>
      </c>
      <c r="T1084" s="942"/>
      <c r="U1084" s="203">
        <f>IF($B$1081="Лікар-педіатр",U1083/Z1083,IF($B$1081="Лікар-терапевт","х",IF($B$1081="Лікар загальної практики - сімейний лікар",U1083/Z1083,0)))</f>
        <v>0</v>
      </c>
      <c r="V1084" s="203">
        <f>IF($B$1081="Лікар-педіатр",V1083/Z1083,IF($B$1081="Лікар-терапевт","х",IF($B$1081="Лікар загальної практики - сімейний лікар",V1083/Z1083,0)))</f>
        <v>0</v>
      </c>
      <c r="W1084" s="203">
        <f>IF($B$1081="Лікар-педіатр","x",IF($B$1081="Лікар-терапевт",W1083/Z1083,IF($B$1081="Лікар загальної практики - сімейний лікар",W1083/Z1083,0)))</f>
        <v>0</v>
      </c>
      <c r="X1084" s="203">
        <f>IF($B$1081="Лікар-педіатр","x",IF($B$1081="Лікар-терапевт",X1083/Z1083,IF($B$1081="Лікар загальної практики - сімейний лікар",X1083/Z1083,0)))</f>
        <v>0</v>
      </c>
      <c r="Y1084" s="203">
        <f>IF($B$1081="Лікар-педіатр","x",IF($B$1081="Лікар-терапевт",Y1083/Z1083,IF($B$1081="Лікар загальної практики - сімейний лікар",Y1083/Z1083,0)))</f>
        <v>0</v>
      </c>
      <c r="Z1084" s="203">
        <f>SUM(U1084:Y1084)</f>
        <v>0</v>
      </c>
      <c r="AA1084" s="942"/>
      <c r="AB1084" s="203">
        <f>IF($B$1081="Лікар-педіатр",AB1083/AG1083,IF($B$1081="Лікар-терапевт","х",IF($B$1081="Лікар загальної практики - сімейний лікар",AB1083/AG1083,0)))</f>
        <v>0</v>
      </c>
      <c r="AC1084" s="203">
        <f>IF($B$1081="Лікар-педіатр",AC1083/AG1083,IF($B$1081="Лікар-терапевт","х",IF($B$1081="Лікар загальної практики - сімейний лікар",AC1083/AG1083,0)))</f>
        <v>0</v>
      </c>
      <c r="AD1084" s="203">
        <f>IF($B$1081="Лікар-педіатр","x",IF($B$1081="Лікар-терапевт",AD1083/AG1083,IF($B$1081="Лікар загальної практики - сімейний лікар",AD1083/AG1083,0)))</f>
        <v>0</v>
      </c>
      <c r="AE1084" s="203">
        <f>IF($B$1081="Лікар-педіатр","x",IF($B$1081="Лікар-терапевт",AE1083/AG1083,IF($B$1081="Лікар загальної практики - сімейний лікар",AE1083/AG1083,0)))</f>
        <v>0</v>
      </c>
      <c r="AF1084" s="203">
        <f>IF($B$1081="Лікар-педіатр","x",IF($B$1081="Лікар-терапевт",AF1083/AG1083,IF($B$1081="Лікар загальної практики - сімейний лікар",AF1083/AG1083,0)))</f>
        <v>0</v>
      </c>
      <c r="AG1084" s="203">
        <f>SUM(AB1084:AF1084)</f>
        <v>0</v>
      </c>
      <c r="AH1084" s="942"/>
      <c r="AI1084" s="201"/>
      <c r="AJ1084" s="945"/>
      <c r="AK1084" s="960"/>
      <c r="AL1084" s="960"/>
      <c r="AM1084" s="930"/>
      <c r="AN1084" s="948"/>
      <c r="AO1084" s="948"/>
      <c r="AP1084" s="948"/>
      <c r="AQ1084" s="948"/>
      <c r="AR1084" s="963"/>
    </row>
    <row r="1085" spans="1:44" s="50" customFormat="1" ht="45" hidden="1" customHeight="1" thickBot="1">
      <c r="A1085" s="197"/>
      <c r="B1085" s="951"/>
      <c r="C1085" s="954"/>
      <c r="D1085" s="957"/>
      <c r="E1085" s="939"/>
      <c r="F1085" s="204" t="s">
        <v>662</v>
      </c>
      <c r="G1085" s="205">
        <f>IF($B$1081="Лікар загальної практики - сімейний лікар",AVERAGE(G1081:G1083),IF($B$1081="Лікар-педіатр",AVERAGE(G1081:G1083),IF($B$1081="Лікар-терапевт","х",0)))</f>
        <v>0</v>
      </c>
      <c r="H1085" s="205">
        <f>IF($B$1081="Лікар загальної практики - сімейний лікар",AVERAGE(H1081:H1083),IF($B$1081="Лікар-педіатр",AVERAGE(H1081:H1083),IF($B$1081="Лікар-терапевт","х",0)))</f>
        <v>0</v>
      </c>
      <c r="I1085" s="205">
        <f>IF($B$1081="Лікар загальної практики - сімейний лікар",AVERAGE(I1081:I1083),IF($B$1081="Лікар-педіатр","x",IF($B$1081="Лікар-терапевт",AVERAGE(I1081:I1083),0)))</f>
        <v>0</v>
      </c>
      <c r="J1085" s="205">
        <f>IF($B$1081="Лікар загальної практики - сімейний лікар",AVERAGE(J1081:J1083),IF($B$1081="Лікар-педіатр","x",IF($B$1081="Лікар-терапевт",AVERAGE(J1081:J1083),0)))</f>
        <v>0</v>
      </c>
      <c r="K1085" s="205">
        <f>IF($B$1081="Лікар загальної практики - сімейний лікар",AVERAGE(K1081:K1083),IF($B$1081="Лікар-педіатр","x",IF($B$1081="Лікар-терапевт",AVERAGE(K1081:K1083),0)))</f>
        <v>0</v>
      </c>
      <c r="L1085" s="206">
        <f>SUM(G1085:K1085)</f>
        <v>0</v>
      </c>
      <c r="M1085" s="942"/>
      <c r="N1085" s="205">
        <f>IF($B$1081="Лікар загальної практики - сімейний лікар",AVERAGE(N1081:N1083),IF($B$1081="Лікар-педіатр",AVERAGE(N1081:N1083),IF($B$1081="Лікар-терапевт","х",0)))</f>
        <v>0</v>
      </c>
      <c r="O1085" s="205">
        <f>IF($B$1081="Лікар загальної практики - сімейний лікар",AVERAGE(O1081:O1083),IF($B$1081="Лікар-педіатр",AVERAGE(O1081:O1083),IF($B$1081="Лікар-терапевт","х",0)))</f>
        <v>0</v>
      </c>
      <c r="P1085" s="205">
        <f>IF($B$1081="Лікар загальної практики - сімейний лікар",AVERAGE(P1081:P1083),IF($B$1081="Лікар-педіатр","x",IF($B$1081="Лікар-терапевт",AVERAGE(P1081:P1083),0)))</f>
        <v>0</v>
      </c>
      <c r="Q1085" s="205">
        <f>IF($B$1081="Лікар загальної практики - сімейний лікар",AVERAGE(Q1081:Q1083),IF($B$1081="Лікар-педіатр","x",IF($B$1081="Лікар-терапевт",AVERAGE(Q1081:Q1083),0)))</f>
        <v>0</v>
      </c>
      <c r="R1085" s="205">
        <f>IF($B$1081="Лікар загальної практики - сімейний лікар",AVERAGE(R1081:R1083),IF($B$1081="Лікар-педіатр","x",IF($B$1081="Лікар-терапевт",AVERAGE(R1081:R1083),0)))</f>
        <v>0</v>
      </c>
      <c r="S1085" s="206">
        <f>SUM(N1085:R1085)</f>
        <v>0</v>
      </c>
      <c r="T1085" s="942"/>
      <c r="U1085" s="205">
        <f>IF($B$1081="Лікар загальної практики - сімейний лікар",AVERAGE(U1081:U1083),IF($B$1081="Лікар-педіатр",AVERAGE(U1081:U1083),IF($B$1081="Лікар-терапевт","х",0)))</f>
        <v>0</v>
      </c>
      <c r="V1085" s="205">
        <f>IF($B$1081="Лікар загальної практики - сімейний лікар",AVERAGE(V1081:V1083),IF($B$1081="Лікар-педіатр",AVERAGE(V1081:V1083),IF($B$1081="Лікар-терапевт","х",0)))</f>
        <v>0</v>
      </c>
      <c r="W1085" s="205">
        <f>IF($B$1081="Лікар загальної практики - сімейний лікар",AVERAGE(W1081:W1083),IF($B$1081="Лікар-педіатр","x",IF($B$1081="Лікар-терапевт",AVERAGE(W1081:W1083),0)))</f>
        <v>0</v>
      </c>
      <c r="X1085" s="205">
        <f>IF($B$1081="Лікар загальної практики - сімейний лікар",AVERAGE(X1081:X1083),IF($B$1081="Лікар-педіатр","x",IF($B$1081="Лікар-терапевт",AVERAGE(X1081:X1083),0)))</f>
        <v>0</v>
      </c>
      <c r="Y1085" s="205">
        <f>IF($B$1081="Лікар загальної практики - сімейний лікар",AVERAGE(Y1081:Y1083),IF($B$1081="Лікар-педіатр","x",IF($B$1081="Лікар-терапевт",AVERAGE(Y1081:Y1083),0)))</f>
        <v>0</v>
      </c>
      <c r="Z1085" s="206">
        <f>SUM(U1085:Y1085)</f>
        <v>0</v>
      </c>
      <c r="AA1085" s="942"/>
      <c r="AB1085" s="205">
        <f>IF($B$1081="Лікар загальної практики - сімейний лікар",AVERAGE(AB1081:AB1083),IF($B$1081="Лікар-педіатр",AVERAGE(AB1081:AB1083),IF($B$1081="Лікар-терапевт","х",0)))</f>
        <v>0</v>
      </c>
      <c r="AC1085" s="205">
        <f>IF($B$1081="Лікар загальної практики - сімейний лікар",AVERAGE(AC1081:AC1083),IF($B$1081="Лікар-педіатр",AVERAGE(AC1081:AC1083),IF($B$1081="Лікар-терапевт","х",0)))</f>
        <v>0</v>
      </c>
      <c r="AD1085" s="205">
        <f>IF($B$1081="Лікар загальної практики - сімейний лікар",AVERAGE(AD1081:AD1083),IF($B$1081="Лікар-педіатр","x",IF($B$1081="Лікар-терапевт",AVERAGE(AD1081:AD1083),0)))</f>
        <v>0</v>
      </c>
      <c r="AE1085" s="205">
        <f>IF($B$1081="Лікар загальної практики - сімейний лікар",AVERAGE(AE1081:AE1083),IF($B$1081="Лікар-педіатр","x",IF($B$1081="Лікар-терапевт",AVERAGE(AE1081:AE1083),0)))</f>
        <v>0</v>
      </c>
      <c r="AF1085" s="205">
        <f>IF($B$1081="Лікар загальної практики - сімейний лікар",AVERAGE(AF1081:AF1083),IF($B$1081="Лікар-педіатр","x",IF($B$1081="Лікар-терапевт",AVERAGE(AF1081:AF1083),0)))</f>
        <v>0</v>
      </c>
      <c r="AG1085" s="206">
        <f>SUM(AB1085:AF1085)</f>
        <v>0</v>
      </c>
      <c r="AH1085" s="942"/>
      <c r="AI1085" s="201"/>
      <c r="AJ1085" s="945"/>
      <c r="AK1085" s="960"/>
      <c r="AL1085" s="960"/>
      <c r="AM1085" s="931"/>
      <c r="AN1085" s="949"/>
      <c r="AO1085" s="949"/>
      <c r="AP1085" s="949"/>
      <c r="AQ1085" s="949"/>
      <c r="AR1085" s="964"/>
    </row>
    <row r="1086" spans="1:44" s="50" customFormat="1" ht="48.6" hidden="1" customHeight="1">
      <c r="A1086" s="197"/>
      <c r="B1086" s="951"/>
      <c r="C1086" s="954"/>
      <c r="D1086" s="957"/>
      <c r="E1086" s="939"/>
      <c r="F1086" s="237" t="str">
        <f ca="1">IF(B1081="Лікар-педіатр",Законод!$C$17,IF(B1081="Лікар загальної практики - сімейний лікар",Законод!$C$21,IF(B1081="Лікар-терапевт",Законод!$C$25,"х")))</f>
        <v>х</v>
      </c>
      <c r="G1086" s="208">
        <f ca="1">IF($B$1081="Лікар загальної практики - сімейний лікар",IF(L1085&lt;=Законод!$C$22,G1085,Законод!$C$22*'01_Доходи'!G1084),IF($B$1081="Лікар-педіатр",IF(L1085&lt;=Законод!$C$18,G1085,Законод!$C$18*'01_Доходи'!G1084),IF($B$1081="Лікар-терапевт","x",0)))</f>
        <v>0</v>
      </c>
      <c r="H1086" s="208">
        <f ca="1">IF($B$1081="Лікар загальної практики - сімейний лікар",IF(L1085&lt;=Законод!$C$22,H1085,Законод!$C$22*'01_Доходи'!H1084),IF($B$1081="Лікар-педіатр",IF(L1085&lt;=Законод!$C$18,H1085,Законод!$C$18*'01_Доходи'!H1084),IF($B$1081="Лікар-терапевт","x",0)))</f>
        <v>0</v>
      </c>
      <c r="I1086" s="208">
        <f ca="1">IF($B$1081="Лікар загальної практики - сімейний лікар",IF(L1085&lt;=Законод!$C$22,I1085,Законод!$C$22*'01_Доходи'!I1084),IF($B$1081="Лікар-педіатр","x",IF($B$1081="Лікар-терапевт",IF(L1085&lt;=Законод!$C$26,I1085,Законод!$C$26*'01_Доходи'!I1084),0)))</f>
        <v>0</v>
      </c>
      <c r="J1086" s="208">
        <f ca="1">IF($B$1081="Лікар загальної практики - сімейний лікар",IF(L1085&lt;=Законод!$C$22,J1085,Законод!$C$22*'01_Доходи'!J1084),IF($B$1081="Лікар-педіатр","x",IF($B$1081="Лікар-терапевт",IF(L1085&lt;=Законод!$C$26,J1085,Законод!$C$26*'01_Доходи'!J1084),0)))</f>
        <v>0</v>
      </c>
      <c r="K1086" s="208">
        <f ca="1">IF($B$1081="Лікар загальної практики - сімейний лікар",IF(L1085&lt;=Законод!$C$22,K1085,Законод!$C$22*'01_Доходи'!K1084),IF($B$1081="Лікар-педіатр","x",IF($B$1081="Лікар-терапевт",IF(L1085&lt;=Законод!$C$26,K1085,Законод!$C$26*'01_Доходи'!K1084),0)))</f>
        <v>0</v>
      </c>
      <c r="L1086" s="209">
        <f ca="1">SUM(G1086:K1086)</f>
        <v>0</v>
      </c>
      <c r="M1086" s="942"/>
      <c r="N1086" s="208">
        <f ca="1">IF($B$1081="Лікар загальної практики - сімейний лікар",IF(S1085&lt;=Законод!$C$22,N1085,Законод!$C$22*'01_Доходи'!N1084),IF($B$1081="Лікар-педіатр",IF(S1085&lt;=Законод!$C$18,N1085,Законод!$C$18*'01_Доходи'!N1084),IF($B$1081="Лікар-терапевт","x",0)))</f>
        <v>0</v>
      </c>
      <c r="O1086" s="208">
        <f ca="1">IF($B$1081="Лікар загальної практики - сімейний лікар",IF(S1085&lt;=Законод!$C$22,O1085,Законод!$C$22*'01_Доходи'!O1084),IF($B$1081="Лікар-педіатр",IF(S1085&lt;=Законод!$C$18,O1085,Законод!$C$18*'01_Доходи'!O1084),IF($B$1081="Лікар-терапевт","x",0)))</f>
        <v>0</v>
      </c>
      <c r="P1086" s="208">
        <f ca="1">IF($B$1081="Лікар загальної практики - сімейний лікар",IF(S1085&lt;=Законод!$C$22,P1085,Законод!$C$22*'01_Доходи'!P1084),IF($B$1081="Лікар-педіатр","x",IF($B$1081="Лікар-терапевт",IF(S1085&lt;=Законод!$C$26,P1085,Законод!$C$26*'01_Доходи'!P1084),0)))</f>
        <v>0</v>
      </c>
      <c r="Q1086" s="208">
        <f ca="1">IF($B$1081="Лікар загальної практики - сімейний лікар",IF(S1085&lt;=Законод!$C$22,Q1085,Законод!$C$22*'01_Доходи'!Q1084),IF($B$1081="Лікар-педіатр","x",IF($B$1081="Лікар-терапевт",IF(S1085&lt;=Законод!$C$26,Q1085,Законод!$C$26*'01_Доходи'!Q1084),0)))</f>
        <v>0</v>
      </c>
      <c r="R1086" s="208">
        <f ca="1">IF($B$1081="Лікар загальної практики - сімейний лікар",IF(S1085&lt;=Законод!$C$22,R1085,Законод!$C$22*'01_Доходи'!R1084),IF($B$1081="Лікар-педіатр","x",IF($B$1081="Лікар-терапевт",IF(S1085&lt;=Законод!$C$26,R1085,Законод!$C$26*'01_Доходи'!R1084),0)))</f>
        <v>0</v>
      </c>
      <c r="S1086" s="209">
        <f ca="1">SUM(N1086:R1086)</f>
        <v>0</v>
      </c>
      <c r="T1086" s="942"/>
      <c r="U1086" s="208">
        <f ca="1">IF($B$1081="Лікар загальної практики - сімейний лікар",IF(Z1085&lt;=Законод!$C$22,U1085,Законод!$C$22*'01_Доходи'!U1084),IF($B$1081="Лікар-педіатр",IF(Z1085&lt;=Законод!$C$18,U1085,Законод!$C$18*'01_Доходи'!U1084),IF($B$1081="Лікар-терапевт","x",0)))</f>
        <v>0</v>
      </c>
      <c r="V1086" s="208">
        <f ca="1">IF($B$1081="Лікар загальної практики - сімейний лікар",IF(Z1085&lt;=Законод!$C$22,V1085,Законод!$C$22*'01_Доходи'!V1084),IF($B$1081="Лікар-педіатр",IF(Z1085&lt;=Законод!$C$18,V1085,Законод!$C$18*'01_Доходи'!V1084),IF($B$1081="Лікар-терапевт","x",0)))</f>
        <v>0</v>
      </c>
      <c r="W1086" s="208">
        <f ca="1">IF($B$1081="Лікар загальної практики - сімейний лікар",IF(Z1085&lt;=Законод!$C$22,W1085,Законод!$C$22*'01_Доходи'!W1084),IF($B$1081="Лікар-педіатр","x",IF($B$1081="Лікар-терапевт",IF(Z1085&lt;=Законод!$C$26,W1085,Законод!$C$26*'01_Доходи'!W1084),0)))</f>
        <v>0</v>
      </c>
      <c r="X1086" s="208">
        <f ca="1">IF($B$1081="Лікар загальної практики - сімейний лікар",IF(Z1085&lt;=Законод!$C$22,X1085,Законод!$C$22*'01_Доходи'!X1084),IF($B$1081="Лікар-педіатр","x",IF($B$1081="Лікар-терапевт",IF(Z1085&lt;=Законод!$C$26,X1085,Законод!$C$26*'01_Доходи'!X1084),0)))</f>
        <v>0</v>
      </c>
      <c r="Y1086" s="208">
        <f ca="1">IF($B$1081="Лікар загальної практики - сімейний лікар",IF(Z1085&lt;=Законод!$C$22,Y1085,Законод!$C$22*'01_Доходи'!Y1084),IF($B$1081="Лікар-педіатр","x",IF($B$1081="Лікар-терапевт",IF(Z1085&lt;=Законод!$C$26,Y1085,Законод!$C$26*'01_Доходи'!Y1084),0)))</f>
        <v>0</v>
      </c>
      <c r="Z1086" s="209">
        <f ca="1">SUM(U1086:Y1086)</f>
        <v>0</v>
      </c>
      <c r="AA1086" s="942"/>
      <c r="AB1086" s="208">
        <f ca="1">IF($B$1081="Лікар загальної практики - сімейний лікар",IF(AG1085&lt;=Законод!$C$22,AB1085,Законод!$C$22*'01_Доходи'!AB1084),IF($B$1081="Лікар-педіатр",IF(AG1085&lt;=Законод!$C$18,AB1085,Законод!$C$18*'01_Доходи'!AB1084),IF($B$1081="Лікар-терапевт","x",0)))</f>
        <v>0</v>
      </c>
      <c r="AC1086" s="208">
        <f ca="1">IF($B$1081="Лікар загальної практики - сімейний лікар",IF(AG1085&lt;=Законод!$C$22,AC1085,Законод!$C$22*'01_Доходи'!AC1084),IF($B$1081="Лікар-педіатр",IF(AG1085&lt;=Законод!$C$18,AC1085,Законод!$C$18*'01_Доходи'!AC1084),IF($B$1081="Лікар-терапевт","x",0)))</f>
        <v>0</v>
      </c>
      <c r="AD1086" s="208">
        <f ca="1">IF($B$1081="Лікар загальної практики - сімейний лікар",IF(AG1085&lt;=Законод!$C$22,AD1085,Законод!$C$22*'01_Доходи'!AD1084),IF($B$1081="Лікар-педіатр","x",IF($B$1081="Лікар-терапевт",IF(AG1085&lt;=Законод!$C$26,AD1085,Законод!$C$26*'01_Доходи'!AD1084),0)))</f>
        <v>0</v>
      </c>
      <c r="AE1086" s="208">
        <f ca="1">IF($B$1081="Лікар загальної практики - сімейний лікар",IF(AG1085&lt;=Законод!$C$22,AE1085,Законод!$C$22*'01_Доходи'!AE1084),IF($B$1081="Лікар-педіатр","x",IF($B$1081="Лікар-терапевт",IF(AG1085&lt;=Законод!$C$26,AE1085,Законод!$C$26*'01_Доходи'!AE1084),0)))</f>
        <v>0</v>
      </c>
      <c r="AF1086" s="208">
        <f ca="1">IF($B$1081="Лікар загальної практики - сімейний лікар",IF(AG1085&lt;=Законод!$C$22,AF1085,Законод!$C$22*'01_Доходи'!AF1084),IF($B$1081="Лікар-педіатр","x",IF($B$1081="Лікар-терапевт",IF(AG1085&lt;=Законод!$C$26,AF1085,Законод!$C$26*'01_Доходи'!AF1084),0)))</f>
        <v>0</v>
      </c>
      <c r="AG1086" s="209">
        <f ca="1">SUM(AB1086:AF1086)</f>
        <v>0</v>
      </c>
      <c r="AH1086" s="942"/>
      <c r="AI1086" s="201"/>
      <c r="AJ1086" s="945"/>
      <c r="AK1086" s="960"/>
      <c r="AL1086" s="960"/>
      <c r="AM1086" s="348" t="s">
        <v>451</v>
      </c>
      <c r="AN1086" s="210">
        <f ca="1">IF(B1081="Лікар загальної практики - сімейний лікар",G1086*Законод!$C$11+'01_Доходи'!H1086*Законод!$D$11+'01_Доходи'!I1086*Законод!$E$11+'01_Доходи'!J1086*Законод!$F$11+'01_Доходи'!K1086*Законод!$G$11,IF(B1081="Лікар-педіатр",G1086*Законод!$C$11+'01_Доходи'!H1086*Законод!$D$11,IF(B1081="Лікар-терапевт",'01_Доходи'!I1086*Законод!$E$11+'01_Доходи'!J1086*Законод!$F$11+'01_Доходи'!K1086*Законод!$G$11,0)))</f>
        <v>0</v>
      </c>
      <c r="AO1086" s="210">
        <f ca="1">IF(B1081="Лікар загальної практики - сімейний лікар",N1086*Законод!$C$11+'01_Доходи'!O1086*Законод!$D$11+'01_Доходи'!P1086*Законод!$E$11+'01_Доходи'!Q1086*Законод!$F$11+'01_Доходи'!R1086*Законод!$G$11,IF(B1081="Лікар-педіатр",N1086*Законод!$C$11+'01_Доходи'!O1086*Законод!$D$11,IF(B1081="Лікар-терапевт",'01_Доходи'!P1086*Законод!$E$11+'01_Доходи'!Q1086*Законод!$F$11+'01_Доходи'!R1086*Законод!$G$11,0)))</f>
        <v>0</v>
      </c>
      <c r="AP1086" s="210">
        <f ca="1">IF(B1081="Лікар загальної практики - сімейний лікар",U1086*Законод!$C$11+'01_Доходи'!V1086*Законод!$D$11+'01_Доходи'!W1086*Законод!$E$11+'01_Доходи'!X1086*Законод!$F$11+'01_Доходи'!Y1086*Законод!$G$11,IF(B1081="Лікар-педіатр",U1086*Законод!$C$11+'01_Доходи'!V1086*Законод!$D$11,IF(B1081="Лікар-терапевт",'01_Доходи'!W1086*Законод!$E$11+'01_Доходи'!X1086*Законод!$F$11+'01_Доходи'!Y1086*Законод!$G$11,0)))</f>
        <v>0</v>
      </c>
      <c r="AQ1086" s="210">
        <f ca="1">IF(B1081="Лікар загальної практики - сімейний лікар",AB1086*Законод!$C$11+'01_Доходи'!AC1086*Законод!$D$11+'01_Доходи'!AD1086*Законод!$E$11+'01_Доходи'!AE1086*Законод!$F$11+'01_Доходи'!AF1086*Законод!$G$11,IF(B1081="Лікар-педіатр",AB1086*Законод!$C$11+'01_Доходи'!AC1086*Законод!$D$11,IF(B1081="Лікар-терапевт",'01_Доходи'!AD1086*Законод!$E$11+'01_Доходи'!AE1086*Законод!$F$11+'01_Доходи'!AF1086*Законод!$G$11,0)))</f>
        <v>0</v>
      </c>
      <c r="AR1086" s="211">
        <f t="shared" ref="AR1086:AR1092" si="123">SUM(AN1086:AQ1086)</f>
        <v>0</v>
      </c>
    </row>
    <row r="1087" spans="1:44" s="50" customFormat="1" ht="31.9" hidden="1" customHeight="1">
      <c r="A1087" s="197"/>
      <c r="B1087" s="951"/>
      <c r="C1087" s="954"/>
      <c r="D1087" s="957"/>
      <c r="E1087" s="939"/>
      <c r="F1087" s="238" t="str">
        <f ca="1">IF(B1081="Лікар-педіатр",Законод!$E$17,IF(B1081="Лікар загальної практики - сімейний лікар",Законод!$E$21,IF(B1081="Лікар-терапевт",Законод!$E$25,"х")))</f>
        <v>х</v>
      </c>
      <c r="G1087" s="935" t="s">
        <v>423</v>
      </c>
      <c r="H1087" s="936"/>
      <c r="I1087" s="936"/>
      <c r="J1087" s="936"/>
      <c r="K1087" s="937"/>
      <c r="L1087" s="196">
        <f ca="1">IF($B$1081="Лікар загальної практики - сімейний лікар",IF(L1085&lt;Законод!$C$22,0,(IF(AND(L1085&gt;=Законод!$E$22,L1085&lt;=Законод!$E$23),L1085-Законод!$C$22,IF('01_Доходи'!L1085&gt;=Законод!$F$22,Законод!$E$24,0)))),IF($B$1081="Лікар-педіатр",IF(L1085&lt;Законод!$C$18,0,(IF(AND(L1085&gt;=Законод!$E$18,L1085&lt;=Законод!$E$19),L1085-Законод!$C$18,IF('01_Доходи'!L1085&gt;=Законод!$F$18,Законод!$E$20,0)))),IF($B$1081="Лікар-терапевт",IF(L1085&lt;Законод!$C$26,0,(IF(AND(L1085&gt;=Законод!$E$26,L1085&lt;=Законод!$E$27),L1085-Законод!$C$26,IF('01_Доходи'!L1085&gt;=Законод!$F$26,Законод!$E$28,0)))),0)))</f>
        <v>0</v>
      </c>
      <c r="M1087" s="942"/>
      <c r="N1087" s="935" t="s">
        <v>423</v>
      </c>
      <c r="O1087" s="936"/>
      <c r="P1087" s="936"/>
      <c r="Q1087" s="936"/>
      <c r="R1087" s="937"/>
      <c r="S1087" s="196">
        <f ca="1">IF($B$1081="Лікар загальної практики - сімейний лікар",IF(S1085&lt;Законод!$C$22,0,(IF(AND(S1085&gt;=Законод!$E$22,S1085&lt;=Законод!$E$23),S1085-Законод!$C$22,IF('01_Доходи'!S1085&gt;=Законод!$F$22,Законод!$E$24,0)))),IF($B$1081="Лікар-педіатр",IF(S1085&lt;Законод!$C$18,0,(IF(AND(S1085&gt;=Законод!$E$18,S1085&lt;=Законод!$E$19),S1085-Законод!$C$18,IF('01_Доходи'!S1085&gt;=Законод!$F$18,Законод!$E$20,0)))),IF($B$1081="Лікар-терапевт",IF(S1085&lt;Законод!$C$26,0,(IF(AND(S1085&gt;=Законод!$E$26,S1085&lt;=Законод!$E$27),S1085-Законод!$C$26,IF('01_Доходи'!S1085&gt;=Законод!$F$26,Законод!$E$28,0)))),0)))</f>
        <v>0</v>
      </c>
      <c r="T1087" s="942"/>
      <c r="U1087" s="935" t="s">
        <v>423</v>
      </c>
      <c r="V1087" s="936"/>
      <c r="W1087" s="936"/>
      <c r="X1087" s="936"/>
      <c r="Y1087" s="937"/>
      <c r="Z1087" s="196">
        <f ca="1">IF($B$1081="Лікар загальної практики - сімейний лікар",IF(Z1085&lt;Законод!$C$22,0,(IF(AND(Z1085&gt;=Законод!$E$22,Z1085&lt;=Законод!$E$23),Z1085-Законод!$C$22,IF('01_Доходи'!Z1085&gt;=Законод!$F$22,Законод!$E$24,0)))),IF($B$1081="Лікар-педіатр",IF(Z1085&lt;Законод!$C$18,0,(IF(AND(Z1085&gt;=Законод!$E$18,Z1085&lt;=Законод!$E$19),Z1085-Законод!$C$18,IF('01_Доходи'!Z1085&gt;=Законод!$F$18,Законод!$E$20,0)))),IF($B$1081="Лікар-терапевт",IF(Z1085&lt;Законод!$C$26,0,(IF(AND(Z1085&gt;=Законод!$E$26,Z1085&lt;=Законод!$E$27),Z1085-Законод!$C$26,IF('01_Доходи'!Z1085&gt;=Законод!$F$26,Законод!$E$28,0)))),0)))</f>
        <v>0</v>
      </c>
      <c r="AA1087" s="942"/>
      <c r="AB1087" s="935" t="s">
        <v>423</v>
      </c>
      <c r="AC1087" s="936"/>
      <c r="AD1087" s="936"/>
      <c r="AE1087" s="936"/>
      <c r="AF1087" s="937"/>
      <c r="AG1087" s="196">
        <f ca="1">IF($B$1081="Лікар загальної практики - сімейний лікар",IF(AG1085&lt;Законод!$C$22,0,(IF(AND(AG1085&gt;=Законод!$E$22,AG1085&lt;=Законод!$E$23),AG1085-Законод!$C$22,IF('01_Доходи'!AG1085&gt;=Законод!$F$22,Законод!$E$24,0)))),IF($B$1081="Лікар-педіатр",IF(AG1085&lt;Законод!$C$18,0,(IF(AND(AG1085&gt;=Законод!$E$18,AG1085&lt;=Законод!$E$19),AG1085-Законод!$C$18,IF('01_Доходи'!AG1085&gt;=Законод!$F$18,Законод!$E$20,0)))),IF($B$1081="Лікар-терапевт",IF(AG1085&lt;Законод!$C$26,0,(IF(AND(AG1085&gt;=Законод!$E$26,AG1085&lt;=Законод!$E$27),AG1085-Законод!$C$26,IF('01_Доходи'!AG1085&gt;=Законод!$F$26,Законод!$E$28,0)))),0)))</f>
        <v>0</v>
      </c>
      <c r="AH1087" s="942"/>
      <c r="AI1087" s="201"/>
      <c r="AJ1087" s="945"/>
      <c r="AK1087" s="960"/>
      <c r="AL1087" s="960"/>
      <c r="AM1087" s="926" t="s">
        <v>452</v>
      </c>
      <c r="AN1087" s="210">
        <f ca="1">IF(B1081="Лікар загальної практики - сімейний лікар",L1087*Законод!$C$9/4*Законод!$E$16,IF(B1081="Лікар-педіатр",L1087*Законод!$C$9/4*Законод!$E$16,IF(B1081="Лікар-терапевт",L1087*Законод!$C$9/4*Законод!$E$16,0)))</f>
        <v>0</v>
      </c>
      <c r="AO1087" s="210">
        <f ca="1">IF(B1081="Лікар загальної практики - сімейний лікар",S1087*Законод!$C$9/4*Законод!$E$16,IF(B1081="Лікар-педіатр",S1087*Законод!$C$9/4*Законод!$E$16,IF(B1081="Лікар-терапевт",S1087*Законод!$C$9/4*Законод!$E$16,0)))</f>
        <v>0</v>
      </c>
      <c r="AP1087" s="210">
        <f ca="1">IF(B1081="Лікар загальної практики - сімейний лікар",Z1087*Законод!$C$9/4*Законод!$E$16,IF(B1081="Лікар-педіатр",Z1087*Законод!$C$9/4*Законод!$E$16,IF(B1081="Лікар-терапевт",Z1087*Законод!$C$9/4*Законод!$E$16,0)))</f>
        <v>0</v>
      </c>
      <c r="AQ1087" s="210">
        <f ca="1">IF(B1081="Лікар загальної практики - сімейний лікар",AG1087*Законод!$C$9/4*Законод!$E$16,IF(B1081="Лікар-педіатр",AG1087*Законод!$C$9/4*Законод!$E$16,IF(B1081="Лікар-терапевт",AG1087*Законод!$C$9/4*Законод!$E$16,0)))</f>
        <v>0</v>
      </c>
      <c r="AR1087" s="211">
        <f t="shared" si="123"/>
        <v>0</v>
      </c>
    </row>
    <row r="1088" spans="1:44" s="50" customFormat="1" ht="31.9" hidden="1" customHeight="1">
      <c r="A1088" s="197"/>
      <c r="B1088" s="951"/>
      <c r="C1088" s="954"/>
      <c r="D1088" s="957"/>
      <c r="E1088" s="939"/>
      <c r="F1088" s="238" t="str">
        <f ca="1">IF(B1081="Лікар-педіатр",Законод!$F$17,IF(B1081="Лікар загальної практики - сімейний лікар",Законод!$F$21,IF(B1081="Лікар-терапевт",Законод!$F$25,"х")))</f>
        <v>х</v>
      </c>
      <c r="G1088" s="935" t="s">
        <v>423</v>
      </c>
      <c r="H1088" s="936"/>
      <c r="I1088" s="936"/>
      <c r="J1088" s="936"/>
      <c r="K1088" s="937"/>
      <c r="L1088" s="196">
        <f ca="1">IF($B$1081="Лікар загальної практики - сімейний лікар",IF(L1085&lt;Законод!$C$22,0,(IF(AND(L1085&gt;=Законод!$F$22,L1085&lt;=Законод!$F$23),L1085-Законод!$E$23,IF('01_Доходи'!L1085&gt;=Законод!$G$22,Законод!$F$24,0)))),IF($B$1081="Лікар-педіатр",IF(L1085&lt;Законод!$C$18,0,(IF(AND(L1085&gt;=Законод!$F$18,L1085&lt;=Законод!$F$19),L1085-Законод!$E$19,IF('01_Доходи'!L1085&gt;=Законод!$G$18,Законод!$F$20,0)))),IF($B$1081="Лікар-терапевт",IF(L1085&lt;Законод!$C$26,0,(IF(AND(L1085&gt;=Законод!$F$26,L1085&lt;=Законод!$F$27),L1085-Законод!$E$27,IF('01_Доходи'!L1085&gt;=Законод!$G$26,Законод!$F$28,0)))),0)))</f>
        <v>0</v>
      </c>
      <c r="M1088" s="942"/>
      <c r="N1088" s="935" t="s">
        <v>423</v>
      </c>
      <c r="O1088" s="936"/>
      <c r="P1088" s="936"/>
      <c r="Q1088" s="936"/>
      <c r="R1088" s="937"/>
      <c r="S1088" s="196">
        <f ca="1">IF($B$1081="Лікар загальної практики - сімейний лікар",IF(S1085&lt;Законод!$C$22,0,(IF(AND(S1085&gt;=Законод!$F$22,S1085&lt;=Законод!$F$23),S1085-Законод!$E$23,IF('01_Доходи'!S1085&gt;=Законод!$G$22,Законод!$F$24,0)))),IF($B$1081="Лікар-педіатр",IF(S1085&lt;Законод!$C$18,0,(IF(AND(S1085&gt;=Законод!$F$18,S1085&lt;=Законод!$F$19),S1085-Законод!$E$19,IF('01_Доходи'!S1085&gt;=Законод!$G$18,Законод!$F$20,0)))),IF($B$1081="Лікар-терапевт",IF(S1085&lt;Законод!$C$26,0,(IF(AND(S1085&gt;=Законод!$F$26,S1085&lt;=Законод!$F$27),S1085-Законод!$E$27,IF('01_Доходи'!S1085&gt;=Законод!$G$26,Законод!$F$28,0)))),0)))</f>
        <v>0</v>
      </c>
      <c r="T1088" s="942"/>
      <c r="U1088" s="935" t="s">
        <v>423</v>
      </c>
      <c r="V1088" s="936"/>
      <c r="W1088" s="936"/>
      <c r="X1088" s="936"/>
      <c r="Y1088" s="937"/>
      <c r="Z1088" s="196">
        <f ca="1">IF($B$1081="Лікар загальної практики - сімейний лікар",IF(Z1085&lt;Законод!$C$22,0,(IF(AND(Z1085&gt;=Законод!$F$22,Z1085&lt;=Законод!$F$23),Z1085-Законод!$E$23,IF('01_Доходи'!Z1085&gt;=Законод!$G$22,Законод!$F$24,0)))),IF($B$1081="Лікар-педіатр",IF(Z1085&lt;Законод!$C$18,0,(IF(AND(Z1085&gt;=Законод!$F$18,Z1085&lt;=Законод!$F$19),Z1085-Законод!$E$19,IF('01_Доходи'!Z1085&gt;=Законод!$G$18,Законод!$F$20,0)))),IF($B$1081="Лікар-терапевт",IF(Z1085&lt;Законод!$C$26,0,(IF(AND(Z1085&gt;=Законод!$F$26,Z1085&lt;=Законод!$F$27),Z1085-Законод!$E$27,IF('01_Доходи'!Z1085&gt;=Законод!$G$26,Законод!$F$28,0)))),0)))</f>
        <v>0</v>
      </c>
      <c r="AA1088" s="942"/>
      <c r="AB1088" s="935" t="s">
        <v>423</v>
      </c>
      <c r="AC1088" s="936"/>
      <c r="AD1088" s="936"/>
      <c r="AE1088" s="936"/>
      <c r="AF1088" s="937"/>
      <c r="AG1088" s="196">
        <f ca="1">IF($B$1081="Лікар загальної практики - сімейний лікар",IF(AG1085&lt;Законод!$C$22,0,(IF(AND(AG1085&gt;=Законод!$F$22,AG1085&lt;=Законод!$F$23),AG1085-Законод!$E$23,IF('01_Доходи'!AG1085&gt;=Законод!$G$22,Законод!$F$24,0)))),IF($B$1081="Лікар-педіатр",IF(AG1085&lt;Законод!$C$18,0,(IF(AND(AG1085&gt;=Законод!$F$18,AG1085&lt;=Законод!$F$19),AG1085-Законод!$E$19,IF('01_Доходи'!AG1085&gt;=Законод!$G$18,Законод!$F$20,0)))),IF($B$1081="Лікар-терапевт",IF(AG1085&lt;Законод!$C$26,0,(IF(AND(AG1085&gt;=Законод!$F$26,AG1085&lt;=Законод!$F$27),AG1085-Законод!$E$27,IF('01_Доходи'!AG1085&gt;=Законод!$G$26,Законод!$F$28,0)))),0)))</f>
        <v>0</v>
      </c>
      <c r="AH1088" s="942"/>
      <c r="AI1088" s="201"/>
      <c r="AJ1088" s="945"/>
      <c r="AK1088" s="960"/>
      <c r="AL1088" s="960"/>
      <c r="AM1088" s="927"/>
      <c r="AN1088" s="210">
        <f ca="1">IF(B1081="Лікар загальної практики - сімейний лікар",L1088*Законод!$C$9/4*Законод!$F$16,IF(B1081="Лікар-педіатр",L1088*Законод!$C$9/4*Законод!$F$16,IF(B1081="Лікар-терапевт",L1088*Законод!$C$9/4*Законод!$F$16,0)))</f>
        <v>0</v>
      </c>
      <c r="AO1088" s="210">
        <f ca="1">IF(B1081="Лікар загальної практики - сімейний лікар",S1088*Законод!$C$9/4*Законод!$F$16,IF(B1081="Лікар-педіатр",S1088*Законод!$C$9/4*Законод!$F$16,IF(B1081="Лікар-терапевт",S1088*Законод!$C$9/4*Законод!$F$16,0)))</f>
        <v>0</v>
      </c>
      <c r="AP1088" s="210">
        <f ca="1">IF(B1081="Лікар загальної практики - сімейний лікар",Z1088*Законод!$C$9/4*Законод!$F$16,IF(B1081="Лікар-педіатр",Z1088*Законод!$C$9/4*Законод!$F$16,IF(B1081="Лікар-терапевт",Z1088*Законод!$C$9/4*Законод!$F$16,0)))</f>
        <v>0</v>
      </c>
      <c r="AQ1088" s="210">
        <f ca="1">IF(B1081="Лікар загальної практики - сімейний лікар",AG1088*Законод!$C$9/4*Законод!$F$16,IF(B1081="Лікар-педіатр",AG1088*Законод!$C$9/4*Законод!$F$16,IF(B1081="Лікар-терапевт",AG1088*Законод!$C$9/4*Законод!$F$16,0)))</f>
        <v>0</v>
      </c>
      <c r="AR1088" s="211">
        <f t="shared" si="123"/>
        <v>0</v>
      </c>
    </row>
    <row r="1089" spans="1:44" s="50" customFormat="1" ht="31.9" hidden="1" customHeight="1">
      <c r="A1089" s="197"/>
      <c r="B1089" s="951"/>
      <c r="C1089" s="954"/>
      <c r="D1089" s="957"/>
      <c r="E1089" s="939"/>
      <c r="F1089" s="238" t="str">
        <f ca="1">IF(B1081="Лікар-педіатр",Законод!$G$17,IF(B1081="Лікар загальної практики - сімейний лікар",Законод!$G$21,IF(B1081="Лікар-терапевт",Законод!$G$25,"х")))</f>
        <v>х</v>
      </c>
      <c r="G1089" s="935" t="s">
        <v>423</v>
      </c>
      <c r="H1089" s="936"/>
      <c r="I1089" s="936"/>
      <c r="J1089" s="936"/>
      <c r="K1089" s="937"/>
      <c r="L1089" s="196">
        <f ca="1">IF($B$1081="Лікар загальної практики - сімейний лікар",IF(L1085&lt;Законод!$C$22,0,(IF(AND(L1085&gt;=Законод!$G$22,L1085&lt;=Законод!$G$23),L1085-Законод!$F$23,IF('01_Доходи'!L1085&gt;=Законод!$H$22,Законод!$G$24,0)))),IF($B$1081="Лікар-педіатр",IF(L1085&lt;Законод!$C$18,0,(IF(AND(L1085&gt;=Законод!$G$18,L1085&lt;=Законод!$G$19),L1085-Законод!$F$19,IF('01_Доходи'!L1085&gt;=Законод!$H$18,Законод!$G$20,0)))),IF($B$1081="Лікар-терапевт",IF(L1085&lt;Законод!$C$26,0,(IF(AND(L1085&gt;=Законод!$G$26,L1085&lt;=Законод!$G$27),L1085-Законод!$F$27,IF('01_Доходи'!L1085&gt;=Законод!$H$26,Законод!$G$28,0)))),0)))</f>
        <v>0</v>
      </c>
      <c r="M1089" s="942"/>
      <c r="N1089" s="935" t="s">
        <v>423</v>
      </c>
      <c r="O1089" s="936"/>
      <c r="P1089" s="936"/>
      <c r="Q1089" s="936"/>
      <c r="R1089" s="937"/>
      <c r="S1089" s="196">
        <f ca="1">IF($B$1081="Лікар загальної практики - сімейний лікар",IF(S1085&lt;Законод!$C$22,0,(IF(AND(S1085&gt;=Законод!$G$22,S1085&lt;=Законод!$G$23),S1085-Законод!$F$23,IF('01_Доходи'!S1085&gt;=Законод!$H$22,Законод!$G$24,0)))),IF($B$1081="Лікар-педіатр",IF(S1085&lt;Законод!$C$18,0,(IF(AND(S1085&gt;=Законод!$G$18,S1085&lt;=Законод!$G$19),S1085-Законод!$F$19,IF('01_Доходи'!S1085&gt;=Законод!$H$18,Законод!$G$20,0)))),IF($B$1081="Лікар-терапевт",IF(S1085&lt;Законод!$C$26,0,(IF(AND(S1085&gt;=Законод!$G$26,S1085&lt;=Законод!$G$27),S1085-Законод!$F$27,IF('01_Доходи'!S1085&gt;=Законод!$H$26,Законод!$G$28,0)))),0)))</f>
        <v>0</v>
      </c>
      <c r="T1089" s="942"/>
      <c r="U1089" s="935" t="s">
        <v>423</v>
      </c>
      <c r="V1089" s="936"/>
      <c r="W1089" s="936"/>
      <c r="X1089" s="936"/>
      <c r="Y1089" s="937"/>
      <c r="Z1089" s="196">
        <f ca="1">IF($B$1081="Лікар загальної практики - сімейний лікар",IF(Z1085&lt;Законод!$C$22,0,(IF(AND(Z1085&gt;=Законод!$G$22,Z1085&lt;=Законод!$G$23),Z1085-Законод!$F$23,IF('01_Доходи'!Z1085&gt;=Законод!$H$22,Законод!$G$24,0)))),IF($B$1081="Лікар-педіатр",IF(Z1085&lt;Законод!$C$18,0,(IF(AND(Z1085&gt;=Законод!$G$18,Z1085&lt;=Законод!$G$19),Z1085-Законод!$F$19,IF('01_Доходи'!Z1085&gt;=Законод!$H$18,Законод!$G$20,0)))),IF($B$1081="Лікар-терапевт",IF(Z1085&lt;Законод!$C$26,0,(IF(AND(Z1085&gt;=Законод!$G$26,Z1085&lt;=Законод!$G$27),Z1085-Законод!$F$27,IF('01_Доходи'!Z1085&gt;=Законод!$H$26,Законод!$G$28,0)))),0)))</f>
        <v>0</v>
      </c>
      <c r="AA1089" s="942"/>
      <c r="AB1089" s="935" t="s">
        <v>423</v>
      </c>
      <c r="AC1089" s="936"/>
      <c r="AD1089" s="936"/>
      <c r="AE1089" s="936"/>
      <c r="AF1089" s="937"/>
      <c r="AG1089" s="196">
        <f ca="1">IF($B$1081="Лікар загальної практики - сімейний лікар",IF(AG1085&lt;Законод!$C$22,0,(IF(AND(AG1085&gt;=Законод!$G$22,AG1085&lt;=Законод!$G$23),AG1085-Законод!$F$23,IF('01_Доходи'!AG1085&gt;=Законод!$H$22,Законод!$G$24,0)))),IF($B$1081="Лікар-педіатр",IF(AG1085&lt;Законод!$C$18,0,(IF(AND(AG1085&gt;=Законод!$G$18,AG1085&lt;=Законод!$G$19),AG1085-Законод!$F$19,IF('01_Доходи'!AG1085&gt;=Законод!$H$18,Законод!$G$20,0)))),IF($B$1081="Лікар-терапевт",IF(AG1085&lt;Законод!$C$26,0,(IF(AND(AG1085&gt;=Законод!$G$26,AG1085&lt;=Законод!$G$27),AG1085-Законод!$F$27,IF('01_Доходи'!AG1085&gt;=Законод!$H$26,Законод!$G$28,0)))),0)))</f>
        <v>0</v>
      </c>
      <c r="AH1089" s="942"/>
      <c r="AI1089" s="201"/>
      <c r="AJ1089" s="945"/>
      <c r="AK1089" s="960"/>
      <c r="AL1089" s="960"/>
      <c r="AM1089" s="927"/>
      <c r="AN1089" s="210">
        <f ca="1">IF(B1081="Лікар загальної практики - сімейний лікар",L1089*Законод!$C$9/4*Законод!$G$16,IF(B1081="Лікар-педіатр",L1089*Законод!$C$9/4*Законод!$G$16,IF(B1081="Лікар-терапевт",L1089*Законод!$C$9/4*Законод!$G$16,0)))</f>
        <v>0</v>
      </c>
      <c r="AO1089" s="210">
        <f ca="1">IF(B1081="Лікар загальної практики - сімейний лікар",S1089*Законод!$C$9/4*Законод!$G$16,IF(B1081="Лікар-педіатр",S1089*Законод!$C$9/4*Законод!$G$16,IF(B1081="Лікар-терапевт",S1089*Законод!$C$9/4*Законод!$G$16,0)))</f>
        <v>0</v>
      </c>
      <c r="AP1089" s="210">
        <f ca="1">IF(B1081="Лікар загальної практики - сімейний лікар",Z1089*Законод!$C$9/4*Законод!$G$16,IF(B1081="Лікар-педіатр",Z1089*Законод!$C$9/4*Законод!$G$16,IF(B1081="Лікар-терапевт",Z1089*Законод!$C$9/4*Законод!$G$16,0)))</f>
        <v>0</v>
      </c>
      <c r="AQ1089" s="210">
        <f ca="1">IF(B1081="Лікар загальної практики - сімейний лікар",AG1089*Законод!$C$9/4*Законод!$G$16,IF(B1081="Лікар-педіатр",AG1089*Законод!$C$9/4*Законод!$G$16,IF(B1081="Лікар-терапевт",AG1089*Законод!$C$9/4*Законод!$G$16,0)))</f>
        <v>0</v>
      </c>
      <c r="AR1089" s="211">
        <f t="shared" si="123"/>
        <v>0</v>
      </c>
    </row>
    <row r="1090" spans="1:44" s="50" customFormat="1" ht="31.9" hidden="1" customHeight="1">
      <c r="A1090" s="197"/>
      <c r="B1090" s="951"/>
      <c r="C1090" s="954"/>
      <c r="D1090" s="957"/>
      <c r="E1090" s="939"/>
      <c r="F1090" s="238" t="str">
        <f ca="1">IF(B1081="Лікар-педіатр",Законод!$H$17,IF(B1081="Лікар загальної практики - сімейний лікар",Законод!$H$21,IF(B1081="Лікар-терапевт",Законод!$H$25,"х")))</f>
        <v>х</v>
      </c>
      <c r="G1090" s="935" t="s">
        <v>423</v>
      </c>
      <c r="H1090" s="936"/>
      <c r="I1090" s="936"/>
      <c r="J1090" s="936"/>
      <c r="K1090" s="937"/>
      <c r="L1090" s="196">
        <f ca="1">IF($B$1081="Лікар загальної практики - сімейний лікар",IF(L1085&lt;Законод!$C$22,0,(IF(AND(L1085&gt;=Законод!$H$22,L1085&lt;=Законод!$H$23),L1085-Законод!$G$23,IF('01_Доходи'!L1085&gt;=Законод!$I$22,Законод!$H$24,0)))),IF($B$1081="Лікар-педіатр",IF(L1085&lt;Законод!$C$18,0,(IF(AND(L1085&gt;=Законод!$H$18,L1085&lt;=Законод!$H$19),L1085-Законод!$G$19,IF('01_Доходи'!L1085&gt;=Законод!$I$18,Законод!$H$20,0)))),IF($B$1081="Лікар-терапевт",IF(L1085&lt;Законод!$C$26,0,(IF(AND(L1085&gt;=Законод!$H$26,L1085&lt;=Законод!$H$27),L1085-Законод!$G$27,IF(L1085&gt;=Законод!$I$26,Законод!$H$28,0)))),0)))</f>
        <v>0</v>
      </c>
      <c r="M1090" s="942"/>
      <c r="N1090" s="935" t="s">
        <v>423</v>
      </c>
      <c r="O1090" s="936"/>
      <c r="P1090" s="936"/>
      <c r="Q1090" s="936"/>
      <c r="R1090" s="937"/>
      <c r="S1090" s="196">
        <f ca="1">IF($B$1081="Лікар загальної практики - сімейний лікар",IF(S1085&lt;Законод!$C$22,0,(IF(AND(S1085&gt;=Законод!$H$22,S1085&lt;=Законод!$H$23),S1085-Законод!$G$23,IF('01_Доходи'!S1085&gt;=Законод!$I$22,Законод!$H$24,0)))),IF($B$1081="Лікар-педіатр",IF(S1085&lt;Законод!$C$18,0,(IF(AND(S1085&gt;=Законод!$H$18,S1085&lt;=Законод!$H$19),S1085-Законод!$G$19,IF('01_Доходи'!S1085&gt;=Законод!$I$18,Законод!$H$20,0)))),IF($B$1081="Лікар-терапевт",IF(S1085&lt;Законод!$C$26,0,(IF(AND(S1085&gt;=Законод!$H$26,S1085&lt;=Законод!$H$27),S1085-Законод!$G$27,IF(S1085&gt;=Законод!$I$26,Законод!$H$28,0)))),0)))</f>
        <v>0</v>
      </c>
      <c r="T1090" s="942"/>
      <c r="U1090" s="935" t="s">
        <v>423</v>
      </c>
      <c r="V1090" s="936"/>
      <c r="W1090" s="936"/>
      <c r="X1090" s="936"/>
      <c r="Y1090" s="937"/>
      <c r="Z1090" s="196">
        <f ca="1">IF($B$1081="Лікар загальної практики - сімейний лікар",IF(Z1085&lt;Законод!$C$22,0,(IF(AND(Z1085&gt;=Законод!$H$22,Z1085&lt;=Законод!$H$23),Z1085-Законод!$G$23,IF('01_Доходи'!Z1085&gt;=Законод!$I$22,Законод!$H$24,0)))),IF($B$1081="Лікар-педіатр",IF(Z1085&lt;Законод!$C$18,0,(IF(AND(Z1085&gt;=Законод!$H$18,Z1085&lt;=Законод!$H$19),Z1085-Законод!$G$19,IF('01_Доходи'!Z1085&gt;=Законод!$I$18,Законод!$H$20,0)))),IF($B$1081="Лікар-терапевт",IF(Z1085&lt;Законод!$C$26,0,(IF(AND(Z1085&gt;=Законод!$H$26,Z1085&lt;=Законод!$H$27),Z1085-Законод!$G$27,IF(Z1085&gt;=Законод!$I$26,Законод!$H$28,0)))),0)))</f>
        <v>0</v>
      </c>
      <c r="AA1090" s="942"/>
      <c r="AB1090" s="935" t="s">
        <v>423</v>
      </c>
      <c r="AC1090" s="936"/>
      <c r="AD1090" s="936"/>
      <c r="AE1090" s="936"/>
      <c r="AF1090" s="937"/>
      <c r="AG1090" s="196">
        <f ca="1">IF($B$1081="Лікар загальної практики - сімейний лікар",IF(AG1085&lt;Законод!$C$22,0,(IF(AND(AG1085&gt;=Законод!$H$22,AG1085&lt;=Законод!$H$23),AG1085-Законод!$G$23,IF('01_Доходи'!AG1085&gt;=Законод!$I$22,Законод!$H$24,0)))),IF($B$1081="Лікар-педіатр",IF(AG1085&lt;Законод!$C$18,0,(IF(AND(AG1085&gt;=Законод!$H$18,AG1085&lt;=Законод!$H$19),AG1085-Законод!$G$19,IF('01_Доходи'!AG1085&gt;=Законод!$I$18,Законод!$H$20,0)))),IF($B$1081="Лікар-терапевт",IF(AG1085&lt;Законод!$C$26,0,(IF(AND(AG1085&gt;=Законод!$H$26,AG1085&lt;=Законод!$H$27),AG1085-Законод!$G$27,IF(AG1085&gt;=Законод!$I$26,Законод!$H$28,0)))),0)))</f>
        <v>0</v>
      </c>
      <c r="AH1090" s="942"/>
      <c r="AI1090" s="201"/>
      <c r="AJ1090" s="945"/>
      <c r="AK1090" s="960"/>
      <c r="AL1090" s="960"/>
      <c r="AM1090" s="927"/>
      <c r="AN1090" s="210">
        <f ca="1">IF(B1081="Лікар загальної практики - сімейний лікар",L1090*Законод!$C$9/4*Законод!$H$16,IF(B1081="Лікар-педіатр",L1090*Законод!$C$9/4*Законод!$H$16,IF(B1081="Лікар-терапевт",L1090*Законод!$C$9/4*Законод!$H$16,0)))</f>
        <v>0</v>
      </c>
      <c r="AO1090" s="210">
        <f ca="1">IF(B1081="Лікар загальної практики - сімейний лікар",S1090*Законод!$C$9/4*Законод!$H$16,IF(B1081="Лікар-педіатр",S1090*Законод!$C$9/4*Законод!$H$16,IF(B1081="Лікар-терапевт",S1090*Законод!$C$9/4*Законод!$H$16,0)))</f>
        <v>0</v>
      </c>
      <c r="AP1090" s="210">
        <f ca="1">IF(B1081="Лікар загальної практики - сімейний лікар",Z1090*Законод!$C$9/4*Законод!$H$16,IF(B1081="Лікар-педіатр",Z1090*Законод!$C$9/4*Законод!$H$16,IF(B1081="Лікар-терапевт",Z1090*Законод!$C$9/4*Законод!$H$16,0)))</f>
        <v>0</v>
      </c>
      <c r="AQ1090" s="210">
        <f ca="1">IF(B1081="Лікар загальної практики - сімейний лікар",AG1090*Законод!$C$9/4*Законод!$H$16,IF(B1081="Лікар-педіатр",AG1090*Законод!$C$9/4*Законод!$H$16,IF(B1081="Лікар-терапевт",AG1090*Законод!$C$9/4*Законод!$H$16,0)))</f>
        <v>0</v>
      </c>
      <c r="AR1090" s="211">
        <f t="shared" si="123"/>
        <v>0</v>
      </c>
    </row>
    <row r="1091" spans="1:44" s="50" customFormat="1" ht="31.9" hidden="1" customHeight="1">
      <c r="A1091" s="197"/>
      <c r="B1091" s="951"/>
      <c r="C1091" s="954"/>
      <c r="D1091" s="957"/>
      <c r="E1091" s="939"/>
      <c r="F1091" s="238" t="str">
        <f ca="1">IF(B1081="Лікар-педіатр",Законод!$I$17,IF(B1081="Лікар загальної практики - сімейний лікар",Законод!$I$21,IF(B1081="Лікар-терапевт",Законод!$I$25,"х")))</f>
        <v>х</v>
      </c>
      <c r="G1091" s="935" t="s">
        <v>423</v>
      </c>
      <c r="H1091" s="936"/>
      <c r="I1091" s="936"/>
      <c r="J1091" s="936"/>
      <c r="K1091" s="937"/>
      <c r="L1091" s="196">
        <f ca="1">IF($B$1081="Лікар загальної практики - сімейний лікар",IF(L1085&lt;Законод!$C$22,0,(IF(AND(L1085&gt;=Законод!$I$22,L1085&lt;=Законод!$I$23),L1085-Законод!$H$23,IF('01_Доходи'!L1085&gt;=Законод!$I$22,Законод!$I$24,0)))),IF($B$1081="Лікар-педіатр",IF(L1085&lt;Законод!$C$18,0,(IF(AND(L1085&gt;=Законод!$I$18,L1085&lt;=Законод!$I$19),L1085-Законод!$H$19,IF('01_Доходи'!L1085&gt;=Законод!$I$18,Законод!$H$20,0)))),IF($B$1081="Лікар-терапевт",IF(L1085&lt;Законод!$C$26,0,(IF(AND(L1085&gt;=Законод!$I$26,L1085&lt;=Законод!$I$27),L1085-Законод!$H$27,IF('01_Доходи'!L1085&gt;=Законод!$I$26,Законод!$H$28,0)))),0)))</f>
        <v>0</v>
      </c>
      <c r="M1091" s="942"/>
      <c r="N1091" s="935" t="s">
        <v>423</v>
      </c>
      <c r="O1091" s="936"/>
      <c r="P1091" s="936"/>
      <c r="Q1091" s="936"/>
      <c r="R1091" s="937"/>
      <c r="S1091" s="196">
        <f ca="1">IF($B$1081="Лікар загальної практики - сімейний лікар",IF(S1085&lt;Законод!$C$22,0,(IF(AND(S1085&gt;=Законод!$I$22,S1085&lt;=Законод!$I$23),S1085-Законод!$H$23,IF('01_Доходи'!S1085&gt;=Законод!$I$22,Законод!$I$24,0)))),IF($B$1081="Лікар-педіатр",IF(S1085&lt;Законод!$C$18,0,(IF(AND(S1085&gt;=Законод!$I$18,S1085&lt;=Законод!$I$19),S1085-Законод!$H$19,IF('01_Доходи'!S1085&gt;=Законод!$I$18,Законод!$H$20,0)))),IF($B$1081="Лікар-терапевт",IF(S1085&lt;Законод!$C$26,0,(IF(AND(S1085&gt;=Законод!$I$26,S1085&lt;=Законод!$I$27),S1085-Законод!$H$27,IF('01_Доходи'!S1085&gt;=Законод!$I$26,Законод!$H$28,0)))),0)))</f>
        <v>0</v>
      </c>
      <c r="T1091" s="942"/>
      <c r="U1091" s="935" t="s">
        <v>423</v>
      </c>
      <c r="V1091" s="936"/>
      <c r="W1091" s="936"/>
      <c r="X1091" s="936"/>
      <c r="Y1091" s="937"/>
      <c r="Z1091" s="196">
        <f ca="1">IF($B$1081="Лікар загальної практики - сімейний лікар",IF(Z1085&lt;Законод!$C$22,0,(IF(AND(Z1085&gt;=Законод!$I$22,Z1085&lt;=Законод!$I$23),Z1085-Законод!$H$23,IF('01_Доходи'!Z1085&gt;=Законод!$I$22,Законод!$I$24,0)))),IF($B$1081="Лікар-педіатр",IF(Z1085&lt;Законод!$C$18,0,(IF(AND(Z1085&gt;=Законод!$I$18,Z1085&lt;=Законод!$I$19),Z1085-Законод!$H$19,IF('01_Доходи'!Z1085&gt;=Законод!$I$18,Законод!$H$20,0)))),IF($B$1081="Лікар-терапевт",IF(Z1085&lt;Законод!$C$26,0,(IF(AND(Z1085&gt;=Законод!$I$26,Z1085&lt;=Законод!$I$27),Z1085-Законод!$H$27,IF('01_Доходи'!Z1085&gt;=Законод!$I$26,Законод!$H$28,0)))),0)))</f>
        <v>0</v>
      </c>
      <c r="AA1091" s="942"/>
      <c r="AB1091" s="935" t="s">
        <v>423</v>
      </c>
      <c r="AC1091" s="936"/>
      <c r="AD1091" s="936"/>
      <c r="AE1091" s="936"/>
      <c r="AF1091" s="937"/>
      <c r="AG1091" s="196">
        <f ca="1">IF($B$1081="Лікар загальної практики - сімейний лікар",IF(AG1085&lt;Законод!$C$22,0,(IF(AND(AG1085&gt;=Законод!$I$22,AG1085&lt;=Законод!$I$23),AG1085-Законод!$H$23,IF('01_Доходи'!AG1085&gt;=Законод!$I$22,Законод!$I$24,0)))),IF($B$1081="Лікар-педіатр",IF(AG1085&lt;Законод!$C$18,0,(IF(AND(AG1085&gt;=Законод!$I$18,AG1085&lt;=Законод!$I$19),AG1085-Законод!$H$19,IF('01_Доходи'!AG1085&gt;=Законод!$I$18,Законод!$H$20,0)))),IF($B$1081="Лікар-терапевт",IF(AG1085&lt;Законод!$C$26,0,(IF(AND(AG1085&gt;=Законод!$I$26,AG1085&lt;=Законод!$I$27),AG1085-Законод!$H$27,IF('01_Доходи'!AG1085&gt;=Законод!$I$26,Законод!$H$28,0)))),0)))</f>
        <v>0</v>
      </c>
      <c r="AH1091" s="942"/>
      <c r="AI1091" s="201"/>
      <c r="AJ1091" s="945"/>
      <c r="AK1091" s="960"/>
      <c r="AL1091" s="960"/>
      <c r="AM1091" s="927"/>
      <c r="AN1091" s="210">
        <f ca="1">IF(B1081="Лікар загальної практики - сімейний лікар",L1091*Законод!$C$9/4*Законод!$I$16,IF(B1081="Лікар-педіатр",L1091*Законод!$C$9/4*Законод!$I$16,IF(B1081="Лікар-терапевт",L1091*Законод!$C$9/4*Законод!$I$16,0)))</f>
        <v>0</v>
      </c>
      <c r="AO1091" s="210">
        <f ca="1">IF(B1081="Лікар загальної практики - сімейний лікар",S1091*Законод!$C$9/4*Законод!$I$16,IF(B1081="Лікар-педіатр",S1091*Законод!$C$9/4*Законод!$I$16,IF(B1081="Лікар-терапевт",S1091*Законод!$C$9/4*Законод!$I$16,0)))</f>
        <v>0</v>
      </c>
      <c r="AP1091" s="210">
        <f ca="1">IF(B1081="Лікар загальної практики - сімейний лікар",Z1091*Законод!$C$9/4*Законод!$I$16,IF(B1081="Лікар-педіатр",Z1091*Законод!$C$9/4*Законод!$I$16,IF(B1081="Лікар-терапевт",Z1091*Законод!$C$9/4*Законод!$I$16,0)))</f>
        <v>0</v>
      </c>
      <c r="AQ1091" s="210">
        <f ca="1">IF(B1081="Лікар загальної практики - сімейний лікар",AG1091*Законод!$C$9/4*Законод!$I$16,IF(B1081="Лікар-педіатр",AG1091*Законод!$C$9/4*Законод!$I$16,IF(B1081="Лікар-терапевт",AG1091*Законод!$C$9/4*Законод!$I$16,0)))</f>
        <v>0</v>
      </c>
      <c r="AR1091" s="211">
        <f t="shared" si="123"/>
        <v>0</v>
      </c>
    </row>
    <row r="1092" spans="1:44" s="218" customFormat="1" ht="31.9" hidden="1" customHeight="1" thickBot="1">
      <c r="A1092" s="213"/>
      <c r="B1092" s="952"/>
      <c r="C1092" s="955"/>
      <c r="D1092" s="958"/>
      <c r="E1092" s="940"/>
      <c r="F1092" s="239" t="str">
        <f ca="1">IF(B1081="Лікар-педіатр",Законод!$J$17,IF(B1081="Лікар загальної практики - сімейний лікар",Законод!$J$21,IF(B1081="Лікар-терапевт",Законод!$J$25,"х")))</f>
        <v>х</v>
      </c>
      <c r="G1092" s="932" t="s">
        <v>423</v>
      </c>
      <c r="H1092" s="933"/>
      <c r="I1092" s="933"/>
      <c r="J1092" s="933"/>
      <c r="K1092" s="934"/>
      <c r="L1092" s="196">
        <f ca="1">IF($B$1081="Лікар загальної практики - сімейний лікар",IF(L1085&gt;=Законод!$J$22,'01_Доходи'!L1085-('01_Доходи'!L1086+'01_Доходи'!L1087+'01_Доходи'!L1088+'01_Доходи'!L1089+'01_Доходи'!L1090+'01_Доходи'!L1091),0),IF($B$1081="Лікар-педіатр",IF(L1085&gt;=Законод!$J$18,'01_Доходи'!L1085-('01_Доходи'!L1086+'01_Доходи'!L1087+'01_Доходи'!L1088+'01_Доходи'!L1089+'01_Доходи'!L1090+'01_Доходи'!L1091),0),IF($B$1081="Лікар-терапевт",IF('01_Доходи'!L1085&gt;=Законод!$J$26,L1085-Законод!$I$27,0),0)))</f>
        <v>0</v>
      </c>
      <c r="M1092" s="943"/>
      <c r="N1092" s="932" t="s">
        <v>423</v>
      </c>
      <c r="O1092" s="933"/>
      <c r="P1092" s="933"/>
      <c r="Q1092" s="933"/>
      <c r="R1092" s="934"/>
      <c r="S1092" s="196">
        <f ca="1">IF($B$1081="Лікар загальної практики - сімейний лікар",IF(S1085&gt;=Законод!$J$22,'01_Доходи'!S1085-('01_Доходи'!S1086+'01_Доходи'!S1087+'01_Доходи'!S1088+'01_Доходи'!S1089+'01_Доходи'!S1090+'01_Доходи'!S1091),0),IF($B$1081="Лікар-педіатр",IF(S1085&gt;=Законод!$J$18,'01_Доходи'!S1085-('01_Доходи'!S1086+'01_Доходи'!S1087+'01_Доходи'!S1088+'01_Доходи'!S1089+'01_Доходи'!S1090+'01_Доходи'!S1091),0),IF($B$1081="Лікар-терапевт",IF('01_Доходи'!S1085&gt;=Законод!$J$26,S1085-Законод!$I$27,0),0)))</f>
        <v>0</v>
      </c>
      <c r="T1092" s="943"/>
      <c r="U1092" s="932" t="s">
        <v>423</v>
      </c>
      <c r="V1092" s="933"/>
      <c r="W1092" s="933"/>
      <c r="X1092" s="933"/>
      <c r="Y1092" s="934"/>
      <c r="Z1092" s="196">
        <f ca="1">IF($B$1081="Лікар загальної практики - сімейний лікар",IF(Z1085&gt;=Законод!$J$22,'01_Доходи'!Z1085-('01_Доходи'!Z1086+'01_Доходи'!Z1087+'01_Доходи'!Z1088+'01_Доходи'!Z1089+'01_Доходи'!Z1090+'01_Доходи'!Z1091),0),IF($B$1081="Лікар-педіатр",IF(Z1085&gt;=Законод!$J$18,'01_Доходи'!Z1085-('01_Доходи'!Z1086+'01_Доходи'!Z1087+'01_Доходи'!Z1088+'01_Доходи'!Z1089+'01_Доходи'!Z1090+'01_Доходи'!Z1091),0),IF($B$1081="Лікар-терапевт",IF('01_Доходи'!Z1085&gt;=Законод!$J$26,Z1085-Законод!$I$27,0),0)))</f>
        <v>0</v>
      </c>
      <c r="AA1092" s="943"/>
      <c r="AB1092" s="932" t="s">
        <v>423</v>
      </c>
      <c r="AC1092" s="933"/>
      <c r="AD1092" s="933"/>
      <c r="AE1092" s="933"/>
      <c r="AF1092" s="934"/>
      <c r="AG1092" s="196">
        <f ca="1">IF($B$1081="Лікар загальної практики - сімейний лікар",IF(AG1085&gt;=Законод!$J$22,'01_Доходи'!AG1085-('01_Доходи'!AG1086+'01_Доходи'!AG1087+'01_Доходи'!AG1088+'01_Доходи'!AG1089+'01_Доходи'!AG1090+'01_Доходи'!AG1091),0),IF($B$1081="Лікар-педіатр",IF(AG1085&gt;=Законод!$J$18,'01_Доходи'!AG1085-('01_Доходи'!AG1086+'01_Доходи'!AG1087+'01_Доходи'!AG1088+'01_Доходи'!AG1089+'01_Доходи'!AG1090+'01_Доходи'!AG1091),0),IF($B$1081="Лікар-терапевт",IF('01_Доходи'!AG1085&gt;=Законод!$J$26,AG1085-Законод!$I$27,0),0)))</f>
        <v>0</v>
      </c>
      <c r="AH1092" s="943"/>
      <c r="AI1092" s="215"/>
      <c r="AJ1092" s="946"/>
      <c r="AK1092" s="961"/>
      <c r="AL1092" s="961"/>
      <c r="AM1092" s="928"/>
      <c r="AN1092" s="216">
        <f ca="1">IF(B1081="Лікар загальної практики - сімейний лікар",L1092*Законод!$C$9/4*Законод!$J$16,IF(B1081="Лікар-педіатр",L1092*Законод!$C$9/4*Законод!$J$16,IF(B1081="Лікар-терапевт",L1092*Законод!$C$9/4*Законод!$J$16,0)))</f>
        <v>0</v>
      </c>
      <c r="AO1092" s="216">
        <f ca="1">IF(B1081="Лікар загальної практики - сімейний лікар",S1092*Законод!$C$9/4*Законод!$J$16,IF(B1081="Лікар-педіатр",S1092*Законод!$C$9/4*Законод!$J$16,IF(B1081="Лікар-терапевт",S1092*Законод!$C$9/4*Законод!$J$16,0)))</f>
        <v>0</v>
      </c>
      <c r="AP1092" s="216">
        <f ca="1">IF(B1081="Лікар загальної практики - сімейний лікар",S1092*Законод!$C$9/4*Законод!$J$16,IF(B1081="Лікар-педіатр",S1092*Законод!$C$9/4*Законод!$J$16,IF(B1081="Лікар-терапевт",S1092*Законод!$C$9/4*Законод!$J$16,0)))</f>
        <v>0</v>
      </c>
      <c r="AQ1092" s="216">
        <f ca="1">IF(B1081="Лікар загальної практики - сімейний лікар",AG1092*Законод!$C$9/4*Законод!$J$16,IF(B1081="Лікар-педіатр",AG1092*Законод!$C$9/4*Законод!$J$16,IF(B1081="Лікар-терапевт",AG1092*Законод!$C$9/4*Законод!$J$16,0)))</f>
        <v>0</v>
      </c>
      <c r="AR1092" s="217">
        <f t="shared" si="123"/>
        <v>0</v>
      </c>
    </row>
    <row r="1093" spans="1:44" s="247" customFormat="1" ht="23.45" hidden="1" customHeight="1" thickBot="1">
      <c r="A1093" s="243"/>
      <c r="B1093" s="244"/>
      <c r="C1093" s="244"/>
      <c r="D1093" s="244"/>
      <c r="E1093" s="244"/>
      <c r="F1093" s="245"/>
      <c r="G1093" s="246"/>
      <c r="H1093" s="246"/>
      <c r="L1093" s="248"/>
      <c r="S1093" s="248"/>
      <c r="Z1093" s="248"/>
      <c r="AG1093" s="248"/>
      <c r="AM1093" s="249"/>
      <c r="AR1093" s="250"/>
    </row>
    <row r="1094" spans="1:44" s="191" customFormat="1" ht="24.6" hidden="1" customHeight="1">
      <c r="A1094" s="194">
        <f>A1081+1</f>
        <v>82</v>
      </c>
      <c r="B1094" s="950"/>
      <c r="C1094" s="953"/>
      <c r="D1094" s="956"/>
      <c r="E1094" s="938"/>
      <c r="F1094" s="234" t="s">
        <v>659</v>
      </c>
      <c r="G1094" s="196">
        <f>IF($B$1094="Лікар-педіатр",G1097*L1094,IF($B$1094="Лікар-терапевт","х",IF($B$1094="Лікар загальної практики - сімейний лікар",G1097*L1094,0)))</f>
        <v>0</v>
      </c>
      <c r="H1094" s="196">
        <f>IF($B$1094="Лікар-педіатр",H1097*L1094,IF($B$1094="Лікар-терапевт","х",IF($B$1094="Лікар загальної практики - сімейний лікар",H1097*L1094,0)))</f>
        <v>0</v>
      </c>
      <c r="I1094" s="196">
        <f>IF($B$1094="Лікар-педіатр","x",IF($B$1094="Лікар-терапевт",I1097*L1094,IF($B$1094="Лікар загальної практики - сімейний лікар",I1097*L1094,0)))</f>
        <v>0</v>
      </c>
      <c r="J1094" s="196">
        <f>IF($B$1094="Лікар-педіатр","x",IF($B$1094="Лікар-терапевт",J1097*L1094,IF($B$1094="Лікар загальної практики - сімейний лікар",J1097*L1094,0)))</f>
        <v>0</v>
      </c>
      <c r="K1094" s="196">
        <f>IF($B$1094="Лікар-педіатр","x",IF($B$1094="Лікар-терапевт",K1097*L1094,IF($B$1094="Лікар загальної практики - сімейний лікар",K1097*L1094,0)))</f>
        <v>0</v>
      </c>
      <c r="L1094" s="557"/>
      <c r="M1094" s="941"/>
      <c r="N1094" s="196">
        <f>IF($B$1094="Лікар-педіатр",N1097*S1094,IF($B$1094="Лікар-терапевт","х",IF($B$1094="Лікар загальної практики - сімейний лікар",N1097*S1094,0)))</f>
        <v>0</v>
      </c>
      <c r="O1094" s="196">
        <f>IF($B$1094="Лікар-педіатр",O1097*S1094,IF($B$1094="Лікар-терапевт","х",IF($B$1094="Лікар загальної практики - сімейний лікар",O1097*S1094,0)))</f>
        <v>0</v>
      </c>
      <c r="P1094" s="196">
        <f>IF($B$1094="Лікар-педіатр","x",IF($B$1094="Лікар-терапевт",P1097*S1094,IF($B$1094="Лікар загальної практики - сімейний лікар",P1097*S1094,0)))</f>
        <v>0</v>
      </c>
      <c r="Q1094" s="196">
        <f>IF($B$1094="Лікар-педіатр","x",IF($B$1094="Лікар-терапевт",Q1097*S1094,IF($B$1094="Лікар загальної практики - сімейний лікар",Q1097*S1094,0)))</f>
        <v>0</v>
      </c>
      <c r="R1094" s="196">
        <f>IF($B$1094="Лікар-педіатр","x",IF($B$1094="Лікар-терапевт",R1097*S1094,IF($B$1094="Лікар загальної практики - сімейний лікар",R1097*S1094,0)))</f>
        <v>0</v>
      </c>
      <c r="S1094" s="557"/>
      <c r="T1094" s="941"/>
      <c r="U1094" s="196">
        <f>IF($B$1094="Лікар-педіатр",U1097*Z1094,IF($B$1094="Лікар-терапевт","х",IF($B$1094="Лікар загальної практики - сімейний лікар",U1097*Z1094,0)))</f>
        <v>0</v>
      </c>
      <c r="V1094" s="196">
        <f>IF($B$1094="Лікар-педіатр",V1097*Z1094,IF($B$1094="Лікар-терапевт","х",IF($B$1094="Лікар загальної практики - сімейний лікар",V1097*Z1094,0)))</f>
        <v>0</v>
      </c>
      <c r="W1094" s="196">
        <f>IF($B$1094="Лікар-педіатр","x",IF($B$1094="Лікар-терапевт",W1097*Z1094,IF($B$1094="Лікар загальної практики - сімейний лікар",W1097*Z1094,0)))</f>
        <v>0</v>
      </c>
      <c r="X1094" s="196">
        <f>IF($B$1094="Лікар-педіатр","x",IF($B$1094="Лікар-терапевт",X1097*Z1094,IF($B$1094="Лікар загальної практики - сімейний лікар",X1097*Z1094,0)))</f>
        <v>0</v>
      </c>
      <c r="Y1094" s="196">
        <f>IF($B$1094="Лікар-педіатр","x",IF($B$1094="Лікар-терапевт",Y1097*Z1094,IF($B$1094="Лікар загальної практики - сімейний лікар",Y1097*Z1094,0)))</f>
        <v>0</v>
      </c>
      <c r="Z1094" s="557"/>
      <c r="AA1094" s="941"/>
      <c r="AB1094" s="196">
        <f>IF($B$1094="Лікар-педіатр",AB1097*AG1094,IF($B$1094="Лікар-терапевт","х",IF($B$1094="Лікар загальної практики - сімейний лікар",AB1097*AG1094,0)))</f>
        <v>0</v>
      </c>
      <c r="AC1094" s="196">
        <f>IF($B$1094="Лікар-педіатр",AC1097*AG1094,IF($B$1094="Лікар-терапевт","х",IF($B$1094="Лікар загальної практики - сімейний лікар",AC1097*AG1094,0)))</f>
        <v>0</v>
      </c>
      <c r="AD1094" s="196">
        <f>IF($B$1094="Лікар-педіатр","x",IF($B$1094="Лікар-терапевт",AD1097*AG1094,IF($B$1094="Лікар загальної практики - сімейний лікар",AD1097*AG1094,0)))</f>
        <v>0</v>
      </c>
      <c r="AE1094" s="196">
        <f>IF($B$1094="Лікар-педіатр","x",IF($B$1094="Лікар-терапевт",AE1097*AG1094,IF($B$1094="Лікар загальної практики - сімейний лікар",AE1097*AG1094,0)))</f>
        <v>0</v>
      </c>
      <c r="AF1094" s="196">
        <f>IF($B$1094="Лікар-педіатр","x",IF($B$1094="Лікар-терапевт",AF1097*AG1094,IF($B$1094="Лікар загальної практики - сімейний лікар",AF1097*AG1094,0)))</f>
        <v>0</v>
      </c>
      <c r="AG1094" s="557"/>
      <c r="AH1094" s="941"/>
      <c r="AI1094" s="540">
        <f>A1094</f>
        <v>82</v>
      </c>
      <c r="AJ1094" s="944">
        <f>B1094</f>
        <v>0</v>
      </c>
      <c r="AK1094" s="959">
        <f>C1094</f>
        <v>0</v>
      </c>
      <c r="AL1094" s="959">
        <f>D1094</f>
        <v>0</v>
      </c>
      <c r="AM1094" s="929" t="s">
        <v>79</v>
      </c>
      <c r="AN1094" s="947">
        <f>SUM(AN1099:AN1105)</f>
        <v>0</v>
      </c>
      <c r="AO1094" s="947">
        <f>SUM(AO1099:AO1105)</f>
        <v>0</v>
      </c>
      <c r="AP1094" s="947">
        <f>SUM(AP1099:AP1105)</f>
        <v>0</v>
      </c>
      <c r="AQ1094" s="947">
        <f>SUM(AQ1099:AQ1105)</f>
        <v>0</v>
      </c>
      <c r="AR1094" s="962">
        <f>SUM(AN1094:AQ1098)</f>
        <v>0</v>
      </c>
    </row>
    <row r="1095" spans="1:44" s="50" customFormat="1" ht="28.15" hidden="1" customHeight="1">
      <c r="A1095" s="197"/>
      <c r="B1095" s="951"/>
      <c r="C1095" s="954"/>
      <c r="D1095" s="957"/>
      <c r="E1095" s="939"/>
      <c r="F1095" s="234" t="s">
        <v>660</v>
      </c>
      <c r="G1095" s="196">
        <f>IF($B$1094="Лікар-педіатр",G1097*L1095,IF($B$1094="Лікар-терапевт","х",IF($B$1094="Лікар загальної практики - сімейний лікар",G1097*L1095,0)))</f>
        <v>0</v>
      </c>
      <c r="H1095" s="196">
        <f>IF($B$1094="Лікар-педіатр",H1097*L1095,IF($B$1094="Лікар-терапевт","х",IF($B$1094="Лікар загальної практики - сімейний лікар",H1097*L1095,0)))</f>
        <v>0</v>
      </c>
      <c r="I1095" s="196">
        <f>IF($B$1094="Лікар-педіатр","x",IF($B$1094="Лікар-терапевт",I1097*L1095,IF($B$1094="Лікар загальної практики - сімейний лікар",I1097*L1095,0)))</f>
        <v>0</v>
      </c>
      <c r="J1095" s="196">
        <f>IF($B$1094="Лікар-педіатр","x",IF($B$1094="Лікар-терапевт",J1097*L1095,IF($B$1094="Лікар загальної практики - сімейний лікар",J1097*L1095,0)))</f>
        <v>0</v>
      </c>
      <c r="K1095" s="196">
        <f>IF($B$1094="Лікар-педіатр","x",IF($B$1094="Лікар-терапевт",K1097*L1095,IF($B$1094="Лікар загальної практики - сімейний лікар",K1097*L1095,0)))</f>
        <v>0</v>
      </c>
      <c r="L1095" s="557"/>
      <c r="M1095" s="942"/>
      <c r="N1095" s="196">
        <f>IF($B$1094="Лікар-педіатр",N1097*S1095,IF($B$1094="Лікар-терапевт","х",IF($B$1094="Лікар загальної практики - сімейний лікар",N1097*S1095,0)))</f>
        <v>0</v>
      </c>
      <c r="O1095" s="196">
        <f>IF($B$1094="Лікар-педіатр",O1097*S1095,IF($B$1094="Лікар-терапевт","х",IF($B$1094="Лікар загальної практики - сімейний лікар",O1097*S1095,0)))</f>
        <v>0</v>
      </c>
      <c r="P1095" s="196">
        <f>IF($B$1094="Лікар-педіатр","x",IF($B$1094="Лікар-терапевт",P1097*S1095,IF($B$1094="Лікар загальної практики - сімейний лікар",P1097*S1095,0)))</f>
        <v>0</v>
      </c>
      <c r="Q1095" s="196">
        <f>IF($B$1094="Лікар-педіатр","x",IF($B$1094="Лікар-терапевт",Q1097*S1095,IF($B$1094="Лікар загальної практики - сімейний лікар",Q1097*S1095,0)))</f>
        <v>0</v>
      </c>
      <c r="R1095" s="196">
        <f>IF($B$1094="Лікар-педіатр","x",IF($B$1094="Лікар-терапевт",R1097*S1095,IF($B$1094="Лікар загальної практики - сімейний лікар",R1097*S1095,0)))</f>
        <v>0</v>
      </c>
      <c r="S1095" s="557"/>
      <c r="T1095" s="942"/>
      <c r="U1095" s="196">
        <f>IF($B$1094="Лікар-педіатр",U1097*Z1095,IF($B$1094="Лікар-терапевт","х",IF($B$1094="Лікар загальної практики - сімейний лікар",U1097*Z1095,0)))</f>
        <v>0</v>
      </c>
      <c r="V1095" s="196">
        <f>IF($B$1094="Лікар-педіатр",V1097*Z1095,IF($B$1094="Лікар-терапевт","х",IF($B$1094="Лікар загальної практики - сімейний лікар",V1097*Z1095,0)))</f>
        <v>0</v>
      </c>
      <c r="W1095" s="196">
        <f>IF($B$1094="Лікар-педіатр","x",IF($B$1094="Лікар-терапевт",W1097*Z1095,IF($B$1094="Лікар загальної практики - сімейний лікар",W1097*Z1095,0)))</f>
        <v>0</v>
      </c>
      <c r="X1095" s="196">
        <f>IF($B$1094="Лікар-педіатр","x",IF($B$1094="Лікар-терапевт",X1097*Z1095,IF($B$1094="Лікар загальної практики - сімейний лікар",X1097*Z1095,0)))</f>
        <v>0</v>
      </c>
      <c r="Y1095" s="196">
        <f>IF($B$1094="Лікар-педіатр","x",IF($B$1094="Лікар-терапевт",Y1097*Z1095,IF($B$1094="Лікар загальної практики - сімейний лікар",Y1097*Z1095,0)))</f>
        <v>0</v>
      </c>
      <c r="Z1095" s="557"/>
      <c r="AA1095" s="942"/>
      <c r="AB1095" s="196">
        <f>IF($B$1094="Лікар-педіатр",AB1097*AG1095,IF($B$1094="Лікар-терапевт","х",IF($B$1094="Лікар загальної практики - сімейний лікар",AB1097*AG1095,0)))</f>
        <v>0</v>
      </c>
      <c r="AC1095" s="196">
        <f>IF($B$1094="Лікар-педіатр",AC1097*AG1095,IF($B$1094="Лікар-терапевт","х",IF($B$1094="Лікар загальної практики - сімейний лікар",AC1097*AG1095,0)))</f>
        <v>0</v>
      </c>
      <c r="AD1095" s="196">
        <f>IF($B$1094="Лікар-педіатр","x",IF($B$1094="Лікар-терапевт",AD1097*AG1095,IF($B$1094="Лікар загальної практики - сімейний лікар",AD1097*AG1095,0)))</f>
        <v>0</v>
      </c>
      <c r="AE1095" s="196">
        <f>IF($B$1094="Лікар-педіатр","x",IF($B$1094="Лікар-терапевт",AE1097*AG1095,IF($B$1094="Лікар загальної практики - сімейний лікар",AE1097*AG1095,0)))</f>
        <v>0</v>
      </c>
      <c r="AF1095" s="196">
        <f>IF($B$1094="Лікар-педіатр","x",IF($B$1094="Лікар-терапевт",AF1097*AG1095,IF($B$1094="Лікар загальної практики - сімейний лікар",AF1097*AG1095,0)))</f>
        <v>0</v>
      </c>
      <c r="AG1095" s="557"/>
      <c r="AH1095" s="942"/>
      <c r="AI1095" s="198"/>
      <c r="AJ1095" s="945"/>
      <c r="AK1095" s="960"/>
      <c r="AL1095" s="960"/>
      <c r="AM1095" s="930"/>
      <c r="AN1095" s="948"/>
      <c r="AO1095" s="948"/>
      <c r="AP1095" s="948"/>
      <c r="AQ1095" s="948"/>
      <c r="AR1095" s="963"/>
    </row>
    <row r="1096" spans="1:44" s="90" customFormat="1" ht="31.15" hidden="1" customHeight="1">
      <c r="A1096" s="240"/>
      <c r="B1096" s="951"/>
      <c r="C1096" s="954"/>
      <c r="D1096" s="957"/>
      <c r="E1096" s="939"/>
      <c r="F1096" s="241" t="s">
        <v>661</v>
      </c>
      <c r="G1096" s="199">
        <f>IF(B1094="Лікар загальної практики - сімейний лікар"," ",IF(B1094="Лікар-педіатр"," ",IF(B1094="Лікар-терапевт","х",0)))</f>
        <v>0</v>
      </c>
      <c r="H1096" s="199">
        <f>IF(B1094="Лікар загальної практики - сімейний лікар"," ",IF(B1094="Лікар-педіатр"," ",IF(B1094="Лікар-терапевт","х",0)))</f>
        <v>0</v>
      </c>
      <c r="I1096" s="199">
        <f>IF(B1094="Лікар загальної практики - сімейний лікар"," ",IF(B1094="Лікар-педіатр","х",IF(B1094="Лікар-терапевт"," ",0)))</f>
        <v>0</v>
      </c>
      <c r="J1096" s="199">
        <f>IF(B1094="Лікар загальної практики - сімейний лікар"," ",IF(B1094="Лікар-педіатр","х",IF(B1094="Лікар-терапевт"," ",0)))</f>
        <v>0</v>
      </c>
      <c r="K1096" s="199">
        <f>IF(B1094="Лікар загальної практики - сімейний лікар"," ",IF(B1094="Лікар-педіатр","х",IF(B1094="Лікар-терапевт"," ",0)))</f>
        <v>0</v>
      </c>
      <c r="L1096" s="200">
        <f>SUM(G1096:K1096)</f>
        <v>0</v>
      </c>
      <c r="M1096" s="942"/>
      <c r="N1096" s="199">
        <f>IF(B1094="Лікар загальної практики - сімейний лікар"," ",IF(B1094="Лікар-педіатр"," ",IF(B1094="Лікар-терапевт","х",0)))</f>
        <v>0</v>
      </c>
      <c r="O1096" s="199">
        <f>IF(B1094="Лікар загальної практики - сімейний лікар"," ",IF(B1094="Лікар-педіатр"," ",IF(B1094="Лікар-терапевт","х",0)))</f>
        <v>0</v>
      </c>
      <c r="P1096" s="199">
        <f>IF(B1094="Лікар загальної практики - сімейний лікар"," ",IF(B1094="Лікар-педіатр","х",IF(B1094="Лікар-терапевт"," ",0)))</f>
        <v>0</v>
      </c>
      <c r="Q1096" s="199">
        <f>IF(B1094="Лікар загальної практики - сімейний лікар"," ",IF(B1094="Лікар-педіатр","х",IF(B1094="Лікар-терапевт"," ",0)))</f>
        <v>0</v>
      </c>
      <c r="R1096" s="199">
        <f>IF(B1094="Лікар загальної практики - сімейний лікар"," ",IF(B1094="Лікар-педіатр","х",IF(B1094="Лікар-терапевт"," ",0)))</f>
        <v>0</v>
      </c>
      <c r="S1096" s="200">
        <f>SUM(N1096:R1096)</f>
        <v>0</v>
      </c>
      <c r="T1096" s="942"/>
      <c r="U1096" s="199">
        <f>IF(B1094="Лікар загальної практики - сімейний лікар"," ",IF(B1094="Лікар-педіатр"," ",IF(B1094="Лікар-терапевт","х",0)))</f>
        <v>0</v>
      </c>
      <c r="V1096" s="199">
        <f>IF(B1094="Лікар загальної практики - сімейний лікар"," ",IF(B1094="Лікар-педіатр"," ",IF(B1094="Лікар-терапевт","х",0)))</f>
        <v>0</v>
      </c>
      <c r="W1096" s="199">
        <f>IF(B1094="Лікар загальної практики - сімейний лікар"," ",IF(B1094="Лікар-педіатр","х",IF(B1094="Лікар-терапевт"," ",0)))</f>
        <v>0</v>
      </c>
      <c r="X1096" s="199">
        <f>IF(B1094="Лікар загальної практики - сімейний лікар"," ",IF(B1094="Лікар-педіатр","х",IF(B1094="Лікар-терапевт"," ",0)))</f>
        <v>0</v>
      </c>
      <c r="Y1096" s="199">
        <f>IF(B1094="Лікар загальної практики - сімейний лікар"," ",IF(B1094="Лікар-педіатр","х",IF(B1094="Лікар-терапевт"," ",0)))</f>
        <v>0</v>
      </c>
      <c r="Z1096" s="200">
        <f>SUM(U1096:Y1096)</f>
        <v>0</v>
      </c>
      <c r="AA1096" s="942"/>
      <c r="AB1096" s="199">
        <f>IF(B1094="Лікар загальної практики - сімейний лікар"," ",IF(B1094="Лікар-педіатр"," ",IF(B1094="Лікар-терапевт","х",0)))</f>
        <v>0</v>
      </c>
      <c r="AC1096" s="199">
        <f>IF(B1094="Лікар загальної практики - сімейний лікар"," ",IF(B1094="Лікар-педіатр"," ",IF(B1094="Лікар-терапевт","х",0)))</f>
        <v>0</v>
      </c>
      <c r="AD1096" s="199">
        <f>IF(B1094="Лікар загальної практики - сімейний лікар"," ",IF(B1094="Лікар-педіатр","х",IF(B1094="Лікар-терапевт"," ",0)))</f>
        <v>0</v>
      </c>
      <c r="AE1096" s="199">
        <f>IF(B1094="Лікар загальної практики - сімейний лікар"," ",IF(B1094="Лікар-педіатр","х",IF(B1094="Лікар-терапевт"," ",0)))</f>
        <v>0</v>
      </c>
      <c r="AF1096" s="199">
        <f>IF(B1094="Лікар загальної практики - сімейний лікар"," ",IF(B1094="Лікар-педіатр","х",IF(B1094="Лікар-терапевт"," ",0)))</f>
        <v>0</v>
      </c>
      <c r="AG1096" s="200">
        <f>SUM(AB1096:AF1096)</f>
        <v>0</v>
      </c>
      <c r="AH1096" s="942"/>
      <c r="AI1096" s="242"/>
      <c r="AJ1096" s="945"/>
      <c r="AK1096" s="960"/>
      <c r="AL1096" s="960"/>
      <c r="AM1096" s="930"/>
      <c r="AN1096" s="948"/>
      <c r="AO1096" s="948"/>
      <c r="AP1096" s="948"/>
      <c r="AQ1096" s="948"/>
      <c r="AR1096" s="963"/>
    </row>
    <row r="1097" spans="1:44" s="50" customFormat="1" ht="31.9" hidden="1" customHeight="1" thickBot="1">
      <c r="A1097" s="197"/>
      <c r="B1097" s="951"/>
      <c r="C1097" s="954"/>
      <c r="D1097" s="957"/>
      <c r="E1097" s="939"/>
      <c r="F1097" s="236" t="s">
        <v>426</v>
      </c>
      <c r="G1097" s="203">
        <f>IF($B$1094="Лікар-педіатр",G1096/L1096,IF($B$1094="Лікар-терапевт","х",IF($B$1094="Лікар загальної практики - сімейний лікар",G1096/L1096,0)))</f>
        <v>0</v>
      </c>
      <c r="H1097" s="203">
        <f>IF($B$1094="Лікар-педіатр",H1096/L1096,IF($B$1094="Лікар-терапевт","х",IF($B$1094="Лікар загальної практики - сімейний лікар",H1096/L1096,0)))</f>
        <v>0</v>
      </c>
      <c r="I1097" s="203">
        <f>IF($B$1094="Лікар-педіатр","x",IF($B$1094="Лікар-терапевт",I1096/L1096,IF($B$1094="Лікар загальної практики - сімейний лікар",I1096/L1096,0)))</f>
        <v>0</v>
      </c>
      <c r="J1097" s="203">
        <f>IF($B$1094="Лікар-педіатр","x",IF($B$1094="Лікар-терапевт",J1096/L1096,IF($B$1094="Лікар загальної практики - сімейний лікар",J1096/L1096,0)))</f>
        <v>0</v>
      </c>
      <c r="K1097" s="203">
        <f>IF($B$1094="Лікар-педіатр","x",IF($B$1094="Лікар-терапевт",K1096/L1096,IF($B$1094="Лікар загальної практики - сімейний лікар",K1096/L1096,0)))</f>
        <v>0</v>
      </c>
      <c r="L1097" s="203">
        <f>SUM(G1097:K1097)</f>
        <v>0</v>
      </c>
      <c r="M1097" s="942"/>
      <c r="N1097" s="203">
        <f>IF($B$1094="Лікар-педіатр",N1096/S1096,IF($B$1094="Лікар-терапевт","х",IF($B$1094="Лікар загальної практики - сімейний лікар",N1096/S1096,0)))</f>
        <v>0</v>
      </c>
      <c r="O1097" s="203">
        <f>IF($B$1094="Лікар-педіатр",O1096/S1096,IF($B$1094="Лікар-терапевт","х",IF($B$1094="Лікар загальної практики - сімейний лікар",O1096/S1096,0)))</f>
        <v>0</v>
      </c>
      <c r="P1097" s="203">
        <f>IF($B$1094="Лікар-педіатр","x",IF($B$1094="Лікар-терапевт",P1096/S1096,IF($B$1094="Лікар загальної практики - сімейний лікар",P1096/S1096,0)))</f>
        <v>0</v>
      </c>
      <c r="Q1097" s="203">
        <f>IF($B$1094="Лікар-педіатр","x",IF($B$1094="Лікар-терапевт",Q1096/S1096,IF($B$1094="Лікар загальної практики - сімейний лікар",Q1096/S1096,0)))</f>
        <v>0</v>
      </c>
      <c r="R1097" s="203">
        <f>IF($B$1094="Лікар-педіатр","x",IF($B$1094="Лікар-терапевт",R1096/S1096,IF($B$1094="Лікар загальної практики - сімейний лікар",R1096/S1096,0)))</f>
        <v>0</v>
      </c>
      <c r="S1097" s="203">
        <f>SUM(N1097:R1097)</f>
        <v>0</v>
      </c>
      <c r="T1097" s="942"/>
      <c r="U1097" s="203">
        <f>IF($B$1094="Лікар-педіатр",U1096/Z1096,IF($B$1094="Лікар-терапевт","х",IF($B$1094="Лікар загальної практики - сімейний лікар",U1096/Z1096,0)))</f>
        <v>0</v>
      </c>
      <c r="V1097" s="203">
        <f>IF($B$1094="Лікар-педіатр",V1096/Z1096,IF($B$1094="Лікар-терапевт","х",IF($B$1094="Лікар загальної практики - сімейний лікар",V1096/Z1096,0)))</f>
        <v>0</v>
      </c>
      <c r="W1097" s="203">
        <f>IF($B$1094="Лікар-педіатр","x",IF($B$1094="Лікар-терапевт",W1096/Z1096,IF($B$1094="Лікар загальної практики - сімейний лікар",W1096/Z1096,0)))</f>
        <v>0</v>
      </c>
      <c r="X1097" s="203">
        <f>IF($B$1094="Лікар-педіатр","x",IF($B$1094="Лікар-терапевт",X1096/Z1096,IF($B$1094="Лікар загальної практики - сімейний лікар",X1096/Z1096,0)))</f>
        <v>0</v>
      </c>
      <c r="Y1097" s="203">
        <f>IF($B$1094="Лікар-педіатр","x",IF($B$1094="Лікар-терапевт",Y1096/Z1096,IF($B$1094="Лікар загальної практики - сімейний лікар",Y1096/Z1096,0)))</f>
        <v>0</v>
      </c>
      <c r="Z1097" s="203">
        <f>SUM(U1097:Y1097)</f>
        <v>0</v>
      </c>
      <c r="AA1097" s="942"/>
      <c r="AB1097" s="203">
        <f>IF($B$1094="Лікар-педіатр",AB1096/AG1096,IF($B$1094="Лікар-терапевт","х",IF($B$1094="Лікар загальної практики - сімейний лікар",AB1096/AG1096,0)))</f>
        <v>0</v>
      </c>
      <c r="AC1097" s="203">
        <f>IF($B$1094="Лікар-педіатр",AC1096/AG1096,IF($B$1094="Лікар-терапевт","х",IF($B$1094="Лікар загальної практики - сімейний лікар",AC1096/AG1096,0)))</f>
        <v>0</v>
      </c>
      <c r="AD1097" s="203">
        <f>IF($B$1094="Лікар-педіатр","x",IF($B$1094="Лікар-терапевт",AD1096/AG1096,IF($B$1094="Лікар загальної практики - сімейний лікар",AD1096/AG1096,0)))</f>
        <v>0</v>
      </c>
      <c r="AE1097" s="203">
        <f>IF($B$1094="Лікар-педіатр","x",IF($B$1094="Лікар-терапевт",AE1096/AG1096,IF($B$1094="Лікар загальної практики - сімейний лікар",AE1096/AG1096,0)))</f>
        <v>0</v>
      </c>
      <c r="AF1097" s="203">
        <f>IF($B$1094="Лікар-педіатр","x",IF($B$1094="Лікар-терапевт",AF1096/AG1096,IF($B$1094="Лікар загальної практики - сімейний лікар",AF1096/AG1096,0)))</f>
        <v>0</v>
      </c>
      <c r="AG1097" s="203">
        <f>SUM(AB1097:AF1097)</f>
        <v>0</v>
      </c>
      <c r="AH1097" s="942"/>
      <c r="AI1097" s="201"/>
      <c r="AJ1097" s="945"/>
      <c r="AK1097" s="960"/>
      <c r="AL1097" s="960"/>
      <c r="AM1097" s="930"/>
      <c r="AN1097" s="948"/>
      <c r="AO1097" s="948"/>
      <c r="AP1097" s="948"/>
      <c r="AQ1097" s="948"/>
      <c r="AR1097" s="963"/>
    </row>
    <row r="1098" spans="1:44" s="50" customFormat="1" ht="45" hidden="1" customHeight="1" thickBot="1">
      <c r="A1098" s="197"/>
      <c r="B1098" s="951"/>
      <c r="C1098" s="954"/>
      <c r="D1098" s="957"/>
      <c r="E1098" s="939"/>
      <c r="F1098" s="204" t="s">
        <v>662</v>
      </c>
      <c r="G1098" s="205">
        <f>IF($B$1094="Лікар загальної практики - сімейний лікар",AVERAGE(G1094:G1096),IF($B$1094="Лікар-педіатр",AVERAGE(G1094:G1096),IF($B$1094="Лікар-терапевт","х",0)))</f>
        <v>0</v>
      </c>
      <c r="H1098" s="205">
        <f>IF($B$1094="Лікар загальної практики - сімейний лікар",AVERAGE(H1094:H1096),IF($B$1094="Лікар-педіатр",AVERAGE(H1094:H1096),IF($B$1094="Лікар-терапевт","х",0)))</f>
        <v>0</v>
      </c>
      <c r="I1098" s="205">
        <f>IF($B$1094="Лікар загальної практики - сімейний лікар",AVERAGE(I1094:I1096),IF($B$1094="Лікар-педіатр","x",IF($B$1094="Лікар-терапевт",AVERAGE(I1094:I1096),0)))</f>
        <v>0</v>
      </c>
      <c r="J1098" s="205">
        <f>IF($B$1094="Лікар загальної практики - сімейний лікар",AVERAGE(J1094:J1096),IF($B$1094="Лікар-педіатр","x",IF($B$1094="Лікар-терапевт",AVERAGE(J1094:J1096),0)))</f>
        <v>0</v>
      </c>
      <c r="K1098" s="205">
        <f>IF($B$1094="Лікар загальної практики - сімейний лікар",AVERAGE(K1094:K1096),IF($B$1094="Лікар-педіатр","x",IF($B$1094="Лікар-терапевт",AVERAGE(K1094:K1096),0)))</f>
        <v>0</v>
      </c>
      <c r="L1098" s="206">
        <f>SUM(G1098:K1098)</f>
        <v>0</v>
      </c>
      <c r="M1098" s="942"/>
      <c r="N1098" s="205">
        <f>IF($B$1094="Лікар загальної практики - сімейний лікар",AVERAGE(N1094:N1096),IF($B$1094="Лікар-педіатр",AVERAGE(N1094:N1096),IF($B$1094="Лікар-терапевт","х",0)))</f>
        <v>0</v>
      </c>
      <c r="O1098" s="205">
        <f>IF($B$1094="Лікар загальної практики - сімейний лікар",AVERAGE(O1094:O1096),IF($B$1094="Лікар-педіатр",AVERAGE(O1094:O1096),IF($B$1094="Лікар-терапевт","х",0)))</f>
        <v>0</v>
      </c>
      <c r="P1098" s="205">
        <f>IF($B$1094="Лікар загальної практики - сімейний лікар",AVERAGE(P1094:P1096),IF($B$1094="Лікар-педіатр","x",IF($B$1094="Лікар-терапевт",AVERAGE(P1094:P1096),0)))</f>
        <v>0</v>
      </c>
      <c r="Q1098" s="205">
        <f>IF($B$1094="Лікар загальної практики - сімейний лікар",AVERAGE(Q1094:Q1096),IF($B$1094="Лікар-педіатр","x",IF($B$1094="Лікар-терапевт",AVERAGE(Q1094:Q1096),0)))</f>
        <v>0</v>
      </c>
      <c r="R1098" s="205">
        <f>IF($B$1094="Лікар загальної практики - сімейний лікар",AVERAGE(R1094:R1096),IF($B$1094="Лікар-педіатр","x",IF($B$1094="Лікар-терапевт",AVERAGE(R1094:R1096),0)))</f>
        <v>0</v>
      </c>
      <c r="S1098" s="206">
        <f>SUM(N1098:R1098)</f>
        <v>0</v>
      </c>
      <c r="T1098" s="942"/>
      <c r="U1098" s="205">
        <f>IF($B$1094="Лікар загальної практики - сімейний лікар",AVERAGE(U1094:U1096),IF($B$1094="Лікар-педіатр",AVERAGE(U1094:U1096),IF($B$1094="Лікар-терапевт","х",0)))</f>
        <v>0</v>
      </c>
      <c r="V1098" s="205">
        <f>IF($B$1094="Лікар загальної практики - сімейний лікар",AVERAGE(V1094:V1096),IF($B$1094="Лікар-педіатр",AVERAGE(V1094:V1096),IF($B$1094="Лікар-терапевт","х",0)))</f>
        <v>0</v>
      </c>
      <c r="W1098" s="205">
        <f>IF($B$1094="Лікар загальної практики - сімейний лікар",AVERAGE(W1094:W1096),IF($B$1094="Лікар-педіатр","x",IF($B$1094="Лікар-терапевт",AVERAGE(W1094:W1096),0)))</f>
        <v>0</v>
      </c>
      <c r="X1098" s="205">
        <f>IF($B$1094="Лікар загальної практики - сімейний лікар",AVERAGE(X1094:X1096),IF($B$1094="Лікар-педіатр","x",IF($B$1094="Лікар-терапевт",AVERAGE(X1094:X1096),0)))</f>
        <v>0</v>
      </c>
      <c r="Y1098" s="205">
        <f>IF($B$1094="Лікар загальної практики - сімейний лікар",AVERAGE(Y1094:Y1096),IF($B$1094="Лікар-педіатр","x",IF($B$1094="Лікар-терапевт",AVERAGE(Y1094:Y1096),0)))</f>
        <v>0</v>
      </c>
      <c r="Z1098" s="206">
        <f>SUM(U1098:Y1098)</f>
        <v>0</v>
      </c>
      <c r="AA1098" s="942"/>
      <c r="AB1098" s="205">
        <f>IF($B$1094="Лікар загальної практики - сімейний лікар",AVERAGE(AB1094:AB1096),IF($B$1094="Лікар-педіатр",AVERAGE(AB1094:AB1096),IF($B$1094="Лікар-терапевт","х",0)))</f>
        <v>0</v>
      </c>
      <c r="AC1098" s="205">
        <f>IF($B$1094="Лікар загальної практики - сімейний лікар",AVERAGE(AC1094:AC1096),IF($B$1094="Лікар-педіатр",AVERAGE(AC1094:AC1096),IF($B$1094="Лікар-терапевт","х",0)))</f>
        <v>0</v>
      </c>
      <c r="AD1098" s="205">
        <f>IF($B$1094="Лікар загальної практики - сімейний лікар",AVERAGE(AD1094:AD1096),IF($B$1094="Лікар-педіатр","x",IF($B$1094="Лікар-терапевт",AVERAGE(AD1094:AD1096),0)))</f>
        <v>0</v>
      </c>
      <c r="AE1098" s="205">
        <f>IF($B$1094="Лікар загальної практики - сімейний лікар",AVERAGE(AE1094:AE1096),IF($B$1094="Лікар-педіатр","x",IF($B$1094="Лікар-терапевт",AVERAGE(AE1094:AE1096),0)))</f>
        <v>0</v>
      </c>
      <c r="AF1098" s="205">
        <f>IF($B$1094="Лікар загальної практики - сімейний лікар",AVERAGE(AF1094:AF1096),IF($B$1094="Лікар-педіатр","x",IF($B$1094="Лікар-терапевт",AVERAGE(AF1094:AF1096),0)))</f>
        <v>0</v>
      </c>
      <c r="AG1098" s="206">
        <f>SUM(AB1098:AF1098)</f>
        <v>0</v>
      </c>
      <c r="AH1098" s="942"/>
      <c r="AI1098" s="201"/>
      <c r="AJ1098" s="945"/>
      <c r="AK1098" s="960"/>
      <c r="AL1098" s="960"/>
      <c r="AM1098" s="931"/>
      <c r="AN1098" s="949"/>
      <c r="AO1098" s="949"/>
      <c r="AP1098" s="949"/>
      <c r="AQ1098" s="949"/>
      <c r="AR1098" s="964"/>
    </row>
    <row r="1099" spans="1:44" s="50" customFormat="1" ht="40.5" hidden="1">
      <c r="A1099" s="197"/>
      <c r="B1099" s="951"/>
      <c r="C1099" s="954"/>
      <c r="D1099" s="957"/>
      <c r="E1099" s="939"/>
      <c r="F1099" s="237" t="str">
        <f ca="1">IF(B1094="Лікар-педіатр",Законод!$C$17,IF(B1094="Лікар загальної практики - сімейний лікар",Законод!$C$21,IF(B1094="Лікар-терапевт",Законод!$C$25,"х")))</f>
        <v>х</v>
      </c>
      <c r="G1099" s="208">
        <f ca="1">IF($B$1094="Лікар загальної практики - сімейний лікар",IF(L1098&lt;=Законод!$C$22,G1098,Законод!$C$22*'01_Доходи'!G1097),IF($B$1094="Лікар-педіатр",IF(L1098&lt;=Законод!$C$18,G1098,Законод!$C$18*'01_Доходи'!G1097),IF($B$1094="Лікар-терапевт","x",0)))</f>
        <v>0</v>
      </c>
      <c r="H1099" s="208">
        <f ca="1">IF($B$1094="Лікар загальної практики - сімейний лікар",IF(L1098&lt;=Законод!$C$22,H1098,Законод!$C$22*'01_Доходи'!H1097),IF($B$1094="Лікар-педіатр",IF(L1098&lt;=Законод!$C$18,H1098,Законод!$C$18*'01_Доходи'!H1097),IF($B$1094="Лікар-терапевт","x",0)))</f>
        <v>0</v>
      </c>
      <c r="I1099" s="208">
        <f ca="1">IF($B$1094="Лікар загальної практики - сімейний лікар",IF(L1098&lt;=Законод!$C$22,I1098,Законод!$C$22*'01_Доходи'!I1097),IF($B$1094="Лікар-педіатр","x",IF($B$1094="Лікар-терапевт",IF(L1098&lt;=Законод!$C$26,I1098,Законод!$C$26*'01_Доходи'!I1097),0)))</f>
        <v>0</v>
      </c>
      <c r="J1099" s="208">
        <f ca="1">IF($B$1094="Лікар загальної практики - сімейний лікар",IF(L1098&lt;=Законод!$C$22,J1098,Законод!$C$22*'01_Доходи'!J1097),IF($B$1094="Лікар-педіатр","x",IF($B$1094="Лікар-терапевт",IF(L1098&lt;=Законод!$C$26,J1098,Законод!$C$26*'01_Доходи'!J1097),0)))</f>
        <v>0</v>
      </c>
      <c r="K1099" s="208">
        <f ca="1">IF($B$1094="Лікар загальної практики - сімейний лікар",IF(L1098&lt;=Законод!$C$22,K1098,Законод!$C$22*'01_Доходи'!K1097),IF($B$1094="Лікар-педіатр","x",IF($B$1094="Лікар-терапевт",IF(L1098&lt;=Законод!$C$26,K1098,Законод!$C$26*'01_Доходи'!K1097),0)))</f>
        <v>0</v>
      </c>
      <c r="L1099" s="209">
        <f ca="1">SUM(G1099:K1099)</f>
        <v>0</v>
      </c>
      <c r="M1099" s="942"/>
      <c r="N1099" s="208">
        <f ca="1">IF($B$1094="Лікар загальної практики - сімейний лікар",IF(S1098&lt;=Законод!$C$22,N1098,Законод!$C$22*'01_Доходи'!N1097),IF($B$1094="Лікар-педіатр",IF(S1098&lt;=Законод!$C$18,N1098,Законод!$C$18*'01_Доходи'!N1097),IF($B$1094="Лікар-терапевт","x",0)))</f>
        <v>0</v>
      </c>
      <c r="O1099" s="208">
        <f ca="1">IF($B$1094="Лікар загальної практики - сімейний лікар",IF(S1098&lt;=Законод!$C$22,O1098,Законод!$C$22*'01_Доходи'!O1097),IF($B$1094="Лікар-педіатр",IF(S1098&lt;=Законод!$C$18,O1098,Законод!$C$18*'01_Доходи'!O1097),IF($B$1094="Лікар-терапевт","x",0)))</f>
        <v>0</v>
      </c>
      <c r="P1099" s="208">
        <f ca="1">IF($B$1094="Лікар загальної практики - сімейний лікар",IF(S1098&lt;=Законод!$C$22,P1098,Законод!$C$22*'01_Доходи'!P1097),IF($B$1094="Лікар-педіатр","x",IF($B$1094="Лікар-терапевт",IF(S1098&lt;=Законод!$C$26,P1098,Законод!$C$26*'01_Доходи'!P1097),0)))</f>
        <v>0</v>
      </c>
      <c r="Q1099" s="208">
        <f ca="1">IF($B$1094="Лікар загальної практики - сімейний лікар",IF(S1098&lt;=Законод!$C$22,Q1098,Законод!$C$22*'01_Доходи'!Q1097),IF($B$1094="Лікар-педіатр","x",IF($B$1094="Лікар-терапевт",IF(S1098&lt;=Законод!$C$26,Q1098,Законод!$C$26*'01_Доходи'!Q1097),0)))</f>
        <v>0</v>
      </c>
      <c r="R1099" s="208">
        <f ca="1">IF($B$1094="Лікар загальної практики - сімейний лікар",IF(S1098&lt;=Законод!$C$22,R1098,Законод!$C$22*'01_Доходи'!R1097),IF($B$1094="Лікар-педіатр","x",IF($B$1094="Лікар-терапевт",IF(S1098&lt;=Законод!$C$26,R1098,Законод!$C$26*'01_Доходи'!R1097),0)))</f>
        <v>0</v>
      </c>
      <c r="S1099" s="209">
        <f ca="1">SUM(N1099:R1099)</f>
        <v>0</v>
      </c>
      <c r="T1099" s="942"/>
      <c r="U1099" s="208">
        <f ca="1">IF($B$1094="Лікар загальної практики - сімейний лікар",IF(Z1098&lt;=Законод!$C$22,U1098,Законод!$C$22*'01_Доходи'!U1097),IF($B$1094="Лікар-педіатр",IF(Z1098&lt;=Законод!$C$18,U1098,Законод!$C$18*'01_Доходи'!U1097),IF($B$1094="Лікар-терапевт","x",0)))</f>
        <v>0</v>
      </c>
      <c r="V1099" s="208">
        <f ca="1">IF($B$1094="Лікар загальної практики - сімейний лікар",IF(Z1098&lt;=Законод!$C$22,V1098,Законод!$C$22*'01_Доходи'!V1097),IF($B$1094="Лікар-педіатр",IF(Z1098&lt;=Законод!$C$18,V1098,Законод!$C$18*'01_Доходи'!V1097),IF($B$1094="Лікар-терапевт","x",0)))</f>
        <v>0</v>
      </c>
      <c r="W1099" s="208">
        <f ca="1">IF($B$1094="Лікар загальної практики - сімейний лікар",IF(Z1098&lt;=Законод!$C$22,W1098,Законод!$C$22*'01_Доходи'!W1097),IF($B$1094="Лікар-педіатр","x",IF($B$1094="Лікар-терапевт",IF(Z1098&lt;=Законод!$C$26,W1098,Законод!$C$26*'01_Доходи'!W1097),0)))</f>
        <v>0</v>
      </c>
      <c r="X1099" s="208">
        <f ca="1">IF($B$1094="Лікар загальної практики - сімейний лікар",IF(Z1098&lt;=Законод!$C$22,X1098,Законод!$C$22*'01_Доходи'!X1097),IF($B$1094="Лікар-педіатр","x",IF($B$1094="Лікар-терапевт",IF(Z1098&lt;=Законод!$C$26,X1098,Законод!$C$26*'01_Доходи'!X1097),0)))</f>
        <v>0</v>
      </c>
      <c r="Y1099" s="208">
        <f ca="1">IF($B$1094="Лікар загальної практики - сімейний лікар",IF(Z1098&lt;=Законод!$C$22,Y1098,Законод!$C$22*'01_Доходи'!Y1097),IF($B$1094="Лікар-педіатр","x",IF($B$1094="Лікар-терапевт",IF(Z1098&lt;=Законод!$C$26,Y1098,Законод!$C$26*'01_Доходи'!Y1097),0)))</f>
        <v>0</v>
      </c>
      <c r="Z1099" s="209">
        <f ca="1">SUM(U1099:Y1099)</f>
        <v>0</v>
      </c>
      <c r="AA1099" s="942"/>
      <c r="AB1099" s="208">
        <f ca="1">IF($B$1094="Лікар загальної практики - сімейний лікар",IF(AG1098&lt;=Законод!$C$22,AB1098,Законод!$C$22*'01_Доходи'!AB1097),IF($B$1094="Лікар-педіатр",IF(AG1098&lt;=Законод!$C$18,AB1098,Законод!$C$18*'01_Доходи'!AB1097),IF($B$1094="Лікар-терапевт","x",0)))</f>
        <v>0</v>
      </c>
      <c r="AC1099" s="208">
        <f ca="1">IF($B$1094="Лікар загальної практики - сімейний лікар",IF(AG1098&lt;=Законод!$C$22,AC1098,Законод!$C$22*'01_Доходи'!AC1097),IF($B$1094="Лікар-педіатр",IF(AG1098&lt;=Законод!$C$18,AC1098,Законод!$C$18*'01_Доходи'!AC1097),IF($B$1094="Лікар-терапевт","x",0)))</f>
        <v>0</v>
      </c>
      <c r="AD1099" s="208">
        <f ca="1">IF($B$1094="Лікар загальної практики - сімейний лікар",IF(AG1098&lt;=Законод!$C$22,AD1098,Законод!$C$22*'01_Доходи'!AD1097),IF($B$1094="Лікар-педіатр","x",IF($B$1094="Лікар-терапевт",IF(AG1098&lt;=Законод!$C$26,AD1098,Законод!$C$26*'01_Доходи'!AD1097),0)))</f>
        <v>0</v>
      </c>
      <c r="AE1099" s="208">
        <f ca="1">IF($B$1094="Лікар загальної практики - сімейний лікар",IF(AG1098&lt;=Законод!$C$22,AE1098,Законод!$C$22*'01_Доходи'!AE1097),IF($B$1094="Лікар-педіатр","x",IF($B$1094="Лікар-терапевт",IF(AG1098&lt;=Законод!$C$26,AE1098,Законод!$C$26*'01_Доходи'!AE1097),0)))</f>
        <v>0</v>
      </c>
      <c r="AF1099" s="208">
        <f ca="1">IF($B$1094="Лікар загальної практики - сімейний лікар",IF(AG1098&lt;=Законод!$C$22,AF1098,Законод!$C$22*'01_Доходи'!AF1097),IF($B$1094="Лікар-педіатр","x",IF($B$1094="Лікар-терапевт",IF(AG1098&lt;=Законод!$C$26,AF1098,Законод!$C$26*'01_Доходи'!AF1097),0)))</f>
        <v>0</v>
      </c>
      <c r="AG1099" s="209">
        <f ca="1">SUM(AB1099:AF1099)</f>
        <v>0</v>
      </c>
      <c r="AH1099" s="942"/>
      <c r="AI1099" s="201"/>
      <c r="AJ1099" s="945"/>
      <c r="AK1099" s="960"/>
      <c r="AL1099" s="960"/>
      <c r="AM1099" s="348" t="s">
        <v>451</v>
      </c>
      <c r="AN1099" s="210">
        <f ca="1">IF(B1094="Лікар загальної практики - сімейний лікар",G1099*Законод!$C$11+'01_Доходи'!H1099*Законод!$D$11+'01_Доходи'!I1099*Законод!$E$11+'01_Доходи'!J1099*Законод!$F$11+'01_Доходи'!K1099*Законод!$G$11,IF(B1094="Лікар-педіатр",G1099*Законод!$C$11+'01_Доходи'!H1099*Законод!$D$11,IF(B1094="Лікар-терапевт",'01_Доходи'!I1099*Законод!$E$11+'01_Доходи'!J1099*Законод!$F$11+'01_Доходи'!K1099*Законод!$G$11,0)))</f>
        <v>0</v>
      </c>
      <c r="AO1099" s="210">
        <f ca="1">IF(B1094="Лікар загальної практики - сімейний лікар",N1099*Законод!$C$11+'01_Доходи'!O1099*Законод!$D$11+'01_Доходи'!P1099*Законод!$E$11+'01_Доходи'!Q1099*Законод!$F$11+'01_Доходи'!R1099*Законод!$G$11,IF(B1094="Лікар-педіатр",N1099*Законод!$C$11+'01_Доходи'!O1099*Законод!$D$11,IF(B1094="Лікар-терапевт",'01_Доходи'!P1099*Законод!$E$11+'01_Доходи'!Q1099*Законод!$F$11+'01_Доходи'!R1099*Законод!$G$11,0)))</f>
        <v>0</v>
      </c>
      <c r="AP1099" s="210">
        <f ca="1">IF(B1094="Лікар загальної практики - сімейний лікар",U1099*Законод!$C$11+'01_Доходи'!V1099*Законод!$D$11+'01_Доходи'!W1099*Законод!$E$11+'01_Доходи'!X1099*Законод!$F$11+'01_Доходи'!Y1099*Законод!$G$11,IF(B1094="Лікар-педіатр",U1099*Законод!$C$11+'01_Доходи'!V1099*Законод!$D$11,IF(B1094="Лікар-терапевт",'01_Доходи'!W1099*Законод!$E$11+'01_Доходи'!X1099*Законод!$F$11+'01_Доходи'!Y1099*Законод!$G$11,0)))</f>
        <v>0</v>
      </c>
      <c r="AQ1099" s="210">
        <f ca="1">IF(B1094="Лікар загальної практики - сімейний лікар",AB1099*Законод!$C$11+'01_Доходи'!AC1099*Законод!$D$11+'01_Доходи'!AD1099*Законод!$E$11+'01_Доходи'!AE1099*Законод!$F$11+'01_Доходи'!AF1099*Законод!$G$11,IF(B1094="Лікар-педіатр",AB1099*Законод!$C$11+'01_Доходи'!AC1099*Законод!$D$11,IF(B1094="Лікар-терапевт",'01_Доходи'!AD1099*Законод!$E$11+'01_Доходи'!AE1099*Законод!$F$11+'01_Доходи'!AF1099*Законод!$G$11,0)))</f>
        <v>0</v>
      </c>
      <c r="AR1099" s="211">
        <f t="shared" ref="AR1099:AR1105" si="124">SUM(AN1099:AQ1099)</f>
        <v>0</v>
      </c>
    </row>
    <row r="1100" spans="1:44" s="50" customFormat="1" ht="31.9" hidden="1" customHeight="1">
      <c r="A1100" s="197"/>
      <c r="B1100" s="951"/>
      <c r="C1100" s="954"/>
      <c r="D1100" s="957"/>
      <c r="E1100" s="939"/>
      <c r="F1100" s="238" t="str">
        <f ca="1">IF(B1094="Лікар-педіатр",Законод!$E$17,IF(B1094="Лікар загальної практики - сімейний лікар",Законод!$E$21,IF(B1094="Лікар-терапевт",Законод!$E$25,"х")))</f>
        <v>х</v>
      </c>
      <c r="G1100" s="935" t="s">
        <v>423</v>
      </c>
      <c r="H1100" s="936"/>
      <c r="I1100" s="936"/>
      <c r="J1100" s="936"/>
      <c r="K1100" s="937"/>
      <c r="L1100" s="196">
        <f ca="1">IF($B$1094="Лікар загальної практики - сімейний лікар",IF(L1098&lt;Законод!$C$22,0,(IF(AND(L1098&gt;=Законод!$E$22,L1098&lt;=Законод!$E$23),L1098-Законод!$C$22,IF('01_Доходи'!L1098&gt;=Законод!$F$22,Законод!$E$24,0)))),IF($B$1094="Лікар-педіатр",IF(L1098&lt;Законод!$C$18,0,(IF(AND(L1098&gt;=Законод!$E$18,L1098&lt;=Законод!$E$19),L1098-Законод!$C$18,IF('01_Доходи'!L1098&gt;=Законод!$F$18,Законод!$E$20,0)))),IF($B$1094="Лікар-терапевт",IF(L1098&lt;Законод!$C$26,0,(IF(AND(L1098&gt;=Законод!$E$26,L1098&lt;=Законод!$E$27),L1098-Законод!$C$26,IF('01_Доходи'!L1098&gt;=Законод!$F$26,Законод!$E$28,0)))),0)))</f>
        <v>0</v>
      </c>
      <c r="M1100" s="942"/>
      <c r="N1100" s="935" t="s">
        <v>423</v>
      </c>
      <c r="O1100" s="936"/>
      <c r="P1100" s="936"/>
      <c r="Q1100" s="936"/>
      <c r="R1100" s="937"/>
      <c r="S1100" s="196">
        <f ca="1">IF($B$1094="Лікар загальної практики - сімейний лікар",IF(S1098&lt;Законод!$C$22,0,(IF(AND(S1098&gt;=Законод!$E$22,S1098&lt;=Законод!$E$23),S1098-Законод!$C$22,IF('01_Доходи'!S1098&gt;=Законод!$F$22,Законод!$E$24,0)))),IF($B$1094="Лікар-педіатр",IF(S1098&lt;Законод!$C$18,0,(IF(AND(S1098&gt;=Законод!$E$18,S1098&lt;=Законод!$E$19),S1098-Законод!$C$18,IF('01_Доходи'!S1098&gt;=Законод!$F$18,Законод!$E$20,0)))),IF($B$1094="Лікар-терапевт",IF(S1098&lt;Законод!$C$26,0,(IF(AND(S1098&gt;=Законод!$E$26,S1098&lt;=Законод!$E$27),S1098-Законод!$C$26,IF('01_Доходи'!S1098&gt;=Законод!$F$26,Законод!$E$28,0)))),0)))</f>
        <v>0</v>
      </c>
      <c r="T1100" s="942"/>
      <c r="U1100" s="935" t="s">
        <v>423</v>
      </c>
      <c r="V1100" s="936"/>
      <c r="W1100" s="936"/>
      <c r="X1100" s="936"/>
      <c r="Y1100" s="937"/>
      <c r="Z1100" s="196">
        <f ca="1">IF($B$1094="Лікар загальної практики - сімейний лікар",IF(Z1098&lt;Законод!$C$22,0,(IF(AND(Z1098&gt;=Законод!$E$22,Z1098&lt;=Законод!$E$23),Z1098-Законод!$C$22,IF('01_Доходи'!Z1098&gt;=Законод!$F$22,Законод!$E$24,0)))),IF($B$1094="Лікар-педіатр",IF(Z1098&lt;Законод!$C$18,0,(IF(AND(Z1098&gt;=Законод!$E$18,Z1098&lt;=Законод!$E$19),Z1098-Законод!$C$18,IF('01_Доходи'!Z1098&gt;=Законод!$F$18,Законод!$E$20,0)))),IF($B$1094="Лікар-терапевт",IF(Z1098&lt;Законод!$C$26,0,(IF(AND(Z1098&gt;=Законод!$E$26,Z1098&lt;=Законод!$E$27),Z1098-Законод!$C$26,IF('01_Доходи'!Z1098&gt;=Законод!$F$26,Законод!$E$28,0)))),0)))</f>
        <v>0</v>
      </c>
      <c r="AA1100" s="942"/>
      <c r="AB1100" s="935" t="s">
        <v>423</v>
      </c>
      <c r="AC1100" s="936"/>
      <c r="AD1100" s="936"/>
      <c r="AE1100" s="936"/>
      <c r="AF1100" s="937"/>
      <c r="AG1100" s="196">
        <f ca="1">IF($B$1094="Лікар загальної практики - сімейний лікар",IF(AG1098&lt;Законод!$C$22,0,(IF(AND(AG1098&gt;=Законод!$E$22,AG1098&lt;=Законод!$E$23),AG1098-Законод!$C$22,IF('01_Доходи'!AG1098&gt;=Законод!$F$22,Законод!$E$24,0)))),IF($B$1094="Лікар-педіатр",IF(AG1098&lt;Законод!$C$18,0,(IF(AND(AG1098&gt;=Законод!$E$18,AG1098&lt;=Законод!$E$19),AG1098-Законод!$C$18,IF('01_Доходи'!AG1098&gt;=Законод!$F$18,Законод!$E$20,0)))),IF($B$1094="Лікар-терапевт",IF(AG1098&lt;Законод!$C$26,0,(IF(AND(AG1098&gt;=Законод!$E$26,AG1098&lt;=Законод!$E$27),AG1098-Законод!$C$26,IF('01_Доходи'!AG1098&gt;=Законод!$F$26,Законод!$E$28,0)))),0)))</f>
        <v>0</v>
      </c>
      <c r="AH1100" s="942"/>
      <c r="AI1100" s="201"/>
      <c r="AJ1100" s="945"/>
      <c r="AK1100" s="960"/>
      <c r="AL1100" s="960"/>
      <c r="AM1100" s="926" t="s">
        <v>452</v>
      </c>
      <c r="AN1100" s="210">
        <f ca="1">IF(B1094="Лікар загальної практики - сімейний лікар",L1100*Законод!$C$9/4*Законод!$E$16,IF(B1094="Лікар-педіатр",L1100*Законод!$C$9/4*Законод!$E$16,IF(B1094="Лікар-терапевт",L1100*Законод!$C$9/4*Законод!$E$16,0)))</f>
        <v>0</v>
      </c>
      <c r="AO1100" s="210">
        <f ca="1">IF(B1094="Лікар загальної практики - сімейний лікар",S1100*Законод!$C$9/4*Законод!$E$16,IF(B1094="Лікар-педіатр",S1100*Законод!$C$9/4*Законод!$E$16,IF(B1094="Лікар-терапевт",S1100*Законод!$C$9/4*Законод!$E$16,0)))</f>
        <v>0</v>
      </c>
      <c r="AP1100" s="210">
        <f ca="1">IF(B1094="Лікар загальної практики - сімейний лікар",Z1100*Законод!$C$9/4*Законод!$E$16,IF(B1094="Лікар-педіатр",Z1100*Законод!$C$9/4*Законод!$E$16,IF(B1094="Лікар-терапевт",Z1100*Законод!$C$9/4*Законод!$E$16,0)))</f>
        <v>0</v>
      </c>
      <c r="AQ1100" s="210">
        <f ca="1">IF(B1094="Лікар загальної практики - сімейний лікар",AG1100*Законод!$C$9/4*Законод!$E$16,IF(B1094="Лікар-педіатр",AG1100*Законод!$C$9/4*Законод!$E$16,IF(B1094="Лікар-терапевт",AG1100*Законод!$C$9/4*Законод!$E$16,0)))</f>
        <v>0</v>
      </c>
      <c r="AR1100" s="211">
        <f t="shared" si="124"/>
        <v>0</v>
      </c>
    </row>
    <row r="1101" spans="1:44" s="50" customFormat="1" ht="31.9" hidden="1" customHeight="1">
      <c r="A1101" s="197"/>
      <c r="B1101" s="951"/>
      <c r="C1101" s="954"/>
      <c r="D1101" s="957"/>
      <c r="E1101" s="939"/>
      <c r="F1101" s="238" t="str">
        <f ca="1">IF(B1094="Лікар-педіатр",Законод!$F$17,IF(B1094="Лікар загальної практики - сімейний лікар",Законод!$F$21,IF(B1094="Лікар-терапевт",Законод!$F$25,"х")))</f>
        <v>х</v>
      </c>
      <c r="G1101" s="935" t="s">
        <v>423</v>
      </c>
      <c r="H1101" s="936"/>
      <c r="I1101" s="936"/>
      <c r="J1101" s="936"/>
      <c r="K1101" s="937"/>
      <c r="L1101" s="196">
        <f ca="1">IF($B$1094="Лікар загальної практики - сімейний лікар",IF(L1098&lt;Законод!$C$22,0,(IF(AND(L1098&gt;=Законод!$F$22,L1098&lt;=Законод!$F$23),L1098-Законод!$E$23,IF('01_Доходи'!L1098&gt;=Законод!$G$22,Законод!$F$24,0)))),IF($B$1094="Лікар-педіатр",IF(L1098&lt;Законод!$C$18,0,(IF(AND(L1098&gt;=Законод!$F$18,L1098&lt;=Законод!$F$19),L1098-Законод!$E$19,IF('01_Доходи'!L1098&gt;=Законод!$G$18,Законод!$F$20,0)))),IF($B$1094="Лікар-терапевт",IF(L1098&lt;Законод!$C$26,0,(IF(AND(L1098&gt;=Законод!$F$26,L1098&lt;=Законод!$F$27),L1098-Законод!$E$27,IF('01_Доходи'!L1098&gt;=Законод!$G$26,Законод!$F$28,0)))),0)))</f>
        <v>0</v>
      </c>
      <c r="M1101" s="942"/>
      <c r="N1101" s="935" t="s">
        <v>423</v>
      </c>
      <c r="O1101" s="936"/>
      <c r="P1101" s="936"/>
      <c r="Q1101" s="936"/>
      <c r="R1101" s="937"/>
      <c r="S1101" s="196">
        <f ca="1">IF($B$1094="Лікар загальної практики - сімейний лікар",IF(S1098&lt;Законод!$C$22,0,(IF(AND(S1098&gt;=Законод!$F$22,S1098&lt;=Законод!$F$23),S1098-Законод!$E$23,IF('01_Доходи'!S1098&gt;=Законод!$G$22,Законод!$F$24,0)))),IF($B$1094="Лікар-педіатр",IF(S1098&lt;Законод!$C$18,0,(IF(AND(S1098&gt;=Законод!$F$18,S1098&lt;=Законод!$F$19),S1098-Законод!$E$19,IF('01_Доходи'!S1098&gt;=Законод!$G$18,Законод!$F$20,0)))),IF($B$1094="Лікар-терапевт",IF(S1098&lt;Законод!$C$26,0,(IF(AND(S1098&gt;=Законод!$F$26,S1098&lt;=Законод!$F$27),S1098-Законод!$E$27,IF('01_Доходи'!S1098&gt;=Законод!$G$26,Законод!$F$28,0)))),0)))</f>
        <v>0</v>
      </c>
      <c r="T1101" s="942"/>
      <c r="U1101" s="935" t="s">
        <v>423</v>
      </c>
      <c r="V1101" s="936"/>
      <c r="W1101" s="936"/>
      <c r="X1101" s="936"/>
      <c r="Y1101" s="937"/>
      <c r="Z1101" s="196">
        <f ca="1">IF($B$1094="Лікар загальної практики - сімейний лікар",IF(Z1098&lt;Законод!$C$22,0,(IF(AND(Z1098&gt;=Законод!$F$22,Z1098&lt;=Законод!$F$23),Z1098-Законод!$E$23,IF('01_Доходи'!Z1098&gt;=Законод!$G$22,Законод!$F$24,0)))),IF($B$1094="Лікар-педіатр",IF(Z1098&lt;Законод!$C$18,0,(IF(AND(Z1098&gt;=Законод!$F$18,Z1098&lt;=Законод!$F$19),Z1098-Законод!$E$19,IF('01_Доходи'!Z1098&gt;=Законод!$G$18,Законод!$F$20,0)))),IF($B$1094="Лікар-терапевт",IF(Z1098&lt;Законод!$C$26,0,(IF(AND(Z1098&gt;=Законод!$F$26,Z1098&lt;=Законод!$F$27),Z1098-Законод!$E$27,IF('01_Доходи'!Z1098&gt;=Законод!$G$26,Законод!$F$28,0)))),0)))</f>
        <v>0</v>
      </c>
      <c r="AA1101" s="942"/>
      <c r="AB1101" s="935" t="s">
        <v>423</v>
      </c>
      <c r="AC1101" s="936"/>
      <c r="AD1101" s="936"/>
      <c r="AE1101" s="936"/>
      <c r="AF1101" s="937"/>
      <c r="AG1101" s="196">
        <f ca="1">IF($B$1094="Лікар загальної практики - сімейний лікар",IF(AG1098&lt;Законод!$C$22,0,(IF(AND(AG1098&gt;=Законод!$F$22,AG1098&lt;=Законод!$F$23),AG1098-Законод!$E$23,IF('01_Доходи'!AG1098&gt;=Законод!$G$22,Законод!$F$24,0)))),IF($B$1094="Лікар-педіатр",IF(AG1098&lt;Законод!$C$18,0,(IF(AND(AG1098&gt;=Законод!$F$18,AG1098&lt;=Законод!$F$19),AG1098-Законод!$E$19,IF('01_Доходи'!AG1098&gt;=Законод!$G$18,Законод!$F$20,0)))),IF($B$1094="Лікар-терапевт",IF(AG1098&lt;Законод!$C$26,0,(IF(AND(AG1098&gt;=Законод!$F$26,AG1098&lt;=Законод!$F$27),AG1098-Законод!$E$27,IF('01_Доходи'!AG1098&gt;=Законод!$G$26,Законод!$F$28,0)))),0)))</f>
        <v>0</v>
      </c>
      <c r="AH1101" s="942"/>
      <c r="AI1101" s="201"/>
      <c r="AJ1101" s="945"/>
      <c r="AK1101" s="960"/>
      <c r="AL1101" s="960"/>
      <c r="AM1101" s="927"/>
      <c r="AN1101" s="210">
        <f ca="1">IF(B1094="Лікар загальної практики - сімейний лікар",L1101*Законод!$C$9/4*Законод!$F$16,IF(B1094="Лікар-педіатр",L1101*Законод!$C$9/4*Законод!$F$16,IF(B1094="Лікар-терапевт",L1101*Законод!$C$9/4*Законод!$F$16,0)))</f>
        <v>0</v>
      </c>
      <c r="AO1101" s="210">
        <f ca="1">IF(B1094="Лікар загальної практики - сімейний лікар",S1101*Законод!$C$9/4*Законод!$F$16,IF(B1094="Лікар-педіатр",S1101*Законод!$C$9/4*Законод!$F$16,IF(B1094="Лікар-терапевт",S1101*Законод!$C$9/4*Законод!$F$16,0)))</f>
        <v>0</v>
      </c>
      <c r="AP1101" s="210">
        <f ca="1">IF(B1094="Лікар загальної практики - сімейний лікар",Z1101*Законод!$C$9/4*Законод!$F$16,IF(B1094="Лікар-педіатр",Z1101*Законод!$C$9/4*Законод!$F$16,IF(B1094="Лікар-терапевт",Z1101*Законод!$C$9/4*Законод!$F$16,0)))</f>
        <v>0</v>
      </c>
      <c r="AQ1101" s="210">
        <f ca="1">IF(B1094="Лікар загальної практики - сімейний лікар",AG1101*Законод!$C$9/4*Законод!$F$16,IF(B1094="Лікар-педіатр",AG1101*Законод!$C$9/4*Законод!$F$16,IF(B1094="Лікар-терапевт",AG1101*Законод!$C$9/4*Законод!$F$16,0)))</f>
        <v>0</v>
      </c>
      <c r="AR1101" s="211">
        <f t="shared" si="124"/>
        <v>0</v>
      </c>
    </row>
    <row r="1102" spans="1:44" s="50" customFormat="1" ht="31.9" hidden="1" customHeight="1">
      <c r="A1102" s="197"/>
      <c r="B1102" s="951"/>
      <c r="C1102" s="954"/>
      <c r="D1102" s="957"/>
      <c r="E1102" s="939"/>
      <c r="F1102" s="238" t="str">
        <f ca="1">IF(B1094="Лікар-педіатр",Законод!$G$17,IF(B1094="Лікар загальної практики - сімейний лікар",Законод!$G$21,IF(B1094="Лікар-терапевт",Законод!$G$25,"х")))</f>
        <v>х</v>
      </c>
      <c r="G1102" s="935" t="s">
        <v>423</v>
      </c>
      <c r="H1102" s="936"/>
      <c r="I1102" s="936"/>
      <c r="J1102" s="936"/>
      <c r="K1102" s="937"/>
      <c r="L1102" s="196">
        <f ca="1">IF($B$1094="Лікар загальної практики - сімейний лікар",IF(L1098&lt;Законод!$C$22,0,(IF(AND(L1098&gt;=Законод!$G$22,L1098&lt;=Законод!$G$23),L1098-Законод!$F$23,IF('01_Доходи'!L1098&gt;=Законод!$H$22,Законод!$G$24,0)))),IF($B$1094="Лікар-педіатр",IF(L1098&lt;Законод!$C$18,0,(IF(AND(L1098&gt;=Законод!$G$18,L1098&lt;=Законод!$G$19),L1098-Законод!$F$19,IF('01_Доходи'!L1098&gt;=Законод!$H$18,Законод!$G$20,0)))),IF($B$1094="Лікар-терапевт",IF(L1098&lt;Законод!$C$26,0,(IF(AND(L1098&gt;=Законод!$G$26,L1098&lt;=Законод!$G$27),L1098-Законод!$F$27,IF('01_Доходи'!L1098&gt;=Законод!$H$26,Законод!$G$28,0)))),0)))</f>
        <v>0</v>
      </c>
      <c r="M1102" s="942"/>
      <c r="N1102" s="935" t="s">
        <v>423</v>
      </c>
      <c r="O1102" s="936"/>
      <c r="P1102" s="936"/>
      <c r="Q1102" s="936"/>
      <c r="R1102" s="937"/>
      <c r="S1102" s="196">
        <f ca="1">IF($B$1094="Лікар загальної практики - сімейний лікар",IF(S1098&lt;Законод!$C$22,0,(IF(AND(S1098&gt;=Законод!$G$22,S1098&lt;=Законод!$G$23),S1098-Законод!$F$23,IF('01_Доходи'!S1098&gt;=Законод!$H$22,Законод!$G$24,0)))),IF($B$1094="Лікар-педіатр",IF(S1098&lt;Законод!$C$18,0,(IF(AND(S1098&gt;=Законод!$G$18,S1098&lt;=Законод!$G$19),S1098-Законод!$F$19,IF('01_Доходи'!S1098&gt;=Законод!$H$18,Законод!$G$20,0)))),IF($B$1094="Лікар-терапевт",IF(S1098&lt;Законод!$C$26,0,(IF(AND(S1098&gt;=Законод!$G$26,S1098&lt;=Законод!$G$27),S1098-Законод!$F$27,IF('01_Доходи'!S1098&gt;=Законод!$H$26,Законод!$G$28,0)))),0)))</f>
        <v>0</v>
      </c>
      <c r="T1102" s="942"/>
      <c r="U1102" s="935" t="s">
        <v>423</v>
      </c>
      <c r="V1102" s="936"/>
      <c r="W1102" s="936"/>
      <c r="X1102" s="936"/>
      <c r="Y1102" s="937"/>
      <c r="Z1102" s="196">
        <f ca="1">IF($B$1094="Лікар загальної практики - сімейний лікар",IF(Z1098&lt;Законод!$C$22,0,(IF(AND(Z1098&gt;=Законод!$G$22,Z1098&lt;=Законод!$G$23),Z1098-Законод!$F$23,IF('01_Доходи'!Z1098&gt;=Законод!$H$22,Законод!$G$24,0)))),IF($B$1094="Лікар-педіатр",IF(Z1098&lt;Законод!$C$18,0,(IF(AND(Z1098&gt;=Законод!$G$18,Z1098&lt;=Законод!$G$19),Z1098-Законод!$F$19,IF('01_Доходи'!Z1098&gt;=Законод!$H$18,Законод!$G$20,0)))),IF($B$1094="Лікар-терапевт",IF(Z1098&lt;Законод!$C$26,0,(IF(AND(Z1098&gt;=Законод!$G$26,Z1098&lt;=Законод!$G$27),Z1098-Законод!$F$27,IF('01_Доходи'!Z1098&gt;=Законод!$H$26,Законод!$G$28,0)))),0)))</f>
        <v>0</v>
      </c>
      <c r="AA1102" s="942"/>
      <c r="AB1102" s="935" t="s">
        <v>423</v>
      </c>
      <c r="AC1102" s="936"/>
      <c r="AD1102" s="936"/>
      <c r="AE1102" s="936"/>
      <c r="AF1102" s="937"/>
      <c r="AG1102" s="196">
        <f ca="1">IF($B$1094="Лікар загальної практики - сімейний лікар",IF(AG1098&lt;Законод!$C$22,0,(IF(AND(AG1098&gt;=Законод!$G$22,AG1098&lt;=Законод!$G$23),AG1098-Законод!$F$23,IF('01_Доходи'!AG1098&gt;=Законод!$H$22,Законод!$G$24,0)))),IF($B$1094="Лікар-педіатр",IF(AG1098&lt;Законод!$C$18,0,(IF(AND(AG1098&gt;=Законод!$G$18,AG1098&lt;=Законод!$G$19),AG1098-Законод!$F$19,IF('01_Доходи'!AG1098&gt;=Законод!$H$18,Законод!$G$20,0)))),IF($B$1094="Лікар-терапевт",IF(AG1098&lt;Законод!$C$26,0,(IF(AND(AG1098&gt;=Законод!$G$26,AG1098&lt;=Законод!$G$27),AG1098-Законод!$F$27,IF('01_Доходи'!AG1098&gt;=Законод!$H$26,Законод!$G$28,0)))),0)))</f>
        <v>0</v>
      </c>
      <c r="AH1102" s="942"/>
      <c r="AI1102" s="201"/>
      <c r="AJ1102" s="945"/>
      <c r="AK1102" s="960"/>
      <c r="AL1102" s="960"/>
      <c r="AM1102" s="927"/>
      <c r="AN1102" s="210">
        <f ca="1">IF(B1094="Лікар загальної практики - сімейний лікар",L1102*Законод!$C$9/4*Законод!$G$16,IF(B1094="Лікар-педіатр",L1102*Законод!$C$9/4*Законод!$G$16,IF(B1094="Лікар-терапевт",L1102*Законод!$C$9/4*Законод!$G$16,0)))</f>
        <v>0</v>
      </c>
      <c r="AO1102" s="210">
        <f ca="1">IF(B1094="Лікар загальної практики - сімейний лікар",S1102*Законод!$C$9/4*Законод!$G$16,IF(B1094="Лікар-педіатр",S1102*Законод!$C$9/4*Законод!$G$16,IF(B1094="Лікар-терапевт",S1102*Законод!$C$9/4*Законод!$G$16,0)))</f>
        <v>0</v>
      </c>
      <c r="AP1102" s="210">
        <f ca="1">IF(B1094="Лікар загальної практики - сімейний лікар",Z1102*Законод!$C$9/4*Законод!$G$16,IF(B1094="Лікар-педіатр",Z1102*Законод!$C$9/4*Законод!$G$16,IF(B1094="Лікар-терапевт",Z1102*Законод!$C$9/4*Законод!$G$16,0)))</f>
        <v>0</v>
      </c>
      <c r="AQ1102" s="210">
        <f ca="1">IF(B1094="Лікар загальної практики - сімейний лікар",AG1102*Законод!$C$9/4*Законод!$G$16,IF(B1094="Лікар-педіатр",AG1102*Законод!$C$9/4*Законод!$G$16,IF(B1094="Лікар-терапевт",AG1102*Законод!$C$9/4*Законод!$G$16,0)))</f>
        <v>0</v>
      </c>
      <c r="AR1102" s="211">
        <f t="shared" si="124"/>
        <v>0</v>
      </c>
    </row>
    <row r="1103" spans="1:44" s="50" customFormat="1" ht="31.9" hidden="1" customHeight="1">
      <c r="A1103" s="197"/>
      <c r="B1103" s="951"/>
      <c r="C1103" s="954"/>
      <c r="D1103" s="957"/>
      <c r="E1103" s="939"/>
      <c r="F1103" s="238" t="str">
        <f ca="1">IF(B1094="Лікар-педіатр",Законод!$H$17,IF(B1094="Лікар загальної практики - сімейний лікар",Законод!$H$21,IF(B1094="Лікар-терапевт",Законод!$H$25,"х")))</f>
        <v>х</v>
      </c>
      <c r="G1103" s="935" t="s">
        <v>423</v>
      </c>
      <c r="H1103" s="936"/>
      <c r="I1103" s="936"/>
      <c r="J1103" s="936"/>
      <c r="K1103" s="937"/>
      <c r="L1103" s="196">
        <f ca="1">IF($B$1094="Лікар загальної практики - сімейний лікар",IF(L1098&lt;Законод!$C$22,0,(IF(AND(L1098&gt;=Законод!$H$22,L1098&lt;=Законод!$H$23),L1098-Законод!$G$23,IF('01_Доходи'!L1098&gt;=Законод!$I$22,Законод!$H$24,0)))),IF($B$1094="Лікар-педіатр",IF(L1098&lt;Законод!$C$18,0,(IF(AND(L1098&gt;=Законод!$H$18,L1098&lt;=Законод!$H$19),L1098-Законод!$G$19,IF('01_Доходи'!L1098&gt;=Законод!$I$18,Законод!$H$20,0)))),IF($B$1094="Лікар-терапевт",IF(L1098&lt;Законод!$C$26,0,(IF(AND(L1098&gt;=Законод!$H$26,L1098&lt;=Законод!$H$27),L1098-Законод!$G$27,IF(L1098&gt;=Законод!$I$26,Законод!$H$28,0)))),0)))</f>
        <v>0</v>
      </c>
      <c r="M1103" s="942"/>
      <c r="N1103" s="935" t="s">
        <v>423</v>
      </c>
      <c r="O1103" s="936"/>
      <c r="P1103" s="936"/>
      <c r="Q1103" s="936"/>
      <c r="R1103" s="937"/>
      <c r="S1103" s="196">
        <f ca="1">IF($B$1094="Лікар загальної практики - сімейний лікар",IF(S1098&lt;Законод!$C$22,0,(IF(AND(S1098&gt;=Законод!$H$22,S1098&lt;=Законод!$H$23),S1098-Законод!$G$23,IF('01_Доходи'!S1098&gt;=Законод!$I$22,Законод!$H$24,0)))),IF($B$1094="Лікар-педіатр",IF(S1098&lt;Законод!$C$18,0,(IF(AND(S1098&gt;=Законод!$H$18,S1098&lt;=Законод!$H$19),S1098-Законод!$G$19,IF('01_Доходи'!S1098&gt;=Законод!$I$18,Законод!$H$20,0)))),IF($B$1094="Лікар-терапевт",IF(S1098&lt;Законод!$C$26,0,(IF(AND(S1098&gt;=Законод!$H$26,S1098&lt;=Законод!$H$27),S1098-Законод!$G$27,IF(S1098&gt;=Законод!$I$26,Законод!$H$28,0)))),0)))</f>
        <v>0</v>
      </c>
      <c r="T1103" s="942"/>
      <c r="U1103" s="935" t="s">
        <v>423</v>
      </c>
      <c r="V1103" s="936"/>
      <c r="W1103" s="936"/>
      <c r="X1103" s="936"/>
      <c r="Y1103" s="937"/>
      <c r="Z1103" s="196">
        <f ca="1">IF($B$1094="Лікар загальної практики - сімейний лікар",IF(Z1098&lt;Законод!$C$22,0,(IF(AND(Z1098&gt;=Законод!$H$22,Z1098&lt;=Законод!$H$23),Z1098-Законод!$G$23,IF('01_Доходи'!Z1098&gt;=Законод!$I$22,Законод!$H$24,0)))),IF($B$1094="Лікар-педіатр",IF(Z1098&lt;Законод!$C$18,0,(IF(AND(Z1098&gt;=Законод!$H$18,Z1098&lt;=Законод!$H$19),Z1098-Законод!$G$19,IF('01_Доходи'!Z1098&gt;=Законод!$I$18,Законод!$H$20,0)))),IF($B$1094="Лікар-терапевт",IF(Z1098&lt;Законод!$C$26,0,(IF(AND(Z1098&gt;=Законод!$H$26,Z1098&lt;=Законод!$H$27),Z1098-Законод!$G$27,IF(Z1098&gt;=Законод!$I$26,Законод!$H$28,0)))),0)))</f>
        <v>0</v>
      </c>
      <c r="AA1103" s="942"/>
      <c r="AB1103" s="935" t="s">
        <v>423</v>
      </c>
      <c r="AC1103" s="936"/>
      <c r="AD1103" s="936"/>
      <c r="AE1103" s="936"/>
      <c r="AF1103" s="937"/>
      <c r="AG1103" s="196">
        <f ca="1">IF($B$1094="Лікар загальної практики - сімейний лікар",IF(AG1098&lt;Законод!$C$22,0,(IF(AND(AG1098&gt;=Законод!$H$22,AG1098&lt;=Законод!$H$23),AG1098-Законод!$G$23,IF('01_Доходи'!AG1098&gt;=Законод!$I$22,Законод!$H$24,0)))),IF($B$1094="Лікар-педіатр",IF(AG1098&lt;Законод!$C$18,0,(IF(AND(AG1098&gt;=Законод!$H$18,AG1098&lt;=Законод!$H$19),AG1098-Законод!$G$19,IF('01_Доходи'!AG1098&gt;=Законод!$I$18,Законод!$H$20,0)))),IF($B$1094="Лікар-терапевт",IF(AG1098&lt;Законод!$C$26,0,(IF(AND(AG1098&gt;=Законод!$H$26,AG1098&lt;=Законод!$H$27),AG1098-Законод!$G$27,IF(AG1098&gt;=Законод!$I$26,Законод!$H$28,0)))),0)))</f>
        <v>0</v>
      </c>
      <c r="AH1103" s="942"/>
      <c r="AI1103" s="201"/>
      <c r="AJ1103" s="945"/>
      <c r="AK1103" s="960"/>
      <c r="AL1103" s="960"/>
      <c r="AM1103" s="927"/>
      <c r="AN1103" s="210">
        <f ca="1">IF(B1094="Лікар загальної практики - сімейний лікар",L1103*Законод!$C$9/4*Законод!$H$16,IF(B1094="Лікар-педіатр",L1103*Законод!$C$9/4*Законод!$H$16,IF(B1094="Лікар-терапевт",L1103*Законод!$C$9/4*Законод!$H$16,0)))</f>
        <v>0</v>
      </c>
      <c r="AO1103" s="210">
        <f ca="1">IF(B1094="Лікар загальної практики - сімейний лікар",S1103*Законод!$C$9/4*Законод!$H$16,IF(B1094="Лікар-педіатр",S1103*Законод!$C$9/4*Законод!$H$16,IF(B1094="Лікар-терапевт",S1103*Законод!$C$9/4*Законод!$H$16,0)))</f>
        <v>0</v>
      </c>
      <c r="AP1103" s="210">
        <f ca="1">IF(B1094="Лікар загальної практики - сімейний лікар",Z1103*Законод!$C$9/4*Законод!$H$16,IF(B1094="Лікар-педіатр",Z1103*Законод!$C$9/4*Законод!$H$16,IF(B1094="Лікар-терапевт",Z1103*Законод!$C$9/4*Законод!$H$16,0)))</f>
        <v>0</v>
      </c>
      <c r="AQ1103" s="210">
        <f ca="1">IF(B1094="Лікар загальної практики - сімейний лікар",AG1103*Законод!$C$9/4*Законод!$H$16,IF(B1094="Лікар-педіатр",AG1103*Законод!$C$9/4*Законод!$H$16,IF(B1094="Лікар-терапевт",AG1103*Законод!$C$9/4*Законод!$H$16,0)))</f>
        <v>0</v>
      </c>
      <c r="AR1103" s="211">
        <f t="shared" si="124"/>
        <v>0</v>
      </c>
    </row>
    <row r="1104" spans="1:44" s="50" customFormat="1" ht="31.9" hidden="1" customHeight="1">
      <c r="A1104" s="197"/>
      <c r="B1104" s="951"/>
      <c r="C1104" s="954"/>
      <c r="D1104" s="957"/>
      <c r="E1104" s="939"/>
      <c r="F1104" s="238" t="str">
        <f ca="1">IF(B1094="Лікар-педіатр",Законод!$I$17,IF(B1094="Лікар загальної практики - сімейний лікар",Законод!$I$21,IF(B1094="Лікар-терапевт",Законод!$I$25,"х")))</f>
        <v>х</v>
      </c>
      <c r="G1104" s="935" t="s">
        <v>423</v>
      </c>
      <c r="H1104" s="936"/>
      <c r="I1104" s="936"/>
      <c r="J1104" s="936"/>
      <c r="K1104" s="937"/>
      <c r="L1104" s="196">
        <f ca="1">IF($B$1094="Лікар загальної практики - сімейний лікар",IF(L1098&lt;Законод!$C$22,0,(IF(AND(L1098&gt;=Законод!$I$22,L1098&lt;=Законод!$I$23),L1098-Законод!$H$23,IF('01_Доходи'!L1098&gt;=Законод!$I$22,Законод!$I$24,0)))),IF($B$1094="Лікар-педіатр",IF(L1098&lt;Законод!$C$18,0,(IF(AND(L1098&gt;=Законод!$I$18,L1098&lt;=Законод!$I$19),L1098-Законод!$H$19,IF('01_Доходи'!L1098&gt;=Законод!$I$18,Законод!$H$20,0)))),IF($B$1094="Лікар-терапевт",IF(L1098&lt;Законод!$C$26,0,(IF(AND(L1098&gt;=Законод!$I$26,L1098&lt;=Законод!$I$27),L1098-Законод!$H$27,IF('01_Доходи'!L1098&gt;=Законод!$I$26,Законод!$H$28,0)))),0)))</f>
        <v>0</v>
      </c>
      <c r="M1104" s="942"/>
      <c r="N1104" s="935" t="s">
        <v>423</v>
      </c>
      <c r="O1104" s="936"/>
      <c r="P1104" s="936"/>
      <c r="Q1104" s="936"/>
      <c r="R1104" s="937"/>
      <c r="S1104" s="196">
        <f ca="1">IF($B$1094="Лікар загальної практики - сімейний лікар",IF(S1098&lt;Законод!$C$22,0,(IF(AND(S1098&gt;=Законод!$I$22,S1098&lt;=Законод!$I$23),S1098-Законод!$H$23,IF('01_Доходи'!S1098&gt;=Законод!$I$22,Законод!$I$24,0)))),IF($B$1094="Лікар-педіатр",IF(S1098&lt;Законод!$C$18,0,(IF(AND(S1098&gt;=Законод!$I$18,S1098&lt;=Законод!$I$19),S1098-Законод!$H$19,IF('01_Доходи'!S1098&gt;=Законод!$I$18,Законод!$H$20,0)))),IF($B$1094="Лікар-терапевт",IF(S1098&lt;Законод!$C$26,0,(IF(AND(S1098&gt;=Законод!$I$26,S1098&lt;=Законод!$I$27),S1098-Законод!$H$27,IF('01_Доходи'!S1098&gt;=Законод!$I$26,Законод!$H$28,0)))),0)))</f>
        <v>0</v>
      </c>
      <c r="T1104" s="942"/>
      <c r="U1104" s="935" t="s">
        <v>423</v>
      </c>
      <c r="V1104" s="936"/>
      <c r="W1104" s="936"/>
      <c r="X1104" s="936"/>
      <c r="Y1104" s="937"/>
      <c r="Z1104" s="196">
        <f ca="1">IF($B$1094="Лікар загальної практики - сімейний лікар",IF(Z1098&lt;Законод!$C$22,0,(IF(AND(Z1098&gt;=Законод!$I$22,Z1098&lt;=Законод!$I$23),Z1098-Законод!$H$23,IF('01_Доходи'!Z1098&gt;=Законод!$I$22,Законод!$I$24,0)))),IF($B$1094="Лікар-педіатр",IF(Z1098&lt;Законод!$C$18,0,(IF(AND(Z1098&gt;=Законод!$I$18,Z1098&lt;=Законод!$I$19),Z1098-Законод!$H$19,IF('01_Доходи'!Z1098&gt;=Законод!$I$18,Законод!$H$20,0)))),IF($B$1094="Лікар-терапевт",IF(Z1098&lt;Законод!$C$26,0,(IF(AND(Z1098&gt;=Законод!$I$26,Z1098&lt;=Законод!$I$27),Z1098-Законод!$H$27,IF('01_Доходи'!Z1098&gt;=Законод!$I$26,Законод!$H$28,0)))),0)))</f>
        <v>0</v>
      </c>
      <c r="AA1104" s="942"/>
      <c r="AB1104" s="935" t="s">
        <v>423</v>
      </c>
      <c r="AC1104" s="936"/>
      <c r="AD1104" s="936"/>
      <c r="AE1104" s="936"/>
      <c r="AF1104" s="937"/>
      <c r="AG1104" s="196">
        <f ca="1">IF($B$1094="Лікар загальної практики - сімейний лікар",IF(AG1098&lt;Законод!$C$22,0,(IF(AND(AG1098&gt;=Законод!$I$22,AG1098&lt;=Законод!$I$23),AG1098-Законод!$H$23,IF('01_Доходи'!AG1098&gt;=Законод!$I$22,Законод!$I$24,0)))),IF($B$1094="Лікар-педіатр",IF(AG1098&lt;Законод!$C$18,0,(IF(AND(AG1098&gt;=Законод!$I$18,AG1098&lt;=Законод!$I$19),AG1098-Законод!$H$19,IF('01_Доходи'!AG1098&gt;=Законод!$I$18,Законод!$H$20,0)))),IF($B$1094="Лікар-терапевт",IF(AG1098&lt;Законод!$C$26,0,(IF(AND(AG1098&gt;=Законод!$I$26,AG1098&lt;=Законод!$I$27),AG1098-Законод!$H$27,IF('01_Доходи'!AG1098&gt;=Законод!$I$26,Законод!$H$28,0)))),0)))</f>
        <v>0</v>
      </c>
      <c r="AH1104" s="942"/>
      <c r="AI1104" s="201"/>
      <c r="AJ1104" s="945"/>
      <c r="AK1104" s="960"/>
      <c r="AL1104" s="960"/>
      <c r="AM1104" s="927"/>
      <c r="AN1104" s="210">
        <f ca="1">IF(B1094="Лікар загальної практики - сімейний лікар",L1104*Законод!$C$9/4*Законод!$I$16,IF(B1094="Лікар-педіатр",L1104*Законод!$C$9/4*Законод!$I$16,IF(B1094="Лікар-терапевт",L1104*Законод!$C$9/4*Законод!$I$16,0)))</f>
        <v>0</v>
      </c>
      <c r="AO1104" s="210">
        <f ca="1">IF(B1094="Лікар загальної практики - сімейний лікар",S1104*Законод!$C$9/4*Законод!$I$16,IF(B1094="Лікар-педіатр",S1104*Законод!$C$9/4*Законод!$I$16,IF(B1094="Лікар-терапевт",S1104*Законод!$C$9/4*Законод!$I$16,0)))</f>
        <v>0</v>
      </c>
      <c r="AP1104" s="210">
        <f ca="1">IF(B1094="Лікар загальної практики - сімейний лікар",Z1104*Законод!$C$9/4*Законод!$I$16,IF(B1094="Лікар-педіатр",Z1104*Законод!$C$9/4*Законод!$I$16,IF(B1094="Лікар-терапевт",Z1104*Законод!$C$9/4*Законод!$I$16,0)))</f>
        <v>0</v>
      </c>
      <c r="AQ1104" s="210">
        <f ca="1">IF(B1094="Лікар загальної практики - сімейний лікар",AG1104*Законод!$C$9/4*Законод!$I$16,IF(B1094="Лікар-педіатр",AG1104*Законод!$C$9/4*Законод!$I$16,IF(B1094="Лікар-терапевт",AG1104*Законод!$C$9/4*Законод!$I$16,0)))</f>
        <v>0</v>
      </c>
      <c r="AR1104" s="211">
        <f t="shared" si="124"/>
        <v>0</v>
      </c>
    </row>
    <row r="1105" spans="1:44" s="218" customFormat="1" ht="31.9" hidden="1" customHeight="1" thickBot="1">
      <c r="A1105" s="213"/>
      <c r="B1105" s="952"/>
      <c r="C1105" s="955"/>
      <c r="D1105" s="958"/>
      <c r="E1105" s="940"/>
      <c r="F1105" s="239" t="str">
        <f ca="1">IF(B1094="Лікар-педіатр",Законод!$J$17,IF(B1094="Лікар загальної практики - сімейний лікар",Законод!$J$21,IF(B1094="Лікар-терапевт",Законод!$J$25,"х")))</f>
        <v>х</v>
      </c>
      <c r="G1105" s="932" t="s">
        <v>423</v>
      </c>
      <c r="H1105" s="933"/>
      <c r="I1105" s="933"/>
      <c r="J1105" s="933"/>
      <c r="K1105" s="934"/>
      <c r="L1105" s="196">
        <f ca="1">IF($B$1094="Лікар загальної практики - сімейний лікар",IF(L1098&gt;=Законод!$J$22,'01_Доходи'!L1098-('01_Доходи'!L1099+'01_Доходи'!L1100+'01_Доходи'!L1101+'01_Доходи'!L1102+'01_Доходи'!L1103+'01_Доходи'!L1104),0),IF($B$1094="Лікар-педіатр",IF(L1098&gt;=Законод!$J$18,'01_Доходи'!L1098-('01_Доходи'!L1099+'01_Доходи'!L1100+'01_Доходи'!L1101+'01_Доходи'!L1102+'01_Доходи'!L1103+'01_Доходи'!L1104),0),IF($B$1094="Лікар-терапевт",IF('01_Доходи'!L1098&gt;=Законод!$J$26,L1098-Законод!$I$27,0),0)))</f>
        <v>0</v>
      </c>
      <c r="M1105" s="943"/>
      <c r="N1105" s="932" t="s">
        <v>423</v>
      </c>
      <c r="O1105" s="933"/>
      <c r="P1105" s="933"/>
      <c r="Q1105" s="933"/>
      <c r="R1105" s="934"/>
      <c r="S1105" s="196">
        <f ca="1">IF($B$1094="Лікар загальної практики - сімейний лікар",IF(S1098&gt;=Законод!$J$22,'01_Доходи'!S1098-('01_Доходи'!S1099+'01_Доходи'!S1100+'01_Доходи'!S1101+'01_Доходи'!S1102+'01_Доходи'!S1103+'01_Доходи'!S1104),0),IF($B$1094="Лікар-педіатр",IF(S1098&gt;=Законод!$J$18,'01_Доходи'!S1098-('01_Доходи'!S1099+'01_Доходи'!S1100+'01_Доходи'!S1101+'01_Доходи'!S1102+'01_Доходи'!S1103+'01_Доходи'!S1104),0),IF($B$1094="Лікар-терапевт",IF('01_Доходи'!S1098&gt;=Законод!$J$26,S1098-Законод!$I$27,0),0)))</f>
        <v>0</v>
      </c>
      <c r="T1105" s="943"/>
      <c r="U1105" s="932" t="s">
        <v>423</v>
      </c>
      <c r="V1105" s="933"/>
      <c r="W1105" s="933"/>
      <c r="X1105" s="933"/>
      <c r="Y1105" s="934"/>
      <c r="Z1105" s="196">
        <f ca="1">IF($B$1094="Лікар загальної практики - сімейний лікар",IF(Z1098&gt;=Законод!$J$22,'01_Доходи'!Z1098-('01_Доходи'!Z1099+'01_Доходи'!Z1100+'01_Доходи'!Z1101+'01_Доходи'!Z1102+'01_Доходи'!Z1103+'01_Доходи'!Z1104),0),IF($B$1094="Лікар-педіатр",IF(Z1098&gt;=Законод!$J$18,'01_Доходи'!Z1098-('01_Доходи'!Z1099+'01_Доходи'!Z1100+'01_Доходи'!Z1101+'01_Доходи'!Z1102+'01_Доходи'!Z1103+'01_Доходи'!Z1104),0),IF($B$1094="Лікар-терапевт",IF('01_Доходи'!Z1098&gt;=Законод!$J$26,Z1098-Законод!$I$27,0),0)))</f>
        <v>0</v>
      </c>
      <c r="AA1105" s="943"/>
      <c r="AB1105" s="932" t="s">
        <v>423</v>
      </c>
      <c r="AC1105" s="933"/>
      <c r="AD1105" s="933"/>
      <c r="AE1105" s="933"/>
      <c r="AF1105" s="934"/>
      <c r="AG1105" s="196">
        <f ca="1">IF($B$1094="Лікар загальної практики - сімейний лікар",IF(AG1098&gt;=Законод!$J$22,'01_Доходи'!AG1098-('01_Доходи'!AG1099+'01_Доходи'!AG1100+'01_Доходи'!AG1101+'01_Доходи'!AG1102+'01_Доходи'!AG1103+'01_Доходи'!AG1104),0),IF($B$1094="Лікар-педіатр",IF(AG1098&gt;=Законод!$J$18,'01_Доходи'!AG1098-('01_Доходи'!AG1099+'01_Доходи'!AG1100+'01_Доходи'!AG1101+'01_Доходи'!AG1102+'01_Доходи'!AG1103+'01_Доходи'!AG1104),0),IF($B$1094="Лікар-терапевт",IF('01_Доходи'!AG1098&gt;=Законод!$J$26,AG1098-Законод!$I$27,0),0)))</f>
        <v>0</v>
      </c>
      <c r="AH1105" s="943"/>
      <c r="AI1105" s="215"/>
      <c r="AJ1105" s="946"/>
      <c r="AK1105" s="961"/>
      <c r="AL1105" s="961"/>
      <c r="AM1105" s="928"/>
      <c r="AN1105" s="216">
        <f ca="1">IF(B1094="Лікар загальної практики - сімейний лікар",L1105*Законод!$C$9/4*Законод!$J$16,IF(B1094="Лікар-педіатр",L1105*Законод!$C$9/4*Законод!$J$16,IF(B1094="Лікар-терапевт",L1105*Законод!$C$9/4*Законод!$J$16,0)))</f>
        <v>0</v>
      </c>
      <c r="AO1105" s="216">
        <f ca="1">IF(B1094="Лікар загальної практики - сімейний лікар",S1105*Законод!$C$9/4*Законод!$J$16,IF(B1094="Лікар-педіатр",S1105*Законод!$C$9/4*Законод!$J$16,IF(B1094="Лікар-терапевт",S1105*Законод!$C$9/4*Законод!$J$16,0)))</f>
        <v>0</v>
      </c>
      <c r="AP1105" s="216">
        <f ca="1">IF(B1094="Лікар загальної практики - сімейний лікар",S1105*Законод!$C$9/4*Законод!$J$16,IF(B1094="Лікар-педіатр",S1105*Законод!$C$9/4*Законод!$J$16,IF(B1094="Лікар-терапевт",S1105*Законод!$C$9/4*Законод!$J$16,0)))</f>
        <v>0</v>
      </c>
      <c r="AQ1105" s="216">
        <f ca="1">IF(B1094="Лікар загальної практики - сімейний лікар",AG1105*Законод!$C$9/4*Законод!$J$16,IF(B1094="Лікар-педіатр",AG1105*Законод!$C$9/4*Законод!$J$16,IF(B1094="Лікар-терапевт",AG1105*Законод!$C$9/4*Законод!$J$16,0)))</f>
        <v>0</v>
      </c>
      <c r="AR1105" s="217">
        <f t="shared" si="124"/>
        <v>0</v>
      </c>
    </row>
    <row r="1106" spans="1:44" s="247" customFormat="1" ht="23.45" hidden="1" customHeight="1" thickBot="1">
      <c r="A1106" s="243"/>
      <c r="B1106" s="244"/>
      <c r="C1106" s="244"/>
      <c r="D1106" s="244"/>
      <c r="E1106" s="244"/>
      <c r="F1106" s="245"/>
      <c r="G1106" s="246"/>
      <c r="H1106" s="246"/>
      <c r="L1106" s="248"/>
      <c r="S1106" s="248"/>
      <c r="Z1106" s="248"/>
      <c r="AG1106" s="248"/>
      <c r="AM1106" s="249"/>
      <c r="AR1106" s="250"/>
    </row>
    <row r="1107" spans="1:44" s="191" customFormat="1" ht="24.6" hidden="1" customHeight="1">
      <c r="A1107" s="194">
        <f>A1094+1</f>
        <v>83</v>
      </c>
      <c r="B1107" s="950"/>
      <c r="C1107" s="953"/>
      <c r="D1107" s="956"/>
      <c r="E1107" s="938"/>
      <c r="F1107" s="234" t="s">
        <v>659</v>
      </c>
      <c r="G1107" s="196">
        <f>IF($B$1107="Лікар-педіатр",G1110*L1107,IF($B$1107="Лікар-терапевт","х",IF($B$1107="Лікар загальної практики - сімейний лікар",G1110*L1107,0)))</f>
        <v>0</v>
      </c>
      <c r="H1107" s="196">
        <f>IF($B$1107="Лікар-педіатр",H1110*L1107,IF($B$1107="Лікар-терапевт","х",IF($B$1107="Лікар загальної практики - сімейний лікар",H1110*L1107,0)))</f>
        <v>0</v>
      </c>
      <c r="I1107" s="196">
        <f>IF($B$1107="Лікар-педіатр","x",IF($B$1107="Лікар-терапевт",I1110*L1107,IF($B$1107="Лікар загальної практики - сімейний лікар",I1110*L1107,0)))</f>
        <v>0</v>
      </c>
      <c r="J1107" s="196">
        <f>IF($B$1107="Лікар-педіатр","x",IF($B$1107="Лікар-терапевт",J1110*L1107,IF($B$1107="Лікар загальної практики - сімейний лікар",J1110*L1107,0)))</f>
        <v>0</v>
      </c>
      <c r="K1107" s="196">
        <f>IF($B$1107="Лікар-педіатр","x",IF($B$1107="Лікар-терапевт",K1110*L1107,IF($B$1107="Лікар загальної практики - сімейний лікар",K1110*L1107,0)))</f>
        <v>0</v>
      </c>
      <c r="L1107" s="557"/>
      <c r="M1107" s="941"/>
      <c r="N1107" s="196">
        <f>IF($B$1107="Лікар-педіатр",N1110*S1107,IF($B$1107="Лікар-терапевт","х",IF($B$1107="Лікар загальної практики - сімейний лікар",N1110*S1107,0)))</f>
        <v>0</v>
      </c>
      <c r="O1107" s="196">
        <f>IF($B$1107="Лікар-педіатр",O1110*S1107,IF($B$1107="Лікар-терапевт","х",IF($B$1107="Лікар загальної практики - сімейний лікар",O1110*S1107,0)))</f>
        <v>0</v>
      </c>
      <c r="P1107" s="196">
        <f>IF($B$1107="Лікар-педіатр","x",IF($B$1107="Лікар-терапевт",P1110*S1107,IF($B$1107="Лікар загальної практики - сімейний лікар",P1110*S1107,0)))</f>
        <v>0</v>
      </c>
      <c r="Q1107" s="196">
        <f>IF($B$1107="Лікар-педіатр","x",IF($B$1107="Лікар-терапевт",Q1110*S1107,IF($B$1107="Лікар загальної практики - сімейний лікар",Q1110*S1107,0)))</f>
        <v>0</v>
      </c>
      <c r="R1107" s="196">
        <f>IF($B$1107="Лікар-педіатр","x",IF($B$1107="Лікар-терапевт",R1110*S1107,IF($B$1107="Лікар загальної практики - сімейний лікар",R1110*S1107,0)))</f>
        <v>0</v>
      </c>
      <c r="S1107" s="557"/>
      <c r="T1107" s="941"/>
      <c r="U1107" s="196">
        <f>IF($B$1107="Лікар-педіатр",U1110*Z1107,IF($B$1107="Лікар-терапевт","х",IF($B$1107="Лікар загальної практики - сімейний лікар",U1110*Z1107,0)))</f>
        <v>0</v>
      </c>
      <c r="V1107" s="196">
        <f>IF($B$1107="Лікар-педіатр",V1110*Z1107,IF($B$1107="Лікар-терапевт","х",IF($B$1107="Лікар загальної практики - сімейний лікар",V1110*Z1107,0)))</f>
        <v>0</v>
      </c>
      <c r="W1107" s="196">
        <f>IF($B$1107="Лікар-педіатр","x",IF($B$1107="Лікар-терапевт",W1110*Z1107,IF($B$1107="Лікар загальної практики - сімейний лікар",W1110*Z1107,0)))</f>
        <v>0</v>
      </c>
      <c r="X1107" s="196">
        <f>IF($B$1107="Лікар-педіатр","x",IF($B$1107="Лікар-терапевт",X1110*Z1107,IF($B$1107="Лікар загальної практики - сімейний лікар",X1110*Z1107,0)))</f>
        <v>0</v>
      </c>
      <c r="Y1107" s="196">
        <f>IF($B$1107="Лікар-педіатр","x",IF($B$1107="Лікар-терапевт",Y1110*Z1107,IF($B$1107="Лікар загальної практики - сімейний лікар",Y1110*Z1107,0)))</f>
        <v>0</v>
      </c>
      <c r="Z1107" s="557"/>
      <c r="AA1107" s="941"/>
      <c r="AB1107" s="196">
        <f>IF($B$1107="Лікар-педіатр",AB1110*AG1107,IF($B$1107="Лікар-терапевт","х",IF($B$1107="Лікар загальної практики - сімейний лікар",AB1110*AG1107,0)))</f>
        <v>0</v>
      </c>
      <c r="AC1107" s="196">
        <f>IF($B$1107="Лікар-педіатр",AC1110*AG1107,IF($B$1107="Лікар-терапевт","х",IF($B$1107="Лікар загальної практики - сімейний лікар",AC1110*AG1107,0)))</f>
        <v>0</v>
      </c>
      <c r="AD1107" s="196">
        <f>IF($B$1107="Лікар-педіатр","x",IF($B$1107="Лікар-терапевт",AD1110*AG1107,IF($B$1107="Лікар загальної практики - сімейний лікар",AD1110*AG1107,0)))</f>
        <v>0</v>
      </c>
      <c r="AE1107" s="196">
        <f>IF($B$1107="Лікар-педіатр","x",IF($B$1107="Лікар-терапевт",AE1110*AG1107,IF($B$1107="Лікар загальної практики - сімейний лікар",AE1110*AG1107,0)))</f>
        <v>0</v>
      </c>
      <c r="AF1107" s="196">
        <f>IF($B$1107="Лікар-педіатр","x",IF($B$1107="Лікар-терапевт",AF1110*AG1107,IF($B$1107="Лікар загальної практики - сімейний лікар",AF1110*AG1107,0)))</f>
        <v>0</v>
      </c>
      <c r="AG1107" s="557"/>
      <c r="AH1107" s="941"/>
      <c r="AI1107" s="540">
        <f>A1107</f>
        <v>83</v>
      </c>
      <c r="AJ1107" s="944">
        <f>B1107</f>
        <v>0</v>
      </c>
      <c r="AK1107" s="959">
        <f>C1107</f>
        <v>0</v>
      </c>
      <c r="AL1107" s="959">
        <f>D1107</f>
        <v>0</v>
      </c>
      <c r="AM1107" s="929" t="s">
        <v>79</v>
      </c>
      <c r="AN1107" s="947">
        <f>SUM(AN1112:AN1118)</f>
        <v>0</v>
      </c>
      <c r="AO1107" s="947">
        <f>SUM(AO1112:AO1118)</f>
        <v>0</v>
      </c>
      <c r="AP1107" s="947">
        <f>SUM(AP1112:AP1118)</f>
        <v>0</v>
      </c>
      <c r="AQ1107" s="947">
        <f>SUM(AQ1112:AQ1118)</f>
        <v>0</v>
      </c>
      <c r="AR1107" s="962">
        <f>SUM(AN1107:AQ1111)</f>
        <v>0</v>
      </c>
    </row>
    <row r="1108" spans="1:44" s="50" customFormat="1" ht="28.15" hidden="1" customHeight="1">
      <c r="A1108" s="197"/>
      <c r="B1108" s="951"/>
      <c r="C1108" s="954"/>
      <c r="D1108" s="957"/>
      <c r="E1108" s="939"/>
      <c r="F1108" s="234" t="s">
        <v>660</v>
      </c>
      <c r="G1108" s="196">
        <f>IF($B$1107="Лікар-педіатр",G1110*L1108,IF($B$1107="Лікар-терапевт","х",IF($B$1107="Лікар загальної практики - сімейний лікар",G1110*L1108,0)))</f>
        <v>0</v>
      </c>
      <c r="H1108" s="196">
        <f>IF($B$1107="Лікар-педіатр",H1110*L1108,IF($B$1107="Лікар-терапевт","х",IF($B$1107="Лікар загальної практики - сімейний лікар",H1110*L1108,0)))</f>
        <v>0</v>
      </c>
      <c r="I1108" s="196">
        <f>IF($B$1107="Лікар-педіатр","x",IF($B$1107="Лікар-терапевт",I1110*L1108,IF($B$1107="Лікар загальної практики - сімейний лікар",I1110*L1108,0)))</f>
        <v>0</v>
      </c>
      <c r="J1108" s="196">
        <f>IF($B$1107="Лікар-педіатр","x",IF($B$1107="Лікар-терапевт",J1110*L1108,IF($B$1107="Лікар загальної практики - сімейний лікар",J1110*L1108,0)))</f>
        <v>0</v>
      </c>
      <c r="K1108" s="196">
        <f>IF($B$1107="Лікар-педіатр","x",IF($B$1107="Лікар-терапевт",K1110*L1108,IF($B$1107="Лікар загальної практики - сімейний лікар",K1110*L1108,0)))</f>
        <v>0</v>
      </c>
      <c r="L1108" s="557"/>
      <c r="M1108" s="942"/>
      <c r="N1108" s="196">
        <f>IF($B$1107="Лікар-педіатр",N1110*S1108,IF($B$1107="Лікар-терапевт","х",IF($B$1107="Лікар загальної практики - сімейний лікар",N1110*S1108,0)))</f>
        <v>0</v>
      </c>
      <c r="O1108" s="196">
        <f>IF($B$1107="Лікар-педіатр",O1110*S1108,IF($B$1107="Лікар-терапевт","х",IF($B$1107="Лікар загальної практики - сімейний лікар",O1110*S1108,0)))</f>
        <v>0</v>
      </c>
      <c r="P1108" s="196">
        <f>IF($B$1107="Лікар-педіатр","x",IF($B$1107="Лікар-терапевт",P1110*S1108,IF($B$1107="Лікар загальної практики - сімейний лікар",P1110*S1108,0)))</f>
        <v>0</v>
      </c>
      <c r="Q1108" s="196">
        <f>IF($B$1107="Лікар-педіатр","x",IF($B$1107="Лікар-терапевт",Q1110*S1108,IF($B$1107="Лікар загальної практики - сімейний лікар",Q1110*S1108,0)))</f>
        <v>0</v>
      </c>
      <c r="R1108" s="196">
        <f>IF($B$1107="Лікар-педіатр","x",IF($B$1107="Лікар-терапевт",R1110*S1108,IF($B$1107="Лікар загальної практики - сімейний лікар",R1110*S1108,0)))</f>
        <v>0</v>
      </c>
      <c r="S1108" s="557"/>
      <c r="T1108" s="942"/>
      <c r="U1108" s="196">
        <f>IF($B$1107="Лікар-педіатр",U1110*Z1108,IF($B$1107="Лікар-терапевт","х",IF($B$1107="Лікар загальної практики - сімейний лікар",U1110*Z1108,0)))</f>
        <v>0</v>
      </c>
      <c r="V1108" s="196">
        <f>IF($B$1107="Лікар-педіатр",V1110*Z1108,IF($B$1107="Лікар-терапевт","х",IF($B$1107="Лікар загальної практики - сімейний лікар",V1110*Z1108,0)))</f>
        <v>0</v>
      </c>
      <c r="W1108" s="196">
        <f>IF($B$1107="Лікар-педіатр","x",IF($B$1107="Лікар-терапевт",W1110*Z1108,IF($B$1107="Лікар загальної практики - сімейний лікар",W1110*Z1108,0)))</f>
        <v>0</v>
      </c>
      <c r="X1108" s="196">
        <f>IF($B$1107="Лікар-педіатр","x",IF($B$1107="Лікар-терапевт",X1110*Z1108,IF($B$1107="Лікар загальної практики - сімейний лікар",X1110*Z1108,0)))</f>
        <v>0</v>
      </c>
      <c r="Y1108" s="196">
        <f>IF($B$1107="Лікар-педіатр","x",IF($B$1107="Лікар-терапевт",Y1110*Z1108,IF($B$1107="Лікар загальної практики - сімейний лікар",Y1110*Z1108,0)))</f>
        <v>0</v>
      </c>
      <c r="Z1108" s="557"/>
      <c r="AA1108" s="942"/>
      <c r="AB1108" s="196">
        <f>IF($B$1107="Лікар-педіатр",AB1110*AG1108,IF($B$1107="Лікар-терапевт","х",IF($B$1107="Лікар загальної практики - сімейний лікар",AB1110*AG1108,0)))</f>
        <v>0</v>
      </c>
      <c r="AC1108" s="196">
        <f>IF($B$1107="Лікар-педіатр",AC1110*AG1108,IF($B$1107="Лікар-терапевт","х",IF($B$1107="Лікар загальної практики - сімейний лікар",AC1110*AG1108,0)))</f>
        <v>0</v>
      </c>
      <c r="AD1108" s="196">
        <f>IF($B$1107="Лікар-педіатр","x",IF($B$1107="Лікар-терапевт",AD1110*AG1108,IF($B$1107="Лікар загальної практики - сімейний лікар",AD1110*AG1108,0)))</f>
        <v>0</v>
      </c>
      <c r="AE1108" s="196">
        <f>IF($B$1107="Лікар-педіатр","x",IF($B$1107="Лікар-терапевт",AE1110*AG1108,IF($B$1107="Лікар загальної практики - сімейний лікар",AE1110*AG1108,0)))</f>
        <v>0</v>
      </c>
      <c r="AF1108" s="196">
        <f>IF($B$1107="Лікар-педіатр","x",IF($B$1107="Лікар-терапевт",AF1110*AG1108,IF($B$1107="Лікар загальної практики - сімейний лікар",AF1110*AG1108,0)))</f>
        <v>0</v>
      </c>
      <c r="AG1108" s="557"/>
      <c r="AH1108" s="942"/>
      <c r="AI1108" s="198"/>
      <c r="AJ1108" s="945"/>
      <c r="AK1108" s="960"/>
      <c r="AL1108" s="960"/>
      <c r="AM1108" s="930"/>
      <c r="AN1108" s="948"/>
      <c r="AO1108" s="948"/>
      <c r="AP1108" s="948"/>
      <c r="AQ1108" s="948"/>
      <c r="AR1108" s="963"/>
    </row>
    <row r="1109" spans="1:44" s="90" customFormat="1" ht="31.15" hidden="1" customHeight="1">
      <c r="A1109" s="240"/>
      <c r="B1109" s="951"/>
      <c r="C1109" s="954"/>
      <c r="D1109" s="957"/>
      <c r="E1109" s="939"/>
      <c r="F1109" s="241" t="s">
        <v>661</v>
      </c>
      <c r="G1109" s="199">
        <f>IF(B1107="Лікар загальної практики - сімейний лікар"," ",IF(B1107="Лікар-педіатр"," ",IF(B1107="Лікар-терапевт","х",0)))</f>
        <v>0</v>
      </c>
      <c r="H1109" s="199">
        <f>IF(B1107="Лікар загальної практики - сімейний лікар"," ",IF(B1107="Лікар-педіатр"," ",IF(B1107="Лікар-терапевт","х",0)))</f>
        <v>0</v>
      </c>
      <c r="I1109" s="199">
        <f>IF(B1107="Лікар загальної практики - сімейний лікар"," ",IF(B1107="Лікар-педіатр","х",IF(B1107="Лікар-терапевт"," ",0)))</f>
        <v>0</v>
      </c>
      <c r="J1109" s="199">
        <f>IF(B1107="Лікар загальної практики - сімейний лікар"," ",IF(B1107="Лікар-педіатр","х",IF(B1107="Лікар-терапевт"," ",0)))</f>
        <v>0</v>
      </c>
      <c r="K1109" s="199">
        <f>IF(B1107="Лікар загальної практики - сімейний лікар"," ",IF(B1107="Лікар-педіатр","х",IF(B1107="Лікар-терапевт"," ",0)))</f>
        <v>0</v>
      </c>
      <c r="L1109" s="200">
        <f>SUM(G1109:K1109)</f>
        <v>0</v>
      </c>
      <c r="M1109" s="942"/>
      <c r="N1109" s="199">
        <f>IF(B1107="Лікар загальної практики - сімейний лікар"," ",IF(B1107="Лікар-педіатр"," ",IF(B1107="Лікар-терапевт","х",0)))</f>
        <v>0</v>
      </c>
      <c r="O1109" s="199">
        <f>IF(B1107="Лікар загальної практики - сімейний лікар"," ",IF(B1107="Лікар-педіатр"," ",IF(B1107="Лікар-терапевт","х",0)))</f>
        <v>0</v>
      </c>
      <c r="P1109" s="199">
        <f>IF(B1107="Лікар загальної практики - сімейний лікар"," ",IF(B1107="Лікар-педіатр","х",IF(B1107="Лікар-терапевт"," ",0)))</f>
        <v>0</v>
      </c>
      <c r="Q1109" s="199">
        <f>IF(B1107="Лікар загальної практики - сімейний лікар"," ",IF(B1107="Лікар-педіатр","х",IF(B1107="Лікар-терапевт"," ",0)))</f>
        <v>0</v>
      </c>
      <c r="R1109" s="199">
        <f>IF(B1107="Лікар загальної практики - сімейний лікар"," ",IF(B1107="Лікар-педіатр","х",IF(B1107="Лікар-терапевт"," ",0)))</f>
        <v>0</v>
      </c>
      <c r="S1109" s="200">
        <f>SUM(N1109:R1109)</f>
        <v>0</v>
      </c>
      <c r="T1109" s="942"/>
      <c r="U1109" s="199">
        <f>IF(B1107="Лікар загальної практики - сімейний лікар"," ",IF(B1107="Лікар-педіатр"," ",IF(B1107="Лікар-терапевт","х",0)))</f>
        <v>0</v>
      </c>
      <c r="V1109" s="199">
        <f>IF(B1107="Лікар загальної практики - сімейний лікар"," ",IF(B1107="Лікар-педіатр"," ",IF(B1107="Лікар-терапевт","х",0)))</f>
        <v>0</v>
      </c>
      <c r="W1109" s="199">
        <f>IF(B1107="Лікар загальної практики - сімейний лікар"," ",IF(B1107="Лікар-педіатр","х",IF(B1107="Лікар-терапевт"," ",0)))</f>
        <v>0</v>
      </c>
      <c r="X1109" s="199">
        <f>IF(B1107="Лікар загальної практики - сімейний лікар"," ",IF(B1107="Лікар-педіатр","х",IF(B1107="Лікар-терапевт"," ",0)))</f>
        <v>0</v>
      </c>
      <c r="Y1109" s="199">
        <f>IF(B1107="Лікар загальної практики - сімейний лікар"," ",IF(B1107="Лікар-педіатр","х",IF(B1107="Лікар-терапевт"," ",0)))</f>
        <v>0</v>
      </c>
      <c r="Z1109" s="200">
        <f>SUM(U1109:Y1109)</f>
        <v>0</v>
      </c>
      <c r="AA1109" s="942"/>
      <c r="AB1109" s="199">
        <f>IF(B1107="Лікар загальної практики - сімейний лікар"," ",IF(B1107="Лікар-педіатр"," ",IF(B1107="Лікар-терапевт","х",0)))</f>
        <v>0</v>
      </c>
      <c r="AC1109" s="199">
        <f>IF(B1107="Лікар загальної практики - сімейний лікар"," ",IF(B1107="Лікар-педіатр"," ",IF(B1107="Лікар-терапевт","х",0)))</f>
        <v>0</v>
      </c>
      <c r="AD1109" s="199">
        <f>IF(B1107="Лікар загальної практики - сімейний лікар"," ",IF(B1107="Лікар-педіатр","х",IF(B1107="Лікар-терапевт"," ",0)))</f>
        <v>0</v>
      </c>
      <c r="AE1109" s="199">
        <f>IF(B1107="Лікар загальної практики - сімейний лікар"," ",IF(B1107="Лікар-педіатр","х",IF(B1107="Лікар-терапевт"," ",0)))</f>
        <v>0</v>
      </c>
      <c r="AF1109" s="199">
        <f>IF(B1107="Лікар загальної практики - сімейний лікар"," ",IF(B1107="Лікар-педіатр","х",IF(B1107="Лікар-терапевт"," ",0)))</f>
        <v>0</v>
      </c>
      <c r="AG1109" s="200">
        <f>SUM(AB1109:AF1109)</f>
        <v>0</v>
      </c>
      <c r="AH1109" s="942"/>
      <c r="AI1109" s="242"/>
      <c r="AJ1109" s="945"/>
      <c r="AK1109" s="960"/>
      <c r="AL1109" s="960"/>
      <c r="AM1109" s="930"/>
      <c r="AN1109" s="948"/>
      <c r="AO1109" s="948"/>
      <c r="AP1109" s="948"/>
      <c r="AQ1109" s="948"/>
      <c r="AR1109" s="963"/>
    </row>
    <row r="1110" spans="1:44" s="50" customFormat="1" ht="31.9" hidden="1" customHeight="1" thickBot="1">
      <c r="A1110" s="197"/>
      <c r="B1110" s="951"/>
      <c r="C1110" s="954"/>
      <c r="D1110" s="957"/>
      <c r="E1110" s="939"/>
      <c r="F1110" s="236" t="s">
        <v>426</v>
      </c>
      <c r="G1110" s="203">
        <f>IF($B$1107="Лікар-педіатр",G1109/L1109,IF($B$1107="Лікар-терапевт","х",IF($B$1107="Лікар загальної практики - сімейний лікар",G1109/L1109,0)))</f>
        <v>0</v>
      </c>
      <c r="H1110" s="203">
        <f>IF($B$1107="Лікар-педіатр",H1109/L1109,IF($B$1107="Лікар-терапевт","х",IF($B$1107="Лікар загальної практики - сімейний лікар",H1109/L1109,0)))</f>
        <v>0</v>
      </c>
      <c r="I1110" s="203">
        <f>IF($B$1107="Лікар-педіатр","x",IF($B$1107="Лікар-терапевт",I1109/L1109,IF($B$1107="Лікар загальної практики - сімейний лікар",I1109/L1109,0)))</f>
        <v>0</v>
      </c>
      <c r="J1110" s="203">
        <f>IF($B$1107="Лікар-педіатр","x",IF($B$1107="Лікар-терапевт",J1109/L1109,IF($B$1107="Лікар загальної практики - сімейний лікар",J1109/L1109,0)))</f>
        <v>0</v>
      </c>
      <c r="K1110" s="203">
        <f>IF($B$1107="Лікар-педіатр","x",IF($B$1107="Лікар-терапевт",K1109/L1109,IF($B$1107="Лікар загальної практики - сімейний лікар",K1109/L1109,0)))</f>
        <v>0</v>
      </c>
      <c r="L1110" s="203">
        <f>SUM(G1110:K1110)</f>
        <v>0</v>
      </c>
      <c r="M1110" s="942"/>
      <c r="N1110" s="203">
        <f>IF($B$1107="Лікар-педіатр",N1109/S1109,IF($B$1107="Лікар-терапевт","х",IF($B$1107="Лікар загальної практики - сімейний лікар",N1109/S1109,0)))</f>
        <v>0</v>
      </c>
      <c r="O1110" s="203">
        <f>IF($B$1107="Лікар-педіатр",O1109/S1109,IF($B$1107="Лікар-терапевт","х",IF($B$1107="Лікар загальної практики - сімейний лікар",O1109/S1109,0)))</f>
        <v>0</v>
      </c>
      <c r="P1110" s="203">
        <f>IF($B$1107="Лікар-педіатр","x",IF($B$1107="Лікар-терапевт",P1109/S1109,IF($B$1107="Лікар загальної практики - сімейний лікар",P1109/S1109,0)))</f>
        <v>0</v>
      </c>
      <c r="Q1110" s="203">
        <f>IF($B$1107="Лікар-педіатр","x",IF($B$1107="Лікар-терапевт",Q1109/S1109,IF($B$1107="Лікар загальної практики - сімейний лікар",Q1109/S1109,0)))</f>
        <v>0</v>
      </c>
      <c r="R1110" s="203">
        <f>IF($B$1107="Лікар-педіатр","x",IF($B$1107="Лікар-терапевт",R1109/S1109,IF($B$1107="Лікар загальної практики - сімейний лікар",R1109/S1109,0)))</f>
        <v>0</v>
      </c>
      <c r="S1110" s="203">
        <f>SUM(N1110:R1110)</f>
        <v>0</v>
      </c>
      <c r="T1110" s="942"/>
      <c r="U1110" s="203">
        <f>IF($B$1107="Лікар-педіатр",U1109/Z1109,IF($B$1107="Лікар-терапевт","х",IF($B$1107="Лікар загальної практики - сімейний лікар",U1109/Z1109,0)))</f>
        <v>0</v>
      </c>
      <c r="V1110" s="203">
        <f>IF($B$1107="Лікар-педіатр",V1109/Z1109,IF($B$1107="Лікар-терапевт","х",IF($B$1107="Лікар загальної практики - сімейний лікар",V1109/Z1109,0)))</f>
        <v>0</v>
      </c>
      <c r="W1110" s="203">
        <f>IF($B$1107="Лікар-педіатр","x",IF($B$1107="Лікар-терапевт",W1109/Z1109,IF($B$1107="Лікар загальної практики - сімейний лікар",W1109/Z1109,0)))</f>
        <v>0</v>
      </c>
      <c r="X1110" s="203">
        <f>IF($B$1107="Лікар-педіатр","x",IF($B$1107="Лікар-терапевт",X1109/Z1109,IF($B$1107="Лікар загальної практики - сімейний лікар",X1109/Z1109,0)))</f>
        <v>0</v>
      </c>
      <c r="Y1110" s="203">
        <f>IF($B$1107="Лікар-педіатр","x",IF($B$1107="Лікар-терапевт",Y1109/Z1109,IF($B$1107="Лікар загальної практики - сімейний лікар",Y1109/Z1109,0)))</f>
        <v>0</v>
      </c>
      <c r="Z1110" s="203">
        <f>SUM(U1110:Y1110)</f>
        <v>0</v>
      </c>
      <c r="AA1110" s="942"/>
      <c r="AB1110" s="203">
        <f>IF($B$1107="Лікар-педіатр",AB1109/AG1109,IF($B$1107="Лікар-терапевт","х",IF($B$1107="Лікар загальної практики - сімейний лікар",AB1109/AG1109,0)))</f>
        <v>0</v>
      </c>
      <c r="AC1110" s="203">
        <f>IF($B$1107="Лікар-педіатр",AC1109/AG1109,IF($B$1107="Лікар-терапевт","х",IF($B$1107="Лікар загальної практики - сімейний лікар",AC1109/AG1109,0)))</f>
        <v>0</v>
      </c>
      <c r="AD1110" s="203">
        <f>IF($B$1107="Лікар-педіатр","x",IF($B$1107="Лікар-терапевт",AD1109/AG1109,IF($B$1107="Лікар загальної практики - сімейний лікар",AD1109/AG1109,0)))</f>
        <v>0</v>
      </c>
      <c r="AE1110" s="203">
        <f>IF($B$1107="Лікар-педіатр","x",IF($B$1107="Лікар-терапевт",AE1109/AG1109,IF($B$1107="Лікар загальної практики - сімейний лікар",AE1109/AG1109,0)))</f>
        <v>0</v>
      </c>
      <c r="AF1110" s="203">
        <f>IF($B$1107="Лікар-педіатр","x",IF($B$1107="Лікар-терапевт",AF1109/AG1109,IF($B$1107="Лікар загальної практики - сімейний лікар",AF1109/AG1109,0)))</f>
        <v>0</v>
      </c>
      <c r="AG1110" s="203">
        <f>SUM(AB1110:AF1110)</f>
        <v>0</v>
      </c>
      <c r="AH1110" s="942"/>
      <c r="AI1110" s="201"/>
      <c r="AJ1110" s="945"/>
      <c r="AK1110" s="960"/>
      <c r="AL1110" s="960"/>
      <c r="AM1110" s="930"/>
      <c r="AN1110" s="948"/>
      <c r="AO1110" s="948"/>
      <c r="AP1110" s="948"/>
      <c r="AQ1110" s="948"/>
      <c r="AR1110" s="963"/>
    </row>
    <row r="1111" spans="1:44" s="50" customFormat="1" ht="45" hidden="1" customHeight="1" thickBot="1">
      <c r="A1111" s="197"/>
      <c r="B1111" s="951"/>
      <c r="C1111" s="954"/>
      <c r="D1111" s="957"/>
      <c r="E1111" s="939"/>
      <c r="F1111" s="204" t="s">
        <v>662</v>
      </c>
      <c r="G1111" s="205">
        <f>IF($B$1107="Лікар загальної практики - сімейний лікар",AVERAGE(G1107:G1109),IF($B$1107="Лікар-педіатр",AVERAGE(G1107:G1109),IF($B$1107="Лікар-терапевт","х",0)))</f>
        <v>0</v>
      </c>
      <c r="H1111" s="205">
        <f>IF($B$1107="Лікар загальної практики - сімейний лікар",AVERAGE(H1107:H1109),IF($B$1107="Лікар-педіатр",AVERAGE(H1107:H1109),IF($B$1107="Лікар-терапевт","х",0)))</f>
        <v>0</v>
      </c>
      <c r="I1111" s="205">
        <f>IF($B$1107="Лікар загальної практики - сімейний лікар",AVERAGE(I1107:I1109),IF($B$1107="Лікар-педіатр","x",IF($B$1107="Лікар-терапевт",AVERAGE(I1107:I1109),0)))</f>
        <v>0</v>
      </c>
      <c r="J1111" s="205">
        <f>IF($B$1107="Лікар загальної практики - сімейний лікар",AVERAGE(J1107:J1109),IF($B$1107="Лікар-педіатр","x",IF($B$1107="Лікар-терапевт",AVERAGE(J1107:J1109),0)))</f>
        <v>0</v>
      </c>
      <c r="K1111" s="205">
        <f>IF($B$1107="Лікар загальної практики - сімейний лікар",AVERAGE(K1107:K1109),IF($B$1107="Лікар-педіатр","x",IF($B$1107="Лікар-терапевт",AVERAGE(K1107:K1109),0)))</f>
        <v>0</v>
      </c>
      <c r="L1111" s="206">
        <f>SUM(G1111:K1111)</f>
        <v>0</v>
      </c>
      <c r="M1111" s="942"/>
      <c r="N1111" s="205">
        <f>IF($B$1107="Лікар загальної практики - сімейний лікар",AVERAGE(N1107:N1109),IF($B$1107="Лікар-педіатр",AVERAGE(N1107:N1109),IF($B$1107="Лікар-терапевт","х",0)))</f>
        <v>0</v>
      </c>
      <c r="O1111" s="205">
        <f>IF($B$1107="Лікар загальної практики - сімейний лікар",AVERAGE(O1107:O1109),IF($B$1107="Лікар-педіатр",AVERAGE(O1107:O1109),IF($B$1107="Лікар-терапевт","х",0)))</f>
        <v>0</v>
      </c>
      <c r="P1111" s="205">
        <f>IF($B$1107="Лікар загальної практики - сімейний лікар",AVERAGE(P1107:P1109),IF($B$1107="Лікар-педіатр","x",IF($B$1107="Лікар-терапевт",AVERAGE(P1107:P1109),0)))</f>
        <v>0</v>
      </c>
      <c r="Q1111" s="205">
        <f>IF($B$1107="Лікар загальної практики - сімейний лікар",AVERAGE(Q1107:Q1109),IF($B$1107="Лікар-педіатр","x",IF($B$1107="Лікар-терапевт",AVERAGE(Q1107:Q1109),0)))</f>
        <v>0</v>
      </c>
      <c r="R1111" s="205">
        <f>IF($B$1107="Лікар загальної практики - сімейний лікар",AVERAGE(R1107:R1109),IF($B$1107="Лікар-педіатр","x",IF($B$1107="Лікар-терапевт",AVERAGE(R1107:R1109),0)))</f>
        <v>0</v>
      </c>
      <c r="S1111" s="206">
        <f>SUM(N1111:R1111)</f>
        <v>0</v>
      </c>
      <c r="T1111" s="942"/>
      <c r="U1111" s="205">
        <f>IF($B$1107="Лікар загальної практики - сімейний лікар",AVERAGE(U1107:U1109),IF($B$1107="Лікар-педіатр",AVERAGE(U1107:U1109),IF($B$1107="Лікар-терапевт","х",0)))</f>
        <v>0</v>
      </c>
      <c r="V1111" s="205">
        <f>IF($B$1107="Лікар загальної практики - сімейний лікар",AVERAGE(V1107:V1109),IF($B$1107="Лікар-педіатр",AVERAGE(V1107:V1109),IF($B$1107="Лікар-терапевт","х",0)))</f>
        <v>0</v>
      </c>
      <c r="W1111" s="205">
        <f>IF($B$1107="Лікар загальної практики - сімейний лікар",AVERAGE(W1107:W1109),IF($B$1107="Лікар-педіатр","x",IF($B$1107="Лікар-терапевт",AVERAGE(W1107:W1109),0)))</f>
        <v>0</v>
      </c>
      <c r="X1111" s="205">
        <f>IF($B$1107="Лікар загальної практики - сімейний лікар",AVERAGE(X1107:X1109),IF($B$1107="Лікар-педіатр","x",IF($B$1107="Лікар-терапевт",AVERAGE(X1107:X1109),0)))</f>
        <v>0</v>
      </c>
      <c r="Y1111" s="205">
        <f>IF($B$1107="Лікар загальної практики - сімейний лікар",AVERAGE(Y1107:Y1109),IF($B$1107="Лікар-педіатр","x",IF($B$1107="Лікар-терапевт",AVERAGE(Y1107:Y1109),0)))</f>
        <v>0</v>
      </c>
      <c r="Z1111" s="206">
        <f>SUM(U1111:Y1111)</f>
        <v>0</v>
      </c>
      <c r="AA1111" s="942"/>
      <c r="AB1111" s="205">
        <f>IF($B$1107="Лікар загальної практики - сімейний лікар",AVERAGE(AB1107:AB1109),IF($B$1107="Лікар-педіатр",AVERAGE(AB1107:AB1109),IF($B$1107="Лікар-терапевт","х",0)))</f>
        <v>0</v>
      </c>
      <c r="AC1111" s="205">
        <f>IF($B$1107="Лікар загальної практики - сімейний лікар",AVERAGE(AC1107:AC1109),IF($B$1107="Лікар-педіатр",AVERAGE(AC1107:AC1109),IF($B$1107="Лікар-терапевт","х",0)))</f>
        <v>0</v>
      </c>
      <c r="AD1111" s="205">
        <f>IF($B$1107="Лікар загальної практики - сімейний лікар",AVERAGE(AD1107:AD1109),IF($B$1107="Лікар-педіатр","x",IF($B$1107="Лікар-терапевт",AVERAGE(AD1107:AD1109),0)))</f>
        <v>0</v>
      </c>
      <c r="AE1111" s="205">
        <f>IF($B$1107="Лікар загальної практики - сімейний лікар",AVERAGE(AE1107:AE1109),IF($B$1107="Лікар-педіатр","x",IF($B$1107="Лікар-терапевт",AVERAGE(AE1107:AE1109),0)))</f>
        <v>0</v>
      </c>
      <c r="AF1111" s="205">
        <f>IF($B$1107="Лікар загальної практики - сімейний лікар",AVERAGE(AF1107:AF1109),IF($B$1107="Лікар-педіатр","x",IF($B$1107="Лікар-терапевт",AVERAGE(AF1107:AF1109),0)))</f>
        <v>0</v>
      </c>
      <c r="AG1111" s="206">
        <f>SUM(AB1111:AF1111)</f>
        <v>0</v>
      </c>
      <c r="AH1111" s="942"/>
      <c r="AI1111" s="201"/>
      <c r="AJ1111" s="945"/>
      <c r="AK1111" s="960"/>
      <c r="AL1111" s="960"/>
      <c r="AM1111" s="931"/>
      <c r="AN1111" s="949"/>
      <c r="AO1111" s="949"/>
      <c r="AP1111" s="949"/>
      <c r="AQ1111" s="949"/>
      <c r="AR1111" s="964"/>
    </row>
    <row r="1112" spans="1:44" s="50" customFormat="1" ht="40.5" hidden="1">
      <c r="A1112" s="197"/>
      <c r="B1112" s="951"/>
      <c r="C1112" s="954"/>
      <c r="D1112" s="957"/>
      <c r="E1112" s="939"/>
      <c r="F1112" s="237" t="str">
        <f ca="1">IF(B1107="Лікар-педіатр",Законод!$C$17,IF(B1107="Лікар загальної практики - сімейний лікар",Законод!$C$21,IF(B1107="Лікар-терапевт",Законод!$C$25,"х")))</f>
        <v>х</v>
      </c>
      <c r="G1112" s="208">
        <f ca="1">IF($B$1107="Лікар загальної практики - сімейний лікар",IF(L1111&lt;=Законод!$C$22,G1111,Законод!$C$22*'01_Доходи'!G1110),IF($B$1107="Лікар-педіатр",IF(L1111&lt;=Законод!$C$18,G1111,Законод!$C$18*'01_Доходи'!G1110),IF($B$1107="Лікар-терапевт","x",0)))</f>
        <v>0</v>
      </c>
      <c r="H1112" s="208">
        <f ca="1">IF($B$1107="Лікар загальної практики - сімейний лікар",IF(L1111&lt;=Законод!$C$22,H1111,Законод!$C$22*'01_Доходи'!H1110),IF($B$1107="Лікар-педіатр",IF(L1111&lt;=Законод!$C$18,H1111,Законод!$C$18*'01_Доходи'!H1110),IF($B$1107="Лікар-терапевт","x",0)))</f>
        <v>0</v>
      </c>
      <c r="I1112" s="208">
        <f ca="1">IF($B$1107="Лікар загальної практики - сімейний лікар",IF(L1111&lt;=Законод!$C$22,I1111,Законод!$C$22*'01_Доходи'!I1110),IF($B$1107="Лікар-педіатр","x",IF($B$1107="Лікар-терапевт",IF(L1111&lt;=Законод!$C$26,I1111,Законод!$C$26*'01_Доходи'!I1110),0)))</f>
        <v>0</v>
      </c>
      <c r="J1112" s="208">
        <f ca="1">IF($B$1107="Лікар загальної практики - сімейний лікар",IF(L1111&lt;=Законод!$C$22,J1111,Законод!$C$22*'01_Доходи'!J1110),IF($B$1107="Лікар-педіатр","x",IF($B$1107="Лікар-терапевт",IF(L1111&lt;=Законод!$C$26,J1111,Законод!$C$26*'01_Доходи'!J1110),0)))</f>
        <v>0</v>
      </c>
      <c r="K1112" s="208">
        <f ca="1">IF($B$1107="Лікар загальної практики - сімейний лікар",IF(L1111&lt;=Законод!$C$22,K1111,Законод!$C$22*'01_Доходи'!K1110),IF($B$1107="Лікар-педіатр","x",IF($B$1107="Лікар-терапевт",IF(L1111&lt;=Законод!$C$26,K1111,Законод!$C$26*'01_Доходи'!K1110),0)))</f>
        <v>0</v>
      </c>
      <c r="L1112" s="209">
        <f ca="1">SUM(G1112:K1112)</f>
        <v>0</v>
      </c>
      <c r="M1112" s="942"/>
      <c r="N1112" s="208">
        <f ca="1">IF($B$1107="Лікар загальної практики - сімейний лікар",IF(S1111&lt;=Законод!$C$22,N1111,Законод!$C$22*'01_Доходи'!N1110),IF($B$1107="Лікар-педіатр",IF(S1111&lt;=Законод!$C$18,N1111,Законод!$C$18*'01_Доходи'!N1110),IF($B$1107="Лікар-терапевт","x",0)))</f>
        <v>0</v>
      </c>
      <c r="O1112" s="208">
        <f ca="1">IF($B$1107="Лікар загальної практики - сімейний лікар",IF(S1111&lt;=Законод!$C$22,O1111,Законод!$C$22*'01_Доходи'!O1110),IF($B$1107="Лікар-педіатр",IF(S1111&lt;=Законод!$C$18,O1111,Законод!$C$18*'01_Доходи'!O1110),IF($B$1107="Лікар-терапевт","x",0)))</f>
        <v>0</v>
      </c>
      <c r="P1112" s="208">
        <f ca="1">IF($B$1107="Лікар загальної практики - сімейний лікар",IF(S1111&lt;=Законод!$C$22,P1111,Законод!$C$22*'01_Доходи'!P1110),IF($B$1107="Лікар-педіатр","x",IF($B$1107="Лікар-терапевт",IF(S1111&lt;=Законод!$C$26,P1111,Законод!$C$26*'01_Доходи'!P1110),0)))</f>
        <v>0</v>
      </c>
      <c r="Q1112" s="208">
        <f ca="1">IF($B$1107="Лікар загальної практики - сімейний лікар",IF(S1111&lt;=Законод!$C$22,Q1111,Законод!$C$22*'01_Доходи'!Q1110),IF($B$1107="Лікар-педіатр","x",IF($B$1107="Лікар-терапевт",IF(S1111&lt;=Законод!$C$26,Q1111,Законод!$C$26*'01_Доходи'!Q1110),0)))</f>
        <v>0</v>
      </c>
      <c r="R1112" s="208">
        <f ca="1">IF($B$1107="Лікар загальної практики - сімейний лікар",IF(S1111&lt;=Законод!$C$22,R1111,Законод!$C$22*'01_Доходи'!R1110),IF($B$1107="Лікар-педіатр","x",IF($B$1107="Лікар-терапевт",IF(S1111&lt;=Законод!$C$26,R1111,Законод!$C$26*'01_Доходи'!R1110),0)))</f>
        <v>0</v>
      </c>
      <c r="S1112" s="209">
        <f ca="1">SUM(N1112:R1112)</f>
        <v>0</v>
      </c>
      <c r="T1112" s="942"/>
      <c r="U1112" s="208">
        <f ca="1">IF($B$1107="Лікар загальної практики - сімейний лікар",IF(Z1111&lt;=Законод!$C$22,U1111,Законод!$C$22*'01_Доходи'!U1110),IF($B$1107="Лікар-педіатр",IF(Z1111&lt;=Законод!$C$18,U1111,Законод!$C$18*'01_Доходи'!U1110),IF($B$1107="Лікар-терапевт","x",0)))</f>
        <v>0</v>
      </c>
      <c r="V1112" s="208">
        <f ca="1">IF($B$1107="Лікар загальної практики - сімейний лікар",IF(Z1111&lt;=Законод!$C$22,V1111,Законод!$C$22*'01_Доходи'!V1110),IF($B$1107="Лікар-педіатр",IF(Z1111&lt;=Законод!$C$18,V1111,Законод!$C$18*'01_Доходи'!V1110),IF($B$1107="Лікар-терапевт","x",0)))</f>
        <v>0</v>
      </c>
      <c r="W1112" s="208">
        <f ca="1">IF($B$1107="Лікар загальної практики - сімейний лікар",IF(Z1111&lt;=Законод!$C$22,W1111,Законод!$C$22*'01_Доходи'!W1110),IF($B$1107="Лікар-педіатр","x",IF($B$1107="Лікар-терапевт",IF(Z1111&lt;=Законод!$C$26,W1111,Законод!$C$26*'01_Доходи'!W1110),0)))</f>
        <v>0</v>
      </c>
      <c r="X1112" s="208">
        <f ca="1">IF($B$1107="Лікар загальної практики - сімейний лікар",IF(Z1111&lt;=Законод!$C$22,X1111,Законод!$C$22*'01_Доходи'!X1110),IF($B$1107="Лікар-педіатр","x",IF($B$1107="Лікар-терапевт",IF(Z1111&lt;=Законод!$C$26,X1111,Законод!$C$26*'01_Доходи'!X1110),0)))</f>
        <v>0</v>
      </c>
      <c r="Y1112" s="208">
        <f ca="1">IF($B$1107="Лікар загальної практики - сімейний лікар",IF(Z1111&lt;=Законод!$C$22,Y1111,Законод!$C$22*'01_Доходи'!Y1110),IF($B$1107="Лікар-педіатр","x",IF($B$1107="Лікар-терапевт",IF(Z1111&lt;=Законод!$C$26,Y1111,Законод!$C$26*'01_Доходи'!Y1110),0)))</f>
        <v>0</v>
      </c>
      <c r="Z1112" s="209">
        <f ca="1">SUM(U1112:Y1112)</f>
        <v>0</v>
      </c>
      <c r="AA1112" s="942"/>
      <c r="AB1112" s="208">
        <f ca="1">IF($B$1107="Лікар загальної практики - сімейний лікар",IF(AG1111&lt;=Законод!$C$22,AB1111,Законод!$C$22*'01_Доходи'!AB1110),IF($B$1107="Лікар-педіатр",IF(AG1111&lt;=Законод!$C$18,AB1111,Законод!$C$18*'01_Доходи'!AB1110),IF($B$1107="Лікар-терапевт","x",0)))</f>
        <v>0</v>
      </c>
      <c r="AC1112" s="208">
        <f ca="1">IF($B$1107="Лікар загальної практики - сімейний лікар",IF(AG1111&lt;=Законод!$C$22,AC1111,Законод!$C$22*'01_Доходи'!AC1110),IF($B$1107="Лікар-педіатр",IF(AG1111&lt;=Законод!$C$18,AC1111,Законод!$C$18*'01_Доходи'!AC1110),IF($B$1107="Лікар-терапевт","x",0)))</f>
        <v>0</v>
      </c>
      <c r="AD1112" s="208">
        <f ca="1">IF($B$1107="Лікар загальної практики - сімейний лікар",IF(AG1111&lt;=Законод!$C$22,AD1111,Законод!$C$22*'01_Доходи'!AD1110),IF($B$1107="Лікар-педіатр","x",IF($B$1107="Лікар-терапевт",IF(AG1111&lt;=Законод!$C$26,AD1111,Законод!$C$26*'01_Доходи'!AD1110),0)))</f>
        <v>0</v>
      </c>
      <c r="AE1112" s="208">
        <f ca="1">IF($B$1107="Лікар загальної практики - сімейний лікар",IF(AG1111&lt;=Законод!$C$22,AE1111,Законод!$C$22*'01_Доходи'!AE1110),IF($B$1107="Лікар-педіатр","x",IF($B$1107="Лікар-терапевт",IF(AG1111&lt;=Законод!$C$26,AE1111,Законод!$C$26*'01_Доходи'!AE1110),0)))</f>
        <v>0</v>
      </c>
      <c r="AF1112" s="208">
        <f ca="1">IF($B$1107="Лікар загальної практики - сімейний лікар",IF(AG1111&lt;=Законод!$C$22,AF1111,Законод!$C$22*'01_Доходи'!AF1110),IF($B$1107="Лікар-педіатр","x",IF($B$1107="Лікар-терапевт",IF(AG1111&lt;=Законод!$C$26,AF1111,Законод!$C$26*'01_Доходи'!AF1110),0)))</f>
        <v>0</v>
      </c>
      <c r="AG1112" s="209">
        <f ca="1">SUM(AB1112:AF1112)</f>
        <v>0</v>
      </c>
      <c r="AH1112" s="942"/>
      <c r="AI1112" s="201"/>
      <c r="AJ1112" s="945"/>
      <c r="AK1112" s="960"/>
      <c r="AL1112" s="960"/>
      <c r="AM1112" s="348" t="s">
        <v>451</v>
      </c>
      <c r="AN1112" s="210">
        <f ca="1">IF(B1107="Лікар загальної практики - сімейний лікар",G1112*Законод!$C$11+'01_Доходи'!H1112*Законод!$D$11+'01_Доходи'!I1112*Законод!$E$11+'01_Доходи'!J1112*Законод!$F$11+'01_Доходи'!K1112*Законод!$G$11,IF(B1107="Лікар-педіатр",G1112*Законод!$C$11+'01_Доходи'!H1112*Законод!$D$11,IF(B1107="Лікар-терапевт",'01_Доходи'!I1112*Законод!$E$11+'01_Доходи'!J1112*Законод!$F$11+'01_Доходи'!K1112*Законод!$G$11,0)))</f>
        <v>0</v>
      </c>
      <c r="AO1112" s="210">
        <f ca="1">IF(B1107="Лікар загальної практики - сімейний лікар",N1112*Законод!$C$11+'01_Доходи'!O1112*Законод!$D$11+'01_Доходи'!P1112*Законод!$E$11+'01_Доходи'!Q1112*Законод!$F$11+'01_Доходи'!R1112*Законод!$G$11,IF(B1107="Лікар-педіатр",N1112*Законод!$C$11+'01_Доходи'!O1112*Законод!$D$11,IF(B1107="Лікар-терапевт",'01_Доходи'!P1112*Законод!$E$11+'01_Доходи'!Q1112*Законод!$F$11+'01_Доходи'!R1112*Законод!$G$11,0)))</f>
        <v>0</v>
      </c>
      <c r="AP1112" s="210">
        <f ca="1">IF(B1107="Лікар загальної практики - сімейний лікар",U1112*Законод!$C$11+'01_Доходи'!V1112*Законод!$D$11+'01_Доходи'!W1112*Законод!$E$11+'01_Доходи'!X1112*Законод!$F$11+'01_Доходи'!Y1112*Законод!$G$11,IF(B1107="Лікар-педіатр",U1112*Законод!$C$11+'01_Доходи'!V1112*Законод!$D$11,IF(B1107="Лікар-терапевт",'01_Доходи'!W1112*Законод!$E$11+'01_Доходи'!X1112*Законод!$F$11+'01_Доходи'!Y1112*Законод!$G$11,0)))</f>
        <v>0</v>
      </c>
      <c r="AQ1112" s="210">
        <f ca="1">IF(B1107="Лікар загальної практики - сімейний лікар",AB1112*Законод!$C$11+'01_Доходи'!AC1112*Законод!$D$11+'01_Доходи'!AD1112*Законод!$E$11+'01_Доходи'!AE1112*Законод!$F$11+'01_Доходи'!AF1112*Законод!$G$11,IF(B1107="Лікар-педіатр",AB1112*Законод!$C$11+'01_Доходи'!AC1112*Законод!$D$11,IF(B1107="Лікар-терапевт",'01_Доходи'!AD1112*Законод!$E$11+'01_Доходи'!AE1112*Законод!$F$11+'01_Доходи'!AF1112*Законод!$G$11,0)))</f>
        <v>0</v>
      </c>
      <c r="AR1112" s="211">
        <f t="shared" ref="AR1112:AR1118" si="125">SUM(AN1112:AQ1112)</f>
        <v>0</v>
      </c>
    </row>
    <row r="1113" spans="1:44" s="50" customFormat="1" ht="31.9" hidden="1" customHeight="1">
      <c r="A1113" s="197"/>
      <c r="B1113" s="951"/>
      <c r="C1113" s="954"/>
      <c r="D1113" s="957"/>
      <c r="E1113" s="939"/>
      <c r="F1113" s="238" t="str">
        <f ca="1">IF(B1107="Лікар-педіатр",Законод!$E$17,IF(B1107="Лікар загальної практики - сімейний лікар",Законод!$E$21,IF(B1107="Лікар-терапевт",Законод!$E$25,"х")))</f>
        <v>х</v>
      </c>
      <c r="G1113" s="935" t="s">
        <v>423</v>
      </c>
      <c r="H1113" s="936"/>
      <c r="I1113" s="936"/>
      <c r="J1113" s="936"/>
      <c r="K1113" s="937"/>
      <c r="L1113" s="196">
        <f ca="1">IF($B$1107="Лікар загальної практики - сімейний лікар",IF(L1111&lt;Законод!$C$22,0,(IF(AND(L1111&gt;=Законод!$E$22,L1111&lt;=Законод!$E$23),L1111-Законод!$C$22,IF('01_Доходи'!L1111&gt;=Законод!$F$22,Законод!$E$24,0)))),IF($B$1107="Лікар-педіатр",IF(L1111&lt;Законод!$C$18,0,(IF(AND(L1111&gt;=Законод!$E$18,L1111&lt;=Законод!$E$19),L1111-Законод!$C$18,IF('01_Доходи'!L1111&gt;=Законод!$F$18,Законод!$E$20,0)))),IF($B$1107="Лікар-терапевт",IF(L1111&lt;Законод!$C$26,0,(IF(AND(L1111&gt;=Законод!$E$26,L1111&lt;=Законод!$E$27),L1111-Законод!$C$26,IF('01_Доходи'!L1111&gt;=Законод!$F$26,Законод!$E$28,0)))),0)))</f>
        <v>0</v>
      </c>
      <c r="M1113" s="942"/>
      <c r="N1113" s="935" t="s">
        <v>423</v>
      </c>
      <c r="O1113" s="936"/>
      <c r="P1113" s="936"/>
      <c r="Q1113" s="936"/>
      <c r="R1113" s="937"/>
      <c r="S1113" s="196">
        <f ca="1">IF($B$1107="Лікар загальної практики - сімейний лікар",IF(S1111&lt;Законод!$C$22,0,(IF(AND(S1111&gt;=Законод!$E$22,S1111&lt;=Законод!$E$23),S1111-Законод!$C$22,IF('01_Доходи'!S1111&gt;=Законод!$F$22,Законод!$E$24,0)))),IF($B$1107="Лікар-педіатр",IF(S1111&lt;Законод!$C$18,0,(IF(AND(S1111&gt;=Законод!$E$18,S1111&lt;=Законод!$E$19),S1111-Законод!$C$18,IF('01_Доходи'!S1111&gt;=Законод!$F$18,Законод!$E$20,0)))),IF($B$1107="Лікар-терапевт",IF(S1111&lt;Законод!$C$26,0,(IF(AND(S1111&gt;=Законод!$E$26,S1111&lt;=Законод!$E$27),S1111-Законод!$C$26,IF('01_Доходи'!S1111&gt;=Законод!$F$26,Законод!$E$28,0)))),0)))</f>
        <v>0</v>
      </c>
      <c r="T1113" s="942"/>
      <c r="U1113" s="935" t="s">
        <v>423</v>
      </c>
      <c r="V1113" s="936"/>
      <c r="W1113" s="936"/>
      <c r="X1113" s="936"/>
      <c r="Y1113" s="937"/>
      <c r="Z1113" s="196">
        <f ca="1">IF($B$1107="Лікар загальної практики - сімейний лікар",IF(Z1111&lt;Законод!$C$22,0,(IF(AND(Z1111&gt;=Законод!$E$22,Z1111&lt;=Законод!$E$23),Z1111-Законод!$C$22,IF('01_Доходи'!Z1111&gt;=Законод!$F$22,Законод!$E$24,0)))),IF($B$1107="Лікар-педіатр",IF(Z1111&lt;Законод!$C$18,0,(IF(AND(Z1111&gt;=Законод!$E$18,Z1111&lt;=Законод!$E$19),Z1111-Законод!$C$18,IF('01_Доходи'!Z1111&gt;=Законод!$F$18,Законод!$E$20,0)))),IF($B$1107="Лікар-терапевт",IF(Z1111&lt;Законод!$C$26,0,(IF(AND(Z1111&gt;=Законод!$E$26,Z1111&lt;=Законод!$E$27),Z1111-Законод!$C$26,IF('01_Доходи'!Z1111&gt;=Законод!$F$26,Законод!$E$28,0)))),0)))</f>
        <v>0</v>
      </c>
      <c r="AA1113" s="942"/>
      <c r="AB1113" s="935" t="s">
        <v>423</v>
      </c>
      <c r="AC1113" s="936"/>
      <c r="AD1113" s="936"/>
      <c r="AE1113" s="936"/>
      <c r="AF1113" s="937"/>
      <c r="AG1113" s="196">
        <f ca="1">IF($B$1107="Лікар загальної практики - сімейний лікар",IF(AG1111&lt;Законод!$C$22,0,(IF(AND(AG1111&gt;=Законод!$E$22,AG1111&lt;=Законод!$E$23),AG1111-Законод!$C$22,IF('01_Доходи'!AG1111&gt;=Законод!$F$22,Законод!$E$24,0)))),IF($B$1107="Лікар-педіатр",IF(AG1111&lt;Законод!$C$18,0,(IF(AND(AG1111&gt;=Законод!$E$18,AG1111&lt;=Законод!$E$19),AG1111-Законод!$C$18,IF('01_Доходи'!AG1111&gt;=Законод!$F$18,Законод!$E$20,0)))),IF($B$1107="Лікар-терапевт",IF(AG1111&lt;Законод!$C$26,0,(IF(AND(AG1111&gt;=Законод!$E$26,AG1111&lt;=Законод!$E$27),AG1111-Законод!$C$26,IF('01_Доходи'!AG1111&gt;=Законод!$F$26,Законод!$E$28,0)))),0)))</f>
        <v>0</v>
      </c>
      <c r="AH1113" s="942"/>
      <c r="AI1113" s="201"/>
      <c r="AJ1113" s="945"/>
      <c r="AK1113" s="960"/>
      <c r="AL1113" s="960"/>
      <c r="AM1113" s="926" t="s">
        <v>452</v>
      </c>
      <c r="AN1113" s="210">
        <f ca="1">IF(B1107="Лікар загальної практики - сімейний лікар",L1113*Законод!$C$9/4*Законод!$E$16,IF(B1107="Лікар-педіатр",L1113*Законод!$C$9/4*Законод!$E$16,IF(B1107="Лікар-терапевт",L1113*Законод!$C$9/4*Законод!$E$16,0)))</f>
        <v>0</v>
      </c>
      <c r="AO1113" s="210">
        <f ca="1">IF(B1107="Лікар загальної практики - сімейний лікар",S1113*Законод!$C$9/4*Законод!$E$16,IF(B1107="Лікар-педіатр",S1113*Законод!$C$9/4*Законод!$E$16,IF(B1107="Лікар-терапевт",S1113*Законод!$C$9/4*Законод!$E$16,0)))</f>
        <v>0</v>
      </c>
      <c r="AP1113" s="210">
        <f ca="1">IF(B1107="Лікар загальної практики - сімейний лікар",Z1113*Законод!$C$9/4*Законод!$E$16,IF(B1107="Лікар-педіатр",Z1113*Законод!$C$9/4*Законод!$E$16,IF(B1107="Лікар-терапевт",Z1113*Законод!$C$9/4*Законод!$E$16,0)))</f>
        <v>0</v>
      </c>
      <c r="AQ1113" s="210">
        <f ca="1">IF(B1107="Лікар загальної практики - сімейний лікар",AG1113*Законод!$C$9/4*Законод!$E$16,IF(B1107="Лікар-педіатр",AG1113*Законод!$C$9/4*Законод!$E$16,IF(B1107="Лікар-терапевт",AG1113*Законод!$C$9/4*Законод!$E$16,0)))</f>
        <v>0</v>
      </c>
      <c r="AR1113" s="211">
        <f t="shared" si="125"/>
        <v>0</v>
      </c>
    </row>
    <row r="1114" spans="1:44" s="50" customFormat="1" ht="31.9" hidden="1" customHeight="1">
      <c r="A1114" s="197"/>
      <c r="B1114" s="951"/>
      <c r="C1114" s="954"/>
      <c r="D1114" s="957"/>
      <c r="E1114" s="939"/>
      <c r="F1114" s="238" t="str">
        <f ca="1">IF(B1107="Лікар-педіатр",Законод!$F$17,IF(B1107="Лікар загальної практики - сімейний лікар",Законод!$F$21,IF(B1107="Лікар-терапевт",Законод!$F$25,"х")))</f>
        <v>х</v>
      </c>
      <c r="G1114" s="935" t="s">
        <v>423</v>
      </c>
      <c r="H1114" s="936"/>
      <c r="I1114" s="936"/>
      <c r="J1114" s="936"/>
      <c r="K1114" s="937"/>
      <c r="L1114" s="196">
        <f ca="1">IF($B$1107="Лікар загальної практики - сімейний лікар",IF(L1111&lt;Законод!$C$22,0,(IF(AND(L1111&gt;=Законод!$F$22,L1111&lt;=Законод!$F$23),L1111-Законод!$E$23,IF('01_Доходи'!L1111&gt;=Законод!$G$22,Законод!$F$24,0)))),IF($B$1107="Лікар-педіатр",IF(L1111&lt;Законод!$C$18,0,(IF(AND(L1111&gt;=Законод!$F$18,L1111&lt;=Законод!$F$19),L1111-Законод!$E$19,IF('01_Доходи'!L1111&gt;=Законод!$G$18,Законод!$F$20,0)))),IF($B$1107="Лікар-терапевт",IF(L1111&lt;Законод!$C$26,0,(IF(AND(L1111&gt;=Законод!$F$26,L1111&lt;=Законод!$F$27),L1111-Законод!$E$27,IF('01_Доходи'!L1111&gt;=Законод!$G$26,Законод!$F$28,0)))),0)))</f>
        <v>0</v>
      </c>
      <c r="M1114" s="942"/>
      <c r="N1114" s="935" t="s">
        <v>423</v>
      </c>
      <c r="O1114" s="936"/>
      <c r="P1114" s="936"/>
      <c r="Q1114" s="936"/>
      <c r="R1114" s="937"/>
      <c r="S1114" s="196">
        <f ca="1">IF($B$1107="Лікар загальної практики - сімейний лікар",IF(S1111&lt;Законод!$C$22,0,(IF(AND(S1111&gt;=Законод!$F$22,S1111&lt;=Законод!$F$23),S1111-Законод!$E$23,IF('01_Доходи'!S1111&gt;=Законод!$G$22,Законод!$F$24,0)))),IF($B$1107="Лікар-педіатр",IF(S1111&lt;Законод!$C$18,0,(IF(AND(S1111&gt;=Законод!$F$18,S1111&lt;=Законод!$F$19),S1111-Законод!$E$19,IF('01_Доходи'!S1111&gt;=Законод!$G$18,Законод!$F$20,0)))),IF($B$1107="Лікар-терапевт",IF(S1111&lt;Законод!$C$26,0,(IF(AND(S1111&gt;=Законод!$F$26,S1111&lt;=Законод!$F$27),S1111-Законод!$E$27,IF('01_Доходи'!S1111&gt;=Законод!$G$26,Законод!$F$28,0)))),0)))</f>
        <v>0</v>
      </c>
      <c r="T1114" s="942"/>
      <c r="U1114" s="935" t="s">
        <v>423</v>
      </c>
      <c r="V1114" s="936"/>
      <c r="W1114" s="936"/>
      <c r="X1114" s="936"/>
      <c r="Y1114" s="937"/>
      <c r="Z1114" s="196">
        <f ca="1">IF($B$1107="Лікар загальної практики - сімейний лікар",IF(Z1111&lt;Законод!$C$22,0,(IF(AND(Z1111&gt;=Законод!$F$22,Z1111&lt;=Законод!$F$23),Z1111-Законод!$E$23,IF('01_Доходи'!Z1111&gt;=Законод!$G$22,Законод!$F$24,0)))),IF($B$1107="Лікар-педіатр",IF(Z1111&lt;Законод!$C$18,0,(IF(AND(Z1111&gt;=Законод!$F$18,Z1111&lt;=Законод!$F$19),Z1111-Законод!$E$19,IF('01_Доходи'!Z1111&gt;=Законод!$G$18,Законод!$F$20,0)))),IF($B$1107="Лікар-терапевт",IF(Z1111&lt;Законод!$C$26,0,(IF(AND(Z1111&gt;=Законод!$F$26,Z1111&lt;=Законод!$F$27),Z1111-Законод!$E$27,IF('01_Доходи'!Z1111&gt;=Законод!$G$26,Законод!$F$28,0)))),0)))</f>
        <v>0</v>
      </c>
      <c r="AA1114" s="942"/>
      <c r="AB1114" s="935" t="s">
        <v>423</v>
      </c>
      <c r="AC1114" s="936"/>
      <c r="AD1114" s="936"/>
      <c r="AE1114" s="936"/>
      <c r="AF1114" s="937"/>
      <c r="AG1114" s="196">
        <f ca="1">IF($B$1107="Лікар загальної практики - сімейний лікар",IF(AG1111&lt;Законод!$C$22,0,(IF(AND(AG1111&gt;=Законод!$F$22,AG1111&lt;=Законод!$F$23),AG1111-Законод!$E$23,IF('01_Доходи'!AG1111&gt;=Законод!$G$22,Законод!$F$24,0)))),IF($B$1107="Лікар-педіатр",IF(AG1111&lt;Законод!$C$18,0,(IF(AND(AG1111&gt;=Законод!$F$18,AG1111&lt;=Законод!$F$19),AG1111-Законод!$E$19,IF('01_Доходи'!AG1111&gt;=Законод!$G$18,Законод!$F$20,0)))),IF($B$1107="Лікар-терапевт",IF(AG1111&lt;Законод!$C$26,0,(IF(AND(AG1111&gt;=Законод!$F$26,AG1111&lt;=Законод!$F$27),AG1111-Законод!$E$27,IF('01_Доходи'!AG1111&gt;=Законод!$G$26,Законод!$F$28,0)))),0)))</f>
        <v>0</v>
      </c>
      <c r="AH1114" s="942"/>
      <c r="AI1114" s="201"/>
      <c r="AJ1114" s="945"/>
      <c r="AK1114" s="960"/>
      <c r="AL1114" s="960"/>
      <c r="AM1114" s="927"/>
      <c r="AN1114" s="210">
        <f ca="1">IF(B1107="Лікар загальної практики - сімейний лікар",L1114*Законод!$C$9/4*Законод!$F$16,IF(B1107="Лікар-педіатр",L1114*Законод!$C$9/4*Законод!$F$16,IF(B1107="Лікар-терапевт",L1114*Законод!$C$9/4*Законод!$F$16,0)))</f>
        <v>0</v>
      </c>
      <c r="AO1114" s="210">
        <f ca="1">IF(B1107="Лікар загальної практики - сімейний лікар",S1114*Законод!$C$9/4*Законод!$F$16,IF(B1107="Лікар-педіатр",S1114*Законод!$C$9/4*Законод!$F$16,IF(B1107="Лікар-терапевт",S1114*Законод!$C$9/4*Законод!$F$16,0)))</f>
        <v>0</v>
      </c>
      <c r="AP1114" s="210">
        <f ca="1">IF(B1107="Лікар загальної практики - сімейний лікар",Z1114*Законод!$C$9/4*Законод!$F$16,IF(B1107="Лікар-педіатр",Z1114*Законод!$C$9/4*Законод!$F$16,IF(B1107="Лікар-терапевт",Z1114*Законод!$C$9/4*Законод!$F$16,0)))</f>
        <v>0</v>
      </c>
      <c r="AQ1114" s="210">
        <f ca="1">IF(B1107="Лікар загальної практики - сімейний лікар",AG1114*Законод!$C$9/4*Законод!$F$16,IF(B1107="Лікар-педіатр",AG1114*Законод!$C$9/4*Законод!$F$16,IF(B1107="Лікар-терапевт",AG1114*Законод!$C$9/4*Законод!$F$16,0)))</f>
        <v>0</v>
      </c>
      <c r="AR1114" s="211">
        <f t="shared" si="125"/>
        <v>0</v>
      </c>
    </row>
    <row r="1115" spans="1:44" s="50" customFormat="1" ht="31.9" hidden="1" customHeight="1">
      <c r="A1115" s="197"/>
      <c r="B1115" s="951"/>
      <c r="C1115" s="954"/>
      <c r="D1115" s="957"/>
      <c r="E1115" s="939"/>
      <c r="F1115" s="238" t="str">
        <f ca="1">IF(B1107="Лікар-педіатр",Законод!$G$17,IF(B1107="Лікар загальної практики - сімейний лікар",Законод!$G$21,IF(B1107="Лікар-терапевт",Законод!$G$25,"х")))</f>
        <v>х</v>
      </c>
      <c r="G1115" s="935" t="s">
        <v>423</v>
      </c>
      <c r="H1115" s="936"/>
      <c r="I1115" s="936"/>
      <c r="J1115" s="936"/>
      <c r="K1115" s="937"/>
      <c r="L1115" s="196">
        <f ca="1">IF($B$1107="Лікар загальної практики - сімейний лікар",IF(L1111&lt;Законод!$C$22,0,(IF(AND(L1111&gt;=Законод!$G$22,L1111&lt;=Законод!$G$23),L1111-Законод!$F$23,IF('01_Доходи'!L1111&gt;=Законод!$H$22,Законод!$G$24,0)))),IF($B$1107="Лікар-педіатр",IF(L1111&lt;Законод!$C$18,0,(IF(AND(L1111&gt;=Законод!$G$18,L1111&lt;=Законод!$G$19),L1111-Законод!$F$19,IF('01_Доходи'!L1111&gt;=Законод!$H$18,Законод!$G$20,0)))),IF($B$1107="Лікар-терапевт",IF(L1111&lt;Законод!$C$26,0,(IF(AND(L1111&gt;=Законод!$G$26,L1111&lt;=Законод!$G$27),L1111-Законод!$F$27,IF('01_Доходи'!L1111&gt;=Законод!$H$26,Законод!$G$28,0)))),0)))</f>
        <v>0</v>
      </c>
      <c r="M1115" s="942"/>
      <c r="N1115" s="935" t="s">
        <v>423</v>
      </c>
      <c r="O1115" s="936"/>
      <c r="P1115" s="936"/>
      <c r="Q1115" s="936"/>
      <c r="R1115" s="937"/>
      <c r="S1115" s="196">
        <f ca="1">IF($B$1107="Лікар загальної практики - сімейний лікар",IF(S1111&lt;Законод!$C$22,0,(IF(AND(S1111&gt;=Законод!$G$22,S1111&lt;=Законод!$G$23),S1111-Законод!$F$23,IF('01_Доходи'!S1111&gt;=Законод!$H$22,Законод!$G$24,0)))),IF($B$1107="Лікар-педіатр",IF(S1111&lt;Законод!$C$18,0,(IF(AND(S1111&gt;=Законод!$G$18,S1111&lt;=Законод!$G$19),S1111-Законод!$F$19,IF('01_Доходи'!S1111&gt;=Законод!$H$18,Законод!$G$20,0)))),IF($B$1107="Лікар-терапевт",IF(S1111&lt;Законод!$C$26,0,(IF(AND(S1111&gt;=Законод!$G$26,S1111&lt;=Законод!$G$27),S1111-Законод!$F$27,IF('01_Доходи'!S1111&gt;=Законод!$H$26,Законод!$G$28,0)))),0)))</f>
        <v>0</v>
      </c>
      <c r="T1115" s="942"/>
      <c r="U1115" s="935" t="s">
        <v>423</v>
      </c>
      <c r="V1115" s="936"/>
      <c r="W1115" s="936"/>
      <c r="X1115" s="936"/>
      <c r="Y1115" s="937"/>
      <c r="Z1115" s="196">
        <f ca="1">IF($B$1107="Лікар загальної практики - сімейний лікар",IF(Z1111&lt;Законод!$C$22,0,(IF(AND(Z1111&gt;=Законод!$G$22,Z1111&lt;=Законод!$G$23),Z1111-Законод!$F$23,IF('01_Доходи'!Z1111&gt;=Законод!$H$22,Законод!$G$24,0)))),IF($B$1107="Лікар-педіатр",IF(Z1111&lt;Законод!$C$18,0,(IF(AND(Z1111&gt;=Законод!$G$18,Z1111&lt;=Законод!$G$19),Z1111-Законод!$F$19,IF('01_Доходи'!Z1111&gt;=Законод!$H$18,Законод!$G$20,0)))),IF($B$1107="Лікар-терапевт",IF(Z1111&lt;Законод!$C$26,0,(IF(AND(Z1111&gt;=Законод!$G$26,Z1111&lt;=Законод!$G$27),Z1111-Законод!$F$27,IF('01_Доходи'!Z1111&gt;=Законод!$H$26,Законод!$G$28,0)))),0)))</f>
        <v>0</v>
      </c>
      <c r="AA1115" s="942"/>
      <c r="AB1115" s="935" t="s">
        <v>423</v>
      </c>
      <c r="AC1115" s="936"/>
      <c r="AD1115" s="936"/>
      <c r="AE1115" s="936"/>
      <c r="AF1115" s="937"/>
      <c r="AG1115" s="196">
        <f ca="1">IF($B$1107="Лікар загальної практики - сімейний лікар",IF(AG1111&lt;Законод!$C$22,0,(IF(AND(AG1111&gt;=Законод!$G$22,AG1111&lt;=Законод!$G$23),AG1111-Законод!$F$23,IF('01_Доходи'!AG1111&gt;=Законод!$H$22,Законод!$G$24,0)))),IF($B$1107="Лікар-педіатр",IF(AG1111&lt;Законод!$C$18,0,(IF(AND(AG1111&gt;=Законод!$G$18,AG1111&lt;=Законод!$G$19),AG1111-Законод!$F$19,IF('01_Доходи'!AG1111&gt;=Законод!$H$18,Законод!$G$20,0)))),IF($B$1107="Лікар-терапевт",IF(AG1111&lt;Законод!$C$26,0,(IF(AND(AG1111&gt;=Законод!$G$26,AG1111&lt;=Законод!$G$27),AG1111-Законод!$F$27,IF('01_Доходи'!AG1111&gt;=Законод!$H$26,Законод!$G$28,0)))),0)))</f>
        <v>0</v>
      </c>
      <c r="AH1115" s="942"/>
      <c r="AI1115" s="201"/>
      <c r="AJ1115" s="945"/>
      <c r="AK1115" s="960"/>
      <c r="AL1115" s="960"/>
      <c r="AM1115" s="927"/>
      <c r="AN1115" s="210">
        <f ca="1">IF(B1107="Лікар загальної практики - сімейний лікар",L1115*Законод!$C$9/4*Законод!$G$16,IF(B1107="Лікар-педіатр",L1115*Законод!$C$9/4*Законод!$G$16,IF(B1107="Лікар-терапевт",L1115*Законод!$C$9/4*Законод!$G$16,0)))</f>
        <v>0</v>
      </c>
      <c r="AO1115" s="210">
        <f ca="1">IF(B1107="Лікар загальної практики - сімейний лікар",S1115*Законод!$C$9/4*Законод!$G$16,IF(B1107="Лікар-педіатр",S1115*Законод!$C$9/4*Законод!$G$16,IF(B1107="Лікар-терапевт",S1115*Законод!$C$9/4*Законод!$G$16,0)))</f>
        <v>0</v>
      </c>
      <c r="AP1115" s="210">
        <f ca="1">IF(B1107="Лікар загальної практики - сімейний лікар",Z1115*Законод!$C$9/4*Законод!$G$16,IF(B1107="Лікар-педіатр",Z1115*Законод!$C$9/4*Законод!$G$16,IF(B1107="Лікар-терапевт",Z1115*Законод!$C$9/4*Законод!$G$16,0)))</f>
        <v>0</v>
      </c>
      <c r="AQ1115" s="210">
        <f ca="1">IF(B1107="Лікар загальної практики - сімейний лікар",AG1115*Законод!$C$9/4*Законод!$G$16,IF(B1107="Лікар-педіатр",AG1115*Законод!$C$9/4*Законод!$G$16,IF(B1107="Лікар-терапевт",AG1115*Законод!$C$9/4*Законод!$G$16,0)))</f>
        <v>0</v>
      </c>
      <c r="AR1115" s="211">
        <f t="shared" si="125"/>
        <v>0</v>
      </c>
    </row>
    <row r="1116" spans="1:44" s="50" customFormat="1" ht="31.9" hidden="1" customHeight="1">
      <c r="A1116" s="197"/>
      <c r="B1116" s="951"/>
      <c r="C1116" s="954"/>
      <c r="D1116" s="957"/>
      <c r="E1116" s="939"/>
      <c r="F1116" s="238" t="str">
        <f ca="1">IF(B1107="Лікар-педіатр",Законод!$H$17,IF(B1107="Лікар загальної практики - сімейний лікар",Законод!$H$21,IF(B1107="Лікар-терапевт",Законод!$H$25,"х")))</f>
        <v>х</v>
      </c>
      <c r="G1116" s="935" t="s">
        <v>423</v>
      </c>
      <c r="H1116" s="936"/>
      <c r="I1116" s="936"/>
      <c r="J1116" s="936"/>
      <c r="K1116" s="937"/>
      <c r="L1116" s="196">
        <f ca="1">IF($B$1107="Лікар загальної практики - сімейний лікар",IF(L1111&lt;Законод!$C$22,0,(IF(AND(L1111&gt;=Законод!$H$22,L1111&lt;=Законод!$H$23),L1111-Законод!$G$23,IF('01_Доходи'!L1111&gt;=Законод!$I$22,Законод!$H$24,0)))),IF($B$1107="Лікар-педіатр",IF(L1111&lt;Законод!$C$18,0,(IF(AND(L1111&gt;=Законод!$H$18,L1111&lt;=Законод!$H$19),L1111-Законод!$G$19,IF('01_Доходи'!L1111&gt;=Законод!$I$18,Законод!$H$20,0)))),IF($B$1107="Лікар-терапевт",IF(L1111&lt;Законод!$C$26,0,(IF(AND(L1111&gt;=Законод!$H$26,L1111&lt;=Законод!$H$27),L1111-Законод!$G$27,IF(L1111&gt;=Законод!$I$26,Законод!$H$28,0)))),0)))</f>
        <v>0</v>
      </c>
      <c r="M1116" s="942"/>
      <c r="N1116" s="935" t="s">
        <v>423</v>
      </c>
      <c r="O1116" s="936"/>
      <c r="P1116" s="936"/>
      <c r="Q1116" s="936"/>
      <c r="R1116" s="937"/>
      <c r="S1116" s="196">
        <f ca="1">IF($B$1107="Лікар загальної практики - сімейний лікар",IF(S1111&lt;Законод!$C$22,0,(IF(AND(S1111&gt;=Законод!$H$22,S1111&lt;=Законод!$H$23),S1111-Законод!$G$23,IF('01_Доходи'!S1111&gt;=Законод!$I$22,Законод!$H$24,0)))),IF($B$1107="Лікар-педіатр",IF(S1111&lt;Законод!$C$18,0,(IF(AND(S1111&gt;=Законод!$H$18,S1111&lt;=Законод!$H$19),S1111-Законод!$G$19,IF('01_Доходи'!S1111&gt;=Законод!$I$18,Законод!$H$20,0)))),IF($B$1107="Лікар-терапевт",IF(S1111&lt;Законод!$C$26,0,(IF(AND(S1111&gt;=Законод!$H$26,S1111&lt;=Законод!$H$27),S1111-Законод!$G$27,IF(S1111&gt;=Законод!$I$26,Законод!$H$28,0)))),0)))</f>
        <v>0</v>
      </c>
      <c r="T1116" s="942"/>
      <c r="U1116" s="935" t="s">
        <v>423</v>
      </c>
      <c r="V1116" s="936"/>
      <c r="W1116" s="936"/>
      <c r="X1116" s="936"/>
      <c r="Y1116" s="937"/>
      <c r="Z1116" s="196">
        <f ca="1">IF($B$1107="Лікар загальної практики - сімейний лікар",IF(Z1111&lt;Законод!$C$22,0,(IF(AND(Z1111&gt;=Законод!$H$22,Z1111&lt;=Законод!$H$23),Z1111-Законод!$G$23,IF('01_Доходи'!Z1111&gt;=Законод!$I$22,Законод!$H$24,0)))),IF($B$1107="Лікар-педіатр",IF(Z1111&lt;Законод!$C$18,0,(IF(AND(Z1111&gt;=Законод!$H$18,Z1111&lt;=Законод!$H$19),Z1111-Законод!$G$19,IF('01_Доходи'!Z1111&gt;=Законод!$I$18,Законод!$H$20,0)))),IF($B$1107="Лікар-терапевт",IF(Z1111&lt;Законод!$C$26,0,(IF(AND(Z1111&gt;=Законод!$H$26,Z1111&lt;=Законод!$H$27),Z1111-Законод!$G$27,IF(Z1111&gt;=Законод!$I$26,Законод!$H$28,0)))),0)))</f>
        <v>0</v>
      </c>
      <c r="AA1116" s="942"/>
      <c r="AB1116" s="935" t="s">
        <v>423</v>
      </c>
      <c r="AC1116" s="936"/>
      <c r="AD1116" s="936"/>
      <c r="AE1116" s="936"/>
      <c r="AF1116" s="937"/>
      <c r="AG1116" s="196">
        <f ca="1">IF($B$1107="Лікар загальної практики - сімейний лікар",IF(AG1111&lt;Законод!$C$22,0,(IF(AND(AG1111&gt;=Законод!$H$22,AG1111&lt;=Законод!$H$23),AG1111-Законод!$G$23,IF('01_Доходи'!AG1111&gt;=Законод!$I$22,Законод!$H$24,0)))),IF($B$1107="Лікар-педіатр",IF(AG1111&lt;Законод!$C$18,0,(IF(AND(AG1111&gt;=Законод!$H$18,AG1111&lt;=Законод!$H$19),AG1111-Законод!$G$19,IF('01_Доходи'!AG1111&gt;=Законод!$I$18,Законод!$H$20,0)))),IF($B$1107="Лікар-терапевт",IF(AG1111&lt;Законод!$C$26,0,(IF(AND(AG1111&gt;=Законод!$H$26,AG1111&lt;=Законод!$H$27),AG1111-Законод!$G$27,IF(AG1111&gt;=Законод!$I$26,Законод!$H$28,0)))),0)))</f>
        <v>0</v>
      </c>
      <c r="AH1116" s="942"/>
      <c r="AI1116" s="201"/>
      <c r="AJ1116" s="945"/>
      <c r="AK1116" s="960"/>
      <c r="AL1116" s="960"/>
      <c r="AM1116" s="927"/>
      <c r="AN1116" s="210">
        <f ca="1">IF(B1107="Лікар загальної практики - сімейний лікар",L1116*Законод!$C$9/4*Законод!$H$16,IF(B1107="Лікар-педіатр",L1116*Законод!$C$9/4*Законод!$H$16,IF(B1107="Лікар-терапевт",L1116*Законод!$C$9/4*Законод!$H$16,0)))</f>
        <v>0</v>
      </c>
      <c r="AO1116" s="210">
        <f ca="1">IF(B1107="Лікар загальної практики - сімейний лікар",S1116*Законод!$C$9/4*Законод!$H$16,IF(B1107="Лікар-педіатр",S1116*Законод!$C$9/4*Законод!$H$16,IF(B1107="Лікар-терапевт",S1116*Законод!$C$9/4*Законод!$H$16,0)))</f>
        <v>0</v>
      </c>
      <c r="AP1116" s="210">
        <f ca="1">IF(B1107="Лікар загальної практики - сімейний лікар",Z1116*Законод!$C$9/4*Законод!$H$16,IF(B1107="Лікар-педіатр",Z1116*Законод!$C$9/4*Законод!$H$16,IF(B1107="Лікар-терапевт",Z1116*Законод!$C$9/4*Законод!$H$16,0)))</f>
        <v>0</v>
      </c>
      <c r="AQ1116" s="210">
        <f ca="1">IF(B1107="Лікар загальної практики - сімейний лікар",AG1116*Законод!$C$9/4*Законод!$H$16,IF(B1107="Лікар-педіатр",AG1116*Законод!$C$9/4*Законод!$H$16,IF(B1107="Лікар-терапевт",AG1116*Законод!$C$9/4*Законод!$H$16,0)))</f>
        <v>0</v>
      </c>
      <c r="AR1116" s="211">
        <f t="shared" si="125"/>
        <v>0</v>
      </c>
    </row>
    <row r="1117" spans="1:44" s="50" customFormat="1" ht="31.9" hidden="1" customHeight="1">
      <c r="A1117" s="197"/>
      <c r="B1117" s="951"/>
      <c r="C1117" s="954"/>
      <c r="D1117" s="957"/>
      <c r="E1117" s="939"/>
      <c r="F1117" s="238" t="str">
        <f ca="1">IF(B1107="Лікар-педіатр",Законод!$I$17,IF(B1107="Лікар загальної практики - сімейний лікар",Законод!$I$21,IF(B1107="Лікар-терапевт",Законод!$I$25,"х")))</f>
        <v>х</v>
      </c>
      <c r="G1117" s="935" t="s">
        <v>423</v>
      </c>
      <c r="H1117" s="936"/>
      <c r="I1117" s="936"/>
      <c r="J1117" s="936"/>
      <c r="K1117" s="937"/>
      <c r="L1117" s="196">
        <f ca="1">IF($B$1107="Лікар загальної практики - сімейний лікар",IF(L1111&lt;Законод!$C$22,0,(IF(AND(L1111&gt;=Законод!$I$22,L1111&lt;=Законод!$I$23),L1111-Законод!$H$23,IF('01_Доходи'!L1111&gt;=Законод!$I$22,Законод!$I$24,0)))),IF($B$1107="Лікар-педіатр",IF(L1111&lt;Законод!$C$18,0,(IF(AND(L1111&gt;=Законод!$I$18,L1111&lt;=Законод!$I$19),L1111-Законод!$H$19,IF('01_Доходи'!L1111&gt;=Законод!$I$18,Законод!$H$20,0)))),IF($B$1107="Лікар-терапевт",IF(L1111&lt;Законод!$C$26,0,(IF(AND(L1111&gt;=Законод!$I$26,L1111&lt;=Законод!$I$27),L1111-Законод!$H$27,IF('01_Доходи'!L1111&gt;=Законод!$I$26,Законод!$H$28,0)))),0)))</f>
        <v>0</v>
      </c>
      <c r="M1117" s="942"/>
      <c r="N1117" s="935" t="s">
        <v>423</v>
      </c>
      <c r="O1117" s="936"/>
      <c r="P1117" s="936"/>
      <c r="Q1117" s="936"/>
      <c r="R1117" s="937"/>
      <c r="S1117" s="196">
        <f ca="1">IF($B$1107="Лікар загальної практики - сімейний лікар",IF(S1111&lt;Законод!$C$22,0,(IF(AND(S1111&gt;=Законод!$I$22,S1111&lt;=Законод!$I$23),S1111-Законод!$H$23,IF('01_Доходи'!S1111&gt;=Законод!$I$22,Законод!$I$24,0)))),IF($B$1107="Лікар-педіатр",IF(S1111&lt;Законод!$C$18,0,(IF(AND(S1111&gt;=Законод!$I$18,S1111&lt;=Законод!$I$19),S1111-Законод!$H$19,IF('01_Доходи'!S1111&gt;=Законод!$I$18,Законод!$H$20,0)))),IF($B$1107="Лікар-терапевт",IF(S1111&lt;Законод!$C$26,0,(IF(AND(S1111&gt;=Законод!$I$26,S1111&lt;=Законод!$I$27),S1111-Законод!$H$27,IF('01_Доходи'!S1111&gt;=Законод!$I$26,Законод!$H$28,0)))),0)))</f>
        <v>0</v>
      </c>
      <c r="T1117" s="942"/>
      <c r="U1117" s="935" t="s">
        <v>423</v>
      </c>
      <c r="V1117" s="936"/>
      <c r="W1117" s="936"/>
      <c r="X1117" s="936"/>
      <c r="Y1117" s="937"/>
      <c r="Z1117" s="196">
        <f ca="1">IF($B$1107="Лікар загальної практики - сімейний лікар",IF(Z1111&lt;Законод!$C$22,0,(IF(AND(Z1111&gt;=Законод!$I$22,Z1111&lt;=Законод!$I$23),Z1111-Законод!$H$23,IF('01_Доходи'!Z1111&gt;=Законод!$I$22,Законод!$I$24,0)))),IF($B$1107="Лікар-педіатр",IF(Z1111&lt;Законод!$C$18,0,(IF(AND(Z1111&gt;=Законод!$I$18,Z1111&lt;=Законод!$I$19),Z1111-Законод!$H$19,IF('01_Доходи'!Z1111&gt;=Законод!$I$18,Законод!$H$20,0)))),IF($B$1107="Лікар-терапевт",IF(Z1111&lt;Законод!$C$26,0,(IF(AND(Z1111&gt;=Законод!$I$26,Z1111&lt;=Законод!$I$27),Z1111-Законод!$H$27,IF('01_Доходи'!Z1111&gt;=Законод!$I$26,Законод!$H$28,0)))),0)))</f>
        <v>0</v>
      </c>
      <c r="AA1117" s="942"/>
      <c r="AB1117" s="935" t="s">
        <v>423</v>
      </c>
      <c r="AC1117" s="936"/>
      <c r="AD1117" s="936"/>
      <c r="AE1117" s="936"/>
      <c r="AF1117" s="937"/>
      <c r="AG1117" s="196">
        <f ca="1">IF($B$1107="Лікар загальної практики - сімейний лікар",IF(AG1111&lt;Законод!$C$22,0,(IF(AND(AG1111&gt;=Законод!$I$22,AG1111&lt;=Законод!$I$23),AG1111-Законод!$H$23,IF('01_Доходи'!AG1111&gt;=Законод!$I$22,Законод!$I$24,0)))),IF($B$1107="Лікар-педіатр",IF(AG1111&lt;Законод!$C$18,0,(IF(AND(AG1111&gt;=Законод!$I$18,AG1111&lt;=Законод!$I$19),AG1111-Законод!$H$19,IF('01_Доходи'!AG1111&gt;=Законод!$I$18,Законод!$H$20,0)))),IF($B$1107="Лікар-терапевт",IF(AG1111&lt;Законод!$C$26,0,(IF(AND(AG1111&gt;=Законод!$I$26,AG1111&lt;=Законод!$I$27),AG1111-Законод!$H$27,IF('01_Доходи'!AG1111&gt;=Законод!$I$26,Законод!$H$28,0)))),0)))</f>
        <v>0</v>
      </c>
      <c r="AH1117" s="942"/>
      <c r="AI1117" s="201"/>
      <c r="AJ1117" s="945"/>
      <c r="AK1117" s="960"/>
      <c r="AL1117" s="960"/>
      <c r="AM1117" s="927"/>
      <c r="AN1117" s="210">
        <f ca="1">IF(B1107="Лікар загальної практики - сімейний лікар",L1117*Законод!$C$9/4*Законод!$I$16,IF(B1107="Лікар-педіатр",L1117*Законод!$C$9/4*Законод!$I$16,IF(B1107="Лікар-терапевт",L1117*Законод!$C$9/4*Законод!$I$16,0)))</f>
        <v>0</v>
      </c>
      <c r="AO1117" s="210">
        <f ca="1">IF(B1107="Лікар загальної практики - сімейний лікар",S1117*Законод!$C$9/4*Законод!$I$16,IF(B1107="Лікар-педіатр",S1117*Законод!$C$9/4*Законод!$I$16,IF(B1107="Лікар-терапевт",S1117*Законод!$C$9/4*Законод!$I$16,0)))</f>
        <v>0</v>
      </c>
      <c r="AP1117" s="210">
        <f ca="1">IF(B1107="Лікар загальної практики - сімейний лікар",Z1117*Законод!$C$9/4*Законод!$I$16,IF(B1107="Лікар-педіатр",Z1117*Законод!$C$9/4*Законод!$I$16,IF(B1107="Лікар-терапевт",Z1117*Законод!$C$9/4*Законод!$I$16,0)))</f>
        <v>0</v>
      </c>
      <c r="AQ1117" s="210">
        <f ca="1">IF(B1107="Лікар загальної практики - сімейний лікар",AG1117*Законод!$C$9/4*Законод!$I$16,IF(B1107="Лікар-педіатр",AG1117*Законод!$C$9/4*Законод!$I$16,IF(B1107="Лікар-терапевт",AG1117*Законод!$C$9/4*Законод!$I$16,0)))</f>
        <v>0</v>
      </c>
      <c r="AR1117" s="211">
        <f t="shared" si="125"/>
        <v>0</v>
      </c>
    </row>
    <row r="1118" spans="1:44" s="218" customFormat="1" ht="31.9" hidden="1" customHeight="1" thickBot="1">
      <c r="A1118" s="213"/>
      <c r="B1118" s="952"/>
      <c r="C1118" s="955"/>
      <c r="D1118" s="958"/>
      <c r="E1118" s="940"/>
      <c r="F1118" s="239" t="str">
        <f ca="1">IF(B1107="Лікар-педіатр",Законод!$J$17,IF(B1107="Лікар загальної практики - сімейний лікар",Законод!$J$21,IF(B1107="Лікар-терапевт",Законод!$J$25,"х")))</f>
        <v>х</v>
      </c>
      <c r="G1118" s="932" t="s">
        <v>423</v>
      </c>
      <c r="H1118" s="933"/>
      <c r="I1118" s="933"/>
      <c r="J1118" s="933"/>
      <c r="K1118" s="934"/>
      <c r="L1118" s="196">
        <f ca="1">IF($B$1107="Лікар загальної практики - сімейний лікар",IF(L1111&gt;=Законод!$J$22,'01_Доходи'!L1111-('01_Доходи'!L1112+'01_Доходи'!L1113+'01_Доходи'!L1114+'01_Доходи'!L1115+'01_Доходи'!L1116+'01_Доходи'!L1117),0),IF($B$1107="Лікар-педіатр",IF(L1111&gt;=Законод!$J$18,'01_Доходи'!L1111-('01_Доходи'!L1112+'01_Доходи'!L1113+'01_Доходи'!L1114+'01_Доходи'!L1115+'01_Доходи'!L1116+'01_Доходи'!L1117),0),IF($B$1107="Лікар-терапевт",IF('01_Доходи'!L1111&gt;=Законод!$J$26,L1111-Законод!$I$27,0),0)))</f>
        <v>0</v>
      </c>
      <c r="M1118" s="943"/>
      <c r="N1118" s="932" t="s">
        <v>423</v>
      </c>
      <c r="O1118" s="933"/>
      <c r="P1118" s="933"/>
      <c r="Q1118" s="933"/>
      <c r="R1118" s="934"/>
      <c r="S1118" s="196">
        <f ca="1">IF($B$1107="Лікар загальної практики - сімейний лікар",IF(S1111&gt;=Законод!$J$22,'01_Доходи'!S1111-('01_Доходи'!S1112+'01_Доходи'!S1113+'01_Доходи'!S1114+'01_Доходи'!S1115+'01_Доходи'!S1116+'01_Доходи'!S1117),0),IF($B$1107="Лікар-педіатр",IF(S1111&gt;=Законод!$J$18,'01_Доходи'!S1111-('01_Доходи'!S1112+'01_Доходи'!S1113+'01_Доходи'!S1114+'01_Доходи'!S1115+'01_Доходи'!S1116+'01_Доходи'!S1117),0),IF($B$1107="Лікар-терапевт",IF('01_Доходи'!S1111&gt;=Законод!$J$26,S1111-Законод!$I$27,0),0)))</f>
        <v>0</v>
      </c>
      <c r="T1118" s="943"/>
      <c r="U1118" s="932" t="s">
        <v>423</v>
      </c>
      <c r="V1118" s="933"/>
      <c r="W1118" s="933"/>
      <c r="X1118" s="933"/>
      <c r="Y1118" s="934"/>
      <c r="Z1118" s="196">
        <f ca="1">IF($B$1107="Лікар загальної практики - сімейний лікар",IF(Z1111&gt;=Законод!$J$22,'01_Доходи'!Z1111-('01_Доходи'!Z1112+'01_Доходи'!Z1113+'01_Доходи'!Z1114+'01_Доходи'!Z1115+'01_Доходи'!Z1116+'01_Доходи'!Z1117),0),IF($B$1107="Лікар-педіатр",IF(Z1111&gt;=Законод!$J$18,'01_Доходи'!Z1111-('01_Доходи'!Z1112+'01_Доходи'!Z1113+'01_Доходи'!Z1114+'01_Доходи'!Z1115+'01_Доходи'!Z1116+'01_Доходи'!Z1117),0),IF($B$1107="Лікар-терапевт",IF('01_Доходи'!Z1111&gt;=Законод!$J$26,Z1111-Законод!$I$27,0),0)))</f>
        <v>0</v>
      </c>
      <c r="AA1118" s="943"/>
      <c r="AB1118" s="932" t="s">
        <v>423</v>
      </c>
      <c r="AC1118" s="933"/>
      <c r="AD1118" s="933"/>
      <c r="AE1118" s="933"/>
      <c r="AF1118" s="934"/>
      <c r="AG1118" s="196">
        <f ca="1">IF($B$1107="Лікар загальної практики - сімейний лікар",IF(AG1111&gt;=Законод!$J$22,'01_Доходи'!AG1111-('01_Доходи'!AG1112+'01_Доходи'!AG1113+'01_Доходи'!AG1114+'01_Доходи'!AG1115+'01_Доходи'!AG1116+'01_Доходи'!AG1117),0),IF($B$1107="Лікар-педіатр",IF(AG1111&gt;=Законод!$J$18,'01_Доходи'!AG1111-('01_Доходи'!AG1112+'01_Доходи'!AG1113+'01_Доходи'!AG1114+'01_Доходи'!AG1115+'01_Доходи'!AG1116+'01_Доходи'!AG1117),0),IF($B$1107="Лікар-терапевт",IF('01_Доходи'!AG1111&gt;=Законод!$J$26,AG1111-Законод!$I$27,0),0)))</f>
        <v>0</v>
      </c>
      <c r="AH1118" s="943"/>
      <c r="AI1118" s="215"/>
      <c r="AJ1118" s="946"/>
      <c r="AK1118" s="961"/>
      <c r="AL1118" s="961"/>
      <c r="AM1118" s="928"/>
      <c r="AN1118" s="216">
        <f ca="1">IF(B1107="Лікар загальної практики - сімейний лікар",L1118*Законод!$C$9/4*Законод!$J$16,IF(B1107="Лікар-педіатр",L1118*Законод!$C$9/4*Законод!$J$16,IF(B1107="Лікар-терапевт",L1118*Законод!$C$9/4*Законод!$J$16,0)))</f>
        <v>0</v>
      </c>
      <c r="AO1118" s="216">
        <f ca="1">IF(B1107="Лікар загальної практики - сімейний лікар",S1118*Законод!$C$9/4*Законод!$J$16,IF(B1107="Лікар-педіатр",S1118*Законод!$C$9/4*Законод!$J$16,IF(B1107="Лікар-терапевт",S1118*Законод!$C$9/4*Законод!$J$16,0)))</f>
        <v>0</v>
      </c>
      <c r="AP1118" s="216">
        <f ca="1">IF(B1107="Лікар загальної практики - сімейний лікар",S1118*Законод!$C$9/4*Законод!$J$16,IF(B1107="Лікар-педіатр",S1118*Законод!$C$9/4*Законод!$J$16,IF(B1107="Лікар-терапевт",S1118*Законод!$C$9/4*Законод!$J$16,0)))</f>
        <v>0</v>
      </c>
      <c r="AQ1118" s="216">
        <f ca="1">IF(B1107="Лікар загальної практики - сімейний лікар",AG1118*Законод!$C$9/4*Законод!$J$16,IF(B1107="Лікар-педіатр",AG1118*Законод!$C$9/4*Законод!$J$16,IF(B1107="Лікар-терапевт",AG1118*Законод!$C$9/4*Законод!$J$16,0)))</f>
        <v>0</v>
      </c>
      <c r="AR1118" s="217">
        <f t="shared" si="125"/>
        <v>0</v>
      </c>
    </row>
    <row r="1119" spans="1:44" s="247" customFormat="1" ht="23.45" hidden="1" customHeight="1" thickBot="1">
      <c r="A1119" s="243"/>
      <c r="B1119" s="244"/>
      <c r="C1119" s="244"/>
      <c r="D1119" s="244"/>
      <c r="E1119" s="244"/>
      <c r="F1119" s="245"/>
      <c r="G1119" s="246"/>
      <c r="H1119" s="246"/>
      <c r="L1119" s="248"/>
      <c r="S1119" s="248"/>
      <c r="Z1119" s="248"/>
      <c r="AG1119" s="248"/>
      <c r="AM1119" s="249"/>
      <c r="AR1119" s="250"/>
    </row>
    <row r="1120" spans="1:44" s="191" customFormat="1" ht="24.6" hidden="1" customHeight="1">
      <c r="A1120" s="194">
        <f>A1107+1</f>
        <v>84</v>
      </c>
      <c r="B1120" s="950"/>
      <c r="C1120" s="953"/>
      <c r="D1120" s="956"/>
      <c r="E1120" s="938"/>
      <c r="F1120" s="234" t="s">
        <v>659</v>
      </c>
      <c r="G1120" s="196">
        <f>IF($B$1120="Лікар-педіатр",G1123*L1120,IF($B$1120="Лікар-терапевт","х",IF($B$1120="Лікар загальної практики - сімейний лікар",G1123*L1120,0)))</f>
        <v>0</v>
      </c>
      <c r="H1120" s="196">
        <f>IF($B$1120="Лікар-педіатр",H1123*L1120,IF($B$1120="Лікар-терапевт","х",IF($B$1120="Лікар загальної практики - сімейний лікар",H1123*L1120,0)))</f>
        <v>0</v>
      </c>
      <c r="I1120" s="196">
        <f>IF($B$1120="Лікар-педіатр","x",IF($B$1120="Лікар-терапевт",I1123*L1120,IF($B$1120="Лікар загальної практики - сімейний лікар",I1123*L1120,0)))</f>
        <v>0</v>
      </c>
      <c r="J1120" s="196">
        <f>IF($B$1120="Лікар-педіатр","x",IF($B$1120="Лікар-терапевт",J1123*L1120,IF($B$1120="Лікар загальної практики - сімейний лікар",J1123*L1120,0)))</f>
        <v>0</v>
      </c>
      <c r="K1120" s="196">
        <f>IF($B$1120="Лікар-педіатр","x",IF($B$1120="Лікар-терапевт",K1123*L1120,IF($B$1120="Лікар загальної практики - сімейний лікар",K1123*L1120,0)))</f>
        <v>0</v>
      </c>
      <c r="L1120" s="557"/>
      <c r="M1120" s="941"/>
      <c r="N1120" s="196">
        <f>IF($B$1120="Лікар-педіатр",N1123*S1120,IF($B$1120="Лікар-терапевт","х",IF($B$1120="Лікар загальної практики - сімейний лікар",N1123*S1120,0)))</f>
        <v>0</v>
      </c>
      <c r="O1120" s="196">
        <f>IF($B$1120="Лікар-педіатр",O1123*S1120,IF($B$1120="Лікар-терапевт","х",IF($B$1120="Лікар загальної практики - сімейний лікар",O1123*S1120,0)))</f>
        <v>0</v>
      </c>
      <c r="P1120" s="196">
        <f>IF($B$1120="Лікар-педіатр","x",IF($B$1120="Лікар-терапевт",P1123*S1120,IF($B$1120="Лікар загальної практики - сімейний лікар",P1123*S1120,0)))</f>
        <v>0</v>
      </c>
      <c r="Q1120" s="196">
        <f>IF($B$1120="Лікар-педіатр","x",IF($B$1120="Лікар-терапевт",Q1123*S1120,IF($B$1120="Лікар загальної практики - сімейний лікар",Q1123*S1120,0)))</f>
        <v>0</v>
      </c>
      <c r="R1120" s="196">
        <f>IF($B$1120="Лікар-педіатр","x",IF($B$1120="Лікар-терапевт",R1123*S1120,IF($B$1120="Лікар загальної практики - сімейний лікар",R1123*S1120,0)))</f>
        <v>0</v>
      </c>
      <c r="S1120" s="557"/>
      <c r="T1120" s="941"/>
      <c r="U1120" s="196">
        <f>IF($B$1120="Лікар-педіатр",U1123*Z1120,IF($B$1120="Лікар-терапевт","х",IF($B$1120="Лікар загальної практики - сімейний лікар",U1123*Z1120,0)))</f>
        <v>0</v>
      </c>
      <c r="V1120" s="196">
        <f>IF($B$1120="Лікар-педіатр",V1123*Z1120,IF($B$1120="Лікар-терапевт","х",IF($B$1120="Лікар загальної практики - сімейний лікар",V1123*Z1120,0)))</f>
        <v>0</v>
      </c>
      <c r="W1120" s="196">
        <f>IF($B$1120="Лікар-педіатр","x",IF($B$1120="Лікар-терапевт",W1123*Z1120,IF($B$1120="Лікар загальної практики - сімейний лікар",W1123*Z1120,0)))</f>
        <v>0</v>
      </c>
      <c r="X1120" s="196">
        <f>IF($B$1120="Лікар-педіатр","x",IF($B$1120="Лікар-терапевт",X1123*Z1120,IF($B$1120="Лікар загальної практики - сімейний лікар",X1123*Z1120,0)))</f>
        <v>0</v>
      </c>
      <c r="Y1120" s="196">
        <f>IF($B$1120="Лікар-педіатр","x",IF($B$1120="Лікар-терапевт",Y1123*Z1120,IF($B$1120="Лікар загальної практики - сімейний лікар",Y1123*Z1120,0)))</f>
        <v>0</v>
      </c>
      <c r="Z1120" s="557"/>
      <c r="AA1120" s="941"/>
      <c r="AB1120" s="196">
        <f>IF($B$1120="Лікар-педіатр",AB1123*AG1120,IF($B$1120="Лікар-терапевт","х",IF($B$1120="Лікар загальної практики - сімейний лікар",AB1123*AG1120,0)))</f>
        <v>0</v>
      </c>
      <c r="AC1120" s="196">
        <f>IF($B$1120="Лікар-педіатр",AC1123*AG1120,IF($B$1120="Лікар-терапевт","х",IF($B$1120="Лікар загальної практики - сімейний лікар",AC1123*AG1120,0)))</f>
        <v>0</v>
      </c>
      <c r="AD1120" s="196">
        <f>IF($B$1120="Лікар-педіатр","x",IF($B$1120="Лікар-терапевт",AD1123*AG1120,IF($B$1120="Лікар загальної практики - сімейний лікар",AD1123*AG1120,0)))</f>
        <v>0</v>
      </c>
      <c r="AE1120" s="196">
        <f>IF($B$1120="Лікар-педіатр","x",IF($B$1120="Лікар-терапевт",AE1123*AG1120,IF($B$1120="Лікар загальної практики - сімейний лікар",AE1123*AG1120,0)))</f>
        <v>0</v>
      </c>
      <c r="AF1120" s="196">
        <f>IF($B$1120="Лікар-педіатр","x",IF($B$1120="Лікар-терапевт",AF1123*AG1120,IF($B$1120="Лікар загальної практики - сімейний лікар",AF1123*AG1120,0)))</f>
        <v>0</v>
      </c>
      <c r="AG1120" s="557"/>
      <c r="AH1120" s="941"/>
      <c r="AI1120" s="540">
        <f>A1120</f>
        <v>84</v>
      </c>
      <c r="AJ1120" s="944">
        <f>B1120</f>
        <v>0</v>
      </c>
      <c r="AK1120" s="959">
        <f>C1120</f>
        <v>0</v>
      </c>
      <c r="AL1120" s="959">
        <f>D1120</f>
        <v>0</v>
      </c>
      <c r="AM1120" s="929" t="s">
        <v>79</v>
      </c>
      <c r="AN1120" s="947">
        <f>SUM(AN1125:AN1131)</f>
        <v>0</v>
      </c>
      <c r="AO1120" s="947">
        <f>SUM(AO1125:AO1131)</f>
        <v>0</v>
      </c>
      <c r="AP1120" s="947">
        <f>SUM(AP1125:AP1131)</f>
        <v>0</v>
      </c>
      <c r="AQ1120" s="947">
        <f>SUM(AQ1125:AQ1131)</f>
        <v>0</v>
      </c>
      <c r="AR1120" s="962">
        <f>SUM(AN1120:AQ1124)</f>
        <v>0</v>
      </c>
    </row>
    <row r="1121" spans="1:44" s="50" customFormat="1" ht="28.15" hidden="1" customHeight="1">
      <c r="A1121" s="197"/>
      <c r="B1121" s="951"/>
      <c r="C1121" s="954"/>
      <c r="D1121" s="957"/>
      <c r="E1121" s="939"/>
      <c r="F1121" s="234" t="s">
        <v>660</v>
      </c>
      <c r="G1121" s="196">
        <f>IF($B$1120="Лікар-педіатр",G1123*L1121,IF($B$1120="Лікар-терапевт","х",IF($B$1120="Лікар загальної практики - сімейний лікар",G1123*L1121,0)))</f>
        <v>0</v>
      </c>
      <c r="H1121" s="196">
        <f>IF($B$1120="Лікар-педіатр",H1123*L1121,IF($B$1120="Лікар-терапевт","х",IF($B$1120="Лікар загальної практики - сімейний лікар",H1123*L1121,0)))</f>
        <v>0</v>
      </c>
      <c r="I1121" s="196">
        <f>IF($B$1120="Лікар-педіатр","x",IF($B$1120="Лікар-терапевт",I1123*L1121,IF($B$1120="Лікар загальної практики - сімейний лікар",I1123*L1121,0)))</f>
        <v>0</v>
      </c>
      <c r="J1121" s="196">
        <f>IF($B$1120="Лікар-педіатр","x",IF($B$1120="Лікар-терапевт",J1123*L1121,IF($B$1120="Лікар загальної практики - сімейний лікар",J1123*L1121,0)))</f>
        <v>0</v>
      </c>
      <c r="K1121" s="196">
        <f>IF($B$1120="Лікар-педіатр","x",IF($B$1120="Лікар-терапевт",K1123*L1121,IF($B$1120="Лікар загальної практики - сімейний лікар",K1123*L1121,0)))</f>
        <v>0</v>
      </c>
      <c r="L1121" s="557"/>
      <c r="M1121" s="942"/>
      <c r="N1121" s="196">
        <f>IF($B$1120="Лікар-педіатр",N1123*S1121,IF($B$1120="Лікар-терапевт","х",IF($B$1120="Лікар загальної практики - сімейний лікар",N1123*S1121,0)))</f>
        <v>0</v>
      </c>
      <c r="O1121" s="196">
        <f>IF($B$1120="Лікар-педіатр",O1123*S1121,IF($B$1120="Лікар-терапевт","х",IF($B$1120="Лікар загальної практики - сімейний лікар",O1123*S1121,0)))</f>
        <v>0</v>
      </c>
      <c r="P1121" s="196">
        <f>IF($B$1120="Лікар-педіатр","x",IF($B$1120="Лікар-терапевт",P1123*S1121,IF($B$1120="Лікар загальної практики - сімейний лікар",P1123*S1121,0)))</f>
        <v>0</v>
      </c>
      <c r="Q1121" s="196">
        <f>IF($B$1120="Лікар-педіатр","x",IF($B$1120="Лікар-терапевт",Q1123*S1121,IF($B$1120="Лікар загальної практики - сімейний лікар",Q1123*S1121,0)))</f>
        <v>0</v>
      </c>
      <c r="R1121" s="196">
        <f>IF($B$1120="Лікар-педіатр","x",IF($B$1120="Лікар-терапевт",R1123*S1121,IF($B$1120="Лікар загальної практики - сімейний лікар",R1123*S1121,0)))</f>
        <v>0</v>
      </c>
      <c r="S1121" s="557"/>
      <c r="T1121" s="942"/>
      <c r="U1121" s="196">
        <f>IF($B$1120="Лікар-педіатр",U1123*Z1121,IF($B$1120="Лікар-терапевт","х",IF($B$1120="Лікар загальної практики - сімейний лікар",U1123*Z1121,0)))</f>
        <v>0</v>
      </c>
      <c r="V1121" s="196">
        <f>IF($B$1120="Лікар-педіатр",V1123*Z1121,IF($B$1120="Лікар-терапевт","х",IF($B$1120="Лікар загальної практики - сімейний лікар",V1123*Z1121,0)))</f>
        <v>0</v>
      </c>
      <c r="W1121" s="196">
        <f>IF($B$1120="Лікар-педіатр","x",IF($B$1120="Лікар-терапевт",W1123*Z1121,IF($B$1120="Лікар загальної практики - сімейний лікар",W1123*Z1121,0)))</f>
        <v>0</v>
      </c>
      <c r="X1121" s="196">
        <f>IF($B$1120="Лікар-педіатр","x",IF($B$1120="Лікар-терапевт",X1123*Z1121,IF($B$1120="Лікар загальної практики - сімейний лікар",X1123*Z1121,0)))</f>
        <v>0</v>
      </c>
      <c r="Y1121" s="196">
        <f>IF($B$1120="Лікар-педіатр","x",IF($B$1120="Лікар-терапевт",Y1123*Z1121,IF($B$1120="Лікар загальної практики - сімейний лікар",Y1123*Z1121,0)))</f>
        <v>0</v>
      </c>
      <c r="Z1121" s="557"/>
      <c r="AA1121" s="942"/>
      <c r="AB1121" s="196">
        <f>IF($B$1120="Лікар-педіатр",AB1123*AG1121,IF($B$1120="Лікар-терапевт","х",IF($B$1120="Лікар загальної практики - сімейний лікар",AB1123*AG1121,0)))</f>
        <v>0</v>
      </c>
      <c r="AC1121" s="196">
        <f>IF($B$1120="Лікар-педіатр",AC1123*AG1121,IF($B$1120="Лікар-терапевт","х",IF($B$1120="Лікар загальної практики - сімейний лікар",AC1123*AG1121,0)))</f>
        <v>0</v>
      </c>
      <c r="AD1121" s="196">
        <f>IF($B$1120="Лікар-педіатр","x",IF($B$1120="Лікар-терапевт",AD1123*AG1121,IF($B$1120="Лікар загальної практики - сімейний лікар",AD1123*AG1121,0)))</f>
        <v>0</v>
      </c>
      <c r="AE1121" s="196">
        <f>IF($B$1120="Лікар-педіатр","x",IF($B$1120="Лікар-терапевт",AE1123*AG1121,IF($B$1120="Лікар загальної практики - сімейний лікар",AE1123*AG1121,0)))</f>
        <v>0</v>
      </c>
      <c r="AF1121" s="196">
        <f>IF($B$1120="Лікар-педіатр","x",IF($B$1120="Лікар-терапевт",AF1123*AG1121,IF($B$1120="Лікар загальної практики - сімейний лікар",AF1123*AG1121,0)))</f>
        <v>0</v>
      </c>
      <c r="AG1121" s="557"/>
      <c r="AH1121" s="942"/>
      <c r="AI1121" s="198"/>
      <c r="AJ1121" s="945"/>
      <c r="AK1121" s="960"/>
      <c r="AL1121" s="960"/>
      <c r="AM1121" s="930"/>
      <c r="AN1121" s="948"/>
      <c r="AO1121" s="948"/>
      <c r="AP1121" s="948"/>
      <c r="AQ1121" s="948"/>
      <c r="AR1121" s="963"/>
    </row>
    <row r="1122" spans="1:44" s="90" customFormat="1" ht="31.15" hidden="1" customHeight="1">
      <c r="A1122" s="240"/>
      <c r="B1122" s="951"/>
      <c r="C1122" s="954"/>
      <c r="D1122" s="957"/>
      <c r="E1122" s="939"/>
      <c r="F1122" s="241" t="s">
        <v>661</v>
      </c>
      <c r="G1122" s="199">
        <f>IF(B1120="Лікар загальної практики - сімейний лікар"," ",IF(B1120="Лікар-педіатр"," ",IF(B1120="Лікар-терапевт","х",0)))</f>
        <v>0</v>
      </c>
      <c r="H1122" s="199">
        <f>IF(B1120="Лікар загальної практики - сімейний лікар"," ",IF(B1120="Лікар-педіатр"," ",IF(B1120="Лікар-терапевт","х",0)))</f>
        <v>0</v>
      </c>
      <c r="I1122" s="199">
        <f>IF(B1120="Лікар загальної практики - сімейний лікар"," ",IF(B1120="Лікар-педіатр","х",IF(B1120="Лікар-терапевт"," ",0)))</f>
        <v>0</v>
      </c>
      <c r="J1122" s="199">
        <f>IF(B1120="Лікар загальної практики - сімейний лікар"," ",IF(B1120="Лікар-педіатр","х",IF(B1120="Лікар-терапевт"," ",0)))</f>
        <v>0</v>
      </c>
      <c r="K1122" s="199">
        <f>IF(B1120="Лікар загальної практики - сімейний лікар"," ",IF(B1120="Лікар-педіатр","х",IF(B1120="Лікар-терапевт"," ",0)))</f>
        <v>0</v>
      </c>
      <c r="L1122" s="200">
        <f>SUM(G1122:K1122)</f>
        <v>0</v>
      </c>
      <c r="M1122" s="942"/>
      <c r="N1122" s="199">
        <f>IF(B1120="Лікар загальної практики - сімейний лікар"," ",IF(B1120="Лікар-педіатр"," ",IF(B1120="Лікар-терапевт","х",0)))</f>
        <v>0</v>
      </c>
      <c r="O1122" s="199">
        <f>IF(B1120="Лікар загальної практики - сімейний лікар"," ",IF(B1120="Лікар-педіатр"," ",IF(B1120="Лікар-терапевт","х",0)))</f>
        <v>0</v>
      </c>
      <c r="P1122" s="199">
        <f>IF(B1120="Лікар загальної практики - сімейний лікар"," ",IF(B1120="Лікар-педіатр","х",IF(B1120="Лікар-терапевт"," ",0)))</f>
        <v>0</v>
      </c>
      <c r="Q1122" s="199">
        <f>IF(B1120="Лікар загальної практики - сімейний лікар"," ",IF(B1120="Лікар-педіатр","х",IF(B1120="Лікар-терапевт"," ",0)))</f>
        <v>0</v>
      </c>
      <c r="R1122" s="199">
        <f>IF(B1120="Лікар загальної практики - сімейний лікар"," ",IF(B1120="Лікар-педіатр","х",IF(B1120="Лікар-терапевт"," ",0)))</f>
        <v>0</v>
      </c>
      <c r="S1122" s="200">
        <f>SUM(N1122:R1122)</f>
        <v>0</v>
      </c>
      <c r="T1122" s="942"/>
      <c r="U1122" s="199">
        <f>IF(B1120="Лікар загальної практики - сімейний лікар"," ",IF(B1120="Лікар-педіатр"," ",IF(B1120="Лікар-терапевт","х",0)))</f>
        <v>0</v>
      </c>
      <c r="V1122" s="199">
        <f>IF(B1120="Лікар загальної практики - сімейний лікар"," ",IF(B1120="Лікар-педіатр"," ",IF(B1120="Лікар-терапевт","х",0)))</f>
        <v>0</v>
      </c>
      <c r="W1122" s="199">
        <f>IF(B1120="Лікар загальної практики - сімейний лікар"," ",IF(B1120="Лікар-педіатр","х",IF(B1120="Лікар-терапевт"," ",0)))</f>
        <v>0</v>
      </c>
      <c r="X1122" s="199">
        <f>IF(B1120="Лікар загальної практики - сімейний лікар"," ",IF(B1120="Лікар-педіатр","х",IF(B1120="Лікар-терапевт"," ",0)))</f>
        <v>0</v>
      </c>
      <c r="Y1122" s="199">
        <f>IF(B1120="Лікар загальної практики - сімейний лікар"," ",IF(B1120="Лікар-педіатр","х",IF(B1120="Лікар-терапевт"," ",0)))</f>
        <v>0</v>
      </c>
      <c r="Z1122" s="200">
        <f>SUM(U1122:Y1122)</f>
        <v>0</v>
      </c>
      <c r="AA1122" s="942"/>
      <c r="AB1122" s="199">
        <f>IF(B1120="Лікар загальної практики - сімейний лікар"," ",IF(B1120="Лікар-педіатр"," ",IF(B1120="Лікар-терапевт","х",0)))</f>
        <v>0</v>
      </c>
      <c r="AC1122" s="199">
        <f>IF(B1120="Лікар загальної практики - сімейний лікар"," ",IF(B1120="Лікар-педіатр"," ",IF(B1120="Лікар-терапевт","х",0)))</f>
        <v>0</v>
      </c>
      <c r="AD1122" s="199">
        <f>IF(B1120="Лікар загальної практики - сімейний лікар"," ",IF(B1120="Лікар-педіатр","х",IF(B1120="Лікар-терапевт"," ",0)))</f>
        <v>0</v>
      </c>
      <c r="AE1122" s="199">
        <f>IF(B1120="Лікар загальної практики - сімейний лікар"," ",IF(B1120="Лікар-педіатр","х",IF(B1120="Лікар-терапевт"," ",0)))</f>
        <v>0</v>
      </c>
      <c r="AF1122" s="199">
        <f>IF(B1120="Лікар загальної практики - сімейний лікар"," ",IF(B1120="Лікар-педіатр","х",IF(B1120="Лікар-терапевт"," ",0)))</f>
        <v>0</v>
      </c>
      <c r="AG1122" s="200">
        <f>SUM(AB1122:AF1122)</f>
        <v>0</v>
      </c>
      <c r="AH1122" s="942"/>
      <c r="AI1122" s="242"/>
      <c r="AJ1122" s="945"/>
      <c r="AK1122" s="960"/>
      <c r="AL1122" s="960"/>
      <c r="AM1122" s="930"/>
      <c r="AN1122" s="948"/>
      <c r="AO1122" s="948"/>
      <c r="AP1122" s="948"/>
      <c r="AQ1122" s="948"/>
      <c r="AR1122" s="963"/>
    </row>
    <row r="1123" spans="1:44" s="50" customFormat="1" ht="31.9" hidden="1" customHeight="1" thickBot="1">
      <c r="A1123" s="197"/>
      <c r="B1123" s="951"/>
      <c r="C1123" s="954"/>
      <c r="D1123" s="957"/>
      <c r="E1123" s="939"/>
      <c r="F1123" s="236" t="s">
        <v>426</v>
      </c>
      <c r="G1123" s="203">
        <f>IF($B$1120="Лікар-педіатр",G1122/L1122,IF($B$1120="Лікар-терапевт","х",IF($B$1120="Лікар загальної практики - сімейний лікар",G1122/L1122,0)))</f>
        <v>0</v>
      </c>
      <c r="H1123" s="203">
        <f>IF($B$1120="Лікар-педіатр",H1122/L1122,IF($B$1120="Лікар-терапевт","х",IF($B$1120="Лікар загальної практики - сімейний лікар",H1122/L1122,0)))</f>
        <v>0</v>
      </c>
      <c r="I1123" s="203">
        <f>IF($B$1120="Лікар-педіатр","x",IF($B$1120="Лікар-терапевт",I1122/L1122,IF($B$1120="Лікар загальної практики - сімейний лікар",I1122/L1122,0)))</f>
        <v>0</v>
      </c>
      <c r="J1123" s="203">
        <f>IF($B$1120="Лікар-педіатр","x",IF($B$1120="Лікар-терапевт",J1122/L1122,IF($B$1120="Лікар загальної практики - сімейний лікар",J1122/L1122,0)))</f>
        <v>0</v>
      </c>
      <c r="K1123" s="203">
        <f>IF($B$1120="Лікар-педіатр","x",IF($B$1120="Лікар-терапевт",K1122/L1122,IF($B$1120="Лікар загальної практики - сімейний лікар",K1122/L1122,0)))</f>
        <v>0</v>
      </c>
      <c r="L1123" s="203">
        <f>SUM(G1123:K1123)</f>
        <v>0</v>
      </c>
      <c r="M1123" s="942"/>
      <c r="N1123" s="203">
        <f>IF($B$1120="Лікар-педіатр",N1122/S1122,IF($B$1120="Лікар-терапевт","х",IF($B$1120="Лікар загальної практики - сімейний лікар",N1122/S1122,0)))</f>
        <v>0</v>
      </c>
      <c r="O1123" s="203">
        <f>IF($B$1120="Лікар-педіатр",O1122/S1122,IF($B$1120="Лікар-терапевт","х",IF($B$1120="Лікар загальної практики - сімейний лікар",O1122/S1122,0)))</f>
        <v>0</v>
      </c>
      <c r="P1123" s="203">
        <f>IF($B$1120="Лікар-педіатр","x",IF($B$1120="Лікар-терапевт",P1122/S1122,IF($B$1120="Лікар загальної практики - сімейний лікар",P1122/S1122,0)))</f>
        <v>0</v>
      </c>
      <c r="Q1123" s="203">
        <f>IF($B$1120="Лікар-педіатр","x",IF($B$1120="Лікар-терапевт",Q1122/S1122,IF($B$1120="Лікар загальної практики - сімейний лікар",Q1122/S1122,0)))</f>
        <v>0</v>
      </c>
      <c r="R1123" s="203">
        <f>IF($B$1120="Лікар-педіатр","x",IF($B$1120="Лікар-терапевт",R1122/S1122,IF($B$1120="Лікар загальної практики - сімейний лікар",R1122/S1122,0)))</f>
        <v>0</v>
      </c>
      <c r="S1123" s="203">
        <f>SUM(N1123:R1123)</f>
        <v>0</v>
      </c>
      <c r="T1123" s="942"/>
      <c r="U1123" s="203">
        <f>IF($B$1120="Лікар-педіатр",U1122/Z1122,IF($B$1120="Лікар-терапевт","х",IF($B$1120="Лікар загальної практики - сімейний лікар",U1122/Z1122,0)))</f>
        <v>0</v>
      </c>
      <c r="V1123" s="203">
        <f>IF($B$1120="Лікар-педіатр",V1122/Z1122,IF($B$1120="Лікар-терапевт","х",IF($B$1120="Лікар загальної практики - сімейний лікар",V1122/Z1122,0)))</f>
        <v>0</v>
      </c>
      <c r="W1123" s="203">
        <f>IF($B$1120="Лікар-педіатр","x",IF($B$1120="Лікар-терапевт",W1122/Z1122,IF($B$1120="Лікар загальної практики - сімейний лікар",W1122/Z1122,0)))</f>
        <v>0</v>
      </c>
      <c r="X1123" s="203">
        <f>IF($B$1120="Лікар-педіатр","x",IF($B$1120="Лікар-терапевт",X1122/Z1122,IF($B$1120="Лікар загальної практики - сімейний лікар",X1122/Z1122,0)))</f>
        <v>0</v>
      </c>
      <c r="Y1123" s="203">
        <f>IF($B$1120="Лікар-педіатр","x",IF($B$1120="Лікар-терапевт",Y1122/Z1122,IF($B$1120="Лікар загальної практики - сімейний лікар",Y1122/Z1122,0)))</f>
        <v>0</v>
      </c>
      <c r="Z1123" s="203">
        <f>SUM(U1123:Y1123)</f>
        <v>0</v>
      </c>
      <c r="AA1123" s="942"/>
      <c r="AB1123" s="203">
        <f>IF($B$1120="Лікар-педіатр",AB1122/AG1122,IF($B$1120="Лікар-терапевт","х",IF($B$1120="Лікар загальної практики - сімейний лікар",AB1122/AG1122,0)))</f>
        <v>0</v>
      </c>
      <c r="AC1123" s="203">
        <f>IF($B$1120="Лікар-педіатр",AC1122/AG1122,IF($B$1120="Лікар-терапевт","х",IF($B$1120="Лікар загальної практики - сімейний лікар",AC1122/AG1122,0)))</f>
        <v>0</v>
      </c>
      <c r="AD1123" s="203">
        <f>IF($B$1120="Лікар-педіатр","x",IF($B$1120="Лікар-терапевт",AD1122/AG1122,IF($B$1120="Лікар загальної практики - сімейний лікар",AD1122/AG1122,0)))</f>
        <v>0</v>
      </c>
      <c r="AE1123" s="203">
        <f>IF($B$1120="Лікар-педіатр","x",IF($B$1120="Лікар-терапевт",AE1122/AG1122,IF($B$1120="Лікар загальної практики - сімейний лікар",AE1122/AG1122,0)))</f>
        <v>0</v>
      </c>
      <c r="AF1123" s="203">
        <f>IF($B$1120="Лікар-педіатр","x",IF($B$1120="Лікар-терапевт",AF1122/AG1122,IF($B$1120="Лікар загальної практики - сімейний лікар",AF1122/AG1122,0)))</f>
        <v>0</v>
      </c>
      <c r="AG1123" s="203">
        <f>SUM(AB1123:AF1123)</f>
        <v>0</v>
      </c>
      <c r="AH1123" s="942"/>
      <c r="AI1123" s="201"/>
      <c r="AJ1123" s="945"/>
      <c r="AK1123" s="960"/>
      <c r="AL1123" s="960"/>
      <c r="AM1123" s="930"/>
      <c r="AN1123" s="948"/>
      <c r="AO1123" s="948"/>
      <c r="AP1123" s="948"/>
      <c r="AQ1123" s="948"/>
      <c r="AR1123" s="963"/>
    </row>
    <row r="1124" spans="1:44" s="50" customFormat="1" ht="45" hidden="1" customHeight="1" thickBot="1">
      <c r="A1124" s="197"/>
      <c r="B1124" s="951"/>
      <c r="C1124" s="954"/>
      <c r="D1124" s="957"/>
      <c r="E1124" s="939"/>
      <c r="F1124" s="204" t="s">
        <v>662</v>
      </c>
      <c r="G1124" s="205">
        <f>IF($B$1120="Лікар загальної практики - сімейний лікар",AVERAGE(G1120:G1122),IF($B$1120="Лікар-педіатр",AVERAGE(G1120:G1122),IF($B$1120="Лікар-терапевт","х",0)))</f>
        <v>0</v>
      </c>
      <c r="H1124" s="205">
        <f>IF($B$1120="Лікар загальної практики - сімейний лікар",AVERAGE(H1120:H1122),IF($B$1120="Лікар-педіатр",AVERAGE(H1120:H1122),IF($B$1120="Лікар-терапевт","х",0)))</f>
        <v>0</v>
      </c>
      <c r="I1124" s="205">
        <f>IF($B$1120="Лікар загальної практики - сімейний лікар",AVERAGE(I1120:I1122),IF($B$1120="Лікар-педіатр","x",IF($B$1120="Лікар-терапевт",AVERAGE(I1120:I1122),0)))</f>
        <v>0</v>
      </c>
      <c r="J1124" s="205">
        <f>IF($B$1120="Лікар загальної практики - сімейний лікар",AVERAGE(J1120:J1122),IF($B$1120="Лікар-педіатр","x",IF($B$1120="Лікар-терапевт",AVERAGE(J1120:J1122),0)))</f>
        <v>0</v>
      </c>
      <c r="K1124" s="205">
        <f>IF($B$1120="Лікар загальної практики - сімейний лікар",AVERAGE(K1120:K1122),IF($B$1120="Лікар-педіатр","x",IF($B$1120="Лікар-терапевт",AVERAGE(K1120:K1122),0)))</f>
        <v>0</v>
      </c>
      <c r="L1124" s="206">
        <f>SUM(G1124:K1124)</f>
        <v>0</v>
      </c>
      <c r="M1124" s="942"/>
      <c r="N1124" s="205">
        <f>IF($B$1120="Лікар загальної практики - сімейний лікар",AVERAGE(N1120:N1122),IF($B$1120="Лікар-педіатр",AVERAGE(N1120:N1122),IF($B$1120="Лікар-терапевт","х",0)))</f>
        <v>0</v>
      </c>
      <c r="O1124" s="205">
        <f>IF($B$1120="Лікар загальної практики - сімейний лікар",AVERAGE(O1120:O1122),IF($B$1120="Лікар-педіатр",AVERAGE(O1120:O1122),IF($B$1120="Лікар-терапевт","х",0)))</f>
        <v>0</v>
      </c>
      <c r="P1124" s="205">
        <f>IF($B$1120="Лікар загальної практики - сімейний лікар",AVERAGE(P1120:P1122),IF($B$1120="Лікар-педіатр","x",IF($B$1120="Лікар-терапевт",AVERAGE(P1120:P1122),0)))</f>
        <v>0</v>
      </c>
      <c r="Q1124" s="205">
        <f>IF($B$1120="Лікар загальної практики - сімейний лікар",AVERAGE(Q1120:Q1122),IF($B$1120="Лікар-педіатр","x",IF($B$1120="Лікар-терапевт",AVERAGE(Q1120:Q1122),0)))</f>
        <v>0</v>
      </c>
      <c r="R1124" s="205">
        <f>IF($B$1120="Лікар загальної практики - сімейний лікар",AVERAGE(R1120:R1122),IF($B$1120="Лікар-педіатр","x",IF($B$1120="Лікар-терапевт",AVERAGE(R1120:R1122),0)))</f>
        <v>0</v>
      </c>
      <c r="S1124" s="206">
        <f>SUM(N1124:R1124)</f>
        <v>0</v>
      </c>
      <c r="T1124" s="942"/>
      <c r="U1124" s="205">
        <f>IF($B$1120="Лікар загальної практики - сімейний лікар",AVERAGE(U1120:U1122),IF($B$1120="Лікар-педіатр",AVERAGE(U1120:U1122),IF($B$1120="Лікар-терапевт","х",0)))</f>
        <v>0</v>
      </c>
      <c r="V1124" s="205">
        <f>IF($B$1120="Лікар загальної практики - сімейний лікар",AVERAGE(V1120:V1122),IF($B$1120="Лікар-педіатр",AVERAGE(V1120:V1122),IF($B$1120="Лікар-терапевт","х",0)))</f>
        <v>0</v>
      </c>
      <c r="W1124" s="205">
        <f>IF($B$1120="Лікар загальної практики - сімейний лікар",AVERAGE(W1120:W1122),IF($B$1120="Лікар-педіатр","x",IF($B$1120="Лікар-терапевт",AVERAGE(W1120:W1122),0)))</f>
        <v>0</v>
      </c>
      <c r="X1124" s="205">
        <f>IF($B$1120="Лікар загальної практики - сімейний лікар",AVERAGE(X1120:X1122),IF($B$1120="Лікар-педіатр","x",IF($B$1120="Лікар-терапевт",AVERAGE(X1120:X1122),0)))</f>
        <v>0</v>
      </c>
      <c r="Y1124" s="205">
        <f>IF($B$1120="Лікар загальної практики - сімейний лікар",AVERAGE(Y1120:Y1122),IF($B$1120="Лікар-педіатр","x",IF($B$1120="Лікар-терапевт",AVERAGE(Y1120:Y1122),0)))</f>
        <v>0</v>
      </c>
      <c r="Z1124" s="206">
        <f>SUM(U1124:Y1124)</f>
        <v>0</v>
      </c>
      <c r="AA1124" s="942"/>
      <c r="AB1124" s="205">
        <f>IF($B$1120="Лікар загальної практики - сімейний лікар",AVERAGE(AB1120:AB1122),IF($B$1120="Лікар-педіатр",AVERAGE(AB1120:AB1122),IF($B$1120="Лікар-терапевт","х",0)))</f>
        <v>0</v>
      </c>
      <c r="AC1124" s="205">
        <f>IF($B$1120="Лікар загальної практики - сімейний лікар",AVERAGE(AC1120:AC1122),IF($B$1120="Лікар-педіатр",AVERAGE(AC1120:AC1122),IF($B$1120="Лікар-терапевт","х",0)))</f>
        <v>0</v>
      </c>
      <c r="AD1124" s="205">
        <f>IF($B$1120="Лікар загальної практики - сімейний лікар",AVERAGE(AD1120:AD1122),IF($B$1120="Лікар-педіатр","x",IF($B$1120="Лікар-терапевт",AVERAGE(AD1120:AD1122),0)))</f>
        <v>0</v>
      </c>
      <c r="AE1124" s="205">
        <f>IF($B$1120="Лікар загальної практики - сімейний лікар",AVERAGE(AE1120:AE1122),IF($B$1120="Лікар-педіатр","x",IF($B$1120="Лікар-терапевт",AVERAGE(AE1120:AE1122),0)))</f>
        <v>0</v>
      </c>
      <c r="AF1124" s="205">
        <f>IF($B$1120="Лікар загальної практики - сімейний лікар",AVERAGE(AF1120:AF1122),IF($B$1120="Лікар-педіатр","x",IF($B$1120="Лікар-терапевт",AVERAGE(AF1120:AF1122),0)))</f>
        <v>0</v>
      </c>
      <c r="AG1124" s="206">
        <f>SUM(AB1124:AF1124)</f>
        <v>0</v>
      </c>
      <c r="AH1124" s="942"/>
      <c r="AI1124" s="201"/>
      <c r="AJ1124" s="945"/>
      <c r="AK1124" s="960"/>
      <c r="AL1124" s="960"/>
      <c r="AM1124" s="931"/>
      <c r="AN1124" s="949"/>
      <c r="AO1124" s="949"/>
      <c r="AP1124" s="949"/>
      <c r="AQ1124" s="949"/>
      <c r="AR1124" s="964"/>
    </row>
    <row r="1125" spans="1:44" s="50" customFormat="1" ht="40.5" hidden="1">
      <c r="A1125" s="197"/>
      <c r="B1125" s="951"/>
      <c r="C1125" s="954"/>
      <c r="D1125" s="957"/>
      <c r="E1125" s="939"/>
      <c r="F1125" s="237" t="str">
        <f ca="1">IF(B1120="Лікар-педіатр",Законод!$C$17,IF(B1120="Лікар загальної практики - сімейний лікар",Законод!$C$21,IF(B1120="Лікар-терапевт",Законод!$C$25,"х")))</f>
        <v>х</v>
      </c>
      <c r="G1125" s="208">
        <f ca="1">IF($B$1120="Лікар загальної практики - сімейний лікар",IF(L1124&lt;=Законод!$C$22,G1124,Законод!$C$22*'01_Доходи'!G1123),IF($B$1120="Лікар-педіатр",IF(L1124&lt;=Законод!$C$18,G1124,Законод!$C$18*'01_Доходи'!G1123),IF($B$1120="Лікар-терапевт","x",0)))</f>
        <v>0</v>
      </c>
      <c r="H1125" s="208">
        <f ca="1">IF($B$1120="Лікар загальної практики - сімейний лікар",IF(L1124&lt;=Законод!$C$22,H1124,Законод!$C$22*'01_Доходи'!H1123),IF($B$1120="Лікар-педіатр",IF(L1124&lt;=Законод!$C$18,H1124,Законод!$C$18*'01_Доходи'!H1123),IF($B$1120="Лікар-терапевт","x",0)))</f>
        <v>0</v>
      </c>
      <c r="I1125" s="208">
        <f ca="1">IF($B$1120="Лікар загальної практики - сімейний лікар",IF(L1124&lt;=Законод!$C$22,I1124,Законод!$C$22*'01_Доходи'!I1123),IF($B$1120="Лікар-педіатр","x",IF($B$1120="Лікар-терапевт",IF(L1124&lt;=Законод!$C$26,I1124,Законод!$C$26*'01_Доходи'!I1123),0)))</f>
        <v>0</v>
      </c>
      <c r="J1125" s="208">
        <f ca="1">IF($B$1120="Лікар загальної практики - сімейний лікар",IF(L1124&lt;=Законод!$C$22,J1124,Законод!$C$22*'01_Доходи'!J1123),IF($B$1120="Лікар-педіатр","x",IF($B$1120="Лікар-терапевт",IF(L1124&lt;=Законод!$C$26,J1124,Законод!$C$26*'01_Доходи'!J1123),0)))</f>
        <v>0</v>
      </c>
      <c r="K1125" s="208">
        <f ca="1">IF($B$1120="Лікар загальної практики - сімейний лікар",IF(L1124&lt;=Законод!$C$22,K1124,Законод!$C$22*'01_Доходи'!K1123),IF($B$1120="Лікар-педіатр","x",IF($B$1120="Лікар-терапевт",IF(L1124&lt;=Законод!$C$26,K1124,Законод!$C$26*'01_Доходи'!K1123),0)))</f>
        <v>0</v>
      </c>
      <c r="L1125" s="209">
        <f ca="1">SUM(G1125:K1125)</f>
        <v>0</v>
      </c>
      <c r="M1125" s="942"/>
      <c r="N1125" s="208">
        <f ca="1">IF($B$1120="Лікар загальної практики - сімейний лікар",IF(S1124&lt;=Законод!$C$22,N1124,Законод!$C$22*'01_Доходи'!N1123),IF($B$1120="Лікар-педіатр",IF(S1124&lt;=Законод!$C$18,N1124,Законод!$C$18*'01_Доходи'!N1123),IF($B$1120="Лікар-терапевт","x",0)))</f>
        <v>0</v>
      </c>
      <c r="O1125" s="208">
        <f ca="1">IF($B$1120="Лікар загальної практики - сімейний лікар",IF(S1124&lt;=Законод!$C$22,O1124,Законод!$C$22*'01_Доходи'!O1123),IF($B$1120="Лікар-педіатр",IF(S1124&lt;=Законод!$C$18,O1124,Законод!$C$18*'01_Доходи'!O1123),IF($B$1120="Лікар-терапевт","x",0)))</f>
        <v>0</v>
      </c>
      <c r="P1125" s="208">
        <f ca="1">IF($B$1120="Лікар загальної практики - сімейний лікар",IF(S1124&lt;=Законод!$C$22,P1124,Законод!$C$22*'01_Доходи'!P1123),IF($B$1120="Лікар-педіатр","x",IF($B$1120="Лікар-терапевт",IF(S1124&lt;=Законод!$C$26,P1124,Законод!$C$26*'01_Доходи'!P1123),0)))</f>
        <v>0</v>
      </c>
      <c r="Q1125" s="208">
        <f ca="1">IF($B$1120="Лікар загальної практики - сімейний лікар",IF(S1124&lt;=Законод!$C$22,Q1124,Законод!$C$22*'01_Доходи'!Q1123),IF($B$1120="Лікар-педіатр","x",IF($B$1120="Лікар-терапевт",IF(S1124&lt;=Законод!$C$26,Q1124,Законод!$C$26*'01_Доходи'!Q1123),0)))</f>
        <v>0</v>
      </c>
      <c r="R1125" s="208">
        <f ca="1">IF($B$1120="Лікар загальної практики - сімейний лікар",IF(S1124&lt;=Законод!$C$22,R1124,Законод!$C$22*'01_Доходи'!R1123),IF($B$1120="Лікар-педіатр","x",IF($B$1120="Лікар-терапевт",IF(S1124&lt;=Законод!$C$26,R1124,Законод!$C$26*'01_Доходи'!R1123),0)))</f>
        <v>0</v>
      </c>
      <c r="S1125" s="209">
        <f ca="1">SUM(N1125:R1125)</f>
        <v>0</v>
      </c>
      <c r="T1125" s="942"/>
      <c r="U1125" s="208">
        <f ca="1">IF($B$1120="Лікар загальної практики - сімейний лікар",IF(Z1124&lt;=Законод!$C$22,U1124,Законод!$C$22*'01_Доходи'!U1123),IF($B$1120="Лікар-педіатр",IF(Z1124&lt;=Законод!$C$18,U1124,Законод!$C$18*'01_Доходи'!U1123),IF($B$1120="Лікар-терапевт","x",0)))</f>
        <v>0</v>
      </c>
      <c r="V1125" s="208">
        <f ca="1">IF($B$1120="Лікар загальної практики - сімейний лікар",IF(Z1124&lt;=Законод!$C$22,V1124,Законод!$C$22*'01_Доходи'!V1123),IF($B$1120="Лікар-педіатр",IF(Z1124&lt;=Законод!$C$18,V1124,Законод!$C$18*'01_Доходи'!V1123),IF($B$1120="Лікар-терапевт","x",0)))</f>
        <v>0</v>
      </c>
      <c r="W1125" s="208">
        <f ca="1">IF($B$1120="Лікар загальної практики - сімейний лікар",IF(Z1124&lt;=Законод!$C$22,W1124,Законод!$C$22*'01_Доходи'!W1123),IF($B$1120="Лікар-педіатр","x",IF($B$1120="Лікар-терапевт",IF(Z1124&lt;=Законод!$C$26,W1124,Законод!$C$26*'01_Доходи'!W1123),0)))</f>
        <v>0</v>
      </c>
      <c r="X1125" s="208">
        <f ca="1">IF($B$1120="Лікар загальної практики - сімейний лікар",IF(Z1124&lt;=Законод!$C$22,X1124,Законод!$C$22*'01_Доходи'!X1123),IF($B$1120="Лікар-педіатр","x",IF($B$1120="Лікар-терапевт",IF(Z1124&lt;=Законод!$C$26,X1124,Законод!$C$26*'01_Доходи'!X1123),0)))</f>
        <v>0</v>
      </c>
      <c r="Y1125" s="208">
        <f ca="1">IF($B$1120="Лікар загальної практики - сімейний лікар",IF(Z1124&lt;=Законод!$C$22,Y1124,Законод!$C$22*'01_Доходи'!Y1123),IF($B$1120="Лікар-педіатр","x",IF($B$1120="Лікар-терапевт",IF(Z1124&lt;=Законод!$C$26,Y1124,Законод!$C$26*'01_Доходи'!Y1123),0)))</f>
        <v>0</v>
      </c>
      <c r="Z1125" s="209">
        <f ca="1">SUM(U1125:Y1125)</f>
        <v>0</v>
      </c>
      <c r="AA1125" s="942"/>
      <c r="AB1125" s="208">
        <f ca="1">IF($B$1120="Лікар загальної практики - сімейний лікар",IF(AG1124&lt;=Законод!$C$22,AB1124,Законод!$C$22*'01_Доходи'!AB1123),IF($B$1120="Лікар-педіатр",IF(AG1124&lt;=Законод!$C$18,AB1124,Законод!$C$18*'01_Доходи'!AB1123),IF($B$1120="Лікар-терапевт","x",0)))</f>
        <v>0</v>
      </c>
      <c r="AC1125" s="208">
        <f ca="1">IF($B$1120="Лікар загальної практики - сімейний лікар",IF(AG1124&lt;=Законод!$C$22,AC1124,Законод!$C$22*'01_Доходи'!AC1123),IF($B$1120="Лікар-педіатр",IF(AG1124&lt;=Законод!$C$18,AC1124,Законод!$C$18*'01_Доходи'!AC1123),IF($B$1120="Лікар-терапевт","x",0)))</f>
        <v>0</v>
      </c>
      <c r="AD1125" s="208">
        <f ca="1">IF($B$1120="Лікар загальної практики - сімейний лікар",IF(AG1124&lt;=Законод!$C$22,AD1124,Законод!$C$22*'01_Доходи'!AD1123),IF($B$1120="Лікар-педіатр","x",IF($B$1120="Лікар-терапевт",IF(AG1124&lt;=Законод!$C$26,AD1124,Законод!$C$26*'01_Доходи'!AD1123),0)))</f>
        <v>0</v>
      </c>
      <c r="AE1125" s="208">
        <f ca="1">IF($B$1120="Лікар загальної практики - сімейний лікар",IF(AG1124&lt;=Законод!$C$22,AE1124,Законод!$C$22*'01_Доходи'!AE1123),IF($B$1120="Лікар-педіатр","x",IF($B$1120="Лікар-терапевт",IF(AG1124&lt;=Законод!$C$26,AE1124,Законод!$C$26*'01_Доходи'!AE1123),0)))</f>
        <v>0</v>
      </c>
      <c r="AF1125" s="208">
        <f ca="1">IF($B$1120="Лікар загальної практики - сімейний лікар",IF(AG1124&lt;=Законод!$C$22,AF1124,Законод!$C$22*'01_Доходи'!AF1123),IF($B$1120="Лікар-педіатр","x",IF($B$1120="Лікар-терапевт",IF(AG1124&lt;=Законод!$C$26,AF1124,Законод!$C$26*'01_Доходи'!AF1123),0)))</f>
        <v>0</v>
      </c>
      <c r="AG1125" s="209">
        <f ca="1">SUM(AB1125:AF1125)</f>
        <v>0</v>
      </c>
      <c r="AH1125" s="942"/>
      <c r="AI1125" s="201"/>
      <c r="AJ1125" s="945"/>
      <c r="AK1125" s="960"/>
      <c r="AL1125" s="960"/>
      <c r="AM1125" s="348" t="s">
        <v>451</v>
      </c>
      <c r="AN1125" s="210">
        <f ca="1">IF(B1120="Лікар загальної практики - сімейний лікар",G1125*Законод!$C$11+'01_Доходи'!H1125*Законод!$D$11+'01_Доходи'!I1125*Законод!$E$11+'01_Доходи'!J1125*Законод!$F$11+'01_Доходи'!K1125*Законод!$G$11,IF(B1120="Лікар-педіатр",G1125*Законод!$C$11+'01_Доходи'!H1125*Законод!$D$11,IF(B1120="Лікар-терапевт",'01_Доходи'!I1125*Законод!$E$11+'01_Доходи'!J1125*Законод!$F$11+'01_Доходи'!K1125*Законод!$G$11,0)))</f>
        <v>0</v>
      </c>
      <c r="AO1125" s="210">
        <f ca="1">IF(B1120="Лікар загальної практики - сімейний лікар",N1125*Законод!$C$11+'01_Доходи'!O1125*Законод!$D$11+'01_Доходи'!P1125*Законод!$E$11+'01_Доходи'!Q1125*Законод!$F$11+'01_Доходи'!R1125*Законод!$G$11,IF(B1120="Лікар-педіатр",N1125*Законод!$C$11+'01_Доходи'!O1125*Законод!$D$11,IF(B1120="Лікар-терапевт",'01_Доходи'!P1125*Законод!$E$11+'01_Доходи'!Q1125*Законод!$F$11+'01_Доходи'!R1125*Законод!$G$11,0)))</f>
        <v>0</v>
      </c>
      <c r="AP1125" s="210">
        <f ca="1">IF(B1120="Лікар загальної практики - сімейний лікар",U1125*Законод!$C$11+'01_Доходи'!V1125*Законод!$D$11+'01_Доходи'!W1125*Законод!$E$11+'01_Доходи'!X1125*Законод!$F$11+'01_Доходи'!Y1125*Законод!$G$11,IF(B1120="Лікар-педіатр",U1125*Законод!$C$11+'01_Доходи'!V1125*Законод!$D$11,IF(B1120="Лікар-терапевт",'01_Доходи'!W1125*Законод!$E$11+'01_Доходи'!X1125*Законод!$F$11+'01_Доходи'!Y1125*Законод!$G$11,0)))</f>
        <v>0</v>
      </c>
      <c r="AQ1125" s="210">
        <f ca="1">IF(B1120="Лікар загальної практики - сімейний лікар",AB1125*Законод!$C$11+'01_Доходи'!AC1125*Законод!$D$11+'01_Доходи'!AD1125*Законод!$E$11+'01_Доходи'!AE1125*Законод!$F$11+'01_Доходи'!AF1125*Законод!$G$11,IF(B1120="Лікар-педіатр",AB1125*Законод!$C$11+'01_Доходи'!AC1125*Законод!$D$11,IF(B1120="Лікар-терапевт",'01_Доходи'!AD1125*Законод!$E$11+'01_Доходи'!AE1125*Законод!$F$11+'01_Доходи'!AF1125*Законод!$G$11,0)))</f>
        <v>0</v>
      </c>
      <c r="AR1125" s="211">
        <f t="shared" ref="AR1125:AR1131" si="126">SUM(AN1125:AQ1125)</f>
        <v>0</v>
      </c>
    </row>
    <row r="1126" spans="1:44" s="50" customFormat="1" ht="31.9" hidden="1" customHeight="1">
      <c r="A1126" s="197"/>
      <c r="B1126" s="951"/>
      <c r="C1126" s="954"/>
      <c r="D1126" s="957"/>
      <c r="E1126" s="939"/>
      <c r="F1126" s="238" t="str">
        <f ca="1">IF(B1120="Лікар-педіатр",Законод!$E$17,IF(B1120="Лікар загальної практики - сімейний лікар",Законод!$E$21,IF(B1120="Лікар-терапевт",Законод!$E$25,"х")))</f>
        <v>х</v>
      </c>
      <c r="G1126" s="935" t="s">
        <v>423</v>
      </c>
      <c r="H1126" s="936"/>
      <c r="I1126" s="936"/>
      <c r="J1126" s="936"/>
      <c r="K1126" s="937"/>
      <c r="L1126" s="196">
        <f ca="1">IF($B$1120="Лікар загальної практики - сімейний лікар",IF(L1124&lt;Законод!$C$22,0,(IF(AND(L1124&gt;=Законод!$E$22,L1124&lt;=Законод!$E$23),L1124-Законод!$C$22,IF('01_Доходи'!L1124&gt;=Законод!$F$22,Законод!$E$24,0)))),IF($B$1120="Лікар-педіатр",IF(L1124&lt;Законод!$C$18,0,(IF(AND(L1124&gt;=Законод!$E$18,L1124&lt;=Законод!$E$19),L1124-Законод!$C$18,IF('01_Доходи'!L1124&gt;=Законод!$F$18,Законод!$E$20,0)))),IF($B$1120="Лікар-терапевт",IF(L1124&lt;Законод!$C$26,0,(IF(AND(L1124&gt;=Законод!$E$26,L1124&lt;=Законод!$E$27),L1124-Законод!$C$26,IF('01_Доходи'!L1124&gt;=Законод!$F$26,Законод!$E$28,0)))),0)))</f>
        <v>0</v>
      </c>
      <c r="M1126" s="942"/>
      <c r="N1126" s="935" t="s">
        <v>423</v>
      </c>
      <c r="O1126" s="936"/>
      <c r="P1126" s="936"/>
      <c r="Q1126" s="936"/>
      <c r="R1126" s="937"/>
      <c r="S1126" s="196">
        <f ca="1">IF($B$1120="Лікар загальної практики - сімейний лікар",IF(S1124&lt;Законод!$C$22,0,(IF(AND(S1124&gt;=Законод!$E$22,S1124&lt;=Законод!$E$23),S1124-Законод!$C$22,IF('01_Доходи'!S1124&gt;=Законод!$F$22,Законод!$E$24,0)))),IF($B$1120="Лікар-педіатр",IF(S1124&lt;Законод!$C$18,0,(IF(AND(S1124&gt;=Законод!$E$18,S1124&lt;=Законод!$E$19),S1124-Законод!$C$18,IF('01_Доходи'!S1124&gt;=Законод!$F$18,Законод!$E$20,0)))),IF($B$1120="Лікар-терапевт",IF(S1124&lt;Законод!$C$26,0,(IF(AND(S1124&gt;=Законод!$E$26,S1124&lt;=Законод!$E$27),S1124-Законод!$C$26,IF('01_Доходи'!S1124&gt;=Законод!$F$26,Законод!$E$28,0)))),0)))</f>
        <v>0</v>
      </c>
      <c r="T1126" s="942"/>
      <c r="U1126" s="935" t="s">
        <v>423</v>
      </c>
      <c r="V1126" s="936"/>
      <c r="W1126" s="936"/>
      <c r="X1126" s="936"/>
      <c r="Y1126" s="937"/>
      <c r="Z1126" s="196">
        <f ca="1">IF($B$1120="Лікар загальної практики - сімейний лікар",IF(Z1124&lt;Законод!$C$22,0,(IF(AND(Z1124&gt;=Законод!$E$22,Z1124&lt;=Законод!$E$23),Z1124-Законод!$C$22,IF('01_Доходи'!Z1124&gt;=Законод!$F$22,Законод!$E$24,0)))),IF($B$1120="Лікар-педіатр",IF(Z1124&lt;Законод!$C$18,0,(IF(AND(Z1124&gt;=Законод!$E$18,Z1124&lt;=Законод!$E$19),Z1124-Законод!$C$18,IF('01_Доходи'!Z1124&gt;=Законод!$F$18,Законод!$E$20,0)))),IF($B$1120="Лікар-терапевт",IF(Z1124&lt;Законод!$C$26,0,(IF(AND(Z1124&gt;=Законод!$E$26,Z1124&lt;=Законод!$E$27),Z1124-Законод!$C$26,IF('01_Доходи'!Z1124&gt;=Законод!$F$26,Законод!$E$28,0)))),0)))</f>
        <v>0</v>
      </c>
      <c r="AA1126" s="942"/>
      <c r="AB1126" s="935" t="s">
        <v>423</v>
      </c>
      <c r="AC1126" s="936"/>
      <c r="AD1126" s="936"/>
      <c r="AE1126" s="936"/>
      <c r="AF1126" s="937"/>
      <c r="AG1126" s="196">
        <f ca="1">IF($B$1120="Лікар загальної практики - сімейний лікар",IF(AG1124&lt;Законод!$C$22,0,(IF(AND(AG1124&gt;=Законод!$E$22,AG1124&lt;=Законод!$E$23),AG1124-Законод!$C$22,IF('01_Доходи'!AG1124&gt;=Законод!$F$22,Законод!$E$24,0)))),IF($B$1120="Лікар-педіатр",IF(AG1124&lt;Законод!$C$18,0,(IF(AND(AG1124&gt;=Законод!$E$18,AG1124&lt;=Законод!$E$19),AG1124-Законод!$C$18,IF('01_Доходи'!AG1124&gt;=Законод!$F$18,Законод!$E$20,0)))),IF($B$1120="Лікар-терапевт",IF(AG1124&lt;Законод!$C$26,0,(IF(AND(AG1124&gt;=Законод!$E$26,AG1124&lt;=Законод!$E$27),AG1124-Законод!$C$26,IF('01_Доходи'!AG1124&gt;=Законод!$F$26,Законод!$E$28,0)))),0)))</f>
        <v>0</v>
      </c>
      <c r="AH1126" s="942"/>
      <c r="AI1126" s="201"/>
      <c r="AJ1126" s="945"/>
      <c r="AK1126" s="960"/>
      <c r="AL1126" s="960"/>
      <c r="AM1126" s="926" t="s">
        <v>452</v>
      </c>
      <c r="AN1126" s="210">
        <f ca="1">IF(B1120="Лікар загальної практики - сімейний лікар",L1126*Законод!$C$9/4*Законод!$E$16,IF(B1120="Лікар-педіатр",L1126*Законод!$C$9/4*Законод!$E$16,IF(B1120="Лікар-терапевт",L1126*Законод!$C$9/4*Законод!$E$16,0)))</f>
        <v>0</v>
      </c>
      <c r="AO1126" s="210">
        <f ca="1">IF(B1120="Лікар загальної практики - сімейний лікар",S1126*Законод!$C$9/4*Законод!$E$16,IF(B1120="Лікар-педіатр",S1126*Законод!$C$9/4*Законод!$E$16,IF(B1120="Лікар-терапевт",S1126*Законод!$C$9/4*Законод!$E$16,0)))</f>
        <v>0</v>
      </c>
      <c r="AP1126" s="210">
        <f ca="1">IF(B1120="Лікар загальної практики - сімейний лікар",Z1126*Законод!$C$9/4*Законод!$E$16,IF(B1120="Лікар-педіатр",Z1126*Законод!$C$9/4*Законод!$E$16,IF(B1120="Лікар-терапевт",Z1126*Законод!$C$9/4*Законод!$E$16,0)))</f>
        <v>0</v>
      </c>
      <c r="AQ1126" s="210">
        <f ca="1">IF(B1120="Лікар загальної практики - сімейний лікар",AG1126*Законод!$C$9/4*Законод!$E$16,IF(B1120="Лікар-педіатр",AG1126*Законод!$C$9/4*Законод!$E$16,IF(B1120="Лікар-терапевт",AG1126*Законод!$C$9/4*Законод!$E$16,0)))</f>
        <v>0</v>
      </c>
      <c r="AR1126" s="211">
        <f t="shared" si="126"/>
        <v>0</v>
      </c>
    </row>
    <row r="1127" spans="1:44" s="50" customFormat="1" ht="31.9" hidden="1" customHeight="1">
      <c r="A1127" s="197"/>
      <c r="B1127" s="951"/>
      <c r="C1127" s="954"/>
      <c r="D1127" s="957"/>
      <c r="E1127" s="939"/>
      <c r="F1127" s="238" t="str">
        <f ca="1">IF(B1120="Лікар-педіатр",Законод!$F$17,IF(B1120="Лікар загальної практики - сімейний лікар",Законод!$F$21,IF(B1120="Лікар-терапевт",Законод!$F$25,"х")))</f>
        <v>х</v>
      </c>
      <c r="G1127" s="935" t="s">
        <v>423</v>
      </c>
      <c r="H1127" s="936"/>
      <c r="I1127" s="936"/>
      <c r="J1127" s="936"/>
      <c r="K1127" s="937"/>
      <c r="L1127" s="196">
        <f ca="1">IF($B$1120="Лікар загальної практики - сімейний лікар",IF(L1124&lt;Законод!$C$22,0,(IF(AND(L1124&gt;=Законод!$F$22,L1124&lt;=Законод!$F$23),L1124-Законод!$E$23,IF('01_Доходи'!L1124&gt;=Законод!$G$22,Законод!$F$24,0)))),IF($B$1120="Лікар-педіатр",IF(L1124&lt;Законод!$C$18,0,(IF(AND(L1124&gt;=Законод!$F$18,L1124&lt;=Законод!$F$19),L1124-Законод!$E$19,IF('01_Доходи'!L1124&gt;=Законод!$G$18,Законод!$F$20,0)))),IF($B$1120="Лікар-терапевт",IF(L1124&lt;Законод!$C$26,0,(IF(AND(L1124&gt;=Законод!$F$26,L1124&lt;=Законод!$F$27),L1124-Законод!$E$27,IF('01_Доходи'!L1124&gt;=Законод!$G$26,Законод!$F$28,0)))),0)))</f>
        <v>0</v>
      </c>
      <c r="M1127" s="942"/>
      <c r="N1127" s="935" t="s">
        <v>423</v>
      </c>
      <c r="O1127" s="936"/>
      <c r="P1127" s="936"/>
      <c r="Q1127" s="936"/>
      <c r="R1127" s="937"/>
      <c r="S1127" s="196">
        <f ca="1">IF($B$1120="Лікар загальної практики - сімейний лікар",IF(S1124&lt;Законод!$C$22,0,(IF(AND(S1124&gt;=Законод!$F$22,S1124&lt;=Законод!$F$23),S1124-Законод!$E$23,IF('01_Доходи'!S1124&gt;=Законод!$G$22,Законод!$F$24,0)))),IF($B$1120="Лікар-педіатр",IF(S1124&lt;Законод!$C$18,0,(IF(AND(S1124&gt;=Законод!$F$18,S1124&lt;=Законод!$F$19),S1124-Законод!$E$19,IF('01_Доходи'!S1124&gt;=Законод!$G$18,Законод!$F$20,0)))),IF($B$1120="Лікар-терапевт",IF(S1124&lt;Законод!$C$26,0,(IF(AND(S1124&gt;=Законод!$F$26,S1124&lt;=Законод!$F$27),S1124-Законод!$E$27,IF('01_Доходи'!S1124&gt;=Законод!$G$26,Законод!$F$28,0)))),0)))</f>
        <v>0</v>
      </c>
      <c r="T1127" s="942"/>
      <c r="U1127" s="935" t="s">
        <v>423</v>
      </c>
      <c r="V1127" s="936"/>
      <c r="W1127" s="936"/>
      <c r="X1127" s="936"/>
      <c r="Y1127" s="937"/>
      <c r="Z1127" s="196">
        <f ca="1">IF($B$1120="Лікар загальної практики - сімейний лікар",IF(Z1124&lt;Законод!$C$22,0,(IF(AND(Z1124&gt;=Законод!$F$22,Z1124&lt;=Законод!$F$23),Z1124-Законод!$E$23,IF('01_Доходи'!Z1124&gt;=Законод!$G$22,Законод!$F$24,0)))),IF($B$1120="Лікар-педіатр",IF(Z1124&lt;Законод!$C$18,0,(IF(AND(Z1124&gt;=Законод!$F$18,Z1124&lt;=Законод!$F$19),Z1124-Законод!$E$19,IF('01_Доходи'!Z1124&gt;=Законод!$G$18,Законод!$F$20,0)))),IF($B$1120="Лікар-терапевт",IF(Z1124&lt;Законод!$C$26,0,(IF(AND(Z1124&gt;=Законод!$F$26,Z1124&lt;=Законод!$F$27),Z1124-Законод!$E$27,IF('01_Доходи'!Z1124&gt;=Законод!$G$26,Законод!$F$28,0)))),0)))</f>
        <v>0</v>
      </c>
      <c r="AA1127" s="942"/>
      <c r="AB1127" s="935" t="s">
        <v>423</v>
      </c>
      <c r="AC1127" s="936"/>
      <c r="AD1127" s="936"/>
      <c r="AE1127" s="936"/>
      <c r="AF1127" s="937"/>
      <c r="AG1127" s="196">
        <f ca="1">IF($B$1120="Лікар загальної практики - сімейний лікар",IF(AG1124&lt;Законод!$C$22,0,(IF(AND(AG1124&gt;=Законод!$F$22,AG1124&lt;=Законод!$F$23),AG1124-Законод!$E$23,IF('01_Доходи'!AG1124&gt;=Законод!$G$22,Законод!$F$24,0)))),IF($B$1120="Лікар-педіатр",IF(AG1124&lt;Законод!$C$18,0,(IF(AND(AG1124&gt;=Законод!$F$18,AG1124&lt;=Законод!$F$19),AG1124-Законод!$E$19,IF('01_Доходи'!AG1124&gt;=Законод!$G$18,Законод!$F$20,0)))),IF($B$1120="Лікар-терапевт",IF(AG1124&lt;Законод!$C$26,0,(IF(AND(AG1124&gt;=Законод!$F$26,AG1124&lt;=Законод!$F$27),AG1124-Законод!$E$27,IF('01_Доходи'!AG1124&gt;=Законод!$G$26,Законод!$F$28,0)))),0)))</f>
        <v>0</v>
      </c>
      <c r="AH1127" s="942"/>
      <c r="AI1127" s="201"/>
      <c r="AJ1127" s="945"/>
      <c r="AK1127" s="960"/>
      <c r="AL1127" s="960"/>
      <c r="AM1127" s="927"/>
      <c r="AN1127" s="210">
        <f ca="1">IF(B1120="Лікар загальної практики - сімейний лікар",L1127*Законод!$C$9/4*Законод!$F$16,IF(B1120="Лікар-педіатр",L1127*Законод!$C$9/4*Законод!$F$16,IF(B1120="Лікар-терапевт",L1127*Законод!$C$9/4*Законод!$F$16,0)))</f>
        <v>0</v>
      </c>
      <c r="AO1127" s="210">
        <f ca="1">IF(B1120="Лікар загальної практики - сімейний лікар",S1127*Законод!$C$9/4*Законод!$F$16,IF(B1120="Лікар-педіатр",S1127*Законод!$C$9/4*Законод!$F$16,IF(B1120="Лікар-терапевт",S1127*Законод!$C$9/4*Законод!$F$16,0)))</f>
        <v>0</v>
      </c>
      <c r="AP1127" s="210">
        <f ca="1">IF(B1120="Лікар загальної практики - сімейний лікар",Z1127*Законод!$C$9/4*Законод!$F$16,IF(B1120="Лікар-педіатр",Z1127*Законод!$C$9/4*Законод!$F$16,IF(B1120="Лікар-терапевт",Z1127*Законод!$C$9/4*Законод!$F$16,0)))</f>
        <v>0</v>
      </c>
      <c r="AQ1127" s="210">
        <f ca="1">IF(B1120="Лікар загальної практики - сімейний лікар",AG1127*Законод!$C$9/4*Законод!$F$16,IF(B1120="Лікар-педіатр",AG1127*Законод!$C$9/4*Законод!$F$16,IF(B1120="Лікар-терапевт",AG1127*Законод!$C$9/4*Законод!$F$16,0)))</f>
        <v>0</v>
      </c>
      <c r="AR1127" s="211">
        <f t="shared" si="126"/>
        <v>0</v>
      </c>
    </row>
    <row r="1128" spans="1:44" s="50" customFormat="1" ht="31.9" hidden="1" customHeight="1">
      <c r="A1128" s="197"/>
      <c r="B1128" s="951"/>
      <c r="C1128" s="954"/>
      <c r="D1128" s="957"/>
      <c r="E1128" s="939"/>
      <c r="F1128" s="238" t="str">
        <f ca="1">IF(B1120="Лікар-педіатр",Законод!$G$17,IF(B1120="Лікар загальної практики - сімейний лікар",Законод!$G$21,IF(B1120="Лікар-терапевт",Законод!$G$25,"х")))</f>
        <v>х</v>
      </c>
      <c r="G1128" s="935" t="s">
        <v>423</v>
      </c>
      <c r="H1128" s="936"/>
      <c r="I1128" s="936"/>
      <c r="J1128" s="936"/>
      <c r="K1128" s="937"/>
      <c r="L1128" s="196">
        <f ca="1">IF($B$1120="Лікар загальної практики - сімейний лікар",IF(L1124&lt;Законод!$C$22,0,(IF(AND(L1124&gt;=Законод!$G$22,L1124&lt;=Законод!$G$23),L1124-Законод!$F$23,IF('01_Доходи'!L1124&gt;=Законод!$H$22,Законод!$G$24,0)))),IF($B$1120="Лікар-педіатр",IF(L1124&lt;Законод!$C$18,0,(IF(AND(L1124&gt;=Законод!$G$18,L1124&lt;=Законод!$G$19),L1124-Законод!$F$19,IF('01_Доходи'!L1124&gt;=Законод!$H$18,Законод!$G$20,0)))),IF($B$1120="Лікар-терапевт",IF(L1124&lt;Законод!$C$26,0,(IF(AND(L1124&gt;=Законод!$G$26,L1124&lt;=Законод!$G$27),L1124-Законод!$F$27,IF('01_Доходи'!L1124&gt;=Законод!$H$26,Законод!$G$28,0)))),0)))</f>
        <v>0</v>
      </c>
      <c r="M1128" s="942"/>
      <c r="N1128" s="935" t="s">
        <v>423</v>
      </c>
      <c r="O1128" s="936"/>
      <c r="P1128" s="936"/>
      <c r="Q1128" s="936"/>
      <c r="R1128" s="937"/>
      <c r="S1128" s="196">
        <f ca="1">IF($B$1120="Лікар загальної практики - сімейний лікар",IF(S1124&lt;Законод!$C$22,0,(IF(AND(S1124&gt;=Законод!$G$22,S1124&lt;=Законод!$G$23),S1124-Законод!$F$23,IF('01_Доходи'!S1124&gt;=Законод!$H$22,Законод!$G$24,0)))),IF($B$1120="Лікар-педіатр",IF(S1124&lt;Законод!$C$18,0,(IF(AND(S1124&gt;=Законод!$G$18,S1124&lt;=Законод!$G$19),S1124-Законод!$F$19,IF('01_Доходи'!S1124&gt;=Законод!$H$18,Законод!$G$20,0)))),IF($B$1120="Лікар-терапевт",IF(S1124&lt;Законод!$C$26,0,(IF(AND(S1124&gt;=Законод!$G$26,S1124&lt;=Законод!$G$27),S1124-Законод!$F$27,IF('01_Доходи'!S1124&gt;=Законод!$H$26,Законод!$G$28,0)))),0)))</f>
        <v>0</v>
      </c>
      <c r="T1128" s="942"/>
      <c r="U1128" s="935" t="s">
        <v>423</v>
      </c>
      <c r="V1128" s="936"/>
      <c r="W1128" s="936"/>
      <c r="X1128" s="936"/>
      <c r="Y1128" s="937"/>
      <c r="Z1128" s="196">
        <f ca="1">IF($B$1120="Лікар загальної практики - сімейний лікар",IF(Z1124&lt;Законод!$C$22,0,(IF(AND(Z1124&gt;=Законод!$G$22,Z1124&lt;=Законод!$G$23),Z1124-Законод!$F$23,IF('01_Доходи'!Z1124&gt;=Законод!$H$22,Законод!$G$24,0)))),IF($B$1120="Лікар-педіатр",IF(Z1124&lt;Законод!$C$18,0,(IF(AND(Z1124&gt;=Законод!$G$18,Z1124&lt;=Законод!$G$19),Z1124-Законод!$F$19,IF('01_Доходи'!Z1124&gt;=Законод!$H$18,Законод!$G$20,0)))),IF($B$1120="Лікар-терапевт",IF(Z1124&lt;Законод!$C$26,0,(IF(AND(Z1124&gt;=Законод!$G$26,Z1124&lt;=Законод!$G$27),Z1124-Законод!$F$27,IF('01_Доходи'!Z1124&gt;=Законод!$H$26,Законод!$G$28,0)))),0)))</f>
        <v>0</v>
      </c>
      <c r="AA1128" s="942"/>
      <c r="AB1128" s="935" t="s">
        <v>423</v>
      </c>
      <c r="AC1128" s="936"/>
      <c r="AD1128" s="936"/>
      <c r="AE1128" s="936"/>
      <c r="AF1128" s="937"/>
      <c r="AG1128" s="196">
        <f ca="1">IF($B$1120="Лікар загальної практики - сімейний лікар",IF(AG1124&lt;Законод!$C$22,0,(IF(AND(AG1124&gt;=Законод!$G$22,AG1124&lt;=Законод!$G$23),AG1124-Законод!$F$23,IF('01_Доходи'!AG1124&gt;=Законод!$H$22,Законод!$G$24,0)))),IF($B$1120="Лікар-педіатр",IF(AG1124&lt;Законод!$C$18,0,(IF(AND(AG1124&gt;=Законод!$G$18,AG1124&lt;=Законод!$G$19),AG1124-Законод!$F$19,IF('01_Доходи'!AG1124&gt;=Законод!$H$18,Законод!$G$20,0)))),IF($B$1120="Лікар-терапевт",IF(AG1124&lt;Законод!$C$26,0,(IF(AND(AG1124&gt;=Законод!$G$26,AG1124&lt;=Законод!$G$27),AG1124-Законод!$F$27,IF('01_Доходи'!AG1124&gt;=Законод!$H$26,Законод!$G$28,0)))),0)))</f>
        <v>0</v>
      </c>
      <c r="AH1128" s="942"/>
      <c r="AI1128" s="201"/>
      <c r="AJ1128" s="945"/>
      <c r="AK1128" s="960"/>
      <c r="AL1128" s="960"/>
      <c r="AM1128" s="927"/>
      <c r="AN1128" s="210">
        <f ca="1">IF(B1120="Лікар загальної практики - сімейний лікар",L1128*Законод!$C$9/4*Законод!$G$16,IF(B1120="Лікар-педіатр",L1128*Законод!$C$9/4*Законод!$G$16,IF(B1120="Лікар-терапевт",L1128*Законод!$C$9/4*Законод!$G$16,0)))</f>
        <v>0</v>
      </c>
      <c r="AO1128" s="210">
        <f ca="1">IF(B1120="Лікар загальної практики - сімейний лікар",S1128*Законод!$C$9/4*Законод!$G$16,IF(B1120="Лікар-педіатр",S1128*Законод!$C$9/4*Законод!$G$16,IF(B1120="Лікар-терапевт",S1128*Законод!$C$9/4*Законод!$G$16,0)))</f>
        <v>0</v>
      </c>
      <c r="AP1128" s="210">
        <f ca="1">IF(B1120="Лікар загальної практики - сімейний лікар",Z1128*Законод!$C$9/4*Законод!$G$16,IF(B1120="Лікар-педіатр",Z1128*Законод!$C$9/4*Законод!$G$16,IF(B1120="Лікар-терапевт",Z1128*Законод!$C$9/4*Законод!$G$16,0)))</f>
        <v>0</v>
      </c>
      <c r="AQ1128" s="210">
        <f ca="1">IF(B1120="Лікар загальної практики - сімейний лікар",AG1128*Законод!$C$9/4*Законод!$G$16,IF(B1120="Лікар-педіатр",AG1128*Законод!$C$9/4*Законод!$G$16,IF(B1120="Лікар-терапевт",AG1128*Законод!$C$9/4*Законод!$G$16,0)))</f>
        <v>0</v>
      </c>
      <c r="AR1128" s="211">
        <f t="shared" si="126"/>
        <v>0</v>
      </c>
    </row>
    <row r="1129" spans="1:44" s="50" customFormat="1" ht="31.9" hidden="1" customHeight="1">
      <c r="A1129" s="197"/>
      <c r="B1129" s="951"/>
      <c r="C1129" s="954"/>
      <c r="D1129" s="957"/>
      <c r="E1129" s="939"/>
      <c r="F1129" s="238" t="str">
        <f ca="1">IF(B1120="Лікар-педіатр",Законод!$H$17,IF(B1120="Лікар загальної практики - сімейний лікар",Законод!$H$21,IF(B1120="Лікар-терапевт",Законод!$H$25,"х")))</f>
        <v>х</v>
      </c>
      <c r="G1129" s="935" t="s">
        <v>423</v>
      </c>
      <c r="H1129" s="936"/>
      <c r="I1129" s="936"/>
      <c r="J1129" s="936"/>
      <c r="K1129" s="937"/>
      <c r="L1129" s="196">
        <f ca="1">IF($B$1120="Лікар загальної практики - сімейний лікар",IF(L1124&lt;Законод!$C$22,0,(IF(AND(L1124&gt;=Законод!$H$22,L1124&lt;=Законод!$H$23),L1124-Законод!$G$23,IF('01_Доходи'!L1124&gt;=Законод!$I$22,Законод!$H$24,0)))),IF($B$1120="Лікар-педіатр",IF(L1124&lt;Законод!$C$18,0,(IF(AND(L1124&gt;=Законод!$H$18,L1124&lt;=Законод!$H$19),L1124-Законод!$G$19,IF('01_Доходи'!L1124&gt;=Законод!$I$18,Законод!$H$20,0)))),IF($B$1120="Лікар-терапевт",IF(L1124&lt;Законод!$C$26,0,(IF(AND(L1124&gt;=Законод!$H$26,L1124&lt;=Законод!$H$27),L1124-Законод!$G$27,IF(L1124&gt;=Законод!$I$26,Законод!$H$28,0)))),0)))</f>
        <v>0</v>
      </c>
      <c r="M1129" s="942"/>
      <c r="N1129" s="935" t="s">
        <v>423</v>
      </c>
      <c r="O1129" s="936"/>
      <c r="P1129" s="936"/>
      <c r="Q1129" s="936"/>
      <c r="R1129" s="937"/>
      <c r="S1129" s="196">
        <f ca="1">IF($B$1120="Лікар загальної практики - сімейний лікар",IF(S1124&lt;Законод!$C$22,0,(IF(AND(S1124&gt;=Законод!$H$22,S1124&lt;=Законод!$H$23),S1124-Законод!$G$23,IF('01_Доходи'!S1124&gt;=Законод!$I$22,Законод!$H$24,0)))),IF($B$1120="Лікар-педіатр",IF(S1124&lt;Законод!$C$18,0,(IF(AND(S1124&gt;=Законод!$H$18,S1124&lt;=Законод!$H$19),S1124-Законод!$G$19,IF('01_Доходи'!S1124&gt;=Законод!$I$18,Законод!$H$20,0)))),IF($B$1120="Лікар-терапевт",IF(S1124&lt;Законод!$C$26,0,(IF(AND(S1124&gt;=Законод!$H$26,S1124&lt;=Законод!$H$27),S1124-Законод!$G$27,IF(S1124&gt;=Законод!$I$26,Законод!$H$28,0)))),0)))</f>
        <v>0</v>
      </c>
      <c r="T1129" s="942"/>
      <c r="U1129" s="935" t="s">
        <v>423</v>
      </c>
      <c r="V1129" s="936"/>
      <c r="W1129" s="936"/>
      <c r="X1129" s="936"/>
      <c r="Y1129" s="937"/>
      <c r="Z1129" s="196">
        <f ca="1">IF($B$1120="Лікар загальної практики - сімейний лікар",IF(Z1124&lt;Законод!$C$22,0,(IF(AND(Z1124&gt;=Законод!$H$22,Z1124&lt;=Законод!$H$23),Z1124-Законод!$G$23,IF('01_Доходи'!Z1124&gt;=Законод!$I$22,Законод!$H$24,0)))),IF($B$1120="Лікар-педіатр",IF(Z1124&lt;Законод!$C$18,0,(IF(AND(Z1124&gt;=Законод!$H$18,Z1124&lt;=Законод!$H$19),Z1124-Законод!$G$19,IF('01_Доходи'!Z1124&gt;=Законод!$I$18,Законод!$H$20,0)))),IF($B$1120="Лікар-терапевт",IF(Z1124&lt;Законод!$C$26,0,(IF(AND(Z1124&gt;=Законод!$H$26,Z1124&lt;=Законод!$H$27),Z1124-Законод!$G$27,IF(Z1124&gt;=Законод!$I$26,Законод!$H$28,0)))),0)))</f>
        <v>0</v>
      </c>
      <c r="AA1129" s="942"/>
      <c r="AB1129" s="935" t="s">
        <v>423</v>
      </c>
      <c r="AC1129" s="936"/>
      <c r="AD1129" s="936"/>
      <c r="AE1129" s="936"/>
      <c r="AF1129" s="937"/>
      <c r="AG1129" s="196">
        <f ca="1">IF($B$1120="Лікар загальної практики - сімейний лікар",IF(AG1124&lt;Законод!$C$22,0,(IF(AND(AG1124&gt;=Законод!$H$22,AG1124&lt;=Законод!$H$23),AG1124-Законод!$G$23,IF('01_Доходи'!AG1124&gt;=Законод!$I$22,Законод!$H$24,0)))),IF($B$1120="Лікар-педіатр",IF(AG1124&lt;Законод!$C$18,0,(IF(AND(AG1124&gt;=Законод!$H$18,AG1124&lt;=Законод!$H$19),AG1124-Законод!$G$19,IF('01_Доходи'!AG1124&gt;=Законод!$I$18,Законод!$H$20,0)))),IF($B$1120="Лікар-терапевт",IF(AG1124&lt;Законод!$C$26,0,(IF(AND(AG1124&gt;=Законод!$H$26,AG1124&lt;=Законод!$H$27),AG1124-Законод!$G$27,IF(AG1124&gt;=Законод!$I$26,Законод!$H$28,0)))),0)))</f>
        <v>0</v>
      </c>
      <c r="AH1129" s="942"/>
      <c r="AI1129" s="201"/>
      <c r="AJ1129" s="945"/>
      <c r="AK1129" s="960"/>
      <c r="AL1129" s="960"/>
      <c r="AM1129" s="927"/>
      <c r="AN1129" s="210">
        <f ca="1">IF(B1120="Лікар загальної практики - сімейний лікар",L1129*Законод!$C$9/4*Законод!$H$16,IF(B1120="Лікар-педіатр",L1129*Законод!$C$9/4*Законод!$H$16,IF(B1120="Лікар-терапевт",L1129*Законод!$C$9/4*Законод!$H$16,0)))</f>
        <v>0</v>
      </c>
      <c r="AO1129" s="210">
        <f ca="1">IF(B1120="Лікар загальної практики - сімейний лікар",S1129*Законод!$C$9/4*Законод!$H$16,IF(B1120="Лікар-педіатр",S1129*Законод!$C$9/4*Законод!$H$16,IF(B1120="Лікар-терапевт",S1129*Законод!$C$9/4*Законод!$H$16,0)))</f>
        <v>0</v>
      </c>
      <c r="AP1129" s="210">
        <f ca="1">IF(B1120="Лікар загальної практики - сімейний лікар",Z1129*Законод!$C$9/4*Законод!$H$16,IF(B1120="Лікар-педіатр",Z1129*Законод!$C$9/4*Законод!$H$16,IF(B1120="Лікар-терапевт",Z1129*Законод!$C$9/4*Законод!$H$16,0)))</f>
        <v>0</v>
      </c>
      <c r="AQ1129" s="210">
        <f ca="1">IF(B1120="Лікар загальної практики - сімейний лікар",AG1129*Законод!$C$9/4*Законод!$H$16,IF(B1120="Лікар-педіатр",AG1129*Законод!$C$9/4*Законод!$H$16,IF(B1120="Лікар-терапевт",AG1129*Законод!$C$9/4*Законод!$H$16,0)))</f>
        <v>0</v>
      </c>
      <c r="AR1129" s="211">
        <f t="shared" si="126"/>
        <v>0</v>
      </c>
    </row>
    <row r="1130" spans="1:44" s="50" customFormat="1" ht="31.9" hidden="1" customHeight="1">
      <c r="A1130" s="197"/>
      <c r="B1130" s="951"/>
      <c r="C1130" s="954"/>
      <c r="D1130" s="957"/>
      <c r="E1130" s="939"/>
      <c r="F1130" s="238" t="str">
        <f ca="1">IF(B1120="Лікар-педіатр",Законод!$I$17,IF(B1120="Лікар загальної практики - сімейний лікар",Законод!$I$21,IF(B1120="Лікар-терапевт",Законод!$I$25,"х")))</f>
        <v>х</v>
      </c>
      <c r="G1130" s="935" t="s">
        <v>423</v>
      </c>
      <c r="H1130" s="936"/>
      <c r="I1130" s="936"/>
      <c r="J1130" s="936"/>
      <c r="K1130" s="937"/>
      <c r="L1130" s="196">
        <f ca="1">IF($B$1120="Лікар загальної практики - сімейний лікар",IF(L1124&lt;Законод!$C$22,0,(IF(AND(L1124&gt;=Законод!$I$22,L1124&lt;=Законод!$I$23),L1124-Законод!$H$23,IF('01_Доходи'!L1124&gt;=Законод!$I$22,Законод!$I$24,0)))),IF($B$1120="Лікар-педіатр",IF(L1124&lt;Законод!$C$18,0,(IF(AND(L1124&gt;=Законод!$I$18,L1124&lt;=Законод!$I$19),L1124-Законод!$H$19,IF('01_Доходи'!L1124&gt;=Законод!$I$18,Законод!$H$20,0)))),IF($B$1120="Лікар-терапевт",IF(L1124&lt;Законод!$C$26,0,(IF(AND(L1124&gt;=Законод!$I$26,L1124&lt;=Законод!$I$27),L1124-Законод!$H$27,IF('01_Доходи'!L1124&gt;=Законод!$I$26,Законод!$H$28,0)))),0)))</f>
        <v>0</v>
      </c>
      <c r="M1130" s="942"/>
      <c r="N1130" s="935" t="s">
        <v>423</v>
      </c>
      <c r="O1130" s="936"/>
      <c r="P1130" s="936"/>
      <c r="Q1130" s="936"/>
      <c r="R1130" s="937"/>
      <c r="S1130" s="196">
        <f ca="1">IF($B$1120="Лікар загальної практики - сімейний лікар",IF(S1124&lt;Законод!$C$22,0,(IF(AND(S1124&gt;=Законод!$I$22,S1124&lt;=Законод!$I$23),S1124-Законод!$H$23,IF('01_Доходи'!S1124&gt;=Законод!$I$22,Законод!$I$24,0)))),IF($B$1120="Лікар-педіатр",IF(S1124&lt;Законод!$C$18,0,(IF(AND(S1124&gt;=Законод!$I$18,S1124&lt;=Законод!$I$19),S1124-Законод!$H$19,IF('01_Доходи'!S1124&gt;=Законод!$I$18,Законод!$H$20,0)))),IF($B$1120="Лікар-терапевт",IF(S1124&lt;Законод!$C$26,0,(IF(AND(S1124&gt;=Законод!$I$26,S1124&lt;=Законод!$I$27),S1124-Законод!$H$27,IF('01_Доходи'!S1124&gt;=Законод!$I$26,Законод!$H$28,0)))),0)))</f>
        <v>0</v>
      </c>
      <c r="T1130" s="942"/>
      <c r="U1130" s="935" t="s">
        <v>423</v>
      </c>
      <c r="V1130" s="936"/>
      <c r="W1130" s="936"/>
      <c r="X1130" s="936"/>
      <c r="Y1130" s="937"/>
      <c r="Z1130" s="196">
        <f ca="1">IF($B$1120="Лікар загальної практики - сімейний лікар",IF(Z1124&lt;Законод!$C$22,0,(IF(AND(Z1124&gt;=Законод!$I$22,Z1124&lt;=Законод!$I$23),Z1124-Законод!$H$23,IF('01_Доходи'!Z1124&gt;=Законод!$I$22,Законод!$I$24,0)))),IF($B$1120="Лікар-педіатр",IF(Z1124&lt;Законод!$C$18,0,(IF(AND(Z1124&gt;=Законод!$I$18,Z1124&lt;=Законод!$I$19),Z1124-Законод!$H$19,IF('01_Доходи'!Z1124&gt;=Законод!$I$18,Законод!$H$20,0)))),IF($B$1120="Лікар-терапевт",IF(Z1124&lt;Законод!$C$26,0,(IF(AND(Z1124&gt;=Законод!$I$26,Z1124&lt;=Законод!$I$27),Z1124-Законод!$H$27,IF('01_Доходи'!Z1124&gt;=Законод!$I$26,Законод!$H$28,0)))),0)))</f>
        <v>0</v>
      </c>
      <c r="AA1130" s="942"/>
      <c r="AB1130" s="935" t="s">
        <v>423</v>
      </c>
      <c r="AC1130" s="936"/>
      <c r="AD1130" s="936"/>
      <c r="AE1130" s="936"/>
      <c r="AF1130" s="937"/>
      <c r="AG1130" s="196">
        <f ca="1">IF($B$1120="Лікар загальної практики - сімейний лікар",IF(AG1124&lt;Законод!$C$22,0,(IF(AND(AG1124&gt;=Законод!$I$22,AG1124&lt;=Законод!$I$23),AG1124-Законод!$H$23,IF('01_Доходи'!AG1124&gt;=Законод!$I$22,Законод!$I$24,0)))),IF($B$1120="Лікар-педіатр",IF(AG1124&lt;Законод!$C$18,0,(IF(AND(AG1124&gt;=Законод!$I$18,AG1124&lt;=Законод!$I$19),AG1124-Законод!$H$19,IF('01_Доходи'!AG1124&gt;=Законод!$I$18,Законод!$H$20,0)))),IF($B$1120="Лікар-терапевт",IF(AG1124&lt;Законод!$C$26,0,(IF(AND(AG1124&gt;=Законод!$I$26,AG1124&lt;=Законод!$I$27),AG1124-Законод!$H$27,IF('01_Доходи'!AG1124&gt;=Законод!$I$26,Законод!$H$28,0)))),0)))</f>
        <v>0</v>
      </c>
      <c r="AH1130" s="942"/>
      <c r="AI1130" s="201"/>
      <c r="AJ1130" s="945"/>
      <c r="AK1130" s="960"/>
      <c r="AL1130" s="960"/>
      <c r="AM1130" s="927"/>
      <c r="AN1130" s="210">
        <f ca="1">IF(B1120="Лікар загальної практики - сімейний лікар",L1130*Законод!$C$9/4*Законод!$I$16,IF(B1120="Лікар-педіатр",L1130*Законод!$C$9/4*Законод!$I$16,IF(B1120="Лікар-терапевт",L1130*Законод!$C$9/4*Законод!$I$16,0)))</f>
        <v>0</v>
      </c>
      <c r="AO1130" s="210">
        <f ca="1">IF(B1120="Лікар загальної практики - сімейний лікар",S1130*Законод!$C$9/4*Законод!$I$16,IF(B1120="Лікар-педіатр",S1130*Законод!$C$9/4*Законод!$I$16,IF(B1120="Лікар-терапевт",S1130*Законод!$C$9/4*Законод!$I$16,0)))</f>
        <v>0</v>
      </c>
      <c r="AP1130" s="210">
        <f ca="1">IF(B1120="Лікар загальної практики - сімейний лікар",Z1130*Законод!$C$9/4*Законод!$I$16,IF(B1120="Лікар-педіатр",Z1130*Законод!$C$9/4*Законод!$I$16,IF(B1120="Лікар-терапевт",Z1130*Законод!$C$9/4*Законод!$I$16,0)))</f>
        <v>0</v>
      </c>
      <c r="AQ1130" s="210">
        <f ca="1">IF(B1120="Лікар загальної практики - сімейний лікар",AG1130*Законод!$C$9/4*Законод!$I$16,IF(B1120="Лікар-педіатр",AG1130*Законод!$C$9/4*Законод!$I$16,IF(B1120="Лікар-терапевт",AG1130*Законод!$C$9/4*Законод!$I$16,0)))</f>
        <v>0</v>
      </c>
      <c r="AR1130" s="211">
        <f t="shared" si="126"/>
        <v>0</v>
      </c>
    </row>
    <row r="1131" spans="1:44" s="218" customFormat="1" ht="31.9" hidden="1" customHeight="1" thickBot="1">
      <c r="A1131" s="213"/>
      <c r="B1131" s="952"/>
      <c r="C1131" s="955"/>
      <c r="D1131" s="958"/>
      <c r="E1131" s="940"/>
      <c r="F1131" s="239" t="str">
        <f ca="1">IF(B1120="Лікар-педіатр",Законод!$J$17,IF(B1120="Лікар загальної практики - сімейний лікар",Законод!$J$21,IF(B1120="Лікар-терапевт",Законод!$J$25,"х")))</f>
        <v>х</v>
      </c>
      <c r="G1131" s="932" t="s">
        <v>423</v>
      </c>
      <c r="H1131" s="933"/>
      <c r="I1131" s="933"/>
      <c r="J1131" s="933"/>
      <c r="K1131" s="934"/>
      <c r="L1131" s="196">
        <f ca="1">IF($B$1120="Лікар загальної практики - сімейний лікар",IF(L1124&gt;=Законод!$J$22,'01_Доходи'!L1124-('01_Доходи'!L1125+'01_Доходи'!L1126+'01_Доходи'!L1127+'01_Доходи'!L1128+'01_Доходи'!L1129+'01_Доходи'!L1130),0),IF($B$1120="Лікар-педіатр",IF(L1124&gt;=Законод!$J$18,'01_Доходи'!L1124-('01_Доходи'!L1125+'01_Доходи'!L1126+'01_Доходи'!L1127+'01_Доходи'!L1128+'01_Доходи'!L1129+'01_Доходи'!L1130),0),IF($B$1120="Лікар-терапевт",IF('01_Доходи'!L1124&gt;=Законод!$J$26,L1124-Законод!$I$27,0),0)))</f>
        <v>0</v>
      </c>
      <c r="M1131" s="943"/>
      <c r="N1131" s="932" t="s">
        <v>423</v>
      </c>
      <c r="O1131" s="933"/>
      <c r="P1131" s="933"/>
      <c r="Q1131" s="933"/>
      <c r="R1131" s="934"/>
      <c r="S1131" s="196">
        <f ca="1">IF($B$1120="Лікар загальної практики - сімейний лікар",IF(S1124&gt;=Законод!$J$22,'01_Доходи'!S1124-('01_Доходи'!S1125+'01_Доходи'!S1126+'01_Доходи'!S1127+'01_Доходи'!S1128+'01_Доходи'!S1129+'01_Доходи'!S1130),0),IF($B$1120="Лікар-педіатр",IF(S1124&gt;=Законод!$J$18,'01_Доходи'!S1124-('01_Доходи'!S1125+'01_Доходи'!S1126+'01_Доходи'!S1127+'01_Доходи'!S1128+'01_Доходи'!S1129+'01_Доходи'!S1130),0),IF($B$1120="Лікар-терапевт",IF('01_Доходи'!S1124&gt;=Законод!$J$26,S1124-Законод!$I$27,0),0)))</f>
        <v>0</v>
      </c>
      <c r="T1131" s="943"/>
      <c r="U1131" s="932" t="s">
        <v>423</v>
      </c>
      <c r="V1131" s="933"/>
      <c r="W1131" s="933"/>
      <c r="X1131" s="933"/>
      <c r="Y1131" s="934"/>
      <c r="Z1131" s="196">
        <f ca="1">IF($B$1120="Лікар загальної практики - сімейний лікар",IF(Z1124&gt;=Законод!$J$22,'01_Доходи'!Z1124-('01_Доходи'!Z1125+'01_Доходи'!Z1126+'01_Доходи'!Z1127+'01_Доходи'!Z1128+'01_Доходи'!Z1129+'01_Доходи'!Z1130),0),IF($B$1120="Лікар-педіатр",IF(Z1124&gt;=Законод!$J$18,'01_Доходи'!Z1124-('01_Доходи'!Z1125+'01_Доходи'!Z1126+'01_Доходи'!Z1127+'01_Доходи'!Z1128+'01_Доходи'!Z1129+'01_Доходи'!Z1130),0),IF($B$1120="Лікар-терапевт",IF('01_Доходи'!Z1124&gt;=Законод!$J$26,Z1124-Законод!$I$27,0),0)))</f>
        <v>0</v>
      </c>
      <c r="AA1131" s="943"/>
      <c r="AB1131" s="932" t="s">
        <v>423</v>
      </c>
      <c r="AC1131" s="933"/>
      <c r="AD1131" s="933"/>
      <c r="AE1131" s="933"/>
      <c r="AF1131" s="934"/>
      <c r="AG1131" s="196">
        <f ca="1">IF($B$1120="Лікар загальної практики - сімейний лікар",IF(AG1124&gt;=Законод!$J$22,'01_Доходи'!AG1124-('01_Доходи'!AG1125+'01_Доходи'!AG1126+'01_Доходи'!AG1127+'01_Доходи'!AG1128+'01_Доходи'!AG1129+'01_Доходи'!AG1130),0),IF($B$1120="Лікар-педіатр",IF(AG1124&gt;=Законод!$J$18,'01_Доходи'!AG1124-('01_Доходи'!AG1125+'01_Доходи'!AG1126+'01_Доходи'!AG1127+'01_Доходи'!AG1128+'01_Доходи'!AG1129+'01_Доходи'!AG1130),0),IF($B$1120="Лікар-терапевт",IF('01_Доходи'!AG1124&gt;=Законод!$J$26,AG1124-Законод!$I$27,0),0)))</f>
        <v>0</v>
      </c>
      <c r="AH1131" s="943"/>
      <c r="AI1131" s="215"/>
      <c r="AJ1131" s="946"/>
      <c r="AK1131" s="961"/>
      <c r="AL1131" s="961"/>
      <c r="AM1131" s="928"/>
      <c r="AN1131" s="216">
        <f ca="1">IF(B1120="Лікар загальної практики - сімейний лікар",L1131*Законод!$C$9/4*Законод!$J$16,IF(B1120="Лікар-педіатр",L1131*Законод!$C$9/4*Законод!$J$16,IF(B1120="Лікар-терапевт",L1131*Законод!$C$9/4*Законод!$J$16,0)))</f>
        <v>0</v>
      </c>
      <c r="AO1131" s="216">
        <f ca="1">IF(B1120="Лікар загальної практики - сімейний лікар",S1131*Законод!$C$9/4*Законод!$J$16,IF(B1120="Лікар-педіатр",S1131*Законод!$C$9/4*Законод!$J$16,IF(B1120="Лікар-терапевт",S1131*Законод!$C$9/4*Законод!$J$16,0)))</f>
        <v>0</v>
      </c>
      <c r="AP1131" s="216">
        <f ca="1">IF(B1120="Лікар загальної практики - сімейний лікар",S1131*Законод!$C$9/4*Законод!$J$16,IF(B1120="Лікар-педіатр",S1131*Законод!$C$9/4*Законод!$J$16,IF(B1120="Лікар-терапевт",S1131*Законод!$C$9/4*Законод!$J$16,0)))</f>
        <v>0</v>
      </c>
      <c r="AQ1131" s="216">
        <f ca="1">IF(B1120="Лікар загальної практики - сімейний лікар",AG1131*Законод!$C$9/4*Законод!$J$16,IF(B1120="Лікар-педіатр",AG1131*Законод!$C$9/4*Законод!$J$16,IF(B1120="Лікар-терапевт",AG1131*Законод!$C$9/4*Законод!$J$16,0)))</f>
        <v>0</v>
      </c>
      <c r="AR1131" s="217">
        <f t="shared" si="126"/>
        <v>0</v>
      </c>
    </row>
    <row r="1132" spans="1:44" s="247" customFormat="1" ht="23.45" hidden="1" customHeight="1" thickBot="1">
      <c r="A1132" s="243"/>
      <c r="B1132" s="244"/>
      <c r="C1132" s="244"/>
      <c r="D1132" s="244"/>
      <c r="E1132" s="244"/>
      <c r="F1132" s="245"/>
      <c r="G1132" s="246"/>
      <c r="H1132" s="246"/>
      <c r="L1132" s="248"/>
      <c r="S1132" s="248"/>
      <c r="Z1132" s="248"/>
      <c r="AG1132" s="248"/>
      <c r="AM1132" s="249"/>
      <c r="AR1132" s="250"/>
    </row>
    <row r="1133" spans="1:44" s="191" customFormat="1" ht="24.6" hidden="1" customHeight="1">
      <c r="A1133" s="194">
        <f>A1120+1</f>
        <v>85</v>
      </c>
      <c r="B1133" s="950"/>
      <c r="C1133" s="953"/>
      <c r="D1133" s="956"/>
      <c r="E1133" s="938"/>
      <c r="F1133" s="234" t="s">
        <v>659</v>
      </c>
      <c r="G1133" s="196">
        <f>IF($B$1133="Лікар-педіатр",G1136*L1133,IF($B$1133="Лікар-терапевт","х",IF($B$1133="Лікар загальної практики - сімейний лікар",G1136*L1133,0)))</f>
        <v>0</v>
      </c>
      <c r="H1133" s="196">
        <f>IF($B$1133="Лікар-педіатр",H1136*L1133,IF($B$1133="Лікар-терапевт","х",IF($B$1133="Лікар загальної практики - сімейний лікар",H1136*L1133,0)))</f>
        <v>0</v>
      </c>
      <c r="I1133" s="196">
        <f>IF($B$1133="Лікар-педіатр","x",IF($B$1133="Лікар-терапевт",I1136*L1133,IF($B$1133="Лікар загальної практики - сімейний лікар",I1136*L1133,0)))</f>
        <v>0</v>
      </c>
      <c r="J1133" s="196">
        <f>IF($B$1133="Лікар-педіатр","x",IF($B$1133="Лікар-терапевт",J1136*L1133,IF($B$1133="Лікар загальної практики - сімейний лікар",J1136*L1133,0)))</f>
        <v>0</v>
      </c>
      <c r="K1133" s="196">
        <f>IF($B$1133="Лікар-педіатр","x",IF($B$1133="Лікар-терапевт",K1136*L1133,IF($B$1133="Лікар загальної практики - сімейний лікар",K1136*L1133,0)))</f>
        <v>0</v>
      </c>
      <c r="L1133" s="557"/>
      <c r="M1133" s="941"/>
      <c r="N1133" s="196">
        <f>IF($B$1133="Лікар-педіатр",N1136*S1133,IF($B$1133="Лікар-терапевт","х",IF($B$1133="Лікар загальної практики - сімейний лікар",N1136*S1133,0)))</f>
        <v>0</v>
      </c>
      <c r="O1133" s="196">
        <f>IF($B$1133="Лікар-педіатр",O1136*S1133,IF($B$1133="Лікар-терапевт","х",IF($B$1133="Лікар загальної практики - сімейний лікар",O1136*S1133,0)))</f>
        <v>0</v>
      </c>
      <c r="P1133" s="196">
        <f>IF($B$1133="Лікар-педіатр","x",IF($B$1133="Лікар-терапевт",P1136*S1133,IF($B$1133="Лікар загальної практики - сімейний лікар",P1136*S1133,0)))</f>
        <v>0</v>
      </c>
      <c r="Q1133" s="196">
        <f>IF($B$1133="Лікар-педіатр","x",IF($B$1133="Лікар-терапевт",Q1136*S1133,IF($B$1133="Лікар загальної практики - сімейний лікар",Q1136*S1133,0)))</f>
        <v>0</v>
      </c>
      <c r="R1133" s="196">
        <f>IF($B$1133="Лікар-педіатр","x",IF($B$1133="Лікар-терапевт",R1136*S1133,IF($B$1133="Лікар загальної практики - сімейний лікар",R1136*S1133,0)))</f>
        <v>0</v>
      </c>
      <c r="S1133" s="557"/>
      <c r="T1133" s="941"/>
      <c r="U1133" s="196">
        <f>IF($B$1133="Лікар-педіатр",U1136*Z1133,IF($B$1133="Лікар-терапевт","х",IF($B$1133="Лікар загальної практики - сімейний лікар",U1136*Z1133,0)))</f>
        <v>0</v>
      </c>
      <c r="V1133" s="196">
        <f>IF($B$1133="Лікар-педіатр",V1136*Z1133,IF($B$1133="Лікар-терапевт","х",IF($B$1133="Лікар загальної практики - сімейний лікар",V1136*Z1133,0)))</f>
        <v>0</v>
      </c>
      <c r="W1133" s="196">
        <f>IF($B$1133="Лікар-педіатр","x",IF($B$1133="Лікар-терапевт",W1136*Z1133,IF($B$1133="Лікар загальної практики - сімейний лікар",W1136*Z1133,0)))</f>
        <v>0</v>
      </c>
      <c r="X1133" s="196">
        <f>IF($B$1133="Лікар-педіатр","x",IF($B$1133="Лікар-терапевт",X1136*Z1133,IF($B$1133="Лікар загальної практики - сімейний лікар",X1136*Z1133,0)))</f>
        <v>0</v>
      </c>
      <c r="Y1133" s="196">
        <f>IF($B$1133="Лікар-педіатр","x",IF($B$1133="Лікар-терапевт",Y1136*Z1133,IF($B$1133="Лікар загальної практики - сімейний лікар",Y1136*Z1133,0)))</f>
        <v>0</v>
      </c>
      <c r="Z1133" s="557"/>
      <c r="AA1133" s="941"/>
      <c r="AB1133" s="196">
        <f>IF($B$1133="Лікар-педіатр",AB1136*AG1133,IF($B$1133="Лікар-терапевт","х",IF($B$1133="Лікар загальної практики - сімейний лікар",AB1136*AG1133,0)))</f>
        <v>0</v>
      </c>
      <c r="AC1133" s="196">
        <f>IF($B$1133="Лікар-педіатр",AC1136*AG1133,IF($B$1133="Лікар-терапевт","х",IF($B$1133="Лікар загальної практики - сімейний лікар",AC1136*AG1133,0)))</f>
        <v>0</v>
      </c>
      <c r="AD1133" s="196">
        <f>IF($B$1133="Лікар-педіатр","x",IF($B$1133="Лікар-терапевт",AD1136*AG1133,IF($B$1133="Лікар загальної практики - сімейний лікар",AD1136*AG1133,0)))</f>
        <v>0</v>
      </c>
      <c r="AE1133" s="196">
        <f>IF($B$1133="Лікар-педіатр","x",IF($B$1133="Лікар-терапевт",AE1136*AG1133,IF($B$1133="Лікар загальної практики - сімейний лікар",AE1136*AG1133,0)))</f>
        <v>0</v>
      </c>
      <c r="AF1133" s="196">
        <f>IF($B$1133="Лікар-педіатр","x",IF($B$1133="Лікар-терапевт",AF1136*AG1133,IF($B$1133="Лікар загальної практики - сімейний лікар",AF1136*AG1133,0)))</f>
        <v>0</v>
      </c>
      <c r="AG1133" s="557"/>
      <c r="AH1133" s="941"/>
      <c r="AI1133" s="540">
        <f>A1133</f>
        <v>85</v>
      </c>
      <c r="AJ1133" s="944">
        <f>B1133</f>
        <v>0</v>
      </c>
      <c r="AK1133" s="959">
        <f>C1133</f>
        <v>0</v>
      </c>
      <c r="AL1133" s="959">
        <f>D1133</f>
        <v>0</v>
      </c>
      <c r="AM1133" s="929" t="s">
        <v>79</v>
      </c>
      <c r="AN1133" s="947">
        <f>SUM(AN1138:AN1144)</f>
        <v>0</v>
      </c>
      <c r="AO1133" s="947">
        <f>SUM(AO1138:AO1144)</f>
        <v>0</v>
      </c>
      <c r="AP1133" s="947">
        <f>SUM(AP1138:AP1144)</f>
        <v>0</v>
      </c>
      <c r="AQ1133" s="947">
        <f>SUM(AQ1138:AQ1144)</f>
        <v>0</v>
      </c>
      <c r="AR1133" s="962">
        <f>SUM(AN1133:AQ1137)</f>
        <v>0</v>
      </c>
    </row>
    <row r="1134" spans="1:44" s="50" customFormat="1" ht="28.15" hidden="1" customHeight="1">
      <c r="A1134" s="197"/>
      <c r="B1134" s="951"/>
      <c r="C1134" s="954"/>
      <c r="D1134" s="957"/>
      <c r="E1134" s="939"/>
      <c r="F1134" s="234" t="s">
        <v>660</v>
      </c>
      <c r="G1134" s="196">
        <f>IF($B$1133="Лікар-педіатр",G1136*L1134,IF($B$1133="Лікар-терапевт","х",IF($B$1133="Лікар загальної практики - сімейний лікар",G1136*L1134,0)))</f>
        <v>0</v>
      </c>
      <c r="H1134" s="196">
        <f>IF($B$1133="Лікар-педіатр",H1136*L1134,IF($B$1133="Лікар-терапевт","х",IF($B$1133="Лікар загальної практики - сімейний лікар",H1136*L1134,0)))</f>
        <v>0</v>
      </c>
      <c r="I1134" s="196">
        <f>IF($B$1133="Лікар-педіатр","x",IF($B$1133="Лікар-терапевт",I1136*L1134,IF($B$1133="Лікар загальної практики - сімейний лікар",I1136*L1134,0)))</f>
        <v>0</v>
      </c>
      <c r="J1134" s="196">
        <f>IF($B$1133="Лікар-педіатр","x",IF($B$1133="Лікар-терапевт",J1136*L1134,IF($B$1133="Лікар загальної практики - сімейний лікар",J1136*L1134,0)))</f>
        <v>0</v>
      </c>
      <c r="K1134" s="196">
        <f>IF($B$1133="Лікар-педіатр","x",IF($B$1133="Лікар-терапевт",K1136*L1134,IF($B$1133="Лікар загальної практики - сімейний лікар",K1136*L1134,0)))</f>
        <v>0</v>
      </c>
      <c r="L1134" s="557"/>
      <c r="M1134" s="942"/>
      <c r="N1134" s="196">
        <f>IF($B$1133="Лікар-педіатр",N1136*S1134,IF($B$1133="Лікар-терапевт","х",IF($B$1133="Лікар загальної практики - сімейний лікар",N1136*S1134,0)))</f>
        <v>0</v>
      </c>
      <c r="O1134" s="196">
        <f>IF($B$1133="Лікар-педіатр",O1136*S1134,IF($B$1133="Лікар-терапевт","х",IF($B$1133="Лікар загальної практики - сімейний лікар",O1136*S1134,0)))</f>
        <v>0</v>
      </c>
      <c r="P1134" s="196">
        <f>IF($B$1133="Лікар-педіатр","x",IF($B$1133="Лікар-терапевт",P1136*S1134,IF($B$1133="Лікар загальної практики - сімейний лікар",P1136*S1134,0)))</f>
        <v>0</v>
      </c>
      <c r="Q1134" s="196">
        <f>IF($B$1133="Лікар-педіатр","x",IF($B$1133="Лікар-терапевт",Q1136*S1134,IF($B$1133="Лікар загальної практики - сімейний лікар",Q1136*S1134,0)))</f>
        <v>0</v>
      </c>
      <c r="R1134" s="196">
        <f>IF($B$1133="Лікар-педіатр","x",IF($B$1133="Лікар-терапевт",R1136*S1134,IF($B$1133="Лікар загальної практики - сімейний лікар",R1136*S1134,0)))</f>
        <v>0</v>
      </c>
      <c r="S1134" s="557"/>
      <c r="T1134" s="942"/>
      <c r="U1134" s="196">
        <f>IF($B$1133="Лікар-педіатр",U1136*Z1134,IF($B$1133="Лікар-терапевт","х",IF($B$1133="Лікар загальної практики - сімейний лікар",U1136*Z1134,0)))</f>
        <v>0</v>
      </c>
      <c r="V1134" s="196">
        <f>IF($B$1133="Лікар-педіатр",V1136*Z1134,IF($B$1133="Лікар-терапевт","х",IF($B$1133="Лікар загальної практики - сімейний лікар",V1136*Z1134,0)))</f>
        <v>0</v>
      </c>
      <c r="W1134" s="196">
        <f>IF($B$1133="Лікар-педіатр","x",IF($B$1133="Лікар-терапевт",W1136*Z1134,IF($B$1133="Лікар загальної практики - сімейний лікар",W1136*Z1134,0)))</f>
        <v>0</v>
      </c>
      <c r="X1134" s="196">
        <f>IF($B$1133="Лікар-педіатр","x",IF($B$1133="Лікар-терапевт",X1136*Z1134,IF($B$1133="Лікар загальної практики - сімейний лікар",X1136*Z1134,0)))</f>
        <v>0</v>
      </c>
      <c r="Y1134" s="196">
        <f>IF($B$1133="Лікар-педіатр","x",IF($B$1133="Лікар-терапевт",Y1136*Z1134,IF($B$1133="Лікар загальної практики - сімейний лікар",Y1136*Z1134,0)))</f>
        <v>0</v>
      </c>
      <c r="Z1134" s="557"/>
      <c r="AA1134" s="942"/>
      <c r="AB1134" s="196">
        <f>IF($B$1133="Лікар-педіатр",AB1136*AG1134,IF($B$1133="Лікар-терапевт","х",IF($B$1133="Лікар загальної практики - сімейний лікар",AB1136*AG1134,0)))</f>
        <v>0</v>
      </c>
      <c r="AC1134" s="196">
        <f>IF($B$1133="Лікар-педіатр",AC1136*AG1134,IF($B$1133="Лікар-терапевт","х",IF($B$1133="Лікар загальної практики - сімейний лікар",AC1136*AG1134,0)))</f>
        <v>0</v>
      </c>
      <c r="AD1134" s="196">
        <f>IF($B$1133="Лікар-педіатр","x",IF($B$1133="Лікар-терапевт",AD1136*AG1134,IF($B$1133="Лікар загальної практики - сімейний лікар",AD1136*AG1134,0)))</f>
        <v>0</v>
      </c>
      <c r="AE1134" s="196">
        <f>IF($B$1133="Лікар-педіатр","x",IF($B$1133="Лікар-терапевт",AE1136*AG1134,IF($B$1133="Лікар загальної практики - сімейний лікар",AE1136*AG1134,0)))</f>
        <v>0</v>
      </c>
      <c r="AF1134" s="196">
        <f>IF($B$1133="Лікар-педіатр","x",IF($B$1133="Лікар-терапевт",AF1136*AG1134,IF($B$1133="Лікар загальної практики - сімейний лікар",AF1136*AG1134,0)))</f>
        <v>0</v>
      </c>
      <c r="AG1134" s="557"/>
      <c r="AH1134" s="942"/>
      <c r="AI1134" s="198"/>
      <c r="AJ1134" s="945"/>
      <c r="AK1134" s="960"/>
      <c r="AL1134" s="960"/>
      <c r="AM1134" s="930"/>
      <c r="AN1134" s="948"/>
      <c r="AO1134" s="948"/>
      <c r="AP1134" s="948"/>
      <c r="AQ1134" s="948"/>
      <c r="AR1134" s="963"/>
    </row>
    <row r="1135" spans="1:44" s="90" customFormat="1" ht="31.15" hidden="1" customHeight="1">
      <c r="A1135" s="240"/>
      <c r="B1135" s="951"/>
      <c r="C1135" s="954"/>
      <c r="D1135" s="957"/>
      <c r="E1135" s="939"/>
      <c r="F1135" s="241" t="s">
        <v>661</v>
      </c>
      <c r="G1135" s="199">
        <f>IF(B1133="Лікар загальної практики - сімейний лікар"," ",IF(B1133="Лікар-педіатр"," ",IF(B1133="Лікар-терапевт","х",0)))</f>
        <v>0</v>
      </c>
      <c r="H1135" s="199">
        <f>IF(B1133="Лікар загальної практики - сімейний лікар"," ",IF(B1133="Лікар-педіатр"," ",IF(B1133="Лікар-терапевт","х",0)))</f>
        <v>0</v>
      </c>
      <c r="I1135" s="199">
        <f>IF(B1133="Лікар загальної практики - сімейний лікар"," ",IF(B1133="Лікар-педіатр","х",IF(B1133="Лікар-терапевт"," ",0)))</f>
        <v>0</v>
      </c>
      <c r="J1135" s="199">
        <f>IF(B1133="Лікар загальної практики - сімейний лікар"," ",IF(B1133="Лікар-педіатр","х",IF(B1133="Лікар-терапевт"," ",0)))</f>
        <v>0</v>
      </c>
      <c r="K1135" s="199">
        <f>IF(B1133="Лікар загальної практики - сімейний лікар"," ",IF(B1133="Лікар-педіатр","х",IF(B1133="Лікар-терапевт"," ",0)))</f>
        <v>0</v>
      </c>
      <c r="L1135" s="200">
        <f>SUM(G1135:K1135)</f>
        <v>0</v>
      </c>
      <c r="M1135" s="942"/>
      <c r="N1135" s="199">
        <f>IF(B1133="Лікар загальної практики - сімейний лікар"," ",IF(B1133="Лікар-педіатр"," ",IF(B1133="Лікар-терапевт","х",0)))</f>
        <v>0</v>
      </c>
      <c r="O1135" s="199">
        <f>IF(B1133="Лікар загальної практики - сімейний лікар"," ",IF(B1133="Лікар-педіатр"," ",IF(B1133="Лікар-терапевт","х",0)))</f>
        <v>0</v>
      </c>
      <c r="P1135" s="199">
        <f>IF(B1133="Лікар загальної практики - сімейний лікар"," ",IF(B1133="Лікар-педіатр","х",IF(B1133="Лікар-терапевт"," ",0)))</f>
        <v>0</v>
      </c>
      <c r="Q1135" s="199">
        <f>IF(B1133="Лікар загальної практики - сімейний лікар"," ",IF(B1133="Лікар-педіатр","х",IF(B1133="Лікар-терапевт"," ",0)))</f>
        <v>0</v>
      </c>
      <c r="R1135" s="199">
        <f>IF(B1133="Лікар загальної практики - сімейний лікар"," ",IF(B1133="Лікар-педіатр","х",IF(B1133="Лікар-терапевт"," ",0)))</f>
        <v>0</v>
      </c>
      <c r="S1135" s="200">
        <f>SUM(N1135:R1135)</f>
        <v>0</v>
      </c>
      <c r="T1135" s="942"/>
      <c r="U1135" s="199">
        <f>IF(B1133="Лікар загальної практики - сімейний лікар"," ",IF(B1133="Лікар-педіатр"," ",IF(B1133="Лікар-терапевт","х",0)))</f>
        <v>0</v>
      </c>
      <c r="V1135" s="199">
        <f>IF(B1133="Лікар загальної практики - сімейний лікар"," ",IF(B1133="Лікар-педіатр"," ",IF(B1133="Лікар-терапевт","х",0)))</f>
        <v>0</v>
      </c>
      <c r="W1135" s="199">
        <f>IF(B1133="Лікар загальної практики - сімейний лікар"," ",IF(B1133="Лікар-педіатр","х",IF(B1133="Лікар-терапевт"," ",0)))</f>
        <v>0</v>
      </c>
      <c r="X1135" s="199">
        <f>IF(B1133="Лікар загальної практики - сімейний лікар"," ",IF(B1133="Лікар-педіатр","х",IF(B1133="Лікар-терапевт"," ",0)))</f>
        <v>0</v>
      </c>
      <c r="Y1135" s="199">
        <f>IF(B1133="Лікар загальної практики - сімейний лікар"," ",IF(B1133="Лікар-педіатр","х",IF(B1133="Лікар-терапевт"," ",0)))</f>
        <v>0</v>
      </c>
      <c r="Z1135" s="200">
        <f>SUM(U1135:Y1135)</f>
        <v>0</v>
      </c>
      <c r="AA1135" s="942"/>
      <c r="AB1135" s="199">
        <f>IF(B1133="Лікар загальної практики - сімейний лікар"," ",IF(B1133="Лікар-педіатр"," ",IF(B1133="Лікар-терапевт","х",0)))</f>
        <v>0</v>
      </c>
      <c r="AC1135" s="199">
        <f>IF(B1133="Лікар загальної практики - сімейний лікар"," ",IF(B1133="Лікар-педіатр"," ",IF(B1133="Лікар-терапевт","х",0)))</f>
        <v>0</v>
      </c>
      <c r="AD1135" s="199">
        <f>IF(B1133="Лікар загальної практики - сімейний лікар"," ",IF(B1133="Лікар-педіатр","х",IF(B1133="Лікар-терапевт"," ",0)))</f>
        <v>0</v>
      </c>
      <c r="AE1135" s="199">
        <f>IF(B1133="Лікар загальної практики - сімейний лікар"," ",IF(B1133="Лікар-педіатр","х",IF(B1133="Лікар-терапевт"," ",0)))</f>
        <v>0</v>
      </c>
      <c r="AF1135" s="199">
        <f>IF(B1133="Лікар загальної практики - сімейний лікар"," ",IF(B1133="Лікар-педіатр","х",IF(B1133="Лікар-терапевт"," ",0)))</f>
        <v>0</v>
      </c>
      <c r="AG1135" s="200">
        <f>SUM(AB1135:AF1135)</f>
        <v>0</v>
      </c>
      <c r="AH1135" s="942"/>
      <c r="AI1135" s="242"/>
      <c r="AJ1135" s="945"/>
      <c r="AK1135" s="960"/>
      <c r="AL1135" s="960"/>
      <c r="AM1135" s="930"/>
      <c r="AN1135" s="948"/>
      <c r="AO1135" s="948"/>
      <c r="AP1135" s="948"/>
      <c r="AQ1135" s="948"/>
      <c r="AR1135" s="963"/>
    </row>
    <row r="1136" spans="1:44" s="50" customFormat="1" ht="31.9" hidden="1" customHeight="1" thickBot="1">
      <c r="A1136" s="197"/>
      <c r="B1136" s="951"/>
      <c r="C1136" s="954"/>
      <c r="D1136" s="957"/>
      <c r="E1136" s="939"/>
      <c r="F1136" s="236" t="s">
        <v>426</v>
      </c>
      <c r="G1136" s="203">
        <f>IF($B$1133="Лікар-педіатр",G1135/L1135,IF($B$1133="Лікар-терапевт","х",IF($B$1133="Лікар загальної практики - сімейний лікар",G1135/L1135,0)))</f>
        <v>0</v>
      </c>
      <c r="H1136" s="203">
        <f>IF($B$1133="Лікар-педіатр",H1135/L1135,IF($B$1133="Лікар-терапевт","х",IF($B$1133="Лікар загальної практики - сімейний лікар",H1135/L1135,0)))</f>
        <v>0</v>
      </c>
      <c r="I1136" s="203">
        <f>IF($B$1133="Лікар-педіатр","x",IF($B$1133="Лікар-терапевт",I1135/L1135,IF($B$1133="Лікар загальної практики - сімейний лікар",I1135/L1135,0)))</f>
        <v>0</v>
      </c>
      <c r="J1136" s="203">
        <f>IF($B$1133="Лікар-педіатр","x",IF($B$1133="Лікар-терапевт",J1135/L1135,IF($B$1133="Лікар загальної практики - сімейний лікар",J1135/L1135,0)))</f>
        <v>0</v>
      </c>
      <c r="K1136" s="203">
        <f>IF($B$1133="Лікар-педіатр","x",IF($B$1133="Лікар-терапевт",K1135/L1135,IF($B$1133="Лікар загальної практики - сімейний лікар",K1135/L1135,0)))</f>
        <v>0</v>
      </c>
      <c r="L1136" s="203">
        <f>SUM(G1136:K1136)</f>
        <v>0</v>
      </c>
      <c r="M1136" s="942"/>
      <c r="N1136" s="203">
        <f>IF($B$1133="Лікар-педіатр",N1135/S1135,IF($B$1133="Лікар-терапевт","х",IF($B$1133="Лікар загальної практики - сімейний лікар",N1135/S1135,0)))</f>
        <v>0</v>
      </c>
      <c r="O1136" s="203">
        <f>IF($B$1133="Лікар-педіатр",O1135/S1135,IF($B$1133="Лікар-терапевт","х",IF($B$1133="Лікар загальної практики - сімейний лікар",O1135/S1135,0)))</f>
        <v>0</v>
      </c>
      <c r="P1136" s="203">
        <f>IF($B$1133="Лікар-педіатр","x",IF($B$1133="Лікар-терапевт",P1135/S1135,IF($B$1133="Лікар загальної практики - сімейний лікар",P1135/S1135,0)))</f>
        <v>0</v>
      </c>
      <c r="Q1136" s="203">
        <f>IF($B$1133="Лікар-педіатр","x",IF($B$1133="Лікар-терапевт",Q1135/S1135,IF($B$1133="Лікар загальної практики - сімейний лікар",Q1135/S1135,0)))</f>
        <v>0</v>
      </c>
      <c r="R1136" s="203">
        <f>IF($B$1133="Лікар-педіатр","x",IF($B$1133="Лікар-терапевт",R1135/S1135,IF($B$1133="Лікар загальної практики - сімейний лікар",R1135/S1135,0)))</f>
        <v>0</v>
      </c>
      <c r="S1136" s="203">
        <f>SUM(N1136:R1136)</f>
        <v>0</v>
      </c>
      <c r="T1136" s="942"/>
      <c r="U1136" s="203">
        <f>IF($B$1133="Лікар-педіатр",U1135/Z1135,IF($B$1133="Лікар-терапевт","х",IF($B$1133="Лікар загальної практики - сімейний лікар",U1135/Z1135,0)))</f>
        <v>0</v>
      </c>
      <c r="V1136" s="203">
        <f>IF($B$1133="Лікар-педіатр",V1135/Z1135,IF($B$1133="Лікар-терапевт","х",IF($B$1133="Лікар загальної практики - сімейний лікар",V1135/Z1135,0)))</f>
        <v>0</v>
      </c>
      <c r="W1136" s="203">
        <f>IF($B$1133="Лікар-педіатр","x",IF($B$1133="Лікар-терапевт",W1135/Z1135,IF($B$1133="Лікар загальної практики - сімейний лікар",W1135/Z1135,0)))</f>
        <v>0</v>
      </c>
      <c r="X1136" s="203">
        <f>IF($B$1133="Лікар-педіатр","x",IF($B$1133="Лікар-терапевт",X1135/Z1135,IF($B$1133="Лікар загальної практики - сімейний лікар",X1135/Z1135,0)))</f>
        <v>0</v>
      </c>
      <c r="Y1136" s="203">
        <f>IF($B$1133="Лікар-педіатр","x",IF($B$1133="Лікар-терапевт",Y1135/Z1135,IF($B$1133="Лікар загальної практики - сімейний лікар",Y1135/Z1135,0)))</f>
        <v>0</v>
      </c>
      <c r="Z1136" s="203">
        <f>SUM(U1136:Y1136)</f>
        <v>0</v>
      </c>
      <c r="AA1136" s="942"/>
      <c r="AB1136" s="203">
        <f>IF($B$1133="Лікар-педіатр",AB1135/AG1135,IF($B$1133="Лікар-терапевт","х",IF($B$1133="Лікар загальної практики - сімейний лікар",AB1135/AG1135,0)))</f>
        <v>0</v>
      </c>
      <c r="AC1136" s="203">
        <f>IF($B$1133="Лікар-педіатр",AC1135/AG1135,IF($B$1133="Лікар-терапевт","х",IF($B$1133="Лікар загальної практики - сімейний лікар",AC1135/AG1135,0)))</f>
        <v>0</v>
      </c>
      <c r="AD1136" s="203">
        <f>IF($B$1133="Лікар-педіатр","x",IF($B$1133="Лікар-терапевт",AD1135/AG1135,IF($B$1133="Лікар загальної практики - сімейний лікар",AD1135/AG1135,0)))</f>
        <v>0</v>
      </c>
      <c r="AE1136" s="203">
        <f>IF($B$1133="Лікар-педіатр","x",IF($B$1133="Лікар-терапевт",AE1135/AG1135,IF($B$1133="Лікар загальної практики - сімейний лікар",AE1135/AG1135,0)))</f>
        <v>0</v>
      </c>
      <c r="AF1136" s="203">
        <f>IF($B$1133="Лікар-педіатр","x",IF($B$1133="Лікар-терапевт",AF1135/AG1135,IF($B$1133="Лікар загальної практики - сімейний лікар",AF1135/AG1135,0)))</f>
        <v>0</v>
      </c>
      <c r="AG1136" s="203">
        <f>SUM(AB1136:AF1136)</f>
        <v>0</v>
      </c>
      <c r="AH1136" s="942"/>
      <c r="AI1136" s="201"/>
      <c r="AJ1136" s="945"/>
      <c r="AK1136" s="960"/>
      <c r="AL1136" s="960"/>
      <c r="AM1136" s="930"/>
      <c r="AN1136" s="948"/>
      <c r="AO1136" s="948"/>
      <c r="AP1136" s="948"/>
      <c r="AQ1136" s="948"/>
      <c r="AR1136" s="963"/>
    </row>
    <row r="1137" spans="1:44" s="50" customFormat="1" ht="45" hidden="1" customHeight="1" thickBot="1">
      <c r="A1137" s="197"/>
      <c r="B1137" s="951"/>
      <c r="C1137" s="954"/>
      <c r="D1137" s="957"/>
      <c r="E1137" s="939"/>
      <c r="F1137" s="204" t="s">
        <v>662</v>
      </c>
      <c r="G1137" s="205">
        <f>IF($B$1133="Лікар загальної практики - сімейний лікар",AVERAGE(G1133:G1135),IF($B$1133="Лікар-педіатр",AVERAGE(G1133:G1135),IF($B$1133="Лікар-терапевт","х",0)))</f>
        <v>0</v>
      </c>
      <c r="H1137" s="205">
        <f>IF($B$1133="Лікар загальної практики - сімейний лікар",AVERAGE(H1133:H1135),IF($B$1133="Лікар-педіатр",AVERAGE(H1133:H1135),IF($B$1133="Лікар-терапевт","х",0)))</f>
        <v>0</v>
      </c>
      <c r="I1137" s="205">
        <f>IF($B$1133="Лікар загальної практики - сімейний лікар",AVERAGE(I1133:I1135),IF($B$1133="Лікар-педіатр","x",IF($B$1133="Лікар-терапевт",AVERAGE(I1133:I1135),0)))</f>
        <v>0</v>
      </c>
      <c r="J1137" s="205">
        <f>IF($B$1133="Лікар загальної практики - сімейний лікар",AVERAGE(J1133:J1135),IF($B$1133="Лікар-педіатр","x",IF($B$1133="Лікар-терапевт",AVERAGE(J1133:J1135),0)))</f>
        <v>0</v>
      </c>
      <c r="K1137" s="205">
        <f>IF($B$1133="Лікар загальної практики - сімейний лікар",AVERAGE(K1133:K1135),IF($B$1133="Лікар-педіатр","x",IF($B$1133="Лікар-терапевт",AVERAGE(K1133:K1135),0)))</f>
        <v>0</v>
      </c>
      <c r="L1137" s="206">
        <f>SUM(G1137:K1137)</f>
        <v>0</v>
      </c>
      <c r="M1137" s="942"/>
      <c r="N1137" s="205">
        <f>IF($B$1133="Лікар загальної практики - сімейний лікар",AVERAGE(N1133:N1135),IF($B$1133="Лікар-педіатр",AVERAGE(N1133:N1135),IF($B$1133="Лікар-терапевт","х",0)))</f>
        <v>0</v>
      </c>
      <c r="O1137" s="205">
        <f>IF($B$1133="Лікар загальної практики - сімейний лікар",AVERAGE(O1133:O1135),IF($B$1133="Лікар-педіатр",AVERAGE(O1133:O1135),IF($B$1133="Лікар-терапевт","х",0)))</f>
        <v>0</v>
      </c>
      <c r="P1137" s="205">
        <f>IF($B$1133="Лікар загальної практики - сімейний лікар",AVERAGE(P1133:P1135),IF($B$1133="Лікар-педіатр","x",IF($B$1133="Лікар-терапевт",AVERAGE(P1133:P1135),0)))</f>
        <v>0</v>
      </c>
      <c r="Q1137" s="205">
        <f>IF($B$1133="Лікар загальної практики - сімейний лікар",AVERAGE(Q1133:Q1135),IF($B$1133="Лікар-педіатр","x",IF($B$1133="Лікар-терапевт",AVERAGE(Q1133:Q1135),0)))</f>
        <v>0</v>
      </c>
      <c r="R1137" s="205">
        <f>IF($B$1133="Лікар загальної практики - сімейний лікар",AVERAGE(R1133:R1135),IF($B$1133="Лікар-педіатр","x",IF($B$1133="Лікар-терапевт",AVERAGE(R1133:R1135),0)))</f>
        <v>0</v>
      </c>
      <c r="S1137" s="206">
        <f>SUM(N1137:R1137)</f>
        <v>0</v>
      </c>
      <c r="T1137" s="942"/>
      <c r="U1137" s="205">
        <f>IF($B$1133="Лікар загальної практики - сімейний лікар",AVERAGE(U1133:U1135),IF($B$1133="Лікар-педіатр",AVERAGE(U1133:U1135),IF($B$1133="Лікар-терапевт","х",0)))</f>
        <v>0</v>
      </c>
      <c r="V1137" s="205">
        <f>IF($B$1133="Лікар загальної практики - сімейний лікар",AVERAGE(V1133:V1135),IF($B$1133="Лікар-педіатр",AVERAGE(V1133:V1135),IF($B$1133="Лікар-терапевт","х",0)))</f>
        <v>0</v>
      </c>
      <c r="W1137" s="205">
        <f>IF($B$1133="Лікар загальної практики - сімейний лікар",AVERAGE(W1133:W1135),IF($B$1133="Лікар-педіатр","x",IF($B$1133="Лікар-терапевт",AVERAGE(W1133:W1135),0)))</f>
        <v>0</v>
      </c>
      <c r="X1137" s="205">
        <f>IF($B$1133="Лікар загальної практики - сімейний лікар",AVERAGE(X1133:X1135),IF($B$1133="Лікар-педіатр","x",IF($B$1133="Лікар-терапевт",AVERAGE(X1133:X1135),0)))</f>
        <v>0</v>
      </c>
      <c r="Y1137" s="205">
        <f>IF($B$1133="Лікар загальної практики - сімейний лікар",AVERAGE(Y1133:Y1135),IF($B$1133="Лікар-педіатр","x",IF($B$1133="Лікар-терапевт",AVERAGE(Y1133:Y1135),0)))</f>
        <v>0</v>
      </c>
      <c r="Z1137" s="206">
        <f>SUM(U1137:Y1137)</f>
        <v>0</v>
      </c>
      <c r="AA1137" s="942"/>
      <c r="AB1137" s="205">
        <f>IF($B$1133="Лікар загальної практики - сімейний лікар",AVERAGE(AB1133:AB1135),IF($B$1133="Лікар-педіатр",AVERAGE(AB1133:AB1135),IF($B$1133="Лікар-терапевт","х",0)))</f>
        <v>0</v>
      </c>
      <c r="AC1137" s="205">
        <f>IF($B$1133="Лікар загальної практики - сімейний лікар",AVERAGE(AC1133:AC1135),IF($B$1133="Лікар-педіатр",AVERAGE(AC1133:AC1135),IF($B$1133="Лікар-терапевт","х",0)))</f>
        <v>0</v>
      </c>
      <c r="AD1137" s="205">
        <f>IF($B$1133="Лікар загальної практики - сімейний лікар",AVERAGE(AD1133:AD1135),IF($B$1133="Лікар-педіатр","x",IF($B$1133="Лікар-терапевт",AVERAGE(AD1133:AD1135),0)))</f>
        <v>0</v>
      </c>
      <c r="AE1137" s="205">
        <f>IF($B$1133="Лікар загальної практики - сімейний лікар",AVERAGE(AE1133:AE1135),IF($B$1133="Лікар-педіатр","x",IF($B$1133="Лікар-терапевт",AVERAGE(AE1133:AE1135),0)))</f>
        <v>0</v>
      </c>
      <c r="AF1137" s="205">
        <f>IF($B$1133="Лікар загальної практики - сімейний лікар",AVERAGE(AF1133:AF1135),IF($B$1133="Лікар-педіатр","x",IF($B$1133="Лікар-терапевт",AVERAGE(AF1133:AF1135),0)))</f>
        <v>0</v>
      </c>
      <c r="AG1137" s="206">
        <f>SUM(AB1137:AF1137)</f>
        <v>0</v>
      </c>
      <c r="AH1137" s="942"/>
      <c r="AI1137" s="201"/>
      <c r="AJ1137" s="945"/>
      <c r="AK1137" s="960"/>
      <c r="AL1137" s="960"/>
      <c r="AM1137" s="931"/>
      <c r="AN1137" s="949"/>
      <c r="AO1137" s="949"/>
      <c r="AP1137" s="949"/>
      <c r="AQ1137" s="949"/>
      <c r="AR1137" s="964"/>
    </row>
    <row r="1138" spans="1:44" s="50" customFormat="1" ht="40.5" hidden="1">
      <c r="A1138" s="197"/>
      <c r="B1138" s="951"/>
      <c r="C1138" s="954"/>
      <c r="D1138" s="957"/>
      <c r="E1138" s="939"/>
      <c r="F1138" s="237" t="str">
        <f ca="1">IF(B1133="Лікар-педіатр",Законод!$C$17,IF(B1133="Лікар загальної практики - сімейний лікар",Законод!$C$21,IF(B1133="Лікар-терапевт",Законод!$C$25,"х")))</f>
        <v>х</v>
      </c>
      <c r="G1138" s="208">
        <f ca="1">IF($B$1133="Лікар загальної практики - сімейний лікар",IF(L1137&lt;=Законод!$C$22,G1137,Законод!$C$22*'01_Доходи'!G1136),IF($B$1133="Лікар-педіатр",IF(L1137&lt;=Законод!$C$18,G1137,Законод!$C$18*'01_Доходи'!G1136),IF($B$1133="Лікар-терапевт","x",0)))</f>
        <v>0</v>
      </c>
      <c r="H1138" s="208">
        <f ca="1">IF($B$1133="Лікар загальної практики - сімейний лікар",IF(L1137&lt;=Законод!$C$22,H1137,Законод!$C$22*'01_Доходи'!H1136),IF($B$1133="Лікар-педіатр",IF(L1137&lt;=Законод!$C$18,H1137,Законод!$C$18*'01_Доходи'!H1136),IF($B$1133="Лікар-терапевт","x",0)))</f>
        <v>0</v>
      </c>
      <c r="I1138" s="208">
        <f ca="1">IF($B$1133="Лікар загальної практики - сімейний лікар",IF(L1137&lt;=Законод!$C$22,I1137,Законод!$C$22*'01_Доходи'!I1136),IF($B$1133="Лікар-педіатр","x",IF($B$1133="Лікар-терапевт",IF(L1137&lt;=Законод!$C$26,I1137,Законод!$C$26*'01_Доходи'!I1136),0)))</f>
        <v>0</v>
      </c>
      <c r="J1138" s="208">
        <f ca="1">IF($B$1133="Лікар загальної практики - сімейний лікар",IF(L1137&lt;=Законод!$C$22,J1137,Законод!$C$22*'01_Доходи'!J1136),IF($B$1133="Лікар-педіатр","x",IF($B$1133="Лікар-терапевт",IF(L1137&lt;=Законод!$C$26,J1137,Законод!$C$26*'01_Доходи'!J1136),0)))</f>
        <v>0</v>
      </c>
      <c r="K1138" s="208">
        <f ca="1">IF($B$1133="Лікар загальної практики - сімейний лікар",IF(L1137&lt;=Законод!$C$22,K1137,Законод!$C$22*'01_Доходи'!K1136),IF($B$1133="Лікар-педіатр","x",IF($B$1133="Лікар-терапевт",IF(L1137&lt;=Законод!$C$26,K1137,Законод!$C$26*'01_Доходи'!K1136),0)))</f>
        <v>0</v>
      </c>
      <c r="L1138" s="209">
        <f ca="1">SUM(G1138:K1138)</f>
        <v>0</v>
      </c>
      <c r="M1138" s="942"/>
      <c r="N1138" s="208">
        <f ca="1">IF($B$1133="Лікар загальної практики - сімейний лікар",IF(S1137&lt;=Законод!$C$22,N1137,Законод!$C$22*'01_Доходи'!N1136),IF($B$1133="Лікар-педіатр",IF(S1137&lt;=Законод!$C$18,N1137,Законод!$C$18*'01_Доходи'!N1136),IF($B$1133="Лікар-терапевт","x",0)))</f>
        <v>0</v>
      </c>
      <c r="O1138" s="208">
        <f ca="1">IF($B$1133="Лікар загальної практики - сімейний лікар",IF(S1137&lt;=Законод!$C$22,O1137,Законод!$C$22*'01_Доходи'!O1136),IF($B$1133="Лікар-педіатр",IF(S1137&lt;=Законод!$C$18,O1137,Законод!$C$18*'01_Доходи'!O1136),IF($B$1133="Лікар-терапевт","x",0)))</f>
        <v>0</v>
      </c>
      <c r="P1138" s="208">
        <f ca="1">IF($B$1133="Лікар загальної практики - сімейний лікар",IF(S1137&lt;=Законод!$C$22,P1137,Законод!$C$22*'01_Доходи'!P1136),IF($B$1133="Лікар-педіатр","x",IF($B$1133="Лікар-терапевт",IF(S1137&lt;=Законод!$C$26,P1137,Законод!$C$26*'01_Доходи'!P1136),0)))</f>
        <v>0</v>
      </c>
      <c r="Q1138" s="208">
        <f ca="1">IF($B$1133="Лікар загальної практики - сімейний лікар",IF(S1137&lt;=Законод!$C$22,Q1137,Законод!$C$22*'01_Доходи'!Q1136),IF($B$1133="Лікар-педіатр","x",IF($B$1133="Лікар-терапевт",IF(S1137&lt;=Законод!$C$26,Q1137,Законод!$C$26*'01_Доходи'!Q1136),0)))</f>
        <v>0</v>
      </c>
      <c r="R1138" s="208">
        <f ca="1">IF($B$1133="Лікар загальної практики - сімейний лікар",IF(S1137&lt;=Законод!$C$22,R1137,Законод!$C$22*'01_Доходи'!R1136),IF($B$1133="Лікар-педіатр","x",IF($B$1133="Лікар-терапевт",IF(S1137&lt;=Законод!$C$26,R1137,Законод!$C$26*'01_Доходи'!R1136),0)))</f>
        <v>0</v>
      </c>
      <c r="S1138" s="209">
        <f ca="1">SUM(N1138:R1138)</f>
        <v>0</v>
      </c>
      <c r="T1138" s="942"/>
      <c r="U1138" s="208">
        <f ca="1">IF($B$1133="Лікар загальної практики - сімейний лікар",IF(Z1137&lt;=Законод!$C$22,U1137,Законод!$C$22*'01_Доходи'!U1136),IF($B$1133="Лікар-педіатр",IF(Z1137&lt;=Законод!$C$18,U1137,Законод!$C$18*'01_Доходи'!U1136),IF($B$1133="Лікар-терапевт","x",0)))</f>
        <v>0</v>
      </c>
      <c r="V1138" s="208">
        <f ca="1">IF($B$1133="Лікар загальної практики - сімейний лікар",IF(Z1137&lt;=Законод!$C$22,V1137,Законод!$C$22*'01_Доходи'!V1136),IF($B$1133="Лікар-педіатр",IF(Z1137&lt;=Законод!$C$18,V1137,Законод!$C$18*'01_Доходи'!V1136),IF($B$1133="Лікар-терапевт","x",0)))</f>
        <v>0</v>
      </c>
      <c r="W1138" s="208">
        <f ca="1">IF($B$1133="Лікар загальної практики - сімейний лікар",IF(Z1137&lt;=Законод!$C$22,W1137,Законод!$C$22*'01_Доходи'!W1136),IF($B$1133="Лікар-педіатр","x",IF($B$1133="Лікар-терапевт",IF(Z1137&lt;=Законод!$C$26,W1137,Законод!$C$26*'01_Доходи'!W1136),0)))</f>
        <v>0</v>
      </c>
      <c r="X1138" s="208">
        <f ca="1">IF($B$1133="Лікар загальної практики - сімейний лікар",IF(Z1137&lt;=Законод!$C$22,X1137,Законод!$C$22*'01_Доходи'!X1136),IF($B$1133="Лікар-педіатр","x",IF($B$1133="Лікар-терапевт",IF(Z1137&lt;=Законод!$C$26,X1137,Законод!$C$26*'01_Доходи'!X1136),0)))</f>
        <v>0</v>
      </c>
      <c r="Y1138" s="208">
        <f ca="1">IF($B$1133="Лікар загальної практики - сімейний лікар",IF(Z1137&lt;=Законод!$C$22,Y1137,Законод!$C$22*'01_Доходи'!Y1136),IF($B$1133="Лікар-педіатр","x",IF($B$1133="Лікар-терапевт",IF(Z1137&lt;=Законод!$C$26,Y1137,Законод!$C$26*'01_Доходи'!Y1136),0)))</f>
        <v>0</v>
      </c>
      <c r="Z1138" s="209">
        <f ca="1">SUM(U1138:Y1138)</f>
        <v>0</v>
      </c>
      <c r="AA1138" s="942"/>
      <c r="AB1138" s="208">
        <f ca="1">IF($B$1133="Лікар загальної практики - сімейний лікар",IF(AG1137&lt;=Законод!$C$22,AB1137,Законод!$C$22*'01_Доходи'!AB1136),IF($B$1133="Лікар-педіатр",IF(AG1137&lt;=Законод!$C$18,AB1137,Законод!$C$18*'01_Доходи'!AB1136),IF($B$1133="Лікар-терапевт","x",0)))</f>
        <v>0</v>
      </c>
      <c r="AC1138" s="208">
        <f ca="1">IF($B$1133="Лікар загальної практики - сімейний лікар",IF(AG1137&lt;=Законод!$C$22,AC1137,Законод!$C$22*'01_Доходи'!AC1136),IF($B$1133="Лікар-педіатр",IF(AG1137&lt;=Законод!$C$18,AC1137,Законод!$C$18*'01_Доходи'!AC1136),IF($B$1133="Лікар-терапевт","x",0)))</f>
        <v>0</v>
      </c>
      <c r="AD1138" s="208">
        <f ca="1">IF($B$1133="Лікар загальної практики - сімейний лікар",IF(AG1137&lt;=Законод!$C$22,AD1137,Законод!$C$22*'01_Доходи'!AD1136),IF($B$1133="Лікар-педіатр","x",IF($B$1133="Лікар-терапевт",IF(AG1137&lt;=Законод!$C$26,AD1137,Законод!$C$26*'01_Доходи'!AD1136),0)))</f>
        <v>0</v>
      </c>
      <c r="AE1138" s="208">
        <f ca="1">IF($B$1133="Лікар загальної практики - сімейний лікар",IF(AG1137&lt;=Законод!$C$22,AE1137,Законод!$C$22*'01_Доходи'!AE1136),IF($B$1133="Лікар-педіатр","x",IF($B$1133="Лікар-терапевт",IF(AG1137&lt;=Законод!$C$26,AE1137,Законод!$C$26*'01_Доходи'!AE1136),0)))</f>
        <v>0</v>
      </c>
      <c r="AF1138" s="208">
        <f ca="1">IF($B$1133="Лікар загальної практики - сімейний лікар",IF(AG1137&lt;=Законод!$C$22,AF1137,Законод!$C$22*'01_Доходи'!AF1136),IF($B$1133="Лікар-педіатр","x",IF($B$1133="Лікар-терапевт",IF(AG1137&lt;=Законод!$C$26,AF1137,Законод!$C$26*'01_Доходи'!AF1136),0)))</f>
        <v>0</v>
      </c>
      <c r="AG1138" s="209">
        <f ca="1">SUM(AB1138:AF1138)</f>
        <v>0</v>
      </c>
      <c r="AH1138" s="942"/>
      <c r="AI1138" s="201"/>
      <c r="AJ1138" s="945"/>
      <c r="AK1138" s="960"/>
      <c r="AL1138" s="960"/>
      <c r="AM1138" s="348" t="s">
        <v>451</v>
      </c>
      <c r="AN1138" s="210">
        <f ca="1">IF(B1133="Лікар загальної практики - сімейний лікар",G1138*Законод!$C$11+'01_Доходи'!H1138*Законод!$D$11+'01_Доходи'!I1138*Законод!$E$11+'01_Доходи'!J1138*Законод!$F$11+'01_Доходи'!K1138*Законод!$G$11,IF(B1133="Лікар-педіатр",G1138*Законод!$C$11+'01_Доходи'!H1138*Законод!$D$11,IF(B1133="Лікар-терапевт",'01_Доходи'!I1138*Законод!$E$11+'01_Доходи'!J1138*Законод!$F$11+'01_Доходи'!K1138*Законод!$G$11,0)))</f>
        <v>0</v>
      </c>
      <c r="AO1138" s="210">
        <f ca="1">IF(B1133="Лікар загальної практики - сімейний лікар",N1138*Законод!$C$11+'01_Доходи'!O1138*Законод!$D$11+'01_Доходи'!P1138*Законод!$E$11+'01_Доходи'!Q1138*Законод!$F$11+'01_Доходи'!R1138*Законод!$G$11,IF(B1133="Лікар-педіатр",N1138*Законод!$C$11+'01_Доходи'!O1138*Законод!$D$11,IF(B1133="Лікар-терапевт",'01_Доходи'!P1138*Законод!$E$11+'01_Доходи'!Q1138*Законод!$F$11+'01_Доходи'!R1138*Законод!$G$11,0)))</f>
        <v>0</v>
      </c>
      <c r="AP1138" s="210">
        <f ca="1">IF(B1133="Лікар загальної практики - сімейний лікар",U1138*Законод!$C$11+'01_Доходи'!V1138*Законод!$D$11+'01_Доходи'!W1138*Законод!$E$11+'01_Доходи'!X1138*Законод!$F$11+'01_Доходи'!Y1138*Законод!$G$11,IF(B1133="Лікар-педіатр",U1138*Законод!$C$11+'01_Доходи'!V1138*Законод!$D$11,IF(B1133="Лікар-терапевт",'01_Доходи'!W1138*Законод!$E$11+'01_Доходи'!X1138*Законод!$F$11+'01_Доходи'!Y1138*Законод!$G$11,0)))</f>
        <v>0</v>
      </c>
      <c r="AQ1138" s="210">
        <f ca="1">IF(B1133="Лікар загальної практики - сімейний лікар",AB1138*Законод!$C$11+'01_Доходи'!AC1138*Законод!$D$11+'01_Доходи'!AD1138*Законод!$E$11+'01_Доходи'!AE1138*Законод!$F$11+'01_Доходи'!AF1138*Законод!$G$11,IF(B1133="Лікар-педіатр",AB1138*Законод!$C$11+'01_Доходи'!AC1138*Законод!$D$11,IF(B1133="Лікар-терапевт",'01_Доходи'!AD1138*Законод!$E$11+'01_Доходи'!AE1138*Законод!$F$11+'01_Доходи'!AF1138*Законод!$G$11,0)))</f>
        <v>0</v>
      </c>
      <c r="AR1138" s="211">
        <f t="shared" ref="AR1138:AR1144" si="127">SUM(AN1138:AQ1138)</f>
        <v>0</v>
      </c>
    </row>
    <row r="1139" spans="1:44" s="50" customFormat="1" ht="31.9" hidden="1" customHeight="1">
      <c r="A1139" s="197"/>
      <c r="B1139" s="951"/>
      <c r="C1139" s="954"/>
      <c r="D1139" s="957"/>
      <c r="E1139" s="939"/>
      <c r="F1139" s="238" t="str">
        <f ca="1">IF(B1133="Лікар-педіатр",Законод!$E$17,IF(B1133="Лікар загальної практики - сімейний лікар",Законод!$E$21,IF(B1133="Лікар-терапевт",Законод!$E$25,"х")))</f>
        <v>х</v>
      </c>
      <c r="G1139" s="935" t="s">
        <v>423</v>
      </c>
      <c r="H1139" s="936"/>
      <c r="I1139" s="936"/>
      <c r="J1139" s="936"/>
      <c r="K1139" s="937"/>
      <c r="L1139" s="196">
        <f ca="1">IF($B$1133="Лікар загальної практики - сімейний лікар",IF(L1137&lt;Законод!$C$22,0,(IF(AND(L1137&gt;=Законод!$E$22,L1137&lt;=Законод!$E$23),L1137-Законод!$C$22,IF('01_Доходи'!L1137&gt;=Законод!$F$22,Законод!$E$24,0)))),IF($B$1133="Лікар-педіатр",IF(L1137&lt;Законод!$C$18,0,(IF(AND(L1137&gt;=Законод!$E$18,L1137&lt;=Законод!$E$19),L1137-Законод!$C$18,IF('01_Доходи'!L1137&gt;=Законод!$F$18,Законод!$E$20,0)))),IF($B$1133="Лікар-терапевт",IF(L1137&lt;Законод!$C$26,0,(IF(AND(L1137&gt;=Законод!$E$26,L1137&lt;=Законод!$E$27),L1137-Законод!$C$26,IF('01_Доходи'!L1137&gt;=Законод!$F$26,Законод!$E$28,0)))),0)))</f>
        <v>0</v>
      </c>
      <c r="M1139" s="942"/>
      <c r="N1139" s="935" t="s">
        <v>423</v>
      </c>
      <c r="O1139" s="936"/>
      <c r="P1139" s="936"/>
      <c r="Q1139" s="936"/>
      <c r="R1139" s="937"/>
      <c r="S1139" s="196">
        <f ca="1">IF($B$1133="Лікар загальної практики - сімейний лікар",IF(S1137&lt;Законод!$C$22,0,(IF(AND(S1137&gt;=Законод!$E$22,S1137&lt;=Законод!$E$23),S1137-Законод!$C$22,IF('01_Доходи'!S1137&gt;=Законод!$F$22,Законод!$E$24,0)))),IF($B$1133="Лікар-педіатр",IF(S1137&lt;Законод!$C$18,0,(IF(AND(S1137&gt;=Законод!$E$18,S1137&lt;=Законод!$E$19),S1137-Законод!$C$18,IF('01_Доходи'!S1137&gt;=Законод!$F$18,Законод!$E$20,0)))),IF($B$1133="Лікар-терапевт",IF(S1137&lt;Законод!$C$26,0,(IF(AND(S1137&gt;=Законод!$E$26,S1137&lt;=Законод!$E$27),S1137-Законод!$C$26,IF('01_Доходи'!S1137&gt;=Законод!$F$26,Законод!$E$28,0)))),0)))</f>
        <v>0</v>
      </c>
      <c r="T1139" s="942"/>
      <c r="U1139" s="935" t="s">
        <v>423</v>
      </c>
      <c r="V1139" s="936"/>
      <c r="W1139" s="936"/>
      <c r="X1139" s="936"/>
      <c r="Y1139" s="937"/>
      <c r="Z1139" s="196">
        <f ca="1">IF($B$1133="Лікар загальної практики - сімейний лікар",IF(Z1137&lt;Законод!$C$22,0,(IF(AND(Z1137&gt;=Законод!$E$22,Z1137&lt;=Законод!$E$23),Z1137-Законод!$C$22,IF('01_Доходи'!Z1137&gt;=Законод!$F$22,Законод!$E$24,0)))),IF($B$1133="Лікар-педіатр",IF(Z1137&lt;Законод!$C$18,0,(IF(AND(Z1137&gt;=Законод!$E$18,Z1137&lt;=Законод!$E$19),Z1137-Законод!$C$18,IF('01_Доходи'!Z1137&gt;=Законод!$F$18,Законод!$E$20,0)))),IF($B$1133="Лікар-терапевт",IF(Z1137&lt;Законод!$C$26,0,(IF(AND(Z1137&gt;=Законод!$E$26,Z1137&lt;=Законод!$E$27),Z1137-Законод!$C$26,IF('01_Доходи'!Z1137&gt;=Законод!$F$26,Законод!$E$28,0)))),0)))</f>
        <v>0</v>
      </c>
      <c r="AA1139" s="942"/>
      <c r="AB1139" s="935" t="s">
        <v>423</v>
      </c>
      <c r="AC1139" s="936"/>
      <c r="AD1139" s="936"/>
      <c r="AE1139" s="936"/>
      <c r="AF1139" s="937"/>
      <c r="AG1139" s="196">
        <f ca="1">IF($B$1133="Лікар загальної практики - сімейний лікар",IF(AG1137&lt;Законод!$C$22,0,(IF(AND(AG1137&gt;=Законод!$E$22,AG1137&lt;=Законод!$E$23),AG1137-Законод!$C$22,IF('01_Доходи'!AG1137&gt;=Законод!$F$22,Законод!$E$24,0)))),IF($B$1133="Лікар-педіатр",IF(AG1137&lt;Законод!$C$18,0,(IF(AND(AG1137&gt;=Законод!$E$18,AG1137&lt;=Законод!$E$19),AG1137-Законод!$C$18,IF('01_Доходи'!AG1137&gt;=Законод!$F$18,Законод!$E$20,0)))),IF($B$1133="Лікар-терапевт",IF(AG1137&lt;Законод!$C$26,0,(IF(AND(AG1137&gt;=Законод!$E$26,AG1137&lt;=Законод!$E$27),AG1137-Законод!$C$26,IF('01_Доходи'!AG1137&gt;=Законод!$F$26,Законод!$E$28,0)))),0)))</f>
        <v>0</v>
      </c>
      <c r="AH1139" s="942"/>
      <c r="AI1139" s="201"/>
      <c r="AJ1139" s="945"/>
      <c r="AK1139" s="960"/>
      <c r="AL1139" s="960"/>
      <c r="AM1139" s="926" t="s">
        <v>452</v>
      </c>
      <c r="AN1139" s="210">
        <f ca="1">IF(B1133="Лікар загальної практики - сімейний лікар",L1139*Законод!$C$9/4*Законод!$E$16,IF(B1133="Лікар-педіатр",L1139*Законод!$C$9/4*Законод!$E$16,IF(B1133="Лікар-терапевт",L1139*Законод!$C$9/4*Законод!$E$16,0)))</f>
        <v>0</v>
      </c>
      <c r="AO1139" s="210">
        <f ca="1">IF(B1133="Лікар загальної практики - сімейний лікар",S1139*Законод!$C$9/4*Законод!$E$16,IF(B1133="Лікар-педіатр",S1139*Законод!$C$9/4*Законод!$E$16,IF(B1133="Лікар-терапевт",S1139*Законод!$C$9/4*Законод!$E$16,0)))</f>
        <v>0</v>
      </c>
      <c r="AP1139" s="210">
        <f ca="1">IF(B1133="Лікар загальної практики - сімейний лікар",Z1139*Законод!$C$9/4*Законод!$E$16,IF(B1133="Лікар-педіатр",Z1139*Законод!$C$9/4*Законод!$E$16,IF(B1133="Лікар-терапевт",Z1139*Законод!$C$9/4*Законод!$E$16,0)))</f>
        <v>0</v>
      </c>
      <c r="AQ1139" s="210">
        <f ca="1">IF(B1133="Лікар загальної практики - сімейний лікар",AG1139*Законод!$C$9/4*Законод!$E$16,IF(B1133="Лікар-педіатр",AG1139*Законод!$C$9/4*Законод!$E$16,IF(B1133="Лікар-терапевт",AG1139*Законод!$C$9/4*Законод!$E$16,0)))</f>
        <v>0</v>
      </c>
      <c r="AR1139" s="211">
        <f t="shared" si="127"/>
        <v>0</v>
      </c>
    </row>
    <row r="1140" spans="1:44" s="50" customFormat="1" ht="31.9" hidden="1" customHeight="1">
      <c r="A1140" s="197"/>
      <c r="B1140" s="951"/>
      <c r="C1140" s="954"/>
      <c r="D1140" s="957"/>
      <c r="E1140" s="939"/>
      <c r="F1140" s="238" t="str">
        <f ca="1">IF(B1133="Лікар-педіатр",Законод!$F$17,IF(B1133="Лікар загальної практики - сімейний лікар",Законод!$F$21,IF(B1133="Лікар-терапевт",Законод!$F$25,"х")))</f>
        <v>х</v>
      </c>
      <c r="G1140" s="935" t="s">
        <v>423</v>
      </c>
      <c r="H1140" s="936"/>
      <c r="I1140" s="936"/>
      <c r="J1140" s="936"/>
      <c r="K1140" s="937"/>
      <c r="L1140" s="196">
        <f ca="1">IF($B$1133="Лікар загальної практики - сімейний лікар",IF(L1137&lt;Законод!$C$22,0,(IF(AND(L1137&gt;=Законод!$F$22,L1137&lt;=Законод!$F$23),L1137-Законод!$E$23,IF('01_Доходи'!L1137&gt;=Законод!$G$22,Законод!$F$24,0)))),IF($B$1133="Лікар-педіатр",IF(L1137&lt;Законод!$C$18,0,(IF(AND(L1137&gt;=Законод!$F$18,L1137&lt;=Законод!$F$19),L1137-Законод!$E$19,IF('01_Доходи'!L1137&gt;=Законод!$G$18,Законод!$F$20,0)))),IF($B$1133="Лікар-терапевт",IF(L1137&lt;Законод!$C$26,0,(IF(AND(L1137&gt;=Законод!$F$26,L1137&lt;=Законод!$F$27),L1137-Законод!$E$27,IF('01_Доходи'!L1137&gt;=Законод!$G$26,Законод!$F$28,0)))),0)))</f>
        <v>0</v>
      </c>
      <c r="M1140" s="942"/>
      <c r="N1140" s="935" t="s">
        <v>423</v>
      </c>
      <c r="O1140" s="936"/>
      <c r="P1140" s="936"/>
      <c r="Q1140" s="936"/>
      <c r="R1140" s="937"/>
      <c r="S1140" s="196">
        <f ca="1">IF($B$1133="Лікар загальної практики - сімейний лікар",IF(S1137&lt;Законод!$C$22,0,(IF(AND(S1137&gt;=Законод!$F$22,S1137&lt;=Законод!$F$23),S1137-Законод!$E$23,IF('01_Доходи'!S1137&gt;=Законод!$G$22,Законод!$F$24,0)))),IF($B$1133="Лікар-педіатр",IF(S1137&lt;Законод!$C$18,0,(IF(AND(S1137&gt;=Законод!$F$18,S1137&lt;=Законод!$F$19),S1137-Законод!$E$19,IF('01_Доходи'!S1137&gt;=Законод!$G$18,Законод!$F$20,0)))),IF($B$1133="Лікар-терапевт",IF(S1137&lt;Законод!$C$26,0,(IF(AND(S1137&gt;=Законод!$F$26,S1137&lt;=Законод!$F$27),S1137-Законод!$E$27,IF('01_Доходи'!S1137&gt;=Законод!$G$26,Законод!$F$28,0)))),0)))</f>
        <v>0</v>
      </c>
      <c r="T1140" s="942"/>
      <c r="U1140" s="935" t="s">
        <v>423</v>
      </c>
      <c r="V1140" s="936"/>
      <c r="W1140" s="936"/>
      <c r="X1140" s="936"/>
      <c r="Y1140" s="937"/>
      <c r="Z1140" s="196">
        <f ca="1">IF($B$1133="Лікар загальної практики - сімейний лікар",IF(Z1137&lt;Законод!$C$22,0,(IF(AND(Z1137&gt;=Законод!$F$22,Z1137&lt;=Законод!$F$23),Z1137-Законод!$E$23,IF('01_Доходи'!Z1137&gt;=Законод!$G$22,Законод!$F$24,0)))),IF($B$1133="Лікар-педіатр",IF(Z1137&lt;Законод!$C$18,0,(IF(AND(Z1137&gt;=Законод!$F$18,Z1137&lt;=Законод!$F$19),Z1137-Законод!$E$19,IF('01_Доходи'!Z1137&gt;=Законод!$G$18,Законод!$F$20,0)))),IF($B$1133="Лікар-терапевт",IF(Z1137&lt;Законод!$C$26,0,(IF(AND(Z1137&gt;=Законод!$F$26,Z1137&lt;=Законод!$F$27),Z1137-Законод!$E$27,IF('01_Доходи'!Z1137&gt;=Законод!$G$26,Законод!$F$28,0)))),0)))</f>
        <v>0</v>
      </c>
      <c r="AA1140" s="942"/>
      <c r="AB1140" s="935" t="s">
        <v>423</v>
      </c>
      <c r="AC1140" s="936"/>
      <c r="AD1140" s="936"/>
      <c r="AE1140" s="936"/>
      <c r="AF1140" s="937"/>
      <c r="AG1140" s="196">
        <f ca="1">IF($B$1133="Лікар загальної практики - сімейний лікар",IF(AG1137&lt;Законод!$C$22,0,(IF(AND(AG1137&gt;=Законод!$F$22,AG1137&lt;=Законод!$F$23),AG1137-Законод!$E$23,IF('01_Доходи'!AG1137&gt;=Законод!$G$22,Законод!$F$24,0)))),IF($B$1133="Лікар-педіатр",IF(AG1137&lt;Законод!$C$18,0,(IF(AND(AG1137&gt;=Законод!$F$18,AG1137&lt;=Законод!$F$19),AG1137-Законод!$E$19,IF('01_Доходи'!AG1137&gt;=Законод!$G$18,Законод!$F$20,0)))),IF($B$1133="Лікар-терапевт",IF(AG1137&lt;Законод!$C$26,0,(IF(AND(AG1137&gt;=Законод!$F$26,AG1137&lt;=Законод!$F$27),AG1137-Законод!$E$27,IF('01_Доходи'!AG1137&gt;=Законод!$G$26,Законод!$F$28,0)))),0)))</f>
        <v>0</v>
      </c>
      <c r="AH1140" s="942"/>
      <c r="AI1140" s="201"/>
      <c r="AJ1140" s="945"/>
      <c r="AK1140" s="960"/>
      <c r="AL1140" s="960"/>
      <c r="AM1140" s="927"/>
      <c r="AN1140" s="210">
        <f ca="1">IF(B1133="Лікар загальної практики - сімейний лікар",L1140*Законод!$C$9/4*Законод!$F$16,IF(B1133="Лікар-педіатр",L1140*Законод!$C$9/4*Законод!$F$16,IF(B1133="Лікар-терапевт",L1140*Законод!$C$9/4*Законод!$F$16,0)))</f>
        <v>0</v>
      </c>
      <c r="AO1140" s="210">
        <f ca="1">IF(B1133="Лікар загальної практики - сімейний лікар",S1140*Законод!$C$9/4*Законод!$F$16,IF(B1133="Лікар-педіатр",S1140*Законод!$C$9/4*Законод!$F$16,IF(B1133="Лікар-терапевт",S1140*Законод!$C$9/4*Законод!$F$16,0)))</f>
        <v>0</v>
      </c>
      <c r="AP1140" s="210">
        <f ca="1">IF(B1133="Лікар загальної практики - сімейний лікар",Z1140*Законод!$C$9/4*Законод!$F$16,IF(B1133="Лікар-педіатр",Z1140*Законод!$C$9/4*Законод!$F$16,IF(B1133="Лікар-терапевт",Z1140*Законод!$C$9/4*Законод!$F$16,0)))</f>
        <v>0</v>
      </c>
      <c r="AQ1140" s="210">
        <f ca="1">IF(B1133="Лікар загальної практики - сімейний лікар",AG1140*Законод!$C$9/4*Законод!$F$16,IF(B1133="Лікар-педіатр",AG1140*Законод!$C$9/4*Законод!$F$16,IF(B1133="Лікар-терапевт",AG1140*Законод!$C$9/4*Законод!$F$16,0)))</f>
        <v>0</v>
      </c>
      <c r="AR1140" s="211">
        <f t="shared" si="127"/>
        <v>0</v>
      </c>
    </row>
    <row r="1141" spans="1:44" s="50" customFormat="1" ht="31.9" hidden="1" customHeight="1">
      <c r="A1141" s="197"/>
      <c r="B1141" s="951"/>
      <c r="C1141" s="954"/>
      <c r="D1141" s="957"/>
      <c r="E1141" s="939"/>
      <c r="F1141" s="238" t="str">
        <f ca="1">IF(B1133="Лікар-педіатр",Законод!$G$17,IF(B1133="Лікар загальної практики - сімейний лікар",Законод!$G$21,IF(B1133="Лікар-терапевт",Законод!$G$25,"х")))</f>
        <v>х</v>
      </c>
      <c r="G1141" s="935" t="s">
        <v>423</v>
      </c>
      <c r="H1141" s="936"/>
      <c r="I1141" s="936"/>
      <c r="J1141" s="936"/>
      <c r="K1141" s="937"/>
      <c r="L1141" s="196">
        <f ca="1">IF($B$1133="Лікар загальної практики - сімейний лікар",IF(L1137&lt;Законод!$C$22,0,(IF(AND(L1137&gt;=Законод!$G$22,L1137&lt;=Законод!$G$23),L1137-Законод!$F$23,IF('01_Доходи'!L1137&gt;=Законод!$H$22,Законод!$G$24,0)))),IF($B$1133="Лікар-педіатр",IF(L1137&lt;Законод!$C$18,0,(IF(AND(L1137&gt;=Законод!$G$18,L1137&lt;=Законод!$G$19),L1137-Законод!$F$19,IF('01_Доходи'!L1137&gt;=Законод!$H$18,Законод!$G$20,0)))),IF($B$1133="Лікар-терапевт",IF(L1137&lt;Законод!$C$26,0,(IF(AND(L1137&gt;=Законод!$G$26,L1137&lt;=Законод!$G$27),L1137-Законод!$F$27,IF('01_Доходи'!L1137&gt;=Законод!$H$26,Законод!$G$28,0)))),0)))</f>
        <v>0</v>
      </c>
      <c r="M1141" s="942"/>
      <c r="N1141" s="935" t="s">
        <v>423</v>
      </c>
      <c r="O1141" s="936"/>
      <c r="P1141" s="936"/>
      <c r="Q1141" s="936"/>
      <c r="R1141" s="937"/>
      <c r="S1141" s="196">
        <f ca="1">IF($B$1133="Лікар загальної практики - сімейний лікар",IF(S1137&lt;Законод!$C$22,0,(IF(AND(S1137&gt;=Законод!$G$22,S1137&lt;=Законод!$G$23),S1137-Законод!$F$23,IF('01_Доходи'!S1137&gt;=Законод!$H$22,Законод!$G$24,0)))),IF($B$1133="Лікар-педіатр",IF(S1137&lt;Законод!$C$18,0,(IF(AND(S1137&gt;=Законод!$G$18,S1137&lt;=Законод!$G$19),S1137-Законод!$F$19,IF('01_Доходи'!S1137&gt;=Законод!$H$18,Законод!$G$20,0)))),IF($B$1133="Лікар-терапевт",IF(S1137&lt;Законод!$C$26,0,(IF(AND(S1137&gt;=Законод!$G$26,S1137&lt;=Законод!$G$27),S1137-Законод!$F$27,IF('01_Доходи'!S1137&gt;=Законод!$H$26,Законод!$G$28,0)))),0)))</f>
        <v>0</v>
      </c>
      <c r="T1141" s="942"/>
      <c r="U1141" s="935" t="s">
        <v>423</v>
      </c>
      <c r="V1141" s="936"/>
      <c r="W1141" s="936"/>
      <c r="X1141" s="936"/>
      <c r="Y1141" s="937"/>
      <c r="Z1141" s="196">
        <f ca="1">IF($B$1133="Лікар загальної практики - сімейний лікар",IF(Z1137&lt;Законод!$C$22,0,(IF(AND(Z1137&gt;=Законод!$G$22,Z1137&lt;=Законод!$G$23),Z1137-Законод!$F$23,IF('01_Доходи'!Z1137&gt;=Законод!$H$22,Законод!$G$24,0)))),IF($B$1133="Лікар-педіатр",IF(Z1137&lt;Законод!$C$18,0,(IF(AND(Z1137&gt;=Законод!$G$18,Z1137&lt;=Законод!$G$19),Z1137-Законод!$F$19,IF('01_Доходи'!Z1137&gt;=Законод!$H$18,Законод!$G$20,0)))),IF($B$1133="Лікар-терапевт",IF(Z1137&lt;Законод!$C$26,0,(IF(AND(Z1137&gt;=Законод!$G$26,Z1137&lt;=Законод!$G$27),Z1137-Законод!$F$27,IF('01_Доходи'!Z1137&gt;=Законод!$H$26,Законод!$G$28,0)))),0)))</f>
        <v>0</v>
      </c>
      <c r="AA1141" s="942"/>
      <c r="AB1141" s="935" t="s">
        <v>423</v>
      </c>
      <c r="AC1141" s="936"/>
      <c r="AD1141" s="936"/>
      <c r="AE1141" s="936"/>
      <c r="AF1141" s="937"/>
      <c r="AG1141" s="196">
        <f ca="1">IF($B$1133="Лікар загальної практики - сімейний лікар",IF(AG1137&lt;Законод!$C$22,0,(IF(AND(AG1137&gt;=Законод!$G$22,AG1137&lt;=Законод!$G$23),AG1137-Законод!$F$23,IF('01_Доходи'!AG1137&gt;=Законод!$H$22,Законод!$G$24,0)))),IF($B$1133="Лікар-педіатр",IF(AG1137&lt;Законод!$C$18,0,(IF(AND(AG1137&gt;=Законод!$G$18,AG1137&lt;=Законод!$G$19),AG1137-Законод!$F$19,IF('01_Доходи'!AG1137&gt;=Законод!$H$18,Законод!$G$20,0)))),IF($B$1133="Лікар-терапевт",IF(AG1137&lt;Законод!$C$26,0,(IF(AND(AG1137&gt;=Законод!$G$26,AG1137&lt;=Законод!$G$27),AG1137-Законод!$F$27,IF('01_Доходи'!AG1137&gt;=Законод!$H$26,Законод!$G$28,0)))),0)))</f>
        <v>0</v>
      </c>
      <c r="AH1141" s="942"/>
      <c r="AI1141" s="201"/>
      <c r="AJ1141" s="945"/>
      <c r="AK1141" s="960"/>
      <c r="AL1141" s="960"/>
      <c r="AM1141" s="927"/>
      <c r="AN1141" s="210">
        <f ca="1">IF(B1133="Лікар загальної практики - сімейний лікар",L1141*Законод!$C$9/4*Законод!$G$16,IF(B1133="Лікар-педіатр",L1141*Законод!$C$9/4*Законод!$G$16,IF(B1133="Лікар-терапевт",L1141*Законод!$C$9/4*Законод!$G$16,0)))</f>
        <v>0</v>
      </c>
      <c r="AO1141" s="210">
        <f ca="1">IF(B1133="Лікар загальної практики - сімейний лікар",S1141*Законод!$C$9/4*Законод!$G$16,IF(B1133="Лікар-педіатр",S1141*Законод!$C$9/4*Законод!$G$16,IF(B1133="Лікар-терапевт",S1141*Законод!$C$9/4*Законод!$G$16,0)))</f>
        <v>0</v>
      </c>
      <c r="AP1141" s="210">
        <f ca="1">IF(B1133="Лікар загальної практики - сімейний лікар",Z1141*Законод!$C$9/4*Законод!$G$16,IF(B1133="Лікар-педіатр",Z1141*Законод!$C$9/4*Законод!$G$16,IF(B1133="Лікар-терапевт",Z1141*Законод!$C$9/4*Законод!$G$16,0)))</f>
        <v>0</v>
      </c>
      <c r="AQ1141" s="210">
        <f ca="1">IF(B1133="Лікар загальної практики - сімейний лікар",AG1141*Законод!$C$9/4*Законод!$G$16,IF(B1133="Лікар-педіатр",AG1141*Законод!$C$9/4*Законод!$G$16,IF(B1133="Лікар-терапевт",AG1141*Законод!$C$9/4*Законод!$G$16,0)))</f>
        <v>0</v>
      </c>
      <c r="AR1141" s="211">
        <f t="shared" si="127"/>
        <v>0</v>
      </c>
    </row>
    <row r="1142" spans="1:44" s="50" customFormat="1" ht="31.9" hidden="1" customHeight="1">
      <c r="A1142" s="197"/>
      <c r="B1142" s="951"/>
      <c r="C1142" s="954"/>
      <c r="D1142" s="957"/>
      <c r="E1142" s="939"/>
      <c r="F1142" s="238" t="str">
        <f ca="1">IF(B1133="Лікар-педіатр",Законод!$H$17,IF(B1133="Лікар загальної практики - сімейний лікар",Законод!$H$21,IF(B1133="Лікар-терапевт",Законод!$H$25,"х")))</f>
        <v>х</v>
      </c>
      <c r="G1142" s="935" t="s">
        <v>423</v>
      </c>
      <c r="H1142" s="936"/>
      <c r="I1142" s="936"/>
      <c r="J1142" s="936"/>
      <c r="K1142" s="937"/>
      <c r="L1142" s="196">
        <f ca="1">IF($B$1133="Лікар загальної практики - сімейний лікар",IF(L1137&lt;Законод!$C$22,0,(IF(AND(L1137&gt;=Законод!$H$22,L1137&lt;=Законод!$H$23),L1137-Законод!$G$23,IF('01_Доходи'!L1137&gt;=Законод!$I$22,Законод!$H$24,0)))),IF($B$1133="Лікар-педіатр",IF(L1137&lt;Законод!$C$18,0,(IF(AND(L1137&gt;=Законод!$H$18,L1137&lt;=Законод!$H$19),L1137-Законод!$G$19,IF('01_Доходи'!L1137&gt;=Законод!$I$18,Законод!$H$20,0)))),IF($B$1133="Лікар-терапевт",IF(L1137&lt;Законод!$C$26,0,(IF(AND(L1137&gt;=Законод!$H$26,L1137&lt;=Законод!$H$27),L1137-Законод!$G$27,IF(L1137&gt;=Законод!$I$26,Законод!$H$28,0)))),0)))</f>
        <v>0</v>
      </c>
      <c r="M1142" s="942"/>
      <c r="N1142" s="935" t="s">
        <v>423</v>
      </c>
      <c r="O1142" s="936"/>
      <c r="P1142" s="936"/>
      <c r="Q1142" s="936"/>
      <c r="R1142" s="937"/>
      <c r="S1142" s="196">
        <f ca="1">IF($B$1133="Лікар загальної практики - сімейний лікар",IF(S1137&lt;Законод!$C$22,0,(IF(AND(S1137&gt;=Законод!$H$22,S1137&lt;=Законод!$H$23),S1137-Законод!$G$23,IF('01_Доходи'!S1137&gt;=Законод!$I$22,Законод!$H$24,0)))),IF($B$1133="Лікар-педіатр",IF(S1137&lt;Законод!$C$18,0,(IF(AND(S1137&gt;=Законод!$H$18,S1137&lt;=Законод!$H$19),S1137-Законод!$G$19,IF('01_Доходи'!S1137&gt;=Законод!$I$18,Законод!$H$20,0)))),IF($B$1133="Лікар-терапевт",IF(S1137&lt;Законод!$C$26,0,(IF(AND(S1137&gt;=Законод!$H$26,S1137&lt;=Законод!$H$27),S1137-Законод!$G$27,IF(S1137&gt;=Законод!$I$26,Законод!$H$28,0)))),0)))</f>
        <v>0</v>
      </c>
      <c r="T1142" s="942"/>
      <c r="U1142" s="935" t="s">
        <v>423</v>
      </c>
      <c r="V1142" s="936"/>
      <c r="W1142" s="936"/>
      <c r="X1142" s="936"/>
      <c r="Y1142" s="937"/>
      <c r="Z1142" s="196">
        <f ca="1">IF($B$1133="Лікар загальної практики - сімейний лікар",IF(Z1137&lt;Законод!$C$22,0,(IF(AND(Z1137&gt;=Законод!$H$22,Z1137&lt;=Законод!$H$23),Z1137-Законод!$G$23,IF('01_Доходи'!Z1137&gt;=Законод!$I$22,Законод!$H$24,0)))),IF($B$1133="Лікар-педіатр",IF(Z1137&lt;Законод!$C$18,0,(IF(AND(Z1137&gt;=Законод!$H$18,Z1137&lt;=Законод!$H$19),Z1137-Законод!$G$19,IF('01_Доходи'!Z1137&gt;=Законод!$I$18,Законод!$H$20,0)))),IF($B$1133="Лікар-терапевт",IF(Z1137&lt;Законод!$C$26,0,(IF(AND(Z1137&gt;=Законод!$H$26,Z1137&lt;=Законод!$H$27),Z1137-Законод!$G$27,IF(Z1137&gt;=Законод!$I$26,Законод!$H$28,0)))),0)))</f>
        <v>0</v>
      </c>
      <c r="AA1142" s="942"/>
      <c r="AB1142" s="935" t="s">
        <v>423</v>
      </c>
      <c r="AC1142" s="936"/>
      <c r="AD1142" s="936"/>
      <c r="AE1142" s="936"/>
      <c r="AF1142" s="937"/>
      <c r="AG1142" s="196">
        <f ca="1">IF($B$1133="Лікар загальної практики - сімейний лікар",IF(AG1137&lt;Законод!$C$22,0,(IF(AND(AG1137&gt;=Законод!$H$22,AG1137&lt;=Законод!$H$23),AG1137-Законод!$G$23,IF('01_Доходи'!AG1137&gt;=Законод!$I$22,Законод!$H$24,0)))),IF($B$1133="Лікар-педіатр",IF(AG1137&lt;Законод!$C$18,0,(IF(AND(AG1137&gt;=Законод!$H$18,AG1137&lt;=Законод!$H$19),AG1137-Законод!$G$19,IF('01_Доходи'!AG1137&gt;=Законод!$I$18,Законод!$H$20,0)))),IF($B$1133="Лікар-терапевт",IF(AG1137&lt;Законод!$C$26,0,(IF(AND(AG1137&gt;=Законод!$H$26,AG1137&lt;=Законод!$H$27),AG1137-Законод!$G$27,IF(AG1137&gt;=Законод!$I$26,Законод!$H$28,0)))),0)))</f>
        <v>0</v>
      </c>
      <c r="AH1142" s="942"/>
      <c r="AI1142" s="201"/>
      <c r="AJ1142" s="945"/>
      <c r="AK1142" s="960"/>
      <c r="AL1142" s="960"/>
      <c r="AM1142" s="927"/>
      <c r="AN1142" s="210">
        <f ca="1">IF(B1133="Лікар загальної практики - сімейний лікар",L1142*Законод!$C$9/4*Законод!$H$16,IF(B1133="Лікар-педіатр",L1142*Законод!$C$9/4*Законод!$H$16,IF(B1133="Лікар-терапевт",L1142*Законод!$C$9/4*Законод!$H$16,0)))</f>
        <v>0</v>
      </c>
      <c r="AO1142" s="210">
        <f ca="1">IF(B1133="Лікар загальної практики - сімейний лікар",S1142*Законод!$C$9/4*Законод!$H$16,IF(B1133="Лікар-педіатр",S1142*Законод!$C$9/4*Законод!$H$16,IF(B1133="Лікар-терапевт",S1142*Законод!$C$9/4*Законод!$H$16,0)))</f>
        <v>0</v>
      </c>
      <c r="AP1142" s="210">
        <f ca="1">IF(B1133="Лікар загальної практики - сімейний лікар",Z1142*Законод!$C$9/4*Законод!$H$16,IF(B1133="Лікар-педіатр",Z1142*Законод!$C$9/4*Законод!$H$16,IF(B1133="Лікар-терапевт",Z1142*Законод!$C$9/4*Законод!$H$16,0)))</f>
        <v>0</v>
      </c>
      <c r="AQ1142" s="210">
        <f ca="1">IF(B1133="Лікар загальної практики - сімейний лікар",AG1142*Законод!$C$9/4*Законод!$H$16,IF(B1133="Лікар-педіатр",AG1142*Законод!$C$9/4*Законод!$H$16,IF(B1133="Лікар-терапевт",AG1142*Законод!$C$9/4*Законод!$H$16,0)))</f>
        <v>0</v>
      </c>
      <c r="AR1142" s="211">
        <f t="shared" si="127"/>
        <v>0</v>
      </c>
    </row>
    <row r="1143" spans="1:44" s="50" customFormat="1" ht="31.9" hidden="1" customHeight="1">
      <c r="A1143" s="197"/>
      <c r="B1143" s="951"/>
      <c r="C1143" s="954"/>
      <c r="D1143" s="957"/>
      <c r="E1143" s="939"/>
      <c r="F1143" s="238" t="str">
        <f ca="1">IF(B1133="Лікар-педіатр",Законод!$I$17,IF(B1133="Лікар загальної практики - сімейний лікар",Законод!$I$21,IF(B1133="Лікар-терапевт",Законод!$I$25,"х")))</f>
        <v>х</v>
      </c>
      <c r="G1143" s="935" t="s">
        <v>423</v>
      </c>
      <c r="H1143" s="936"/>
      <c r="I1143" s="936"/>
      <c r="J1143" s="936"/>
      <c r="K1143" s="937"/>
      <c r="L1143" s="196">
        <f ca="1">IF($B$1133="Лікар загальної практики - сімейний лікар",IF(L1137&lt;Законод!$C$22,0,(IF(AND(L1137&gt;=Законод!$I$22,L1137&lt;=Законод!$I$23),L1137-Законод!$H$23,IF('01_Доходи'!L1137&gt;=Законод!$I$22,Законод!$I$24,0)))),IF($B$1133="Лікар-педіатр",IF(L1137&lt;Законод!$C$18,0,(IF(AND(L1137&gt;=Законод!$I$18,L1137&lt;=Законод!$I$19),L1137-Законод!$H$19,IF('01_Доходи'!L1137&gt;=Законод!$I$18,Законод!$H$20,0)))),IF($B$1133="Лікар-терапевт",IF(L1137&lt;Законод!$C$26,0,(IF(AND(L1137&gt;=Законод!$I$26,L1137&lt;=Законод!$I$27),L1137-Законод!$H$27,IF('01_Доходи'!L1137&gt;=Законод!$I$26,Законод!$H$28,0)))),0)))</f>
        <v>0</v>
      </c>
      <c r="M1143" s="942"/>
      <c r="N1143" s="935" t="s">
        <v>423</v>
      </c>
      <c r="O1143" s="936"/>
      <c r="P1143" s="936"/>
      <c r="Q1143" s="936"/>
      <c r="R1143" s="937"/>
      <c r="S1143" s="196">
        <f ca="1">IF($B$1133="Лікар загальної практики - сімейний лікар",IF(S1137&lt;Законод!$C$22,0,(IF(AND(S1137&gt;=Законод!$I$22,S1137&lt;=Законод!$I$23),S1137-Законод!$H$23,IF('01_Доходи'!S1137&gt;=Законод!$I$22,Законод!$I$24,0)))),IF($B$1133="Лікар-педіатр",IF(S1137&lt;Законод!$C$18,0,(IF(AND(S1137&gt;=Законод!$I$18,S1137&lt;=Законод!$I$19),S1137-Законод!$H$19,IF('01_Доходи'!S1137&gt;=Законод!$I$18,Законод!$H$20,0)))),IF($B$1133="Лікар-терапевт",IF(S1137&lt;Законод!$C$26,0,(IF(AND(S1137&gt;=Законод!$I$26,S1137&lt;=Законод!$I$27),S1137-Законод!$H$27,IF('01_Доходи'!S1137&gt;=Законод!$I$26,Законод!$H$28,0)))),0)))</f>
        <v>0</v>
      </c>
      <c r="T1143" s="942"/>
      <c r="U1143" s="935" t="s">
        <v>423</v>
      </c>
      <c r="V1143" s="936"/>
      <c r="W1143" s="936"/>
      <c r="X1143" s="936"/>
      <c r="Y1143" s="937"/>
      <c r="Z1143" s="196">
        <f ca="1">IF($B$1133="Лікар загальної практики - сімейний лікар",IF(Z1137&lt;Законод!$C$22,0,(IF(AND(Z1137&gt;=Законод!$I$22,Z1137&lt;=Законод!$I$23),Z1137-Законод!$H$23,IF('01_Доходи'!Z1137&gt;=Законод!$I$22,Законод!$I$24,0)))),IF($B$1133="Лікар-педіатр",IF(Z1137&lt;Законод!$C$18,0,(IF(AND(Z1137&gt;=Законод!$I$18,Z1137&lt;=Законод!$I$19),Z1137-Законод!$H$19,IF('01_Доходи'!Z1137&gt;=Законод!$I$18,Законод!$H$20,0)))),IF($B$1133="Лікар-терапевт",IF(Z1137&lt;Законод!$C$26,0,(IF(AND(Z1137&gt;=Законод!$I$26,Z1137&lt;=Законод!$I$27),Z1137-Законод!$H$27,IF('01_Доходи'!Z1137&gt;=Законод!$I$26,Законод!$H$28,0)))),0)))</f>
        <v>0</v>
      </c>
      <c r="AA1143" s="942"/>
      <c r="AB1143" s="935" t="s">
        <v>423</v>
      </c>
      <c r="AC1143" s="936"/>
      <c r="AD1143" s="936"/>
      <c r="AE1143" s="936"/>
      <c r="AF1143" s="937"/>
      <c r="AG1143" s="196">
        <f ca="1">IF($B$1133="Лікар загальної практики - сімейний лікар",IF(AG1137&lt;Законод!$C$22,0,(IF(AND(AG1137&gt;=Законод!$I$22,AG1137&lt;=Законод!$I$23),AG1137-Законод!$H$23,IF('01_Доходи'!AG1137&gt;=Законод!$I$22,Законод!$I$24,0)))),IF($B$1133="Лікар-педіатр",IF(AG1137&lt;Законод!$C$18,0,(IF(AND(AG1137&gt;=Законод!$I$18,AG1137&lt;=Законод!$I$19),AG1137-Законод!$H$19,IF('01_Доходи'!AG1137&gt;=Законод!$I$18,Законод!$H$20,0)))),IF($B$1133="Лікар-терапевт",IF(AG1137&lt;Законод!$C$26,0,(IF(AND(AG1137&gt;=Законод!$I$26,AG1137&lt;=Законод!$I$27),AG1137-Законод!$H$27,IF('01_Доходи'!AG1137&gt;=Законод!$I$26,Законод!$H$28,0)))),0)))</f>
        <v>0</v>
      </c>
      <c r="AH1143" s="942"/>
      <c r="AI1143" s="201"/>
      <c r="AJ1143" s="945"/>
      <c r="AK1143" s="960"/>
      <c r="AL1143" s="960"/>
      <c r="AM1143" s="927"/>
      <c r="AN1143" s="210">
        <f ca="1">IF(B1133="Лікар загальної практики - сімейний лікар",L1143*Законод!$C$9/4*Законод!$I$16,IF(B1133="Лікар-педіатр",L1143*Законод!$C$9/4*Законод!$I$16,IF(B1133="Лікар-терапевт",L1143*Законод!$C$9/4*Законод!$I$16,0)))</f>
        <v>0</v>
      </c>
      <c r="AO1143" s="210">
        <f ca="1">IF(B1133="Лікар загальної практики - сімейний лікар",S1143*Законод!$C$9/4*Законод!$I$16,IF(B1133="Лікар-педіатр",S1143*Законод!$C$9/4*Законод!$I$16,IF(B1133="Лікар-терапевт",S1143*Законод!$C$9/4*Законод!$I$16,0)))</f>
        <v>0</v>
      </c>
      <c r="AP1143" s="210">
        <f ca="1">IF(B1133="Лікар загальної практики - сімейний лікар",Z1143*Законод!$C$9/4*Законод!$I$16,IF(B1133="Лікар-педіатр",Z1143*Законод!$C$9/4*Законод!$I$16,IF(B1133="Лікар-терапевт",Z1143*Законод!$C$9/4*Законод!$I$16,0)))</f>
        <v>0</v>
      </c>
      <c r="AQ1143" s="210">
        <f ca="1">IF(B1133="Лікар загальної практики - сімейний лікар",AG1143*Законод!$C$9/4*Законод!$I$16,IF(B1133="Лікар-педіатр",AG1143*Законод!$C$9/4*Законод!$I$16,IF(B1133="Лікар-терапевт",AG1143*Законод!$C$9/4*Законод!$I$16,0)))</f>
        <v>0</v>
      </c>
      <c r="AR1143" s="211">
        <f t="shared" si="127"/>
        <v>0</v>
      </c>
    </row>
    <row r="1144" spans="1:44" s="218" customFormat="1" ht="31.9" hidden="1" customHeight="1" thickBot="1">
      <c r="A1144" s="213"/>
      <c r="B1144" s="952"/>
      <c r="C1144" s="955"/>
      <c r="D1144" s="958"/>
      <c r="E1144" s="940"/>
      <c r="F1144" s="239" t="str">
        <f ca="1">IF(B1133="Лікар-педіатр",Законод!$J$17,IF(B1133="Лікар загальної практики - сімейний лікар",Законод!$J$21,IF(B1133="Лікар-терапевт",Законод!$J$25,"х")))</f>
        <v>х</v>
      </c>
      <c r="G1144" s="932" t="s">
        <v>423</v>
      </c>
      <c r="H1144" s="933"/>
      <c r="I1144" s="933"/>
      <c r="J1144" s="933"/>
      <c r="K1144" s="934"/>
      <c r="L1144" s="196">
        <f ca="1">IF($B$1133="Лікар загальної практики - сімейний лікар",IF(L1137&gt;=Законод!$J$22,'01_Доходи'!L1137-('01_Доходи'!L1138+'01_Доходи'!L1139+'01_Доходи'!L1140+'01_Доходи'!L1141+'01_Доходи'!L1142+'01_Доходи'!L1143),0),IF($B$1133="Лікар-педіатр",IF(L1137&gt;=Законод!$J$18,'01_Доходи'!L1137-('01_Доходи'!L1138+'01_Доходи'!L1139+'01_Доходи'!L1140+'01_Доходи'!L1141+'01_Доходи'!L1142+'01_Доходи'!L1143),0),IF($B$1133="Лікар-терапевт",IF('01_Доходи'!L1137&gt;=Законод!$J$26,L1137-Законод!$I$27,0),0)))</f>
        <v>0</v>
      </c>
      <c r="M1144" s="943"/>
      <c r="N1144" s="932" t="s">
        <v>423</v>
      </c>
      <c r="O1144" s="933"/>
      <c r="P1144" s="933"/>
      <c r="Q1144" s="933"/>
      <c r="R1144" s="934"/>
      <c r="S1144" s="196">
        <f ca="1">IF($B$1133="Лікар загальної практики - сімейний лікар",IF(S1137&gt;=Законод!$J$22,'01_Доходи'!S1137-('01_Доходи'!S1138+'01_Доходи'!S1139+'01_Доходи'!S1140+'01_Доходи'!S1141+'01_Доходи'!S1142+'01_Доходи'!S1143),0),IF($B$1133="Лікар-педіатр",IF(S1137&gt;=Законод!$J$18,'01_Доходи'!S1137-('01_Доходи'!S1138+'01_Доходи'!S1139+'01_Доходи'!S1140+'01_Доходи'!S1141+'01_Доходи'!S1142+'01_Доходи'!S1143),0),IF($B$1133="Лікар-терапевт",IF('01_Доходи'!S1137&gt;=Законод!$J$26,S1137-Законод!$I$27,0),0)))</f>
        <v>0</v>
      </c>
      <c r="T1144" s="943"/>
      <c r="U1144" s="932" t="s">
        <v>423</v>
      </c>
      <c r="V1144" s="933"/>
      <c r="W1144" s="933"/>
      <c r="X1144" s="933"/>
      <c r="Y1144" s="934"/>
      <c r="Z1144" s="196">
        <f ca="1">IF($B$1133="Лікар загальної практики - сімейний лікар",IF(Z1137&gt;=Законод!$J$22,'01_Доходи'!Z1137-('01_Доходи'!Z1138+'01_Доходи'!Z1139+'01_Доходи'!Z1140+'01_Доходи'!Z1141+'01_Доходи'!Z1142+'01_Доходи'!Z1143),0),IF($B$1133="Лікар-педіатр",IF(Z1137&gt;=Законод!$J$18,'01_Доходи'!Z1137-('01_Доходи'!Z1138+'01_Доходи'!Z1139+'01_Доходи'!Z1140+'01_Доходи'!Z1141+'01_Доходи'!Z1142+'01_Доходи'!Z1143),0),IF($B$1133="Лікар-терапевт",IF('01_Доходи'!Z1137&gt;=Законод!$J$26,Z1137-Законод!$I$27,0),0)))</f>
        <v>0</v>
      </c>
      <c r="AA1144" s="943"/>
      <c r="AB1144" s="932" t="s">
        <v>423</v>
      </c>
      <c r="AC1144" s="933"/>
      <c r="AD1144" s="933"/>
      <c r="AE1144" s="933"/>
      <c r="AF1144" s="934"/>
      <c r="AG1144" s="196">
        <f ca="1">IF($B$1133="Лікар загальної практики - сімейний лікар",IF(AG1137&gt;=Законод!$J$22,'01_Доходи'!AG1137-('01_Доходи'!AG1138+'01_Доходи'!AG1139+'01_Доходи'!AG1140+'01_Доходи'!AG1141+'01_Доходи'!AG1142+'01_Доходи'!AG1143),0),IF($B$1133="Лікар-педіатр",IF(AG1137&gt;=Законод!$J$18,'01_Доходи'!AG1137-('01_Доходи'!AG1138+'01_Доходи'!AG1139+'01_Доходи'!AG1140+'01_Доходи'!AG1141+'01_Доходи'!AG1142+'01_Доходи'!AG1143),0),IF($B$1133="Лікар-терапевт",IF('01_Доходи'!AG1137&gt;=Законод!$J$26,AG1137-Законод!$I$27,0),0)))</f>
        <v>0</v>
      </c>
      <c r="AH1144" s="943"/>
      <c r="AI1144" s="215"/>
      <c r="AJ1144" s="946"/>
      <c r="AK1144" s="961"/>
      <c r="AL1144" s="961"/>
      <c r="AM1144" s="928"/>
      <c r="AN1144" s="216">
        <f ca="1">IF(B1133="Лікар загальної практики - сімейний лікар",L1144*Законод!$C$9/4*Законод!$J$16,IF(B1133="Лікар-педіатр",L1144*Законод!$C$9/4*Законод!$J$16,IF(B1133="Лікар-терапевт",L1144*Законод!$C$9/4*Законод!$J$16,0)))</f>
        <v>0</v>
      </c>
      <c r="AO1144" s="216">
        <f ca="1">IF(B1133="Лікар загальної практики - сімейний лікар",S1144*Законод!$C$9/4*Законод!$J$16,IF(B1133="Лікар-педіатр",S1144*Законод!$C$9/4*Законод!$J$16,IF(B1133="Лікар-терапевт",S1144*Законод!$C$9/4*Законод!$J$16,0)))</f>
        <v>0</v>
      </c>
      <c r="AP1144" s="216">
        <f ca="1">IF(B1133="Лікар загальної практики - сімейний лікар",S1144*Законод!$C$9/4*Законод!$J$16,IF(B1133="Лікар-педіатр",S1144*Законод!$C$9/4*Законод!$J$16,IF(B1133="Лікар-терапевт",S1144*Законод!$C$9/4*Законод!$J$16,0)))</f>
        <v>0</v>
      </c>
      <c r="AQ1144" s="216">
        <f ca="1">IF(B1133="Лікар загальної практики - сімейний лікар",AG1144*Законод!$C$9/4*Законод!$J$16,IF(B1133="Лікар-педіатр",AG1144*Законод!$C$9/4*Законод!$J$16,IF(B1133="Лікар-терапевт",AG1144*Законод!$C$9/4*Законод!$J$16,0)))</f>
        <v>0</v>
      </c>
      <c r="AR1144" s="217">
        <f t="shared" si="127"/>
        <v>0</v>
      </c>
    </row>
    <row r="1145" spans="1:44" s="247" customFormat="1" ht="23.45" hidden="1" customHeight="1" thickBot="1">
      <c r="A1145" s="243"/>
      <c r="B1145" s="244"/>
      <c r="C1145" s="244"/>
      <c r="D1145" s="244"/>
      <c r="E1145" s="244"/>
      <c r="F1145" s="245"/>
      <c r="G1145" s="246"/>
      <c r="H1145" s="246"/>
      <c r="L1145" s="248"/>
      <c r="S1145" s="248"/>
      <c r="Z1145" s="248"/>
      <c r="AG1145" s="248"/>
      <c r="AM1145" s="249"/>
      <c r="AR1145" s="250"/>
    </row>
    <row r="1146" spans="1:44" s="191" customFormat="1" ht="24.6" hidden="1" customHeight="1">
      <c r="A1146" s="194">
        <f>A1133+1</f>
        <v>86</v>
      </c>
      <c r="B1146" s="950"/>
      <c r="C1146" s="953"/>
      <c r="D1146" s="956"/>
      <c r="E1146" s="938"/>
      <c r="F1146" s="234" t="s">
        <v>659</v>
      </c>
      <c r="G1146" s="196">
        <f>IF($B$1146="Лікар-педіатр",G1149*L1146,IF($B$1146="Лікар-терапевт","х",IF($B$1146="Лікар загальної практики - сімейний лікар",G1149*L1146,0)))</f>
        <v>0</v>
      </c>
      <c r="H1146" s="196">
        <f>IF($B$1146="Лікар-педіатр",H1149*L1146,IF($B$1146="Лікар-терапевт","х",IF($B$1146="Лікар загальної практики - сімейний лікар",H1149*L1146,0)))</f>
        <v>0</v>
      </c>
      <c r="I1146" s="196">
        <f>IF($B$1146="Лікар-педіатр","x",IF($B$1146="Лікар-терапевт",I1149*L1146,IF($B$1146="Лікар загальної практики - сімейний лікар",I1149*L1146,0)))</f>
        <v>0</v>
      </c>
      <c r="J1146" s="196">
        <f>IF($B$1146="Лікар-педіатр","x",IF($B$1146="Лікар-терапевт",J1149*L1146,IF($B$1146="Лікар загальної практики - сімейний лікар",J1149*L1146,0)))</f>
        <v>0</v>
      </c>
      <c r="K1146" s="196">
        <f>IF($B$1146="Лікар-педіатр","x",IF($B$1146="Лікар-терапевт",K1149*L1146,IF($B$1146="Лікар загальної практики - сімейний лікар",K1149*L1146,0)))</f>
        <v>0</v>
      </c>
      <c r="L1146" s="557"/>
      <c r="M1146" s="941"/>
      <c r="N1146" s="196">
        <f>IF($B$1146="Лікар-педіатр",N1149*S1146,IF($B$1146="Лікар-терапевт","х",IF($B$1146="Лікар загальної практики - сімейний лікар",N1149*S1146,0)))</f>
        <v>0</v>
      </c>
      <c r="O1146" s="196">
        <f>IF($B$1146="Лікар-педіатр",O1149*S1146,IF($B$1146="Лікар-терапевт","х",IF($B$1146="Лікар загальної практики - сімейний лікар",O1149*S1146,0)))</f>
        <v>0</v>
      </c>
      <c r="P1146" s="196">
        <f>IF($B$1146="Лікар-педіатр","x",IF($B$1146="Лікар-терапевт",P1149*S1146,IF($B$1146="Лікар загальної практики - сімейний лікар",P1149*S1146,0)))</f>
        <v>0</v>
      </c>
      <c r="Q1146" s="196">
        <f>IF($B$1146="Лікар-педіатр","x",IF($B$1146="Лікар-терапевт",Q1149*S1146,IF($B$1146="Лікар загальної практики - сімейний лікар",Q1149*S1146,0)))</f>
        <v>0</v>
      </c>
      <c r="R1146" s="196">
        <f>IF($B$1146="Лікар-педіатр","x",IF($B$1146="Лікар-терапевт",R1149*S1146,IF($B$1146="Лікар загальної практики - сімейний лікар",R1149*S1146,0)))</f>
        <v>0</v>
      </c>
      <c r="S1146" s="557"/>
      <c r="T1146" s="941"/>
      <c r="U1146" s="196">
        <f>IF($B$1146="Лікар-педіатр",U1149*Z1146,IF($B$1146="Лікар-терапевт","х",IF($B$1146="Лікар загальної практики - сімейний лікар",U1149*Z1146,0)))</f>
        <v>0</v>
      </c>
      <c r="V1146" s="196">
        <f>IF($B$1146="Лікар-педіатр",V1149*Z1146,IF($B$1146="Лікар-терапевт","х",IF($B$1146="Лікар загальної практики - сімейний лікар",V1149*Z1146,0)))</f>
        <v>0</v>
      </c>
      <c r="W1146" s="196">
        <f>IF($B$1146="Лікар-педіатр","x",IF($B$1146="Лікар-терапевт",W1149*Z1146,IF($B$1146="Лікар загальної практики - сімейний лікар",W1149*Z1146,0)))</f>
        <v>0</v>
      </c>
      <c r="X1146" s="196">
        <f>IF($B$1146="Лікар-педіатр","x",IF($B$1146="Лікар-терапевт",X1149*Z1146,IF($B$1146="Лікар загальної практики - сімейний лікар",X1149*Z1146,0)))</f>
        <v>0</v>
      </c>
      <c r="Y1146" s="196">
        <f>IF($B$1146="Лікар-педіатр","x",IF($B$1146="Лікар-терапевт",Y1149*Z1146,IF($B$1146="Лікар загальної практики - сімейний лікар",Y1149*Z1146,0)))</f>
        <v>0</v>
      </c>
      <c r="Z1146" s="557"/>
      <c r="AA1146" s="941"/>
      <c r="AB1146" s="196">
        <f>IF($B$1146="Лікар-педіатр",AB1149*AG1146,IF($B$1146="Лікар-терапевт","х",IF($B$1146="Лікар загальної практики - сімейний лікар",AB1149*AG1146,0)))</f>
        <v>0</v>
      </c>
      <c r="AC1146" s="196">
        <f>IF($B$1146="Лікар-педіатр",AC1149*AG1146,IF($B$1146="Лікар-терапевт","х",IF($B$1146="Лікар загальної практики - сімейний лікар",AC1149*AG1146,0)))</f>
        <v>0</v>
      </c>
      <c r="AD1146" s="196">
        <f>IF($B$1146="Лікар-педіатр","x",IF($B$1146="Лікар-терапевт",AD1149*AG1146,IF($B$1146="Лікар загальної практики - сімейний лікар",AD1149*AG1146,0)))</f>
        <v>0</v>
      </c>
      <c r="AE1146" s="196">
        <f>IF($B$1146="Лікар-педіатр","x",IF($B$1146="Лікар-терапевт",AE1149*AG1146,IF($B$1146="Лікар загальної практики - сімейний лікар",AE1149*AG1146,0)))</f>
        <v>0</v>
      </c>
      <c r="AF1146" s="196">
        <f>IF($B$1146="Лікар-педіатр","x",IF($B$1146="Лікар-терапевт",AF1149*AG1146,IF($B$1146="Лікар загальної практики - сімейний лікар",AF1149*AG1146,0)))</f>
        <v>0</v>
      </c>
      <c r="AG1146" s="557"/>
      <c r="AH1146" s="941"/>
      <c r="AI1146" s="540">
        <f>A1146</f>
        <v>86</v>
      </c>
      <c r="AJ1146" s="944">
        <f>B1146</f>
        <v>0</v>
      </c>
      <c r="AK1146" s="959">
        <f>C1146</f>
        <v>0</v>
      </c>
      <c r="AL1146" s="959">
        <f>D1146</f>
        <v>0</v>
      </c>
      <c r="AM1146" s="929" t="s">
        <v>79</v>
      </c>
      <c r="AN1146" s="947">
        <f>SUM(AN1151:AN1157)</f>
        <v>0</v>
      </c>
      <c r="AO1146" s="947">
        <f>SUM(AO1151:AO1157)</f>
        <v>0</v>
      </c>
      <c r="AP1146" s="947">
        <f>SUM(AP1151:AP1157)</f>
        <v>0</v>
      </c>
      <c r="AQ1146" s="947">
        <f>SUM(AQ1151:AQ1157)</f>
        <v>0</v>
      </c>
      <c r="AR1146" s="962">
        <f>SUM(AN1146:AQ1150)</f>
        <v>0</v>
      </c>
    </row>
    <row r="1147" spans="1:44" s="50" customFormat="1" ht="28.15" hidden="1" customHeight="1">
      <c r="A1147" s="197"/>
      <c r="B1147" s="951"/>
      <c r="C1147" s="954"/>
      <c r="D1147" s="957"/>
      <c r="E1147" s="939"/>
      <c r="F1147" s="234" t="s">
        <v>660</v>
      </c>
      <c r="G1147" s="196">
        <f>IF($B$1146="Лікар-педіатр",G1149*L1147,IF($B$1146="Лікар-терапевт","х",IF($B$1146="Лікар загальної практики - сімейний лікар",G1149*L1147,0)))</f>
        <v>0</v>
      </c>
      <c r="H1147" s="196">
        <f>IF($B$1146="Лікар-педіатр",H1149*L1147,IF($B$1146="Лікар-терапевт","х",IF($B$1146="Лікар загальної практики - сімейний лікар",H1149*L1147,0)))</f>
        <v>0</v>
      </c>
      <c r="I1147" s="196">
        <f>IF($B$1146="Лікар-педіатр","x",IF($B$1146="Лікар-терапевт",I1149*L1147,IF($B$1146="Лікар загальної практики - сімейний лікар",I1149*L1147,0)))</f>
        <v>0</v>
      </c>
      <c r="J1147" s="196">
        <f>IF($B$1146="Лікар-педіатр","x",IF($B$1146="Лікар-терапевт",J1149*L1147,IF($B$1146="Лікар загальної практики - сімейний лікар",J1149*L1147,0)))</f>
        <v>0</v>
      </c>
      <c r="K1147" s="196">
        <f>IF($B$1146="Лікар-педіатр","x",IF($B$1146="Лікар-терапевт",K1149*L1147,IF($B$1146="Лікар загальної практики - сімейний лікар",K1149*L1147,0)))</f>
        <v>0</v>
      </c>
      <c r="L1147" s="557"/>
      <c r="M1147" s="942"/>
      <c r="N1147" s="196">
        <f>IF($B$1146="Лікар-педіатр",N1149*S1147,IF($B$1146="Лікар-терапевт","х",IF($B$1146="Лікар загальної практики - сімейний лікар",N1149*S1147,0)))</f>
        <v>0</v>
      </c>
      <c r="O1147" s="196">
        <f>IF($B$1146="Лікар-педіатр",O1149*S1147,IF($B$1146="Лікар-терапевт","х",IF($B$1146="Лікар загальної практики - сімейний лікар",O1149*S1147,0)))</f>
        <v>0</v>
      </c>
      <c r="P1147" s="196">
        <f>IF($B$1146="Лікар-педіатр","x",IF($B$1146="Лікар-терапевт",P1149*S1147,IF($B$1146="Лікар загальної практики - сімейний лікар",P1149*S1147,0)))</f>
        <v>0</v>
      </c>
      <c r="Q1147" s="196">
        <f>IF($B$1146="Лікар-педіатр","x",IF($B$1146="Лікар-терапевт",Q1149*S1147,IF($B$1146="Лікар загальної практики - сімейний лікар",Q1149*S1147,0)))</f>
        <v>0</v>
      </c>
      <c r="R1147" s="196">
        <f>IF($B$1146="Лікар-педіатр","x",IF($B$1146="Лікар-терапевт",R1149*S1147,IF($B$1146="Лікар загальної практики - сімейний лікар",R1149*S1147,0)))</f>
        <v>0</v>
      </c>
      <c r="S1147" s="557"/>
      <c r="T1147" s="942"/>
      <c r="U1147" s="196">
        <f>IF($B$1146="Лікар-педіатр",U1149*Z1147,IF($B$1146="Лікар-терапевт","х",IF($B$1146="Лікар загальної практики - сімейний лікар",U1149*Z1147,0)))</f>
        <v>0</v>
      </c>
      <c r="V1147" s="196">
        <f>IF($B$1146="Лікар-педіатр",V1149*Z1147,IF($B$1146="Лікар-терапевт","х",IF($B$1146="Лікар загальної практики - сімейний лікар",V1149*Z1147,0)))</f>
        <v>0</v>
      </c>
      <c r="W1147" s="196">
        <f>IF($B$1146="Лікар-педіатр","x",IF($B$1146="Лікар-терапевт",W1149*Z1147,IF($B$1146="Лікар загальної практики - сімейний лікар",W1149*Z1147,0)))</f>
        <v>0</v>
      </c>
      <c r="X1147" s="196">
        <f>IF($B$1146="Лікар-педіатр","x",IF($B$1146="Лікар-терапевт",X1149*Z1147,IF($B$1146="Лікар загальної практики - сімейний лікар",X1149*Z1147,0)))</f>
        <v>0</v>
      </c>
      <c r="Y1147" s="196">
        <f>IF($B$1146="Лікар-педіатр","x",IF($B$1146="Лікар-терапевт",Y1149*Z1147,IF($B$1146="Лікар загальної практики - сімейний лікар",Y1149*Z1147,0)))</f>
        <v>0</v>
      </c>
      <c r="Z1147" s="557"/>
      <c r="AA1147" s="942"/>
      <c r="AB1147" s="196">
        <f>IF($B$1146="Лікар-педіатр",AB1149*AG1147,IF($B$1146="Лікар-терапевт","х",IF($B$1146="Лікар загальної практики - сімейний лікар",AB1149*AG1147,0)))</f>
        <v>0</v>
      </c>
      <c r="AC1147" s="196">
        <f>IF($B$1146="Лікар-педіатр",AC1149*AG1147,IF($B$1146="Лікар-терапевт","х",IF($B$1146="Лікар загальної практики - сімейний лікар",AC1149*AG1147,0)))</f>
        <v>0</v>
      </c>
      <c r="AD1147" s="196">
        <f>IF($B$1146="Лікар-педіатр","x",IF($B$1146="Лікар-терапевт",AD1149*AG1147,IF($B$1146="Лікар загальної практики - сімейний лікар",AD1149*AG1147,0)))</f>
        <v>0</v>
      </c>
      <c r="AE1147" s="196">
        <f>IF($B$1146="Лікар-педіатр","x",IF($B$1146="Лікар-терапевт",AE1149*AG1147,IF($B$1146="Лікар загальної практики - сімейний лікар",AE1149*AG1147,0)))</f>
        <v>0</v>
      </c>
      <c r="AF1147" s="196">
        <f>IF($B$1146="Лікар-педіатр","x",IF($B$1146="Лікар-терапевт",AF1149*AG1147,IF($B$1146="Лікар загальної практики - сімейний лікар",AF1149*AG1147,0)))</f>
        <v>0</v>
      </c>
      <c r="AG1147" s="557"/>
      <c r="AH1147" s="942"/>
      <c r="AI1147" s="198"/>
      <c r="AJ1147" s="945"/>
      <c r="AK1147" s="960"/>
      <c r="AL1147" s="960"/>
      <c r="AM1147" s="930"/>
      <c r="AN1147" s="948"/>
      <c r="AO1147" s="948"/>
      <c r="AP1147" s="948"/>
      <c r="AQ1147" s="948"/>
      <c r="AR1147" s="963"/>
    </row>
    <row r="1148" spans="1:44" s="90" customFormat="1" ht="31.15" hidden="1" customHeight="1">
      <c r="A1148" s="240"/>
      <c r="B1148" s="951"/>
      <c r="C1148" s="954"/>
      <c r="D1148" s="957"/>
      <c r="E1148" s="939"/>
      <c r="F1148" s="241" t="s">
        <v>661</v>
      </c>
      <c r="G1148" s="199">
        <f>IF(B1146="Лікар загальної практики - сімейний лікар"," ",IF(B1146="Лікар-педіатр"," ",IF(B1146="Лікар-терапевт","х",0)))</f>
        <v>0</v>
      </c>
      <c r="H1148" s="199">
        <f>IF(B1146="Лікар загальної практики - сімейний лікар"," ",IF(B1146="Лікар-педіатр"," ",IF(B1146="Лікар-терапевт","х",0)))</f>
        <v>0</v>
      </c>
      <c r="I1148" s="199">
        <f>IF(B1146="Лікар загальної практики - сімейний лікар"," ",IF(B1146="Лікар-педіатр","х",IF(B1146="Лікар-терапевт"," ",0)))</f>
        <v>0</v>
      </c>
      <c r="J1148" s="199">
        <f>IF(B1146="Лікар загальної практики - сімейний лікар"," ",IF(B1146="Лікар-педіатр","х",IF(B1146="Лікар-терапевт"," ",0)))</f>
        <v>0</v>
      </c>
      <c r="K1148" s="199">
        <f>IF(B1146="Лікар загальної практики - сімейний лікар"," ",IF(B1146="Лікар-педіатр","х",IF(B1146="Лікар-терапевт"," ",0)))</f>
        <v>0</v>
      </c>
      <c r="L1148" s="200">
        <f>SUM(G1148:K1148)</f>
        <v>0</v>
      </c>
      <c r="M1148" s="942"/>
      <c r="N1148" s="199">
        <f>IF(B1146="Лікар загальної практики - сімейний лікар"," ",IF(B1146="Лікар-педіатр"," ",IF(B1146="Лікар-терапевт","х",0)))</f>
        <v>0</v>
      </c>
      <c r="O1148" s="199">
        <f>IF(B1146="Лікар загальної практики - сімейний лікар"," ",IF(B1146="Лікар-педіатр"," ",IF(B1146="Лікар-терапевт","х",0)))</f>
        <v>0</v>
      </c>
      <c r="P1148" s="199">
        <f>IF(B1146="Лікар загальної практики - сімейний лікар"," ",IF(B1146="Лікар-педіатр","х",IF(B1146="Лікар-терапевт"," ",0)))</f>
        <v>0</v>
      </c>
      <c r="Q1148" s="199">
        <f>IF(B1146="Лікар загальної практики - сімейний лікар"," ",IF(B1146="Лікар-педіатр","х",IF(B1146="Лікар-терапевт"," ",0)))</f>
        <v>0</v>
      </c>
      <c r="R1148" s="199">
        <f>IF(B1146="Лікар загальної практики - сімейний лікар"," ",IF(B1146="Лікар-педіатр","х",IF(B1146="Лікар-терапевт"," ",0)))</f>
        <v>0</v>
      </c>
      <c r="S1148" s="200">
        <f>SUM(N1148:R1148)</f>
        <v>0</v>
      </c>
      <c r="T1148" s="942"/>
      <c r="U1148" s="199">
        <f>IF(B1146="Лікар загальної практики - сімейний лікар"," ",IF(B1146="Лікар-педіатр"," ",IF(B1146="Лікар-терапевт","х",0)))</f>
        <v>0</v>
      </c>
      <c r="V1148" s="199">
        <f>IF(B1146="Лікар загальної практики - сімейний лікар"," ",IF(B1146="Лікар-педіатр"," ",IF(B1146="Лікар-терапевт","х",0)))</f>
        <v>0</v>
      </c>
      <c r="W1148" s="199">
        <f>IF(B1146="Лікар загальної практики - сімейний лікар"," ",IF(B1146="Лікар-педіатр","х",IF(B1146="Лікар-терапевт"," ",0)))</f>
        <v>0</v>
      </c>
      <c r="X1148" s="199">
        <f>IF(B1146="Лікар загальної практики - сімейний лікар"," ",IF(B1146="Лікар-педіатр","х",IF(B1146="Лікар-терапевт"," ",0)))</f>
        <v>0</v>
      </c>
      <c r="Y1148" s="199">
        <f>IF(B1146="Лікар загальної практики - сімейний лікар"," ",IF(B1146="Лікар-педіатр","х",IF(B1146="Лікар-терапевт"," ",0)))</f>
        <v>0</v>
      </c>
      <c r="Z1148" s="200">
        <f>SUM(U1148:Y1148)</f>
        <v>0</v>
      </c>
      <c r="AA1148" s="942"/>
      <c r="AB1148" s="199">
        <f>IF(B1146="Лікар загальної практики - сімейний лікар"," ",IF(B1146="Лікар-педіатр"," ",IF(B1146="Лікар-терапевт","х",0)))</f>
        <v>0</v>
      </c>
      <c r="AC1148" s="199">
        <f>IF(B1146="Лікар загальної практики - сімейний лікар"," ",IF(B1146="Лікар-педіатр"," ",IF(B1146="Лікар-терапевт","х",0)))</f>
        <v>0</v>
      </c>
      <c r="AD1148" s="199">
        <f>IF(B1146="Лікар загальної практики - сімейний лікар"," ",IF(B1146="Лікар-педіатр","х",IF(B1146="Лікар-терапевт"," ",0)))</f>
        <v>0</v>
      </c>
      <c r="AE1148" s="199">
        <f>IF(B1146="Лікар загальної практики - сімейний лікар"," ",IF(B1146="Лікар-педіатр","х",IF(B1146="Лікар-терапевт"," ",0)))</f>
        <v>0</v>
      </c>
      <c r="AF1148" s="199">
        <f>IF(B1146="Лікар загальної практики - сімейний лікар"," ",IF(B1146="Лікар-педіатр","х",IF(B1146="Лікар-терапевт"," ",0)))</f>
        <v>0</v>
      </c>
      <c r="AG1148" s="200">
        <f>SUM(AB1148:AF1148)</f>
        <v>0</v>
      </c>
      <c r="AH1148" s="942"/>
      <c r="AI1148" s="242"/>
      <c r="AJ1148" s="945"/>
      <c r="AK1148" s="960"/>
      <c r="AL1148" s="960"/>
      <c r="AM1148" s="930"/>
      <c r="AN1148" s="948"/>
      <c r="AO1148" s="948"/>
      <c r="AP1148" s="948"/>
      <c r="AQ1148" s="948"/>
      <c r="AR1148" s="963"/>
    </row>
    <row r="1149" spans="1:44" s="50" customFormat="1" ht="31.9" hidden="1" customHeight="1" thickBot="1">
      <c r="A1149" s="197"/>
      <c r="B1149" s="951"/>
      <c r="C1149" s="954"/>
      <c r="D1149" s="957"/>
      <c r="E1149" s="939"/>
      <c r="F1149" s="236" t="s">
        <v>426</v>
      </c>
      <c r="G1149" s="203">
        <f>IF($B$1146="Лікар-педіатр",G1148/L1148,IF($B$1146="Лікар-терапевт","х",IF($B$1146="Лікар загальної практики - сімейний лікар",G1148/L1148,0)))</f>
        <v>0</v>
      </c>
      <c r="H1149" s="203">
        <f>IF($B$1146="Лікар-педіатр",H1148/L1148,IF($B$1146="Лікар-терапевт","х",IF($B$1146="Лікар загальної практики - сімейний лікар",H1148/L1148,0)))</f>
        <v>0</v>
      </c>
      <c r="I1149" s="203">
        <f>IF($B$1146="Лікар-педіатр","x",IF($B$1146="Лікар-терапевт",I1148/L1148,IF($B$1146="Лікар загальної практики - сімейний лікар",I1148/L1148,0)))</f>
        <v>0</v>
      </c>
      <c r="J1149" s="203">
        <f>IF($B$1146="Лікар-педіатр","x",IF($B$1146="Лікар-терапевт",J1148/L1148,IF($B$1146="Лікар загальної практики - сімейний лікар",J1148/L1148,0)))</f>
        <v>0</v>
      </c>
      <c r="K1149" s="203">
        <f>IF($B$1146="Лікар-педіатр","x",IF($B$1146="Лікар-терапевт",K1148/L1148,IF($B$1146="Лікар загальної практики - сімейний лікар",K1148/L1148,0)))</f>
        <v>0</v>
      </c>
      <c r="L1149" s="203">
        <f>SUM(G1149:K1149)</f>
        <v>0</v>
      </c>
      <c r="M1149" s="942"/>
      <c r="N1149" s="203">
        <f>IF($B$1146="Лікар-педіатр",N1148/S1148,IF($B$1146="Лікар-терапевт","х",IF($B$1146="Лікар загальної практики - сімейний лікар",N1148/S1148,0)))</f>
        <v>0</v>
      </c>
      <c r="O1149" s="203">
        <f>IF($B$1146="Лікар-педіатр",O1148/S1148,IF($B$1146="Лікар-терапевт","х",IF($B$1146="Лікар загальної практики - сімейний лікар",O1148/S1148,0)))</f>
        <v>0</v>
      </c>
      <c r="P1149" s="203">
        <f>IF($B$1146="Лікар-педіатр","x",IF($B$1146="Лікар-терапевт",P1148/S1148,IF($B$1146="Лікар загальної практики - сімейний лікар",P1148/S1148,0)))</f>
        <v>0</v>
      </c>
      <c r="Q1149" s="203">
        <f>IF($B$1146="Лікар-педіатр","x",IF($B$1146="Лікар-терапевт",Q1148/S1148,IF($B$1146="Лікар загальної практики - сімейний лікар",Q1148/S1148,0)))</f>
        <v>0</v>
      </c>
      <c r="R1149" s="203">
        <f>IF($B$1146="Лікар-педіатр","x",IF($B$1146="Лікар-терапевт",R1148/S1148,IF($B$1146="Лікар загальної практики - сімейний лікар",R1148/S1148,0)))</f>
        <v>0</v>
      </c>
      <c r="S1149" s="203">
        <f>SUM(N1149:R1149)</f>
        <v>0</v>
      </c>
      <c r="T1149" s="942"/>
      <c r="U1149" s="203">
        <f>IF($B$1146="Лікар-педіатр",U1148/Z1148,IF($B$1146="Лікар-терапевт","х",IF($B$1146="Лікар загальної практики - сімейний лікар",U1148/Z1148,0)))</f>
        <v>0</v>
      </c>
      <c r="V1149" s="203">
        <f>IF($B$1146="Лікар-педіатр",V1148/Z1148,IF($B$1146="Лікар-терапевт","х",IF($B$1146="Лікар загальної практики - сімейний лікар",V1148/Z1148,0)))</f>
        <v>0</v>
      </c>
      <c r="W1149" s="203">
        <f>IF($B$1146="Лікар-педіатр","x",IF($B$1146="Лікар-терапевт",W1148/Z1148,IF($B$1146="Лікар загальної практики - сімейний лікар",W1148/Z1148,0)))</f>
        <v>0</v>
      </c>
      <c r="X1149" s="203">
        <f>IF($B$1146="Лікар-педіатр","x",IF($B$1146="Лікар-терапевт",X1148/Z1148,IF($B$1146="Лікар загальної практики - сімейний лікар",X1148/Z1148,0)))</f>
        <v>0</v>
      </c>
      <c r="Y1149" s="203">
        <f>IF($B$1146="Лікар-педіатр","x",IF($B$1146="Лікар-терапевт",Y1148/Z1148,IF($B$1146="Лікар загальної практики - сімейний лікар",Y1148/Z1148,0)))</f>
        <v>0</v>
      </c>
      <c r="Z1149" s="203">
        <f>SUM(U1149:Y1149)</f>
        <v>0</v>
      </c>
      <c r="AA1149" s="942"/>
      <c r="AB1149" s="203">
        <f>IF($B$1146="Лікар-педіатр",AB1148/AG1148,IF($B$1146="Лікар-терапевт","х",IF($B$1146="Лікар загальної практики - сімейний лікар",AB1148/AG1148,0)))</f>
        <v>0</v>
      </c>
      <c r="AC1149" s="203">
        <f>IF($B$1146="Лікар-педіатр",AC1148/AG1148,IF($B$1146="Лікар-терапевт","х",IF($B$1146="Лікар загальної практики - сімейний лікар",AC1148/AG1148,0)))</f>
        <v>0</v>
      </c>
      <c r="AD1149" s="203">
        <f>IF($B$1146="Лікар-педіатр","x",IF($B$1146="Лікар-терапевт",AD1148/AG1148,IF($B$1146="Лікар загальної практики - сімейний лікар",AD1148/AG1148,0)))</f>
        <v>0</v>
      </c>
      <c r="AE1149" s="203">
        <f>IF($B$1146="Лікар-педіатр","x",IF($B$1146="Лікар-терапевт",AE1148/AG1148,IF($B$1146="Лікар загальної практики - сімейний лікар",AE1148/AG1148,0)))</f>
        <v>0</v>
      </c>
      <c r="AF1149" s="203">
        <f>IF($B$1146="Лікар-педіатр","x",IF($B$1146="Лікар-терапевт",AF1148/AG1148,IF($B$1146="Лікар загальної практики - сімейний лікар",AF1148/AG1148,0)))</f>
        <v>0</v>
      </c>
      <c r="AG1149" s="203">
        <f>SUM(AB1149:AF1149)</f>
        <v>0</v>
      </c>
      <c r="AH1149" s="942"/>
      <c r="AI1149" s="201"/>
      <c r="AJ1149" s="945"/>
      <c r="AK1149" s="960"/>
      <c r="AL1149" s="960"/>
      <c r="AM1149" s="930"/>
      <c r="AN1149" s="948"/>
      <c r="AO1149" s="948"/>
      <c r="AP1149" s="948"/>
      <c r="AQ1149" s="948"/>
      <c r="AR1149" s="963"/>
    </row>
    <row r="1150" spans="1:44" s="50" customFormat="1" ht="45" hidden="1" customHeight="1" thickBot="1">
      <c r="A1150" s="197"/>
      <c r="B1150" s="951"/>
      <c r="C1150" s="954"/>
      <c r="D1150" s="957"/>
      <c r="E1150" s="939"/>
      <c r="F1150" s="204" t="s">
        <v>662</v>
      </c>
      <c r="G1150" s="205">
        <f>IF($B$1146="Лікар загальної практики - сімейний лікар",AVERAGE(G1146:G1148),IF($B$1146="Лікар-педіатр",AVERAGE(G1146:G1148),IF($B$1146="Лікар-терапевт","х",0)))</f>
        <v>0</v>
      </c>
      <c r="H1150" s="205">
        <f>IF($B$1146="Лікар загальної практики - сімейний лікар",AVERAGE(H1146:H1148),IF($B$1146="Лікар-педіатр",AVERAGE(H1146:H1148),IF($B$1146="Лікар-терапевт","х",0)))</f>
        <v>0</v>
      </c>
      <c r="I1150" s="205">
        <f>IF($B$1146="Лікар загальної практики - сімейний лікар",AVERAGE(I1146:I1148),IF($B$1146="Лікар-педіатр","x",IF($B$1146="Лікар-терапевт",AVERAGE(I1146:I1148),0)))</f>
        <v>0</v>
      </c>
      <c r="J1150" s="205">
        <f>IF($B$1146="Лікар загальної практики - сімейний лікар",AVERAGE(J1146:J1148),IF($B$1146="Лікар-педіатр","x",IF($B$1146="Лікар-терапевт",AVERAGE(J1146:J1148),0)))</f>
        <v>0</v>
      </c>
      <c r="K1150" s="205">
        <f>IF($B$1146="Лікар загальної практики - сімейний лікар",AVERAGE(K1146:K1148),IF($B$1146="Лікар-педіатр","x",IF($B$1146="Лікар-терапевт",AVERAGE(K1146:K1148),0)))</f>
        <v>0</v>
      </c>
      <c r="L1150" s="206">
        <f>SUM(G1150:K1150)</f>
        <v>0</v>
      </c>
      <c r="M1150" s="942"/>
      <c r="N1150" s="205">
        <f>IF($B$1146="Лікар загальної практики - сімейний лікар",AVERAGE(N1146:N1148),IF($B$1146="Лікар-педіатр",AVERAGE(N1146:N1148),IF($B$1146="Лікар-терапевт","х",0)))</f>
        <v>0</v>
      </c>
      <c r="O1150" s="205">
        <f>IF($B$1146="Лікар загальної практики - сімейний лікар",AVERAGE(O1146:O1148),IF($B$1146="Лікар-педіатр",AVERAGE(O1146:O1148),IF($B$1146="Лікар-терапевт","х",0)))</f>
        <v>0</v>
      </c>
      <c r="P1150" s="205">
        <f>IF($B$1146="Лікар загальної практики - сімейний лікар",AVERAGE(P1146:P1148),IF($B$1146="Лікар-педіатр","x",IF($B$1146="Лікар-терапевт",AVERAGE(P1146:P1148),0)))</f>
        <v>0</v>
      </c>
      <c r="Q1150" s="205">
        <f>IF($B$1146="Лікар загальної практики - сімейний лікар",AVERAGE(Q1146:Q1148),IF($B$1146="Лікар-педіатр","x",IF($B$1146="Лікар-терапевт",AVERAGE(Q1146:Q1148),0)))</f>
        <v>0</v>
      </c>
      <c r="R1150" s="205">
        <f>IF($B$1146="Лікар загальної практики - сімейний лікар",AVERAGE(R1146:R1148),IF($B$1146="Лікар-педіатр","x",IF($B$1146="Лікар-терапевт",AVERAGE(R1146:R1148),0)))</f>
        <v>0</v>
      </c>
      <c r="S1150" s="206">
        <f>SUM(N1150:R1150)</f>
        <v>0</v>
      </c>
      <c r="T1150" s="942"/>
      <c r="U1150" s="205">
        <f>IF($B$1146="Лікар загальної практики - сімейний лікар",AVERAGE(U1146:U1148),IF($B$1146="Лікар-педіатр",AVERAGE(U1146:U1148),IF($B$1146="Лікар-терапевт","х",0)))</f>
        <v>0</v>
      </c>
      <c r="V1150" s="205">
        <f>IF($B$1146="Лікар загальної практики - сімейний лікар",AVERAGE(V1146:V1148),IF($B$1146="Лікар-педіатр",AVERAGE(V1146:V1148),IF($B$1146="Лікар-терапевт","х",0)))</f>
        <v>0</v>
      </c>
      <c r="W1150" s="205">
        <f>IF($B$1146="Лікар загальної практики - сімейний лікар",AVERAGE(W1146:W1148),IF($B$1146="Лікар-педіатр","x",IF($B$1146="Лікар-терапевт",AVERAGE(W1146:W1148),0)))</f>
        <v>0</v>
      </c>
      <c r="X1150" s="205">
        <f>IF($B$1146="Лікар загальної практики - сімейний лікар",AVERAGE(X1146:X1148),IF($B$1146="Лікар-педіатр","x",IF($B$1146="Лікар-терапевт",AVERAGE(X1146:X1148),0)))</f>
        <v>0</v>
      </c>
      <c r="Y1150" s="205">
        <f>IF($B$1146="Лікар загальної практики - сімейний лікар",AVERAGE(Y1146:Y1148),IF($B$1146="Лікар-педіатр","x",IF($B$1146="Лікар-терапевт",AVERAGE(Y1146:Y1148),0)))</f>
        <v>0</v>
      </c>
      <c r="Z1150" s="206">
        <f>SUM(U1150:Y1150)</f>
        <v>0</v>
      </c>
      <c r="AA1150" s="942"/>
      <c r="AB1150" s="205">
        <f>IF($B$1146="Лікар загальної практики - сімейний лікар",AVERAGE(AB1146:AB1148),IF($B$1146="Лікар-педіатр",AVERAGE(AB1146:AB1148),IF($B$1146="Лікар-терапевт","х",0)))</f>
        <v>0</v>
      </c>
      <c r="AC1150" s="205">
        <f>IF($B$1146="Лікар загальної практики - сімейний лікар",AVERAGE(AC1146:AC1148),IF($B$1146="Лікар-педіатр",AVERAGE(AC1146:AC1148),IF($B$1146="Лікар-терапевт","х",0)))</f>
        <v>0</v>
      </c>
      <c r="AD1150" s="205">
        <f>IF($B$1146="Лікар загальної практики - сімейний лікар",AVERAGE(AD1146:AD1148),IF($B$1146="Лікар-педіатр","x",IF($B$1146="Лікар-терапевт",AVERAGE(AD1146:AD1148),0)))</f>
        <v>0</v>
      </c>
      <c r="AE1150" s="205">
        <f>IF($B$1146="Лікар загальної практики - сімейний лікар",AVERAGE(AE1146:AE1148),IF($B$1146="Лікар-педіатр","x",IF($B$1146="Лікар-терапевт",AVERAGE(AE1146:AE1148),0)))</f>
        <v>0</v>
      </c>
      <c r="AF1150" s="205">
        <f>IF($B$1146="Лікар загальної практики - сімейний лікар",AVERAGE(AF1146:AF1148),IF($B$1146="Лікар-педіатр","x",IF($B$1146="Лікар-терапевт",AVERAGE(AF1146:AF1148),0)))</f>
        <v>0</v>
      </c>
      <c r="AG1150" s="206">
        <f>SUM(AB1150:AF1150)</f>
        <v>0</v>
      </c>
      <c r="AH1150" s="942"/>
      <c r="AI1150" s="201"/>
      <c r="AJ1150" s="945"/>
      <c r="AK1150" s="960"/>
      <c r="AL1150" s="960"/>
      <c r="AM1150" s="931"/>
      <c r="AN1150" s="949"/>
      <c r="AO1150" s="949"/>
      <c r="AP1150" s="949"/>
      <c r="AQ1150" s="949"/>
      <c r="AR1150" s="964"/>
    </row>
    <row r="1151" spans="1:44" s="50" customFormat="1" ht="40.5" hidden="1">
      <c r="A1151" s="197"/>
      <c r="B1151" s="951"/>
      <c r="C1151" s="954"/>
      <c r="D1151" s="957"/>
      <c r="E1151" s="939"/>
      <c r="F1151" s="237" t="str">
        <f ca="1">IF(B1146="Лікар-педіатр",Законод!$C$17,IF(B1146="Лікар загальної практики - сімейний лікар",Законод!$C$21,IF(B1146="Лікар-терапевт",Законод!$C$25,"х")))</f>
        <v>х</v>
      </c>
      <c r="G1151" s="208">
        <f ca="1">IF($B$1146="Лікар загальної практики - сімейний лікар",IF(L1150&lt;=Законод!$C$22,G1150,Законод!$C$22*'01_Доходи'!G1149),IF($B$1146="Лікар-педіатр",IF(L1150&lt;=Законод!$C$18,G1150,Законод!$C$18*'01_Доходи'!G1149),IF($B$1146="Лікар-терапевт","x",0)))</f>
        <v>0</v>
      </c>
      <c r="H1151" s="208">
        <f ca="1">IF($B$1146="Лікар загальної практики - сімейний лікар",IF(L1150&lt;=Законод!$C$22,H1150,Законод!$C$22*'01_Доходи'!H1149),IF($B$1146="Лікар-педіатр",IF(L1150&lt;=Законод!$C$18,H1150,Законод!$C$18*'01_Доходи'!H1149),IF($B$1146="Лікар-терапевт","x",0)))</f>
        <v>0</v>
      </c>
      <c r="I1151" s="208">
        <f ca="1">IF($B$1146="Лікар загальної практики - сімейний лікар",IF(L1150&lt;=Законод!$C$22,I1150,Законод!$C$22*'01_Доходи'!I1149),IF($B$1146="Лікар-педіатр","x",IF($B$1146="Лікар-терапевт",IF(L1150&lt;=Законод!$C$26,I1150,Законод!$C$26*'01_Доходи'!I1149),0)))</f>
        <v>0</v>
      </c>
      <c r="J1151" s="208">
        <f ca="1">IF($B$1146="Лікар загальної практики - сімейний лікар",IF(L1150&lt;=Законод!$C$22,J1150,Законод!$C$22*'01_Доходи'!J1149),IF($B$1146="Лікар-педіатр","x",IF($B$1146="Лікар-терапевт",IF(L1150&lt;=Законод!$C$26,J1150,Законод!$C$26*'01_Доходи'!J1149),0)))</f>
        <v>0</v>
      </c>
      <c r="K1151" s="208">
        <f ca="1">IF($B$1146="Лікар загальної практики - сімейний лікар",IF(L1150&lt;=Законод!$C$22,K1150,Законод!$C$22*'01_Доходи'!K1149),IF($B$1146="Лікар-педіатр","x",IF($B$1146="Лікар-терапевт",IF(L1150&lt;=Законод!$C$26,K1150,Законод!$C$26*'01_Доходи'!K1149),0)))</f>
        <v>0</v>
      </c>
      <c r="L1151" s="209">
        <f ca="1">SUM(G1151:K1151)</f>
        <v>0</v>
      </c>
      <c r="M1151" s="942"/>
      <c r="N1151" s="208">
        <f ca="1">IF($B$1146="Лікар загальної практики - сімейний лікар",IF(S1150&lt;=Законод!$C$22,N1150,Законод!$C$22*'01_Доходи'!N1149),IF($B$1146="Лікар-педіатр",IF(S1150&lt;=Законод!$C$18,N1150,Законод!$C$18*'01_Доходи'!N1149),IF($B$1146="Лікар-терапевт","x",0)))</f>
        <v>0</v>
      </c>
      <c r="O1151" s="208">
        <f ca="1">IF($B$1146="Лікар загальної практики - сімейний лікар",IF(S1150&lt;=Законод!$C$22,O1150,Законод!$C$22*'01_Доходи'!O1149),IF($B$1146="Лікар-педіатр",IF(S1150&lt;=Законод!$C$18,O1150,Законод!$C$18*'01_Доходи'!O1149),IF($B$1146="Лікар-терапевт","x",0)))</f>
        <v>0</v>
      </c>
      <c r="P1151" s="208">
        <f ca="1">IF($B$1146="Лікар загальної практики - сімейний лікар",IF(S1150&lt;=Законод!$C$22,P1150,Законод!$C$22*'01_Доходи'!P1149),IF($B$1146="Лікар-педіатр","x",IF($B$1146="Лікар-терапевт",IF(S1150&lt;=Законод!$C$26,P1150,Законод!$C$26*'01_Доходи'!P1149),0)))</f>
        <v>0</v>
      </c>
      <c r="Q1151" s="208">
        <f ca="1">IF($B$1146="Лікар загальної практики - сімейний лікар",IF(S1150&lt;=Законод!$C$22,Q1150,Законод!$C$22*'01_Доходи'!Q1149),IF($B$1146="Лікар-педіатр","x",IF($B$1146="Лікар-терапевт",IF(S1150&lt;=Законод!$C$26,Q1150,Законод!$C$26*'01_Доходи'!Q1149),0)))</f>
        <v>0</v>
      </c>
      <c r="R1151" s="208">
        <f ca="1">IF($B$1146="Лікар загальної практики - сімейний лікар",IF(S1150&lt;=Законод!$C$22,R1150,Законод!$C$22*'01_Доходи'!R1149),IF($B$1146="Лікар-педіатр","x",IF($B$1146="Лікар-терапевт",IF(S1150&lt;=Законод!$C$26,R1150,Законод!$C$26*'01_Доходи'!R1149),0)))</f>
        <v>0</v>
      </c>
      <c r="S1151" s="209">
        <f ca="1">SUM(N1151:R1151)</f>
        <v>0</v>
      </c>
      <c r="T1151" s="942"/>
      <c r="U1151" s="208">
        <f ca="1">IF($B$1146="Лікар загальної практики - сімейний лікар",IF(Z1150&lt;=Законод!$C$22,U1150,Законод!$C$22*'01_Доходи'!U1149),IF($B$1146="Лікар-педіатр",IF(Z1150&lt;=Законод!$C$18,U1150,Законод!$C$18*'01_Доходи'!U1149),IF($B$1146="Лікар-терапевт","x",0)))</f>
        <v>0</v>
      </c>
      <c r="V1151" s="208">
        <f ca="1">IF($B$1146="Лікар загальної практики - сімейний лікар",IF(Z1150&lt;=Законод!$C$22,V1150,Законод!$C$22*'01_Доходи'!V1149),IF($B$1146="Лікар-педіатр",IF(Z1150&lt;=Законод!$C$18,V1150,Законод!$C$18*'01_Доходи'!V1149),IF($B$1146="Лікар-терапевт","x",0)))</f>
        <v>0</v>
      </c>
      <c r="W1151" s="208">
        <f ca="1">IF($B$1146="Лікар загальної практики - сімейний лікар",IF(Z1150&lt;=Законод!$C$22,W1150,Законод!$C$22*'01_Доходи'!W1149),IF($B$1146="Лікар-педіатр","x",IF($B$1146="Лікар-терапевт",IF(Z1150&lt;=Законод!$C$26,W1150,Законод!$C$26*'01_Доходи'!W1149),0)))</f>
        <v>0</v>
      </c>
      <c r="X1151" s="208">
        <f ca="1">IF($B$1146="Лікар загальної практики - сімейний лікар",IF(Z1150&lt;=Законод!$C$22,X1150,Законод!$C$22*'01_Доходи'!X1149),IF($B$1146="Лікар-педіатр","x",IF($B$1146="Лікар-терапевт",IF(Z1150&lt;=Законод!$C$26,X1150,Законод!$C$26*'01_Доходи'!X1149),0)))</f>
        <v>0</v>
      </c>
      <c r="Y1151" s="208">
        <f ca="1">IF($B$1146="Лікар загальної практики - сімейний лікар",IF(Z1150&lt;=Законод!$C$22,Y1150,Законод!$C$22*'01_Доходи'!Y1149),IF($B$1146="Лікар-педіатр","x",IF($B$1146="Лікар-терапевт",IF(Z1150&lt;=Законод!$C$26,Y1150,Законод!$C$26*'01_Доходи'!Y1149),0)))</f>
        <v>0</v>
      </c>
      <c r="Z1151" s="209">
        <f ca="1">SUM(U1151:Y1151)</f>
        <v>0</v>
      </c>
      <c r="AA1151" s="942"/>
      <c r="AB1151" s="208">
        <f ca="1">IF($B$1146="Лікар загальної практики - сімейний лікар",IF(AG1150&lt;=Законод!$C$22,AB1150,Законод!$C$22*'01_Доходи'!AB1149),IF($B$1146="Лікар-педіатр",IF(AG1150&lt;=Законод!$C$18,AB1150,Законод!$C$18*'01_Доходи'!AB1149),IF($B$1146="Лікар-терапевт","x",0)))</f>
        <v>0</v>
      </c>
      <c r="AC1151" s="208">
        <f ca="1">IF($B$1146="Лікар загальної практики - сімейний лікар",IF(AG1150&lt;=Законод!$C$22,AC1150,Законод!$C$22*'01_Доходи'!AC1149),IF($B$1146="Лікар-педіатр",IF(AG1150&lt;=Законод!$C$18,AC1150,Законод!$C$18*'01_Доходи'!AC1149),IF($B$1146="Лікар-терапевт","x",0)))</f>
        <v>0</v>
      </c>
      <c r="AD1151" s="208">
        <f ca="1">IF($B$1146="Лікар загальної практики - сімейний лікар",IF(AG1150&lt;=Законод!$C$22,AD1150,Законод!$C$22*'01_Доходи'!AD1149),IF($B$1146="Лікар-педіатр","x",IF($B$1146="Лікар-терапевт",IF(AG1150&lt;=Законод!$C$26,AD1150,Законод!$C$26*'01_Доходи'!AD1149),0)))</f>
        <v>0</v>
      </c>
      <c r="AE1151" s="208">
        <f ca="1">IF($B$1146="Лікар загальної практики - сімейний лікар",IF(AG1150&lt;=Законод!$C$22,AE1150,Законод!$C$22*'01_Доходи'!AE1149),IF($B$1146="Лікар-педіатр","x",IF($B$1146="Лікар-терапевт",IF(AG1150&lt;=Законод!$C$26,AE1150,Законод!$C$26*'01_Доходи'!AE1149),0)))</f>
        <v>0</v>
      </c>
      <c r="AF1151" s="208">
        <f ca="1">IF($B$1146="Лікар загальної практики - сімейний лікар",IF(AG1150&lt;=Законод!$C$22,AF1150,Законод!$C$22*'01_Доходи'!AF1149),IF($B$1146="Лікар-педіатр","x",IF($B$1146="Лікар-терапевт",IF(AG1150&lt;=Законод!$C$26,AF1150,Законод!$C$26*'01_Доходи'!AF1149),0)))</f>
        <v>0</v>
      </c>
      <c r="AG1151" s="209">
        <f ca="1">SUM(AB1151:AF1151)</f>
        <v>0</v>
      </c>
      <c r="AH1151" s="942"/>
      <c r="AI1151" s="201"/>
      <c r="AJ1151" s="945"/>
      <c r="AK1151" s="960"/>
      <c r="AL1151" s="960"/>
      <c r="AM1151" s="348" t="s">
        <v>451</v>
      </c>
      <c r="AN1151" s="210">
        <f ca="1">IF(B1146="Лікар загальної практики - сімейний лікар",G1151*Законод!$C$11+'01_Доходи'!H1151*Законод!$D$11+'01_Доходи'!I1151*Законод!$E$11+'01_Доходи'!J1151*Законод!$F$11+'01_Доходи'!K1151*Законод!$G$11,IF(B1146="Лікар-педіатр",G1151*Законод!$C$11+'01_Доходи'!H1151*Законод!$D$11,IF(B1146="Лікар-терапевт",'01_Доходи'!I1151*Законод!$E$11+'01_Доходи'!J1151*Законод!$F$11+'01_Доходи'!K1151*Законод!$G$11,0)))</f>
        <v>0</v>
      </c>
      <c r="AO1151" s="210">
        <f ca="1">IF(B1146="Лікар загальної практики - сімейний лікар",N1151*Законод!$C$11+'01_Доходи'!O1151*Законод!$D$11+'01_Доходи'!P1151*Законод!$E$11+'01_Доходи'!Q1151*Законод!$F$11+'01_Доходи'!R1151*Законод!$G$11,IF(B1146="Лікар-педіатр",N1151*Законод!$C$11+'01_Доходи'!O1151*Законод!$D$11,IF(B1146="Лікар-терапевт",'01_Доходи'!P1151*Законод!$E$11+'01_Доходи'!Q1151*Законод!$F$11+'01_Доходи'!R1151*Законод!$G$11,0)))</f>
        <v>0</v>
      </c>
      <c r="AP1151" s="210">
        <f ca="1">IF(B1146="Лікар загальної практики - сімейний лікар",U1151*Законод!$C$11+'01_Доходи'!V1151*Законод!$D$11+'01_Доходи'!W1151*Законод!$E$11+'01_Доходи'!X1151*Законод!$F$11+'01_Доходи'!Y1151*Законод!$G$11,IF(B1146="Лікар-педіатр",U1151*Законод!$C$11+'01_Доходи'!V1151*Законод!$D$11,IF(B1146="Лікар-терапевт",'01_Доходи'!W1151*Законод!$E$11+'01_Доходи'!X1151*Законод!$F$11+'01_Доходи'!Y1151*Законод!$G$11,0)))</f>
        <v>0</v>
      </c>
      <c r="AQ1151" s="210">
        <f ca="1">IF(B1146="Лікар загальної практики - сімейний лікар",AB1151*Законод!$C$11+'01_Доходи'!AC1151*Законод!$D$11+'01_Доходи'!AD1151*Законод!$E$11+'01_Доходи'!AE1151*Законод!$F$11+'01_Доходи'!AF1151*Законод!$G$11,IF(B1146="Лікар-педіатр",AB1151*Законод!$C$11+'01_Доходи'!AC1151*Законод!$D$11,IF(B1146="Лікар-терапевт",'01_Доходи'!AD1151*Законод!$E$11+'01_Доходи'!AE1151*Законод!$F$11+'01_Доходи'!AF1151*Законод!$G$11,0)))</f>
        <v>0</v>
      </c>
      <c r="AR1151" s="211">
        <f t="shared" ref="AR1151:AR1157" si="128">SUM(AN1151:AQ1151)</f>
        <v>0</v>
      </c>
    </row>
    <row r="1152" spans="1:44" s="50" customFormat="1" ht="31.9" hidden="1" customHeight="1">
      <c r="A1152" s="197"/>
      <c r="B1152" s="951"/>
      <c r="C1152" s="954"/>
      <c r="D1152" s="957"/>
      <c r="E1152" s="939"/>
      <c r="F1152" s="238" t="str">
        <f ca="1">IF(B1146="Лікар-педіатр",Законод!$E$17,IF(B1146="Лікар загальної практики - сімейний лікар",Законод!$E$21,IF(B1146="Лікар-терапевт",Законод!$E$25,"х")))</f>
        <v>х</v>
      </c>
      <c r="G1152" s="935" t="s">
        <v>423</v>
      </c>
      <c r="H1152" s="936"/>
      <c r="I1152" s="936"/>
      <c r="J1152" s="936"/>
      <c r="K1152" s="937"/>
      <c r="L1152" s="196">
        <f ca="1">IF($B$1146="Лікар загальної практики - сімейний лікар",IF(L1150&lt;Законод!$C$22,0,(IF(AND(L1150&gt;=Законод!$E$22,L1150&lt;=Законод!$E$23),L1150-Законод!$C$22,IF('01_Доходи'!L1150&gt;=Законод!$F$22,Законод!$E$24,0)))),IF($B$1146="Лікар-педіатр",IF(L1150&lt;Законод!$C$18,0,(IF(AND(L1150&gt;=Законод!$E$18,L1150&lt;=Законод!$E$19),L1150-Законод!$C$18,IF('01_Доходи'!L1150&gt;=Законод!$F$18,Законод!$E$20,0)))),IF($B$1146="Лікар-терапевт",IF(L1150&lt;Законод!$C$26,0,(IF(AND(L1150&gt;=Законод!$E$26,L1150&lt;=Законод!$E$27),L1150-Законод!$C$26,IF('01_Доходи'!L1150&gt;=Законод!$F$26,Законод!$E$28,0)))),0)))</f>
        <v>0</v>
      </c>
      <c r="M1152" s="942"/>
      <c r="N1152" s="935" t="s">
        <v>423</v>
      </c>
      <c r="O1152" s="936"/>
      <c r="P1152" s="936"/>
      <c r="Q1152" s="936"/>
      <c r="R1152" s="937"/>
      <c r="S1152" s="196">
        <f ca="1">IF($B$1146="Лікар загальної практики - сімейний лікар",IF(S1150&lt;Законод!$C$22,0,(IF(AND(S1150&gt;=Законод!$E$22,S1150&lt;=Законод!$E$23),S1150-Законод!$C$22,IF('01_Доходи'!S1150&gt;=Законод!$F$22,Законод!$E$24,0)))),IF($B$1146="Лікар-педіатр",IF(S1150&lt;Законод!$C$18,0,(IF(AND(S1150&gt;=Законод!$E$18,S1150&lt;=Законод!$E$19),S1150-Законод!$C$18,IF('01_Доходи'!S1150&gt;=Законод!$F$18,Законод!$E$20,0)))),IF($B$1146="Лікар-терапевт",IF(S1150&lt;Законод!$C$26,0,(IF(AND(S1150&gt;=Законод!$E$26,S1150&lt;=Законод!$E$27),S1150-Законод!$C$26,IF('01_Доходи'!S1150&gt;=Законод!$F$26,Законод!$E$28,0)))),0)))</f>
        <v>0</v>
      </c>
      <c r="T1152" s="942"/>
      <c r="U1152" s="935" t="s">
        <v>423</v>
      </c>
      <c r="V1152" s="936"/>
      <c r="W1152" s="936"/>
      <c r="X1152" s="936"/>
      <c r="Y1152" s="937"/>
      <c r="Z1152" s="196">
        <f ca="1">IF($B$1146="Лікар загальної практики - сімейний лікар",IF(Z1150&lt;Законод!$C$22,0,(IF(AND(Z1150&gt;=Законод!$E$22,Z1150&lt;=Законод!$E$23),Z1150-Законод!$C$22,IF('01_Доходи'!Z1150&gt;=Законод!$F$22,Законод!$E$24,0)))),IF($B$1146="Лікар-педіатр",IF(Z1150&lt;Законод!$C$18,0,(IF(AND(Z1150&gt;=Законод!$E$18,Z1150&lt;=Законод!$E$19),Z1150-Законод!$C$18,IF('01_Доходи'!Z1150&gt;=Законод!$F$18,Законод!$E$20,0)))),IF($B$1146="Лікар-терапевт",IF(Z1150&lt;Законод!$C$26,0,(IF(AND(Z1150&gt;=Законод!$E$26,Z1150&lt;=Законод!$E$27),Z1150-Законод!$C$26,IF('01_Доходи'!Z1150&gt;=Законод!$F$26,Законод!$E$28,0)))),0)))</f>
        <v>0</v>
      </c>
      <c r="AA1152" s="942"/>
      <c r="AB1152" s="935" t="s">
        <v>423</v>
      </c>
      <c r="AC1152" s="936"/>
      <c r="AD1152" s="936"/>
      <c r="AE1152" s="936"/>
      <c r="AF1152" s="937"/>
      <c r="AG1152" s="196">
        <f ca="1">IF($B$1146="Лікар загальної практики - сімейний лікар",IF(AG1150&lt;Законод!$C$22,0,(IF(AND(AG1150&gt;=Законод!$E$22,AG1150&lt;=Законод!$E$23),AG1150-Законод!$C$22,IF('01_Доходи'!AG1150&gt;=Законод!$F$22,Законод!$E$24,0)))),IF($B$1146="Лікар-педіатр",IF(AG1150&lt;Законод!$C$18,0,(IF(AND(AG1150&gt;=Законод!$E$18,AG1150&lt;=Законод!$E$19),AG1150-Законод!$C$18,IF('01_Доходи'!AG1150&gt;=Законод!$F$18,Законод!$E$20,0)))),IF($B$1146="Лікар-терапевт",IF(AG1150&lt;Законод!$C$26,0,(IF(AND(AG1150&gt;=Законод!$E$26,AG1150&lt;=Законод!$E$27),AG1150-Законод!$C$26,IF('01_Доходи'!AG1150&gt;=Законод!$F$26,Законод!$E$28,0)))),0)))</f>
        <v>0</v>
      </c>
      <c r="AH1152" s="942"/>
      <c r="AI1152" s="201"/>
      <c r="AJ1152" s="945"/>
      <c r="AK1152" s="960"/>
      <c r="AL1152" s="960"/>
      <c r="AM1152" s="926" t="s">
        <v>452</v>
      </c>
      <c r="AN1152" s="210">
        <f ca="1">IF(B1146="Лікар загальної практики - сімейний лікар",L1152*Законод!$C$9/4*Законод!$E$16,IF(B1146="Лікар-педіатр",L1152*Законод!$C$9/4*Законод!$E$16,IF(B1146="Лікар-терапевт",L1152*Законод!$C$9/4*Законод!$E$16,0)))</f>
        <v>0</v>
      </c>
      <c r="AO1152" s="210">
        <f ca="1">IF(B1146="Лікар загальної практики - сімейний лікар",S1152*Законод!$C$9/4*Законод!$E$16,IF(B1146="Лікар-педіатр",S1152*Законод!$C$9/4*Законод!$E$16,IF(B1146="Лікар-терапевт",S1152*Законод!$C$9/4*Законод!$E$16,0)))</f>
        <v>0</v>
      </c>
      <c r="AP1152" s="210">
        <f ca="1">IF(B1146="Лікар загальної практики - сімейний лікар",Z1152*Законод!$C$9/4*Законод!$E$16,IF(B1146="Лікар-педіатр",Z1152*Законод!$C$9/4*Законод!$E$16,IF(B1146="Лікар-терапевт",Z1152*Законод!$C$9/4*Законод!$E$16,0)))</f>
        <v>0</v>
      </c>
      <c r="AQ1152" s="210">
        <f ca="1">IF(B1146="Лікар загальної практики - сімейний лікар",AG1152*Законод!$C$9/4*Законод!$E$16,IF(B1146="Лікар-педіатр",AG1152*Законод!$C$9/4*Законод!$E$16,IF(B1146="Лікар-терапевт",AG1152*Законод!$C$9/4*Законод!$E$16,0)))</f>
        <v>0</v>
      </c>
      <c r="AR1152" s="211">
        <f t="shared" si="128"/>
        <v>0</v>
      </c>
    </row>
    <row r="1153" spans="1:44" s="50" customFormat="1" ht="31.9" hidden="1" customHeight="1">
      <c r="A1153" s="197"/>
      <c r="B1153" s="951"/>
      <c r="C1153" s="954"/>
      <c r="D1153" s="957"/>
      <c r="E1153" s="939"/>
      <c r="F1153" s="238" t="str">
        <f ca="1">IF(B1146="Лікар-педіатр",Законод!$F$17,IF(B1146="Лікар загальної практики - сімейний лікар",Законод!$F$21,IF(B1146="Лікар-терапевт",Законод!$F$25,"х")))</f>
        <v>х</v>
      </c>
      <c r="G1153" s="935" t="s">
        <v>423</v>
      </c>
      <c r="H1153" s="936"/>
      <c r="I1153" s="936"/>
      <c r="J1153" s="936"/>
      <c r="K1153" s="937"/>
      <c r="L1153" s="196">
        <f ca="1">IF($B$1146="Лікар загальної практики - сімейний лікар",IF(L1150&lt;Законод!$C$22,0,(IF(AND(L1150&gt;=Законод!$F$22,L1150&lt;=Законод!$F$23),L1150-Законод!$E$23,IF('01_Доходи'!L1150&gt;=Законод!$G$22,Законод!$F$24,0)))),IF($B$1146="Лікар-педіатр",IF(L1150&lt;Законод!$C$18,0,(IF(AND(L1150&gt;=Законод!$F$18,L1150&lt;=Законод!$F$19),L1150-Законод!$E$19,IF('01_Доходи'!L1150&gt;=Законод!$G$18,Законод!$F$20,0)))),IF($B$1146="Лікар-терапевт",IF(L1150&lt;Законод!$C$26,0,(IF(AND(L1150&gt;=Законод!$F$26,L1150&lt;=Законод!$F$27),L1150-Законод!$E$27,IF('01_Доходи'!L1150&gt;=Законод!$G$26,Законод!$F$28,0)))),0)))</f>
        <v>0</v>
      </c>
      <c r="M1153" s="942"/>
      <c r="N1153" s="935" t="s">
        <v>423</v>
      </c>
      <c r="O1153" s="936"/>
      <c r="P1153" s="936"/>
      <c r="Q1153" s="936"/>
      <c r="R1153" s="937"/>
      <c r="S1153" s="196">
        <f ca="1">IF($B$1146="Лікар загальної практики - сімейний лікар",IF(S1150&lt;Законод!$C$22,0,(IF(AND(S1150&gt;=Законод!$F$22,S1150&lt;=Законод!$F$23),S1150-Законод!$E$23,IF('01_Доходи'!S1150&gt;=Законод!$G$22,Законод!$F$24,0)))),IF($B$1146="Лікар-педіатр",IF(S1150&lt;Законод!$C$18,0,(IF(AND(S1150&gt;=Законод!$F$18,S1150&lt;=Законод!$F$19),S1150-Законод!$E$19,IF('01_Доходи'!S1150&gt;=Законод!$G$18,Законод!$F$20,0)))),IF($B$1146="Лікар-терапевт",IF(S1150&lt;Законод!$C$26,0,(IF(AND(S1150&gt;=Законод!$F$26,S1150&lt;=Законод!$F$27),S1150-Законод!$E$27,IF('01_Доходи'!S1150&gt;=Законод!$G$26,Законод!$F$28,0)))),0)))</f>
        <v>0</v>
      </c>
      <c r="T1153" s="942"/>
      <c r="U1153" s="935" t="s">
        <v>423</v>
      </c>
      <c r="V1153" s="936"/>
      <c r="W1153" s="936"/>
      <c r="X1153" s="936"/>
      <c r="Y1153" s="937"/>
      <c r="Z1153" s="196">
        <f ca="1">IF($B$1146="Лікар загальної практики - сімейний лікар",IF(Z1150&lt;Законод!$C$22,0,(IF(AND(Z1150&gt;=Законод!$F$22,Z1150&lt;=Законод!$F$23),Z1150-Законод!$E$23,IF('01_Доходи'!Z1150&gt;=Законод!$G$22,Законод!$F$24,0)))),IF($B$1146="Лікар-педіатр",IF(Z1150&lt;Законод!$C$18,0,(IF(AND(Z1150&gt;=Законод!$F$18,Z1150&lt;=Законод!$F$19),Z1150-Законод!$E$19,IF('01_Доходи'!Z1150&gt;=Законод!$G$18,Законод!$F$20,0)))),IF($B$1146="Лікар-терапевт",IF(Z1150&lt;Законод!$C$26,0,(IF(AND(Z1150&gt;=Законод!$F$26,Z1150&lt;=Законод!$F$27),Z1150-Законод!$E$27,IF('01_Доходи'!Z1150&gt;=Законод!$G$26,Законод!$F$28,0)))),0)))</f>
        <v>0</v>
      </c>
      <c r="AA1153" s="942"/>
      <c r="AB1153" s="935" t="s">
        <v>423</v>
      </c>
      <c r="AC1153" s="936"/>
      <c r="AD1153" s="936"/>
      <c r="AE1153" s="936"/>
      <c r="AF1153" s="937"/>
      <c r="AG1153" s="196">
        <f ca="1">IF($B$1146="Лікар загальної практики - сімейний лікар",IF(AG1150&lt;Законод!$C$22,0,(IF(AND(AG1150&gt;=Законод!$F$22,AG1150&lt;=Законод!$F$23),AG1150-Законод!$E$23,IF('01_Доходи'!AG1150&gt;=Законод!$G$22,Законод!$F$24,0)))),IF($B$1146="Лікар-педіатр",IF(AG1150&lt;Законод!$C$18,0,(IF(AND(AG1150&gt;=Законод!$F$18,AG1150&lt;=Законод!$F$19),AG1150-Законод!$E$19,IF('01_Доходи'!AG1150&gt;=Законод!$G$18,Законод!$F$20,0)))),IF($B$1146="Лікар-терапевт",IF(AG1150&lt;Законод!$C$26,0,(IF(AND(AG1150&gt;=Законод!$F$26,AG1150&lt;=Законод!$F$27),AG1150-Законод!$E$27,IF('01_Доходи'!AG1150&gt;=Законод!$G$26,Законод!$F$28,0)))),0)))</f>
        <v>0</v>
      </c>
      <c r="AH1153" s="942"/>
      <c r="AI1153" s="201"/>
      <c r="AJ1153" s="945"/>
      <c r="AK1153" s="960"/>
      <c r="AL1153" s="960"/>
      <c r="AM1153" s="927"/>
      <c r="AN1153" s="210">
        <f ca="1">IF(B1146="Лікар загальної практики - сімейний лікар",L1153*Законод!$C$9/4*Законод!$F$16,IF(B1146="Лікар-педіатр",L1153*Законод!$C$9/4*Законод!$F$16,IF(B1146="Лікар-терапевт",L1153*Законод!$C$9/4*Законод!$F$16,0)))</f>
        <v>0</v>
      </c>
      <c r="AO1153" s="210">
        <f ca="1">IF(B1146="Лікар загальної практики - сімейний лікар",S1153*Законод!$C$9/4*Законод!$F$16,IF(B1146="Лікар-педіатр",S1153*Законод!$C$9/4*Законод!$F$16,IF(B1146="Лікар-терапевт",S1153*Законод!$C$9/4*Законод!$F$16,0)))</f>
        <v>0</v>
      </c>
      <c r="AP1153" s="210">
        <f ca="1">IF(B1146="Лікар загальної практики - сімейний лікар",Z1153*Законод!$C$9/4*Законод!$F$16,IF(B1146="Лікар-педіатр",Z1153*Законод!$C$9/4*Законод!$F$16,IF(B1146="Лікар-терапевт",Z1153*Законод!$C$9/4*Законод!$F$16,0)))</f>
        <v>0</v>
      </c>
      <c r="AQ1153" s="210">
        <f ca="1">IF(B1146="Лікар загальної практики - сімейний лікар",AG1153*Законод!$C$9/4*Законод!$F$16,IF(B1146="Лікар-педіатр",AG1153*Законод!$C$9/4*Законод!$F$16,IF(B1146="Лікар-терапевт",AG1153*Законод!$C$9/4*Законод!$F$16,0)))</f>
        <v>0</v>
      </c>
      <c r="AR1153" s="211">
        <f t="shared" si="128"/>
        <v>0</v>
      </c>
    </row>
    <row r="1154" spans="1:44" s="50" customFormat="1" ht="31.9" hidden="1" customHeight="1">
      <c r="A1154" s="197"/>
      <c r="B1154" s="951"/>
      <c r="C1154" s="954"/>
      <c r="D1154" s="957"/>
      <c r="E1154" s="939"/>
      <c r="F1154" s="238" t="str">
        <f ca="1">IF(B1146="Лікар-педіатр",Законод!$G$17,IF(B1146="Лікар загальної практики - сімейний лікар",Законод!$G$21,IF(B1146="Лікар-терапевт",Законод!$G$25,"х")))</f>
        <v>х</v>
      </c>
      <c r="G1154" s="935" t="s">
        <v>423</v>
      </c>
      <c r="H1154" s="936"/>
      <c r="I1154" s="936"/>
      <c r="J1154" s="936"/>
      <c r="K1154" s="937"/>
      <c r="L1154" s="196">
        <f ca="1">IF($B$1146="Лікар загальної практики - сімейний лікар",IF(L1150&lt;Законод!$C$22,0,(IF(AND(L1150&gt;=Законод!$G$22,L1150&lt;=Законод!$G$23),L1150-Законод!$F$23,IF('01_Доходи'!L1150&gt;=Законод!$H$22,Законод!$G$24,0)))),IF($B$1146="Лікар-педіатр",IF(L1150&lt;Законод!$C$18,0,(IF(AND(L1150&gt;=Законод!$G$18,L1150&lt;=Законод!$G$19),L1150-Законод!$F$19,IF('01_Доходи'!L1150&gt;=Законод!$H$18,Законод!$G$20,0)))),IF($B$1146="Лікар-терапевт",IF(L1150&lt;Законод!$C$26,0,(IF(AND(L1150&gt;=Законод!$G$26,L1150&lt;=Законод!$G$27),L1150-Законод!$F$27,IF('01_Доходи'!L1150&gt;=Законод!$H$26,Законод!$G$28,0)))),0)))</f>
        <v>0</v>
      </c>
      <c r="M1154" s="942"/>
      <c r="N1154" s="935" t="s">
        <v>423</v>
      </c>
      <c r="O1154" s="936"/>
      <c r="P1154" s="936"/>
      <c r="Q1154" s="936"/>
      <c r="R1154" s="937"/>
      <c r="S1154" s="196">
        <f ca="1">IF($B$1146="Лікар загальної практики - сімейний лікар",IF(S1150&lt;Законод!$C$22,0,(IF(AND(S1150&gt;=Законод!$G$22,S1150&lt;=Законод!$G$23),S1150-Законод!$F$23,IF('01_Доходи'!S1150&gt;=Законод!$H$22,Законод!$G$24,0)))),IF($B$1146="Лікар-педіатр",IF(S1150&lt;Законод!$C$18,0,(IF(AND(S1150&gt;=Законод!$G$18,S1150&lt;=Законод!$G$19),S1150-Законод!$F$19,IF('01_Доходи'!S1150&gt;=Законод!$H$18,Законод!$G$20,0)))),IF($B$1146="Лікар-терапевт",IF(S1150&lt;Законод!$C$26,0,(IF(AND(S1150&gt;=Законод!$G$26,S1150&lt;=Законод!$G$27),S1150-Законод!$F$27,IF('01_Доходи'!S1150&gt;=Законод!$H$26,Законод!$G$28,0)))),0)))</f>
        <v>0</v>
      </c>
      <c r="T1154" s="942"/>
      <c r="U1154" s="935" t="s">
        <v>423</v>
      </c>
      <c r="V1154" s="936"/>
      <c r="W1154" s="936"/>
      <c r="X1154" s="936"/>
      <c r="Y1154" s="937"/>
      <c r="Z1154" s="196">
        <f ca="1">IF($B$1146="Лікар загальної практики - сімейний лікар",IF(Z1150&lt;Законод!$C$22,0,(IF(AND(Z1150&gt;=Законод!$G$22,Z1150&lt;=Законод!$G$23),Z1150-Законод!$F$23,IF('01_Доходи'!Z1150&gt;=Законод!$H$22,Законод!$G$24,0)))),IF($B$1146="Лікар-педіатр",IF(Z1150&lt;Законод!$C$18,0,(IF(AND(Z1150&gt;=Законод!$G$18,Z1150&lt;=Законод!$G$19),Z1150-Законод!$F$19,IF('01_Доходи'!Z1150&gt;=Законод!$H$18,Законод!$G$20,0)))),IF($B$1146="Лікар-терапевт",IF(Z1150&lt;Законод!$C$26,0,(IF(AND(Z1150&gt;=Законод!$G$26,Z1150&lt;=Законод!$G$27),Z1150-Законод!$F$27,IF('01_Доходи'!Z1150&gt;=Законод!$H$26,Законод!$G$28,0)))),0)))</f>
        <v>0</v>
      </c>
      <c r="AA1154" s="942"/>
      <c r="AB1154" s="935" t="s">
        <v>423</v>
      </c>
      <c r="AC1154" s="936"/>
      <c r="AD1154" s="936"/>
      <c r="AE1154" s="936"/>
      <c r="AF1154" s="937"/>
      <c r="AG1154" s="196">
        <f ca="1">IF($B$1146="Лікар загальної практики - сімейний лікар",IF(AG1150&lt;Законод!$C$22,0,(IF(AND(AG1150&gt;=Законод!$G$22,AG1150&lt;=Законод!$G$23),AG1150-Законод!$F$23,IF('01_Доходи'!AG1150&gt;=Законод!$H$22,Законод!$G$24,0)))),IF($B$1146="Лікар-педіатр",IF(AG1150&lt;Законод!$C$18,0,(IF(AND(AG1150&gt;=Законод!$G$18,AG1150&lt;=Законод!$G$19),AG1150-Законод!$F$19,IF('01_Доходи'!AG1150&gt;=Законод!$H$18,Законод!$G$20,0)))),IF($B$1146="Лікар-терапевт",IF(AG1150&lt;Законод!$C$26,0,(IF(AND(AG1150&gt;=Законод!$G$26,AG1150&lt;=Законод!$G$27),AG1150-Законод!$F$27,IF('01_Доходи'!AG1150&gt;=Законод!$H$26,Законод!$G$28,0)))),0)))</f>
        <v>0</v>
      </c>
      <c r="AH1154" s="942"/>
      <c r="AI1154" s="201"/>
      <c r="AJ1154" s="945"/>
      <c r="AK1154" s="960"/>
      <c r="AL1154" s="960"/>
      <c r="AM1154" s="927"/>
      <c r="AN1154" s="210">
        <f ca="1">IF(B1146="Лікар загальної практики - сімейний лікар",L1154*Законод!$C$9/4*Законод!$G$16,IF(B1146="Лікар-педіатр",L1154*Законод!$C$9/4*Законод!$G$16,IF(B1146="Лікар-терапевт",L1154*Законод!$C$9/4*Законод!$G$16,0)))</f>
        <v>0</v>
      </c>
      <c r="AO1154" s="210">
        <f ca="1">IF(B1146="Лікар загальної практики - сімейний лікар",S1154*Законод!$C$9/4*Законод!$G$16,IF(B1146="Лікар-педіатр",S1154*Законод!$C$9/4*Законод!$G$16,IF(B1146="Лікар-терапевт",S1154*Законод!$C$9/4*Законод!$G$16,0)))</f>
        <v>0</v>
      </c>
      <c r="AP1154" s="210">
        <f ca="1">IF(B1146="Лікар загальної практики - сімейний лікар",Z1154*Законод!$C$9/4*Законод!$G$16,IF(B1146="Лікар-педіатр",Z1154*Законод!$C$9/4*Законод!$G$16,IF(B1146="Лікар-терапевт",Z1154*Законод!$C$9/4*Законод!$G$16,0)))</f>
        <v>0</v>
      </c>
      <c r="AQ1154" s="210">
        <f ca="1">IF(B1146="Лікар загальної практики - сімейний лікар",AG1154*Законод!$C$9/4*Законод!$G$16,IF(B1146="Лікар-педіатр",AG1154*Законод!$C$9/4*Законод!$G$16,IF(B1146="Лікар-терапевт",AG1154*Законод!$C$9/4*Законод!$G$16,0)))</f>
        <v>0</v>
      </c>
      <c r="AR1154" s="211">
        <f t="shared" si="128"/>
        <v>0</v>
      </c>
    </row>
    <row r="1155" spans="1:44" s="50" customFormat="1" ht="31.9" hidden="1" customHeight="1">
      <c r="A1155" s="197"/>
      <c r="B1155" s="951"/>
      <c r="C1155" s="954"/>
      <c r="D1155" s="957"/>
      <c r="E1155" s="939"/>
      <c r="F1155" s="238" t="str">
        <f ca="1">IF(B1146="Лікар-педіатр",Законод!$H$17,IF(B1146="Лікар загальної практики - сімейний лікар",Законод!$H$21,IF(B1146="Лікар-терапевт",Законод!$H$25,"х")))</f>
        <v>х</v>
      </c>
      <c r="G1155" s="935" t="s">
        <v>423</v>
      </c>
      <c r="H1155" s="936"/>
      <c r="I1155" s="936"/>
      <c r="J1155" s="936"/>
      <c r="K1155" s="937"/>
      <c r="L1155" s="196">
        <f ca="1">IF($B$1146="Лікар загальної практики - сімейний лікар",IF(L1150&lt;Законод!$C$22,0,(IF(AND(L1150&gt;=Законод!$H$22,L1150&lt;=Законод!$H$23),L1150-Законод!$G$23,IF('01_Доходи'!L1150&gt;=Законод!$I$22,Законод!$H$24,0)))),IF($B$1146="Лікар-педіатр",IF(L1150&lt;Законод!$C$18,0,(IF(AND(L1150&gt;=Законод!$H$18,L1150&lt;=Законод!$H$19),L1150-Законод!$G$19,IF('01_Доходи'!L1150&gt;=Законод!$I$18,Законод!$H$20,0)))),IF($B$1146="Лікар-терапевт",IF(L1150&lt;Законод!$C$26,0,(IF(AND(L1150&gt;=Законод!$H$26,L1150&lt;=Законод!$H$27),L1150-Законод!$G$27,IF(L1150&gt;=Законод!$I$26,Законод!$H$28,0)))),0)))</f>
        <v>0</v>
      </c>
      <c r="M1155" s="942"/>
      <c r="N1155" s="935" t="s">
        <v>423</v>
      </c>
      <c r="O1155" s="936"/>
      <c r="P1155" s="936"/>
      <c r="Q1155" s="936"/>
      <c r="R1155" s="937"/>
      <c r="S1155" s="196">
        <f ca="1">IF($B$1146="Лікар загальної практики - сімейний лікар",IF(S1150&lt;Законод!$C$22,0,(IF(AND(S1150&gt;=Законод!$H$22,S1150&lt;=Законод!$H$23),S1150-Законод!$G$23,IF('01_Доходи'!S1150&gt;=Законод!$I$22,Законод!$H$24,0)))),IF($B$1146="Лікар-педіатр",IF(S1150&lt;Законод!$C$18,0,(IF(AND(S1150&gt;=Законод!$H$18,S1150&lt;=Законод!$H$19),S1150-Законод!$G$19,IF('01_Доходи'!S1150&gt;=Законод!$I$18,Законод!$H$20,0)))),IF($B$1146="Лікар-терапевт",IF(S1150&lt;Законод!$C$26,0,(IF(AND(S1150&gt;=Законод!$H$26,S1150&lt;=Законод!$H$27),S1150-Законод!$G$27,IF(S1150&gt;=Законод!$I$26,Законод!$H$28,0)))),0)))</f>
        <v>0</v>
      </c>
      <c r="T1155" s="942"/>
      <c r="U1155" s="935" t="s">
        <v>423</v>
      </c>
      <c r="V1155" s="936"/>
      <c r="W1155" s="936"/>
      <c r="X1155" s="936"/>
      <c r="Y1155" s="937"/>
      <c r="Z1155" s="196">
        <f ca="1">IF($B$1146="Лікар загальної практики - сімейний лікар",IF(Z1150&lt;Законод!$C$22,0,(IF(AND(Z1150&gt;=Законод!$H$22,Z1150&lt;=Законод!$H$23),Z1150-Законод!$G$23,IF('01_Доходи'!Z1150&gt;=Законод!$I$22,Законод!$H$24,0)))),IF($B$1146="Лікар-педіатр",IF(Z1150&lt;Законод!$C$18,0,(IF(AND(Z1150&gt;=Законод!$H$18,Z1150&lt;=Законод!$H$19),Z1150-Законод!$G$19,IF('01_Доходи'!Z1150&gt;=Законод!$I$18,Законод!$H$20,0)))),IF($B$1146="Лікар-терапевт",IF(Z1150&lt;Законод!$C$26,0,(IF(AND(Z1150&gt;=Законод!$H$26,Z1150&lt;=Законод!$H$27),Z1150-Законод!$G$27,IF(Z1150&gt;=Законод!$I$26,Законод!$H$28,0)))),0)))</f>
        <v>0</v>
      </c>
      <c r="AA1155" s="942"/>
      <c r="AB1155" s="935" t="s">
        <v>423</v>
      </c>
      <c r="AC1155" s="936"/>
      <c r="AD1155" s="936"/>
      <c r="AE1155" s="936"/>
      <c r="AF1155" s="937"/>
      <c r="AG1155" s="196">
        <f ca="1">IF($B$1146="Лікар загальної практики - сімейний лікар",IF(AG1150&lt;Законод!$C$22,0,(IF(AND(AG1150&gt;=Законод!$H$22,AG1150&lt;=Законод!$H$23),AG1150-Законод!$G$23,IF('01_Доходи'!AG1150&gt;=Законод!$I$22,Законод!$H$24,0)))),IF($B$1146="Лікар-педіатр",IF(AG1150&lt;Законод!$C$18,0,(IF(AND(AG1150&gt;=Законод!$H$18,AG1150&lt;=Законод!$H$19),AG1150-Законод!$G$19,IF('01_Доходи'!AG1150&gt;=Законод!$I$18,Законод!$H$20,0)))),IF($B$1146="Лікар-терапевт",IF(AG1150&lt;Законод!$C$26,0,(IF(AND(AG1150&gt;=Законод!$H$26,AG1150&lt;=Законод!$H$27),AG1150-Законод!$G$27,IF(AG1150&gt;=Законод!$I$26,Законод!$H$28,0)))),0)))</f>
        <v>0</v>
      </c>
      <c r="AH1155" s="942"/>
      <c r="AI1155" s="201"/>
      <c r="AJ1155" s="945"/>
      <c r="AK1155" s="960"/>
      <c r="AL1155" s="960"/>
      <c r="AM1155" s="927"/>
      <c r="AN1155" s="210">
        <f ca="1">IF(B1146="Лікар загальної практики - сімейний лікар",L1155*Законод!$C$9/4*Законод!$H$16,IF(B1146="Лікар-педіатр",L1155*Законод!$C$9/4*Законод!$H$16,IF(B1146="Лікар-терапевт",L1155*Законод!$C$9/4*Законод!$H$16,0)))</f>
        <v>0</v>
      </c>
      <c r="AO1155" s="210">
        <f ca="1">IF(B1146="Лікар загальної практики - сімейний лікар",S1155*Законод!$C$9/4*Законод!$H$16,IF(B1146="Лікар-педіатр",S1155*Законод!$C$9/4*Законод!$H$16,IF(B1146="Лікар-терапевт",S1155*Законод!$C$9/4*Законод!$H$16,0)))</f>
        <v>0</v>
      </c>
      <c r="AP1155" s="210">
        <f ca="1">IF(B1146="Лікар загальної практики - сімейний лікар",Z1155*Законод!$C$9/4*Законод!$H$16,IF(B1146="Лікар-педіатр",Z1155*Законод!$C$9/4*Законод!$H$16,IF(B1146="Лікар-терапевт",Z1155*Законод!$C$9/4*Законод!$H$16,0)))</f>
        <v>0</v>
      </c>
      <c r="AQ1155" s="210">
        <f ca="1">IF(B1146="Лікар загальної практики - сімейний лікар",AG1155*Законод!$C$9/4*Законод!$H$16,IF(B1146="Лікар-педіатр",AG1155*Законод!$C$9/4*Законод!$H$16,IF(B1146="Лікар-терапевт",AG1155*Законод!$C$9/4*Законод!$H$16,0)))</f>
        <v>0</v>
      </c>
      <c r="AR1155" s="211">
        <f t="shared" si="128"/>
        <v>0</v>
      </c>
    </row>
    <row r="1156" spans="1:44" s="50" customFormat="1" ht="31.9" hidden="1" customHeight="1">
      <c r="A1156" s="197"/>
      <c r="B1156" s="951"/>
      <c r="C1156" s="954"/>
      <c r="D1156" s="957"/>
      <c r="E1156" s="939"/>
      <c r="F1156" s="238" t="str">
        <f ca="1">IF(B1146="Лікар-педіатр",Законод!$I$17,IF(B1146="Лікар загальної практики - сімейний лікар",Законод!$I$21,IF(B1146="Лікар-терапевт",Законод!$I$25,"х")))</f>
        <v>х</v>
      </c>
      <c r="G1156" s="935" t="s">
        <v>423</v>
      </c>
      <c r="H1156" s="936"/>
      <c r="I1156" s="936"/>
      <c r="J1156" s="936"/>
      <c r="K1156" s="937"/>
      <c r="L1156" s="196">
        <f ca="1">IF($B$1146="Лікар загальної практики - сімейний лікар",IF(L1150&lt;Законод!$C$22,0,(IF(AND(L1150&gt;=Законод!$I$22,L1150&lt;=Законод!$I$23),L1150-Законод!$H$23,IF('01_Доходи'!L1150&gt;=Законод!$I$22,Законод!$I$24,0)))),IF($B$1146="Лікар-педіатр",IF(L1150&lt;Законод!$C$18,0,(IF(AND(L1150&gt;=Законод!$I$18,L1150&lt;=Законод!$I$19),L1150-Законод!$H$19,IF('01_Доходи'!L1150&gt;=Законод!$I$18,Законод!$H$20,0)))),IF($B$1146="Лікар-терапевт",IF(L1150&lt;Законод!$C$26,0,(IF(AND(L1150&gt;=Законод!$I$26,L1150&lt;=Законод!$I$27),L1150-Законод!$H$27,IF('01_Доходи'!L1150&gt;=Законод!$I$26,Законод!$H$28,0)))),0)))</f>
        <v>0</v>
      </c>
      <c r="M1156" s="942"/>
      <c r="N1156" s="935" t="s">
        <v>423</v>
      </c>
      <c r="O1156" s="936"/>
      <c r="P1156" s="936"/>
      <c r="Q1156" s="936"/>
      <c r="R1156" s="937"/>
      <c r="S1156" s="196">
        <f ca="1">IF($B$1146="Лікар загальної практики - сімейний лікар",IF(S1150&lt;Законод!$C$22,0,(IF(AND(S1150&gt;=Законод!$I$22,S1150&lt;=Законод!$I$23),S1150-Законод!$H$23,IF('01_Доходи'!S1150&gt;=Законод!$I$22,Законод!$I$24,0)))),IF($B$1146="Лікар-педіатр",IF(S1150&lt;Законод!$C$18,0,(IF(AND(S1150&gt;=Законод!$I$18,S1150&lt;=Законод!$I$19),S1150-Законод!$H$19,IF('01_Доходи'!S1150&gt;=Законод!$I$18,Законод!$H$20,0)))),IF($B$1146="Лікар-терапевт",IF(S1150&lt;Законод!$C$26,0,(IF(AND(S1150&gt;=Законод!$I$26,S1150&lt;=Законод!$I$27),S1150-Законод!$H$27,IF('01_Доходи'!S1150&gt;=Законод!$I$26,Законод!$H$28,0)))),0)))</f>
        <v>0</v>
      </c>
      <c r="T1156" s="942"/>
      <c r="U1156" s="935" t="s">
        <v>423</v>
      </c>
      <c r="V1156" s="936"/>
      <c r="W1156" s="936"/>
      <c r="X1156" s="936"/>
      <c r="Y1156" s="937"/>
      <c r="Z1156" s="196">
        <f ca="1">IF($B$1146="Лікар загальної практики - сімейний лікар",IF(Z1150&lt;Законод!$C$22,0,(IF(AND(Z1150&gt;=Законод!$I$22,Z1150&lt;=Законод!$I$23),Z1150-Законод!$H$23,IF('01_Доходи'!Z1150&gt;=Законод!$I$22,Законод!$I$24,0)))),IF($B$1146="Лікар-педіатр",IF(Z1150&lt;Законод!$C$18,0,(IF(AND(Z1150&gt;=Законод!$I$18,Z1150&lt;=Законод!$I$19),Z1150-Законод!$H$19,IF('01_Доходи'!Z1150&gt;=Законод!$I$18,Законод!$H$20,0)))),IF($B$1146="Лікар-терапевт",IF(Z1150&lt;Законод!$C$26,0,(IF(AND(Z1150&gt;=Законод!$I$26,Z1150&lt;=Законод!$I$27),Z1150-Законод!$H$27,IF('01_Доходи'!Z1150&gt;=Законод!$I$26,Законод!$H$28,0)))),0)))</f>
        <v>0</v>
      </c>
      <c r="AA1156" s="942"/>
      <c r="AB1156" s="935" t="s">
        <v>423</v>
      </c>
      <c r="AC1156" s="936"/>
      <c r="AD1156" s="936"/>
      <c r="AE1156" s="936"/>
      <c r="AF1156" s="937"/>
      <c r="AG1156" s="196">
        <f ca="1">IF($B$1146="Лікар загальної практики - сімейний лікар",IF(AG1150&lt;Законод!$C$22,0,(IF(AND(AG1150&gt;=Законод!$I$22,AG1150&lt;=Законод!$I$23),AG1150-Законод!$H$23,IF('01_Доходи'!AG1150&gt;=Законод!$I$22,Законод!$I$24,0)))),IF($B$1146="Лікар-педіатр",IF(AG1150&lt;Законод!$C$18,0,(IF(AND(AG1150&gt;=Законод!$I$18,AG1150&lt;=Законод!$I$19),AG1150-Законод!$H$19,IF('01_Доходи'!AG1150&gt;=Законод!$I$18,Законод!$H$20,0)))),IF($B$1146="Лікар-терапевт",IF(AG1150&lt;Законод!$C$26,0,(IF(AND(AG1150&gt;=Законод!$I$26,AG1150&lt;=Законод!$I$27),AG1150-Законод!$H$27,IF('01_Доходи'!AG1150&gt;=Законод!$I$26,Законод!$H$28,0)))),0)))</f>
        <v>0</v>
      </c>
      <c r="AH1156" s="942"/>
      <c r="AI1156" s="201"/>
      <c r="AJ1156" s="945"/>
      <c r="AK1156" s="960"/>
      <c r="AL1156" s="960"/>
      <c r="AM1156" s="927"/>
      <c r="AN1156" s="210">
        <f ca="1">IF(B1146="Лікар загальної практики - сімейний лікар",L1156*Законод!$C$9/4*Законод!$I$16,IF(B1146="Лікар-педіатр",L1156*Законод!$C$9/4*Законод!$I$16,IF(B1146="Лікар-терапевт",L1156*Законод!$C$9/4*Законод!$I$16,0)))</f>
        <v>0</v>
      </c>
      <c r="AO1156" s="210">
        <f ca="1">IF(B1146="Лікар загальної практики - сімейний лікар",S1156*Законод!$C$9/4*Законод!$I$16,IF(B1146="Лікар-педіатр",S1156*Законод!$C$9/4*Законод!$I$16,IF(B1146="Лікар-терапевт",S1156*Законод!$C$9/4*Законод!$I$16,0)))</f>
        <v>0</v>
      </c>
      <c r="AP1156" s="210">
        <f ca="1">IF(B1146="Лікар загальної практики - сімейний лікар",Z1156*Законод!$C$9/4*Законод!$I$16,IF(B1146="Лікар-педіатр",Z1156*Законод!$C$9/4*Законод!$I$16,IF(B1146="Лікар-терапевт",Z1156*Законод!$C$9/4*Законод!$I$16,0)))</f>
        <v>0</v>
      </c>
      <c r="AQ1156" s="210">
        <f ca="1">IF(B1146="Лікар загальної практики - сімейний лікар",AG1156*Законод!$C$9/4*Законод!$I$16,IF(B1146="Лікар-педіатр",AG1156*Законод!$C$9/4*Законод!$I$16,IF(B1146="Лікар-терапевт",AG1156*Законод!$C$9/4*Законод!$I$16,0)))</f>
        <v>0</v>
      </c>
      <c r="AR1156" s="211">
        <f t="shared" si="128"/>
        <v>0</v>
      </c>
    </row>
    <row r="1157" spans="1:44" s="218" customFormat="1" ht="31.9" hidden="1" customHeight="1" thickBot="1">
      <c r="A1157" s="213"/>
      <c r="B1157" s="952"/>
      <c r="C1157" s="955"/>
      <c r="D1157" s="958"/>
      <c r="E1157" s="940"/>
      <c r="F1157" s="239" t="str">
        <f ca="1">IF(B1146="Лікар-педіатр",Законод!$J$17,IF(B1146="Лікар загальної практики - сімейний лікар",Законод!$J$21,IF(B1146="Лікар-терапевт",Законод!$J$25,"х")))</f>
        <v>х</v>
      </c>
      <c r="G1157" s="932" t="s">
        <v>423</v>
      </c>
      <c r="H1157" s="933"/>
      <c r="I1157" s="933"/>
      <c r="J1157" s="933"/>
      <c r="K1157" s="934"/>
      <c r="L1157" s="196">
        <f ca="1">IF($B$1146="Лікар загальної практики - сімейний лікар",IF(L1150&gt;=Законод!$J$22,'01_Доходи'!L1150-('01_Доходи'!L1151+'01_Доходи'!L1152+'01_Доходи'!L1153+'01_Доходи'!L1154+'01_Доходи'!L1155+'01_Доходи'!L1156),0),IF($B$1146="Лікар-педіатр",IF(L1150&gt;=Законод!$J$18,'01_Доходи'!L1150-('01_Доходи'!L1151+'01_Доходи'!L1152+'01_Доходи'!L1153+'01_Доходи'!L1154+'01_Доходи'!L1155+'01_Доходи'!L1156),0),IF($B$1146="Лікар-терапевт",IF('01_Доходи'!L1150&gt;=Законод!$J$26,L1150-Законод!$I$27,0),0)))</f>
        <v>0</v>
      </c>
      <c r="M1157" s="943"/>
      <c r="N1157" s="932" t="s">
        <v>423</v>
      </c>
      <c r="O1157" s="933"/>
      <c r="P1157" s="933"/>
      <c r="Q1157" s="933"/>
      <c r="R1157" s="934"/>
      <c r="S1157" s="196">
        <f ca="1">IF($B$1146="Лікар загальної практики - сімейний лікар",IF(S1150&gt;=Законод!$J$22,'01_Доходи'!S1150-('01_Доходи'!S1151+'01_Доходи'!S1152+'01_Доходи'!S1153+'01_Доходи'!S1154+'01_Доходи'!S1155+'01_Доходи'!S1156),0),IF($B$1146="Лікар-педіатр",IF(S1150&gt;=Законод!$J$18,'01_Доходи'!S1150-('01_Доходи'!S1151+'01_Доходи'!S1152+'01_Доходи'!S1153+'01_Доходи'!S1154+'01_Доходи'!S1155+'01_Доходи'!S1156),0),IF($B$1146="Лікар-терапевт",IF('01_Доходи'!S1150&gt;=Законод!$J$26,S1150-Законод!$I$27,0),0)))</f>
        <v>0</v>
      </c>
      <c r="T1157" s="943"/>
      <c r="U1157" s="932" t="s">
        <v>423</v>
      </c>
      <c r="V1157" s="933"/>
      <c r="W1157" s="933"/>
      <c r="X1157" s="933"/>
      <c r="Y1157" s="934"/>
      <c r="Z1157" s="196">
        <f ca="1">IF($B$1146="Лікар загальної практики - сімейний лікар",IF(Z1150&gt;=Законод!$J$22,'01_Доходи'!Z1150-('01_Доходи'!Z1151+'01_Доходи'!Z1152+'01_Доходи'!Z1153+'01_Доходи'!Z1154+'01_Доходи'!Z1155+'01_Доходи'!Z1156),0),IF($B$1146="Лікар-педіатр",IF(Z1150&gt;=Законод!$J$18,'01_Доходи'!Z1150-('01_Доходи'!Z1151+'01_Доходи'!Z1152+'01_Доходи'!Z1153+'01_Доходи'!Z1154+'01_Доходи'!Z1155+'01_Доходи'!Z1156),0),IF($B$1146="Лікар-терапевт",IF('01_Доходи'!Z1150&gt;=Законод!$J$26,Z1150-Законод!$I$27,0),0)))</f>
        <v>0</v>
      </c>
      <c r="AA1157" s="943"/>
      <c r="AB1157" s="932" t="s">
        <v>423</v>
      </c>
      <c r="AC1157" s="933"/>
      <c r="AD1157" s="933"/>
      <c r="AE1157" s="933"/>
      <c r="AF1157" s="934"/>
      <c r="AG1157" s="196">
        <f ca="1">IF($B$1146="Лікар загальної практики - сімейний лікар",IF(AG1150&gt;=Законод!$J$22,'01_Доходи'!AG1150-('01_Доходи'!AG1151+'01_Доходи'!AG1152+'01_Доходи'!AG1153+'01_Доходи'!AG1154+'01_Доходи'!AG1155+'01_Доходи'!AG1156),0),IF($B$1146="Лікар-педіатр",IF(AG1150&gt;=Законод!$J$18,'01_Доходи'!AG1150-('01_Доходи'!AG1151+'01_Доходи'!AG1152+'01_Доходи'!AG1153+'01_Доходи'!AG1154+'01_Доходи'!AG1155+'01_Доходи'!AG1156),0),IF($B$1146="Лікар-терапевт",IF('01_Доходи'!AG1150&gt;=Законод!$J$26,AG1150-Законод!$I$27,0),0)))</f>
        <v>0</v>
      </c>
      <c r="AH1157" s="943"/>
      <c r="AI1157" s="215"/>
      <c r="AJ1157" s="946"/>
      <c r="AK1157" s="961"/>
      <c r="AL1157" s="961"/>
      <c r="AM1157" s="928"/>
      <c r="AN1157" s="216">
        <f ca="1">IF(B1146="Лікар загальної практики - сімейний лікар",L1157*Законод!$C$9/4*Законод!$J$16,IF(B1146="Лікар-педіатр",L1157*Законод!$C$9/4*Законод!$J$16,IF(B1146="Лікар-терапевт",L1157*Законод!$C$9/4*Законод!$J$16,0)))</f>
        <v>0</v>
      </c>
      <c r="AO1157" s="216">
        <f ca="1">IF(B1146="Лікар загальної практики - сімейний лікар",S1157*Законод!$C$9/4*Законод!$J$16,IF(B1146="Лікар-педіатр",S1157*Законод!$C$9/4*Законод!$J$16,IF(B1146="Лікар-терапевт",S1157*Законод!$C$9/4*Законод!$J$16,0)))</f>
        <v>0</v>
      </c>
      <c r="AP1157" s="216">
        <f ca="1">IF(B1146="Лікар загальної практики - сімейний лікар",S1157*Законод!$C$9/4*Законод!$J$16,IF(B1146="Лікар-педіатр",S1157*Законод!$C$9/4*Законод!$J$16,IF(B1146="Лікар-терапевт",S1157*Законод!$C$9/4*Законод!$J$16,0)))</f>
        <v>0</v>
      </c>
      <c r="AQ1157" s="216">
        <f ca="1">IF(B1146="Лікар загальної практики - сімейний лікар",AG1157*Законод!$C$9/4*Законод!$J$16,IF(B1146="Лікар-педіатр",AG1157*Законод!$C$9/4*Законод!$J$16,IF(B1146="Лікар-терапевт",AG1157*Законод!$C$9/4*Законод!$J$16,0)))</f>
        <v>0</v>
      </c>
      <c r="AR1157" s="217">
        <f t="shared" si="128"/>
        <v>0</v>
      </c>
    </row>
    <row r="1158" spans="1:44" s="247" customFormat="1" ht="23.45" hidden="1" customHeight="1" thickBot="1">
      <c r="A1158" s="243"/>
      <c r="B1158" s="244"/>
      <c r="C1158" s="244"/>
      <c r="D1158" s="244"/>
      <c r="E1158" s="244"/>
      <c r="F1158" s="245"/>
      <c r="G1158" s="246"/>
      <c r="H1158" s="246"/>
      <c r="L1158" s="248"/>
      <c r="S1158" s="248"/>
      <c r="Z1158" s="248"/>
      <c r="AG1158" s="248"/>
      <c r="AM1158" s="249"/>
      <c r="AR1158" s="250"/>
    </row>
    <row r="1159" spans="1:44" s="191" customFormat="1" ht="24.6" hidden="1" customHeight="1">
      <c r="A1159" s="194">
        <f>A1146+1</f>
        <v>87</v>
      </c>
      <c r="B1159" s="950"/>
      <c r="C1159" s="953"/>
      <c r="D1159" s="956"/>
      <c r="E1159" s="938"/>
      <c r="F1159" s="234" t="s">
        <v>659</v>
      </c>
      <c r="G1159" s="196">
        <f>IF($B$1159="Лікар-педіатр",G1162*L1159,IF($B$1159="Лікар-терапевт","х",IF($B$1159="Лікар загальної практики - сімейний лікар",G1162*L1159,0)))</f>
        <v>0</v>
      </c>
      <c r="H1159" s="196">
        <f>IF($B$1159="Лікар-педіатр",H1162*L1159,IF($B$1159="Лікар-терапевт","х",IF($B$1159="Лікар загальної практики - сімейний лікар",H1162*L1159,0)))</f>
        <v>0</v>
      </c>
      <c r="I1159" s="196">
        <f>IF($B$1159="Лікар-педіатр","x",IF($B$1159="Лікар-терапевт",I1162*L1159,IF($B$1159="Лікар загальної практики - сімейний лікар",I1162*L1159,0)))</f>
        <v>0</v>
      </c>
      <c r="J1159" s="196">
        <f>IF($B$1159="Лікар-педіатр","x",IF($B$1159="Лікар-терапевт",J1162*L1159,IF($B$1159="Лікар загальної практики - сімейний лікар",J1162*L1159,0)))</f>
        <v>0</v>
      </c>
      <c r="K1159" s="196">
        <f>IF($B$1159="Лікар-педіатр","x",IF($B$1159="Лікар-терапевт",K1162*L1159,IF($B$1159="Лікар загальної практики - сімейний лікар",K1162*L1159,0)))</f>
        <v>0</v>
      </c>
      <c r="L1159" s="557"/>
      <c r="M1159" s="941"/>
      <c r="N1159" s="196">
        <f>IF($B$1159="Лікар-педіатр",N1162*S1159,IF($B$1159="Лікар-терапевт","х",IF($B$1159="Лікар загальної практики - сімейний лікар",N1162*S1159,0)))</f>
        <v>0</v>
      </c>
      <c r="O1159" s="196">
        <f>IF($B$1159="Лікар-педіатр",O1162*S1159,IF($B$1159="Лікар-терапевт","х",IF($B$1159="Лікар загальної практики - сімейний лікар",O1162*S1159,0)))</f>
        <v>0</v>
      </c>
      <c r="P1159" s="196">
        <f>IF($B$1159="Лікар-педіатр","x",IF($B$1159="Лікар-терапевт",P1162*S1159,IF($B$1159="Лікар загальної практики - сімейний лікар",P1162*S1159,0)))</f>
        <v>0</v>
      </c>
      <c r="Q1159" s="196">
        <f>IF($B$1159="Лікар-педіатр","x",IF($B$1159="Лікар-терапевт",Q1162*S1159,IF($B$1159="Лікар загальної практики - сімейний лікар",Q1162*S1159,0)))</f>
        <v>0</v>
      </c>
      <c r="R1159" s="196">
        <f>IF($B$1159="Лікар-педіатр","x",IF($B$1159="Лікар-терапевт",R1162*S1159,IF($B$1159="Лікар загальної практики - сімейний лікар",R1162*S1159,0)))</f>
        <v>0</v>
      </c>
      <c r="S1159" s="557"/>
      <c r="T1159" s="941"/>
      <c r="U1159" s="196">
        <f>IF($B$1159="Лікар-педіатр",U1162*Z1159,IF($B$1159="Лікар-терапевт","х",IF($B$1159="Лікар загальної практики - сімейний лікар",U1162*Z1159,0)))</f>
        <v>0</v>
      </c>
      <c r="V1159" s="196">
        <f>IF($B$1159="Лікар-педіатр",V1162*Z1159,IF($B$1159="Лікар-терапевт","х",IF($B$1159="Лікар загальної практики - сімейний лікар",V1162*Z1159,0)))</f>
        <v>0</v>
      </c>
      <c r="W1159" s="196">
        <f>IF($B$1159="Лікар-педіатр","x",IF($B$1159="Лікар-терапевт",W1162*Z1159,IF($B$1159="Лікар загальної практики - сімейний лікар",W1162*Z1159,0)))</f>
        <v>0</v>
      </c>
      <c r="X1159" s="196">
        <f>IF($B$1159="Лікар-педіатр","x",IF($B$1159="Лікар-терапевт",X1162*Z1159,IF($B$1159="Лікар загальної практики - сімейний лікар",X1162*Z1159,0)))</f>
        <v>0</v>
      </c>
      <c r="Y1159" s="196">
        <f>IF($B$1159="Лікар-педіатр","x",IF($B$1159="Лікар-терапевт",Y1162*Z1159,IF($B$1159="Лікар загальної практики - сімейний лікар",Y1162*Z1159,0)))</f>
        <v>0</v>
      </c>
      <c r="Z1159" s="557"/>
      <c r="AA1159" s="941"/>
      <c r="AB1159" s="196">
        <f>IF($B$1159="Лікар-педіатр",AB1162*AG1159,IF($B$1159="Лікар-терапевт","х",IF($B$1159="Лікар загальної практики - сімейний лікар",AB1162*AG1159,0)))</f>
        <v>0</v>
      </c>
      <c r="AC1159" s="196">
        <f>IF($B$1159="Лікар-педіатр",AC1162*AG1159,IF($B$1159="Лікар-терапевт","х",IF($B$1159="Лікар загальної практики - сімейний лікар",AC1162*AG1159,0)))</f>
        <v>0</v>
      </c>
      <c r="AD1159" s="196">
        <f>IF($B$1159="Лікар-педіатр","x",IF($B$1159="Лікар-терапевт",AD1162*AG1159,IF($B$1159="Лікар загальної практики - сімейний лікар",AD1162*AG1159,0)))</f>
        <v>0</v>
      </c>
      <c r="AE1159" s="196">
        <f>IF($B$1159="Лікар-педіатр","x",IF($B$1159="Лікар-терапевт",AE1162*AG1159,IF($B$1159="Лікар загальної практики - сімейний лікар",AE1162*AG1159,0)))</f>
        <v>0</v>
      </c>
      <c r="AF1159" s="196">
        <f>IF($B$1159="Лікар-педіатр","x",IF($B$1159="Лікар-терапевт",AF1162*AG1159,IF($B$1159="Лікар загальної практики - сімейний лікар",AF1162*AG1159,0)))</f>
        <v>0</v>
      </c>
      <c r="AG1159" s="557"/>
      <c r="AH1159" s="941"/>
      <c r="AI1159" s="540">
        <f>A1159</f>
        <v>87</v>
      </c>
      <c r="AJ1159" s="944">
        <f>B1159</f>
        <v>0</v>
      </c>
      <c r="AK1159" s="959">
        <f>C1159</f>
        <v>0</v>
      </c>
      <c r="AL1159" s="959">
        <f>D1159</f>
        <v>0</v>
      </c>
      <c r="AM1159" s="929" t="s">
        <v>79</v>
      </c>
      <c r="AN1159" s="947">
        <f>SUM(AN1164:AN1170)</f>
        <v>0</v>
      </c>
      <c r="AO1159" s="947">
        <f>SUM(AO1164:AO1170)</f>
        <v>0</v>
      </c>
      <c r="AP1159" s="947">
        <f>SUM(AP1164:AP1170)</f>
        <v>0</v>
      </c>
      <c r="AQ1159" s="947">
        <f>SUM(AQ1164:AQ1170)</f>
        <v>0</v>
      </c>
      <c r="AR1159" s="962">
        <f>SUM(AN1159:AQ1163)</f>
        <v>0</v>
      </c>
    </row>
    <row r="1160" spans="1:44" s="50" customFormat="1" ht="28.15" hidden="1" customHeight="1">
      <c r="A1160" s="197"/>
      <c r="B1160" s="951"/>
      <c r="C1160" s="954"/>
      <c r="D1160" s="957"/>
      <c r="E1160" s="939"/>
      <c r="F1160" s="234" t="s">
        <v>660</v>
      </c>
      <c r="G1160" s="196">
        <f>IF($B$1159="Лікар-педіатр",G1162*L1160,IF($B$1159="Лікар-терапевт","х",IF($B$1159="Лікар загальної практики - сімейний лікар",G1162*L1160,0)))</f>
        <v>0</v>
      </c>
      <c r="H1160" s="196">
        <f>IF($B$1159="Лікар-педіатр",H1162*L1160,IF($B$1159="Лікар-терапевт","х",IF($B$1159="Лікар загальної практики - сімейний лікар",H1162*L1160,0)))</f>
        <v>0</v>
      </c>
      <c r="I1160" s="196">
        <f>IF($B$1159="Лікар-педіатр","x",IF($B$1159="Лікар-терапевт",I1162*L1160,IF($B$1159="Лікар загальної практики - сімейний лікар",I1162*L1160,0)))</f>
        <v>0</v>
      </c>
      <c r="J1160" s="196">
        <f>IF($B$1159="Лікар-педіатр","x",IF($B$1159="Лікар-терапевт",J1162*L1160,IF($B$1159="Лікар загальної практики - сімейний лікар",J1162*L1160,0)))</f>
        <v>0</v>
      </c>
      <c r="K1160" s="196">
        <f>IF($B$1159="Лікар-педіатр","x",IF($B$1159="Лікар-терапевт",K1162*L1160,IF($B$1159="Лікар загальної практики - сімейний лікар",K1162*L1160,0)))</f>
        <v>0</v>
      </c>
      <c r="L1160" s="557"/>
      <c r="M1160" s="942"/>
      <c r="N1160" s="196">
        <f>IF($B$1159="Лікар-педіатр",N1162*S1160,IF($B$1159="Лікар-терапевт","х",IF($B$1159="Лікар загальної практики - сімейний лікар",N1162*S1160,0)))</f>
        <v>0</v>
      </c>
      <c r="O1160" s="196">
        <f>IF($B$1159="Лікар-педіатр",O1162*S1160,IF($B$1159="Лікар-терапевт","х",IF($B$1159="Лікар загальної практики - сімейний лікар",O1162*S1160,0)))</f>
        <v>0</v>
      </c>
      <c r="P1160" s="196">
        <f>IF($B$1159="Лікар-педіатр","x",IF($B$1159="Лікар-терапевт",P1162*S1160,IF($B$1159="Лікар загальної практики - сімейний лікар",P1162*S1160,0)))</f>
        <v>0</v>
      </c>
      <c r="Q1160" s="196">
        <f>IF($B$1159="Лікар-педіатр","x",IF($B$1159="Лікар-терапевт",Q1162*S1160,IF($B$1159="Лікар загальної практики - сімейний лікар",Q1162*S1160,0)))</f>
        <v>0</v>
      </c>
      <c r="R1160" s="196">
        <f>IF($B$1159="Лікар-педіатр","x",IF($B$1159="Лікар-терапевт",R1162*S1160,IF($B$1159="Лікар загальної практики - сімейний лікар",R1162*S1160,0)))</f>
        <v>0</v>
      </c>
      <c r="S1160" s="557"/>
      <c r="T1160" s="942"/>
      <c r="U1160" s="196">
        <f>IF($B$1159="Лікар-педіатр",U1162*Z1160,IF($B$1159="Лікар-терапевт","х",IF($B$1159="Лікар загальної практики - сімейний лікар",U1162*Z1160,0)))</f>
        <v>0</v>
      </c>
      <c r="V1160" s="196">
        <f>IF($B$1159="Лікар-педіатр",V1162*Z1160,IF($B$1159="Лікар-терапевт","х",IF($B$1159="Лікар загальної практики - сімейний лікар",V1162*Z1160,0)))</f>
        <v>0</v>
      </c>
      <c r="W1160" s="196">
        <f>IF($B$1159="Лікар-педіатр","x",IF($B$1159="Лікар-терапевт",W1162*Z1160,IF($B$1159="Лікар загальної практики - сімейний лікар",W1162*Z1160,0)))</f>
        <v>0</v>
      </c>
      <c r="X1160" s="196">
        <f>IF($B$1159="Лікар-педіатр","x",IF($B$1159="Лікар-терапевт",X1162*Z1160,IF($B$1159="Лікар загальної практики - сімейний лікар",X1162*Z1160,0)))</f>
        <v>0</v>
      </c>
      <c r="Y1160" s="196">
        <f>IF($B$1159="Лікар-педіатр","x",IF($B$1159="Лікар-терапевт",Y1162*Z1160,IF($B$1159="Лікар загальної практики - сімейний лікар",Y1162*Z1160,0)))</f>
        <v>0</v>
      </c>
      <c r="Z1160" s="557"/>
      <c r="AA1160" s="942"/>
      <c r="AB1160" s="196">
        <f>IF($B$1159="Лікар-педіатр",AB1162*AG1160,IF($B$1159="Лікар-терапевт","х",IF($B$1159="Лікар загальної практики - сімейний лікар",AB1162*AG1160,0)))</f>
        <v>0</v>
      </c>
      <c r="AC1160" s="196">
        <f>IF($B$1159="Лікар-педіатр",AC1162*AG1160,IF($B$1159="Лікар-терапевт","х",IF($B$1159="Лікар загальної практики - сімейний лікар",AC1162*AG1160,0)))</f>
        <v>0</v>
      </c>
      <c r="AD1160" s="196">
        <f>IF($B$1159="Лікар-педіатр","x",IF($B$1159="Лікар-терапевт",AD1162*AG1160,IF($B$1159="Лікар загальної практики - сімейний лікар",AD1162*AG1160,0)))</f>
        <v>0</v>
      </c>
      <c r="AE1160" s="196">
        <f>IF($B$1159="Лікар-педіатр","x",IF($B$1159="Лікар-терапевт",AE1162*AG1160,IF($B$1159="Лікар загальної практики - сімейний лікар",AE1162*AG1160,0)))</f>
        <v>0</v>
      </c>
      <c r="AF1160" s="196">
        <f>IF($B$1159="Лікар-педіатр","x",IF($B$1159="Лікар-терапевт",AF1162*AG1160,IF($B$1159="Лікар загальної практики - сімейний лікар",AF1162*AG1160,0)))</f>
        <v>0</v>
      </c>
      <c r="AG1160" s="557"/>
      <c r="AH1160" s="942"/>
      <c r="AI1160" s="198"/>
      <c r="AJ1160" s="945"/>
      <c r="AK1160" s="960"/>
      <c r="AL1160" s="960"/>
      <c r="AM1160" s="930"/>
      <c r="AN1160" s="948"/>
      <c r="AO1160" s="948"/>
      <c r="AP1160" s="948"/>
      <c r="AQ1160" s="948"/>
      <c r="AR1160" s="963"/>
    </row>
    <row r="1161" spans="1:44" s="90" customFormat="1" ht="31.15" hidden="1" customHeight="1">
      <c r="A1161" s="240"/>
      <c r="B1161" s="951"/>
      <c r="C1161" s="954"/>
      <c r="D1161" s="957"/>
      <c r="E1161" s="939"/>
      <c r="F1161" s="241" t="s">
        <v>661</v>
      </c>
      <c r="G1161" s="199">
        <f>IF(B1159="Лікар загальної практики - сімейний лікар"," ",IF(B1159="Лікар-педіатр"," ",IF(B1159="Лікар-терапевт","х",0)))</f>
        <v>0</v>
      </c>
      <c r="H1161" s="199">
        <f>IF(B1159="Лікар загальної практики - сімейний лікар"," ",IF(B1159="Лікар-педіатр"," ",IF(B1159="Лікар-терапевт","х",0)))</f>
        <v>0</v>
      </c>
      <c r="I1161" s="199">
        <f>IF(B1159="Лікар загальної практики - сімейний лікар"," ",IF(B1159="Лікар-педіатр","х",IF(B1159="Лікар-терапевт"," ",0)))</f>
        <v>0</v>
      </c>
      <c r="J1161" s="199">
        <f>IF(B1159="Лікар загальної практики - сімейний лікар"," ",IF(B1159="Лікар-педіатр","х",IF(B1159="Лікар-терапевт"," ",0)))</f>
        <v>0</v>
      </c>
      <c r="K1161" s="199">
        <f>IF(B1159="Лікар загальної практики - сімейний лікар"," ",IF(B1159="Лікар-педіатр","х",IF(B1159="Лікар-терапевт"," ",0)))</f>
        <v>0</v>
      </c>
      <c r="L1161" s="200">
        <f>SUM(G1161:K1161)</f>
        <v>0</v>
      </c>
      <c r="M1161" s="942"/>
      <c r="N1161" s="199">
        <f>IF(B1159="Лікар загальної практики - сімейний лікар"," ",IF(B1159="Лікар-педіатр"," ",IF(B1159="Лікар-терапевт","х",0)))</f>
        <v>0</v>
      </c>
      <c r="O1161" s="199">
        <f>IF(B1159="Лікар загальної практики - сімейний лікар"," ",IF(B1159="Лікар-педіатр"," ",IF(B1159="Лікар-терапевт","х",0)))</f>
        <v>0</v>
      </c>
      <c r="P1161" s="199">
        <f>IF(B1159="Лікар загальної практики - сімейний лікар"," ",IF(B1159="Лікар-педіатр","х",IF(B1159="Лікар-терапевт"," ",0)))</f>
        <v>0</v>
      </c>
      <c r="Q1161" s="199">
        <f>IF(B1159="Лікар загальної практики - сімейний лікар"," ",IF(B1159="Лікар-педіатр","х",IF(B1159="Лікар-терапевт"," ",0)))</f>
        <v>0</v>
      </c>
      <c r="R1161" s="199">
        <f>IF(B1159="Лікар загальної практики - сімейний лікар"," ",IF(B1159="Лікар-педіатр","х",IF(B1159="Лікар-терапевт"," ",0)))</f>
        <v>0</v>
      </c>
      <c r="S1161" s="200">
        <f>SUM(N1161:R1161)</f>
        <v>0</v>
      </c>
      <c r="T1161" s="942"/>
      <c r="U1161" s="199">
        <f>IF(B1159="Лікар загальної практики - сімейний лікар"," ",IF(B1159="Лікар-педіатр"," ",IF(B1159="Лікар-терапевт","х",0)))</f>
        <v>0</v>
      </c>
      <c r="V1161" s="199">
        <f>IF(B1159="Лікар загальної практики - сімейний лікар"," ",IF(B1159="Лікар-педіатр"," ",IF(B1159="Лікар-терапевт","х",0)))</f>
        <v>0</v>
      </c>
      <c r="W1161" s="199">
        <f>IF(B1159="Лікар загальної практики - сімейний лікар"," ",IF(B1159="Лікар-педіатр","х",IF(B1159="Лікар-терапевт"," ",0)))</f>
        <v>0</v>
      </c>
      <c r="X1161" s="199">
        <f>IF(B1159="Лікар загальної практики - сімейний лікар"," ",IF(B1159="Лікар-педіатр","х",IF(B1159="Лікар-терапевт"," ",0)))</f>
        <v>0</v>
      </c>
      <c r="Y1161" s="199">
        <f>IF(B1159="Лікар загальної практики - сімейний лікар"," ",IF(B1159="Лікар-педіатр","х",IF(B1159="Лікар-терапевт"," ",0)))</f>
        <v>0</v>
      </c>
      <c r="Z1161" s="200">
        <f>SUM(U1161:Y1161)</f>
        <v>0</v>
      </c>
      <c r="AA1161" s="942"/>
      <c r="AB1161" s="199">
        <f>IF(B1159="Лікар загальної практики - сімейний лікар"," ",IF(B1159="Лікар-педіатр"," ",IF(B1159="Лікар-терапевт","х",0)))</f>
        <v>0</v>
      </c>
      <c r="AC1161" s="199">
        <f>IF(B1159="Лікар загальної практики - сімейний лікар"," ",IF(B1159="Лікар-педіатр"," ",IF(B1159="Лікар-терапевт","х",0)))</f>
        <v>0</v>
      </c>
      <c r="AD1161" s="199">
        <f>IF(B1159="Лікар загальної практики - сімейний лікар"," ",IF(B1159="Лікар-педіатр","х",IF(B1159="Лікар-терапевт"," ",0)))</f>
        <v>0</v>
      </c>
      <c r="AE1161" s="199">
        <f>IF(B1159="Лікар загальної практики - сімейний лікар"," ",IF(B1159="Лікар-педіатр","х",IF(B1159="Лікар-терапевт"," ",0)))</f>
        <v>0</v>
      </c>
      <c r="AF1161" s="199">
        <f>IF(B1159="Лікар загальної практики - сімейний лікар"," ",IF(B1159="Лікар-педіатр","х",IF(B1159="Лікар-терапевт"," ",0)))</f>
        <v>0</v>
      </c>
      <c r="AG1161" s="200">
        <f>SUM(AB1161:AF1161)</f>
        <v>0</v>
      </c>
      <c r="AH1161" s="942"/>
      <c r="AI1161" s="242"/>
      <c r="AJ1161" s="945"/>
      <c r="AK1161" s="960"/>
      <c r="AL1161" s="960"/>
      <c r="AM1161" s="930"/>
      <c r="AN1161" s="948"/>
      <c r="AO1161" s="948"/>
      <c r="AP1161" s="948"/>
      <c r="AQ1161" s="948"/>
      <c r="AR1161" s="963"/>
    </row>
    <row r="1162" spans="1:44" s="50" customFormat="1" ht="31.9" hidden="1" customHeight="1" thickBot="1">
      <c r="A1162" s="197"/>
      <c r="B1162" s="951"/>
      <c r="C1162" s="954"/>
      <c r="D1162" s="957"/>
      <c r="E1162" s="939"/>
      <c r="F1162" s="236" t="s">
        <v>426</v>
      </c>
      <c r="G1162" s="203">
        <f>IF($B$1159="Лікар-педіатр",G1161/L1161,IF($B$1159="Лікар-терапевт","х",IF($B$1159="Лікар загальної практики - сімейний лікар",G1161/L1161,0)))</f>
        <v>0</v>
      </c>
      <c r="H1162" s="203">
        <f>IF($B$1159="Лікар-педіатр",H1161/L1161,IF($B$1159="Лікар-терапевт","х",IF($B$1159="Лікар загальної практики - сімейний лікар",H1161/L1161,0)))</f>
        <v>0</v>
      </c>
      <c r="I1162" s="203">
        <f>IF($B$1159="Лікар-педіатр","x",IF($B$1159="Лікар-терапевт",I1161/L1161,IF($B$1159="Лікар загальної практики - сімейний лікар",I1161/L1161,0)))</f>
        <v>0</v>
      </c>
      <c r="J1162" s="203">
        <f>IF($B$1159="Лікар-педіатр","x",IF($B$1159="Лікар-терапевт",J1161/L1161,IF($B$1159="Лікар загальної практики - сімейний лікар",J1161/L1161,0)))</f>
        <v>0</v>
      </c>
      <c r="K1162" s="203">
        <f>IF($B$1159="Лікар-педіатр","x",IF($B$1159="Лікар-терапевт",K1161/L1161,IF($B$1159="Лікар загальної практики - сімейний лікар",K1161/L1161,0)))</f>
        <v>0</v>
      </c>
      <c r="L1162" s="203">
        <f>SUM(G1162:K1162)</f>
        <v>0</v>
      </c>
      <c r="M1162" s="942"/>
      <c r="N1162" s="203">
        <f>IF($B$1159="Лікар-педіатр",N1161/S1161,IF($B$1159="Лікар-терапевт","х",IF($B$1159="Лікар загальної практики - сімейний лікар",N1161/S1161,0)))</f>
        <v>0</v>
      </c>
      <c r="O1162" s="203">
        <f>IF($B$1159="Лікар-педіатр",O1161/S1161,IF($B$1159="Лікар-терапевт","х",IF($B$1159="Лікар загальної практики - сімейний лікар",O1161/S1161,0)))</f>
        <v>0</v>
      </c>
      <c r="P1162" s="203">
        <f>IF($B$1159="Лікар-педіатр","x",IF($B$1159="Лікар-терапевт",P1161/S1161,IF($B$1159="Лікар загальної практики - сімейний лікар",P1161/S1161,0)))</f>
        <v>0</v>
      </c>
      <c r="Q1162" s="203">
        <f>IF($B$1159="Лікар-педіатр","x",IF($B$1159="Лікар-терапевт",Q1161/S1161,IF($B$1159="Лікар загальної практики - сімейний лікар",Q1161/S1161,0)))</f>
        <v>0</v>
      </c>
      <c r="R1162" s="203">
        <f>IF($B$1159="Лікар-педіатр","x",IF($B$1159="Лікар-терапевт",R1161/S1161,IF($B$1159="Лікар загальної практики - сімейний лікар",R1161/S1161,0)))</f>
        <v>0</v>
      </c>
      <c r="S1162" s="203">
        <f>SUM(N1162:R1162)</f>
        <v>0</v>
      </c>
      <c r="T1162" s="942"/>
      <c r="U1162" s="203">
        <f>IF($B$1159="Лікар-педіатр",U1161/Z1161,IF($B$1159="Лікар-терапевт","х",IF($B$1159="Лікар загальної практики - сімейний лікар",U1161/Z1161,0)))</f>
        <v>0</v>
      </c>
      <c r="V1162" s="203">
        <f>IF($B$1159="Лікар-педіатр",V1161/Z1161,IF($B$1159="Лікар-терапевт","х",IF($B$1159="Лікар загальної практики - сімейний лікар",V1161/Z1161,0)))</f>
        <v>0</v>
      </c>
      <c r="W1162" s="203">
        <f>IF($B$1159="Лікар-педіатр","x",IF($B$1159="Лікар-терапевт",W1161/Z1161,IF($B$1159="Лікар загальної практики - сімейний лікар",W1161/Z1161,0)))</f>
        <v>0</v>
      </c>
      <c r="X1162" s="203">
        <f>IF($B$1159="Лікар-педіатр","x",IF($B$1159="Лікар-терапевт",X1161/Z1161,IF($B$1159="Лікар загальної практики - сімейний лікар",X1161/Z1161,0)))</f>
        <v>0</v>
      </c>
      <c r="Y1162" s="203">
        <f>IF($B$1159="Лікар-педіатр","x",IF($B$1159="Лікар-терапевт",Y1161/Z1161,IF($B$1159="Лікар загальної практики - сімейний лікар",Y1161/Z1161,0)))</f>
        <v>0</v>
      </c>
      <c r="Z1162" s="203">
        <f>SUM(U1162:Y1162)</f>
        <v>0</v>
      </c>
      <c r="AA1162" s="942"/>
      <c r="AB1162" s="203">
        <f>IF($B$1159="Лікар-педіатр",AB1161/AG1161,IF($B$1159="Лікар-терапевт","х",IF($B$1159="Лікар загальної практики - сімейний лікар",AB1161/AG1161,0)))</f>
        <v>0</v>
      </c>
      <c r="AC1162" s="203">
        <f>IF($B$1159="Лікар-педіатр",AC1161/AG1161,IF($B$1159="Лікар-терапевт","х",IF($B$1159="Лікар загальної практики - сімейний лікар",AC1161/AG1161,0)))</f>
        <v>0</v>
      </c>
      <c r="AD1162" s="203">
        <f>IF($B$1159="Лікар-педіатр","x",IF($B$1159="Лікар-терапевт",AD1161/AG1161,IF($B$1159="Лікар загальної практики - сімейний лікар",AD1161/AG1161,0)))</f>
        <v>0</v>
      </c>
      <c r="AE1162" s="203">
        <f>IF($B$1159="Лікар-педіатр","x",IF($B$1159="Лікар-терапевт",AE1161/AG1161,IF($B$1159="Лікар загальної практики - сімейний лікар",AE1161/AG1161,0)))</f>
        <v>0</v>
      </c>
      <c r="AF1162" s="203">
        <f>IF($B$1159="Лікар-педіатр","x",IF($B$1159="Лікар-терапевт",AF1161/AG1161,IF($B$1159="Лікар загальної практики - сімейний лікар",AF1161/AG1161,0)))</f>
        <v>0</v>
      </c>
      <c r="AG1162" s="203">
        <f>SUM(AB1162:AF1162)</f>
        <v>0</v>
      </c>
      <c r="AH1162" s="942"/>
      <c r="AI1162" s="201"/>
      <c r="AJ1162" s="945"/>
      <c r="AK1162" s="960"/>
      <c r="AL1162" s="960"/>
      <c r="AM1162" s="930"/>
      <c r="AN1162" s="948"/>
      <c r="AO1162" s="948"/>
      <c r="AP1162" s="948"/>
      <c r="AQ1162" s="948"/>
      <c r="AR1162" s="963"/>
    </row>
    <row r="1163" spans="1:44" s="50" customFormat="1" ht="45" hidden="1" customHeight="1" thickBot="1">
      <c r="A1163" s="197"/>
      <c r="B1163" s="951"/>
      <c r="C1163" s="954"/>
      <c r="D1163" s="957"/>
      <c r="E1163" s="939"/>
      <c r="F1163" s="204" t="s">
        <v>662</v>
      </c>
      <c r="G1163" s="205">
        <f>IF($B$1159="Лікар загальної практики - сімейний лікар",AVERAGE(G1159:G1161),IF($B$1159="Лікар-педіатр",AVERAGE(G1159:G1161),IF($B$1159="Лікар-терапевт","х",0)))</f>
        <v>0</v>
      </c>
      <c r="H1163" s="205">
        <f>IF($B$1159="Лікар загальної практики - сімейний лікар",AVERAGE(H1159:H1161),IF($B$1159="Лікар-педіатр",AVERAGE(H1159:H1161),IF($B$1159="Лікар-терапевт","х",0)))</f>
        <v>0</v>
      </c>
      <c r="I1163" s="205">
        <f>IF($B$1159="Лікар загальної практики - сімейний лікар",AVERAGE(I1159:I1161),IF($B$1159="Лікар-педіатр","x",IF($B$1159="Лікар-терапевт",AVERAGE(I1159:I1161),0)))</f>
        <v>0</v>
      </c>
      <c r="J1163" s="205">
        <f>IF($B$1159="Лікар загальної практики - сімейний лікар",AVERAGE(J1159:J1161),IF($B$1159="Лікар-педіатр","x",IF($B$1159="Лікар-терапевт",AVERAGE(J1159:J1161),0)))</f>
        <v>0</v>
      </c>
      <c r="K1163" s="205">
        <f>IF($B$1159="Лікар загальної практики - сімейний лікар",AVERAGE(K1159:K1161),IF($B$1159="Лікар-педіатр","x",IF($B$1159="Лікар-терапевт",AVERAGE(K1159:K1161),0)))</f>
        <v>0</v>
      </c>
      <c r="L1163" s="206">
        <f>SUM(G1163:K1163)</f>
        <v>0</v>
      </c>
      <c r="M1163" s="942"/>
      <c r="N1163" s="205">
        <f>IF($B$1159="Лікар загальної практики - сімейний лікар",AVERAGE(N1159:N1161),IF($B$1159="Лікар-педіатр",AVERAGE(N1159:N1161),IF($B$1159="Лікар-терапевт","х",0)))</f>
        <v>0</v>
      </c>
      <c r="O1163" s="205">
        <f>IF($B$1159="Лікар загальної практики - сімейний лікар",AVERAGE(O1159:O1161),IF($B$1159="Лікар-педіатр",AVERAGE(O1159:O1161),IF($B$1159="Лікар-терапевт","х",0)))</f>
        <v>0</v>
      </c>
      <c r="P1163" s="205">
        <f>IF($B$1159="Лікар загальної практики - сімейний лікар",AVERAGE(P1159:P1161),IF($B$1159="Лікар-педіатр","x",IF($B$1159="Лікар-терапевт",AVERAGE(P1159:P1161),0)))</f>
        <v>0</v>
      </c>
      <c r="Q1163" s="205">
        <f>IF($B$1159="Лікар загальної практики - сімейний лікар",AVERAGE(Q1159:Q1161),IF($B$1159="Лікар-педіатр","x",IF($B$1159="Лікар-терапевт",AVERAGE(Q1159:Q1161),0)))</f>
        <v>0</v>
      </c>
      <c r="R1163" s="205">
        <f>IF($B$1159="Лікар загальної практики - сімейний лікар",AVERAGE(R1159:R1161),IF($B$1159="Лікар-педіатр","x",IF($B$1159="Лікар-терапевт",AVERAGE(R1159:R1161),0)))</f>
        <v>0</v>
      </c>
      <c r="S1163" s="206">
        <f>SUM(N1163:R1163)</f>
        <v>0</v>
      </c>
      <c r="T1163" s="942"/>
      <c r="U1163" s="205">
        <f>IF($B$1159="Лікар загальної практики - сімейний лікар",AVERAGE(U1159:U1161),IF($B$1159="Лікар-педіатр",AVERAGE(U1159:U1161),IF($B$1159="Лікар-терапевт","х",0)))</f>
        <v>0</v>
      </c>
      <c r="V1163" s="205">
        <f>IF($B$1159="Лікар загальної практики - сімейний лікар",AVERAGE(V1159:V1161),IF($B$1159="Лікар-педіатр",AVERAGE(V1159:V1161),IF($B$1159="Лікар-терапевт","х",0)))</f>
        <v>0</v>
      </c>
      <c r="W1163" s="205">
        <f>IF($B$1159="Лікар загальної практики - сімейний лікар",AVERAGE(W1159:W1161),IF($B$1159="Лікар-педіатр","x",IF($B$1159="Лікар-терапевт",AVERAGE(W1159:W1161),0)))</f>
        <v>0</v>
      </c>
      <c r="X1163" s="205">
        <f>IF($B$1159="Лікар загальної практики - сімейний лікар",AVERAGE(X1159:X1161),IF($B$1159="Лікар-педіатр","x",IF($B$1159="Лікар-терапевт",AVERAGE(X1159:X1161),0)))</f>
        <v>0</v>
      </c>
      <c r="Y1163" s="205">
        <f>IF($B$1159="Лікар загальної практики - сімейний лікар",AVERAGE(Y1159:Y1161),IF($B$1159="Лікар-педіатр","x",IF($B$1159="Лікар-терапевт",AVERAGE(Y1159:Y1161),0)))</f>
        <v>0</v>
      </c>
      <c r="Z1163" s="206">
        <f>SUM(U1163:Y1163)</f>
        <v>0</v>
      </c>
      <c r="AA1163" s="942"/>
      <c r="AB1163" s="205">
        <f>IF($B$1159="Лікар загальної практики - сімейний лікар",AVERAGE(AB1159:AB1161),IF($B$1159="Лікар-педіатр",AVERAGE(AB1159:AB1161),IF($B$1159="Лікар-терапевт","х",0)))</f>
        <v>0</v>
      </c>
      <c r="AC1163" s="205">
        <f>IF($B$1159="Лікар загальної практики - сімейний лікар",AVERAGE(AC1159:AC1161),IF($B$1159="Лікар-педіатр",AVERAGE(AC1159:AC1161),IF($B$1159="Лікар-терапевт","х",0)))</f>
        <v>0</v>
      </c>
      <c r="AD1163" s="205">
        <f>IF($B$1159="Лікар загальної практики - сімейний лікар",AVERAGE(AD1159:AD1161),IF($B$1159="Лікар-педіатр","x",IF($B$1159="Лікар-терапевт",AVERAGE(AD1159:AD1161),0)))</f>
        <v>0</v>
      </c>
      <c r="AE1163" s="205">
        <f>IF($B$1159="Лікар загальної практики - сімейний лікар",AVERAGE(AE1159:AE1161),IF($B$1159="Лікар-педіатр","x",IF($B$1159="Лікар-терапевт",AVERAGE(AE1159:AE1161),0)))</f>
        <v>0</v>
      </c>
      <c r="AF1163" s="205">
        <f>IF($B$1159="Лікар загальної практики - сімейний лікар",AVERAGE(AF1159:AF1161),IF($B$1159="Лікар-педіатр","x",IF($B$1159="Лікар-терапевт",AVERAGE(AF1159:AF1161),0)))</f>
        <v>0</v>
      </c>
      <c r="AG1163" s="206">
        <f>SUM(AB1163:AF1163)</f>
        <v>0</v>
      </c>
      <c r="AH1163" s="942"/>
      <c r="AI1163" s="201"/>
      <c r="AJ1163" s="945"/>
      <c r="AK1163" s="960"/>
      <c r="AL1163" s="960"/>
      <c r="AM1163" s="931"/>
      <c r="AN1163" s="949"/>
      <c r="AO1163" s="949"/>
      <c r="AP1163" s="949"/>
      <c r="AQ1163" s="949"/>
      <c r="AR1163" s="964"/>
    </row>
    <row r="1164" spans="1:44" s="50" customFormat="1" ht="40.5" hidden="1">
      <c r="A1164" s="197"/>
      <c r="B1164" s="951"/>
      <c r="C1164" s="954"/>
      <c r="D1164" s="957"/>
      <c r="E1164" s="939"/>
      <c r="F1164" s="237" t="str">
        <f ca="1">IF(B1159="Лікар-педіатр",Законод!$C$17,IF(B1159="Лікар загальної практики - сімейний лікар",Законод!$C$21,IF(B1159="Лікар-терапевт",Законод!$C$25,"х")))</f>
        <v>х</v>
      </c>
      <c r="G1164" s="208">
        <f ca="1">IF($B$1159="Лікар загальної практики - сімейний лікар",IF(L1163&lt;=Законод!$C$22,G1163,Законод!$C$22*'01_Доходи'!G1162),IF($B$1159="Лікар-педіатр",IF(L1163&lt;=Законод!$C$18,G1163,Законод!$C$18*'01_Доходи'!G1162),IF($B$1159="Лікар-терапевт","x",0)))</f>
        <v>0</v>
      </c>
      <c r="H1164" s="208">
        <f ca="1">IF($B$1159="Лікар загальної практики - сімейний лікар",IF(L1163&lt;=Законод!$C$22,H1163,Законод!$C$22*'01_Доходи'!H1162),IF($B$1159="Лікар-педіатр",IF(L1163&lt;=Законод!$C$18,H1163,Законод!$C$18*'01_Доходи'!H1162),IF($B$1159="Лікар-терапевт","x",0)))</f>
        <v>0</v>
      </c>
      <c r="I1164" s="208">
        <f ca="1">IF($B$1159="Лікар загальної практики - сімейний лікар",IF(L1163&lt;=Законод!$C$22,I1163,Законод!$C$22*'01_Доходи'!I1162),IF($B$1159="Лікар-педіатр","x",IF($B$1159="Лікар-терапевт",IF(L1163&lt;=Законод!$C$26,I1163,Законод!$C$26*'01_Доходи'!I1162),0)))</f>
        <v>0</v>
      </c>
      <c r="J1164" s="208">
        <f ca="1">IF($B$1159="Лікар загальної практики - сімейний лікар",IF(L1163&lt;=Законод!$C$22,J1163,Законод!$C$22*'01_Доходи'!J1162),IF($B$1159="Лікар-педіатр","x",IF($B$1159="Лікар-терапевт",IF(L1163&lt;=Законод!$C$26,J1163,Законод!$C$26*'01_Доходи'!J1162),0)))</f>
        <v>0</v>
      </c>
      <c r="K1164" s="208">
        <f ca="1">IF($B$1159="Лікар загальної практики - сімейний лікар",IF(L1163&lt;=Законод!$C$22,K1163,Законод!$C$22*'01_Доходи'!K1162),IF($B$1159="Лікар-педіатр","x",IF($B$1159="Лікар-терапевт",IF(L1163&lt;=Законод!$C$26,K1163,Законод!$C$26*'01_Доходи'!K1162),0)))</f>
        <v>0</v>
      </c>
      <c r="L1164" s="209">
        <f ca="1">SUM(G1164:K1164)</f>
        <v>0</v>
      </c>
      <c r="M1164" s="942"/>
      <c r="N1164" s="208">
        <f ca="1">IF($B$1159="Лікар загальної практики - сімейний лікар",IF(S1163&lt;=Законод!$C$22,N1163,Законод!$C$22*'01_Доходи'!N1162),IF($B$1159="Лікар-педіатр",IF(S1163&lt;=Законод!$C$18,N1163,Законод!$C$18*'01_Доходи'!N1162),IF($B$1159="Лікар-терапевт","x",0)))</f>
        <v>0</v>
      </c>
      <c r="O1164" s="208">
        <f ca="1">IF($B$1159="Лікар загальної практики - сімейний лікар",IF(S1163&lt;=Законод!$C$22,O1163,Законод!$C$22*'01_Доходи'!O1162),IF($B$1159="Лікар-педіатр",IF(S1163&lt;=Законод!$C$18,O1163,Законод!$C$18*'01_Доходи'!O1162),IF($B$1159="Лікар-терапевт","x",0)))</f>
        <v>0</v>
      </c>
      <c r="P1164" s="208">
        <f ca="1">IF($B$1159="Лікар загальної практики - сімейний лікар",IF(S1163&lt;=Законод!$C$22,P1163,Законод!$C$22*'01_Доходи'!P1162),IF($B$1159="Лікар-педіатр","x",IF($B$1159="Лікар-терапевт",IF(S1163&lt;=Законод!$C$26,P1163,Законод!$C$26*'01_Доходи'!P1162),0)))</f>
        <v>0</v>
      </c>
      <c r="Q1164" s="208">
        <f ca="1">IF($B$1159="Лікар загальної практики - сімейний лікар",IF(S1163&lt;=Законод!$C$22,Q1163,Законод!$C$22*'01_Доходи'!Q1162),IF($B$1159="Лікар-педіатр","x",IF($B$1159="Лікар-терапевт",IF(S1163&lt;=Законод!$C$26,Q1163,Законод!$C$26*'01_Доходи'!Q1162),0)))</f>
        <v>0</v>
      </c>
      <c r="R1164" s="208">
        <f ca="1">IF($B$1159="Лікар загальної практики - сімейний лікар",IF(S1163&lt;=Законод!$C$22,R1163,Законод!$C$22*'01_Доходи'!R1162),IF($B$1159="Лікар-педіатр","x",IF($B$1159="Лікар-терапевт",IF(S1163&lt;=Законод!$C$26,R1163,Законод!$C$26*'01_Доходи'!R1162),0)))</f>
        <v>0</v>
      </c>
      <c r="S1164" s="209">
        <f ca="1">SUM(N1164:R1164)</f>
        <v>0</v>
      </c>
      <c r="T1164" s="942"/>
      <c r="U1164" s="208">
        <f ca="1">IF($B$1159="Лікар загальної практики - сімейний лікар",IF(Z1163&lt;=Законод!$C$22,U1163,Законод!$C$22*'01_Доходи'!U1162),IF($B$1159="Лікар-педіатр",IF(Z1163&lt;=Законод!$C$18,U1163,Законод!$C$18*'01_Доходи'!U1162),IF($B$1159="Лікар-терапевт","x",0)))</f>
        <v>0</v>
      </c>
      <c r="V1164" s="208">
        <f ca="1">IF($B$1159="Лікар загальної практики - сімейний лікар",IF(Z1163&lt;=Законод!$C$22,V1163,Законод!$C$22*'01_Доходи'!V1162),IF($B$1159="Лікар-педіатр",IF(Z1163&lt;=Законод!$C$18,V1163,Законод!$C$18*'01_Доходи'!V1162),IF($B$1159="Лікар-терапевт","x",0)))</f>
        <v>0</v>
      </c>
      <c r="W1164" s="208">
        <f ca="1">IF($B$1159="Лікар загальної практики - сімейний лікар",IF(Z1163&lt;=Законод!$C$22,W1163,Законод!$C$22*'01_Доходи'!W1162),IF($B$1159="Лікар-педіатр","x",IF($B$1159="Лікар-терапевт",IF(Z1163&lt;=Законод!$C$26,W1163,Законод!$C$26*'01_Доходи'!W1162),0)))</f>
        <v>0</v>
      </c>
      <c r="X1164" s="208">
        <f ca="1">IF($B$1159="Лікар загальної практики - сімейний лікар",IF(Z1163&lt;=Законод!$C$22,X1163,Законод!$C$22*'01_Доходи'!X1162),IF($B$1159="Лікар-педіатр","x",IF($B$1159="Лікар-терапевт",IF(Z1163&lt;=Законод!$C$26,X1163,Законод!$C$26*'01_Доходи'!X1162),0)))</f>
        <v>0</v>
      </c>
      <c r="Y1164" s="208">
        <f ca="1">IF($B$1159="Лікар загальної практики - сімейний лікар",IF(Z1163&lt;=Законод!$C$22,Y1163,Законод!$C$22*'01_Доходи'!Y1162),IF($B$1159="Лікар-педіатр","x",IF($B$1159="Лікар-терапевт",IF(Z1163&lt;=Законод!$C$26,Y1163,Законод!$C$26*'01_Доходи'!Y1162),0)))</f>
        <v>0</v>
      </c>
      <c r="Z1164" s="209">
        <f ca="1">SUM(U1164:Y1164)</f>
        <v>0</v>
      </c>
      <c r="AA1164" s="942"/>
      <c r="AB1164" s="208">
        <f ca="1">IF($B$1159="Лікар загальної практики - сімейний лікар",IF(AG1163&lt;=Законод!$C$22,AB1163,Законод!$C$22*'01_Доходи'!AB1162),IF($B$1159="Лікар-педіатр",IF(AG1163&lt;=Законод!$C$18,AB1163,Законод!$C$18*'01_Доходи'!AB1162),IF($B$1159="Лікар-терапевт","x",0)))</f>
        <v>0</v>
      </c>
      <c r="AC1164" s="208">
        <f ca="1">IF($B$1159="Лікар загальної практики - сімейний лікар",IF(AG1163&lt;=Законод!$C$22,AC1163,Законод!$C$22*'01_Доходи'!AC1162),IF($B$1159="Лікар-педіатр",IF(AG1163&lt;=Законод!$C$18,AC1163,Законод!$C$18*'01_Доходи'!AC1162),IF($B$1159="Лікар-терапевт","x",0)))</f>
        <v>0</v>
      </c>
      <c r="AD1164" s="208">
        <f ca="1">IF($B$1159="Лікар загальної практики - сімейний лікар",IF(AG1163&lt;=Законод!$C$22,AD1163,Законод!$C$22*'01_Доходи'!AD1162),IF($B$1159="Лікар-педіатр","x",IF($B$1159="Лікар-терапевт",IF(AG1163&lt;=Законод!$C$26,AD1163,Законод!$C$26*'01_Доходи'!AD1162),0)))</f>
        <v>0</v>
      </c>
      <c r="AE1164" s="208">
        <f ca="1">IF($B$1159="Лікар загальної практики - сімейний лікар",IF(AG1163&lt;=Законод!$C$22,AE1163,Законод!$C$22*'01_Доходи'!AE1162),IF($B$1159="Лікар-педіатр","x",IF($B$1159="Лікар-терапевт",IF(AG1163&lt;=Законод!$C$26,AE1163,Законод!$C$26*'01_Доходи'!AE1162),0)))</f>
        <v>0</v>
      </c>
      <c r="AF1164" s="208">
        <f ca="1">IF($B$1159="Лікар загальної практики - сімейний лікар",IF(AG1163&lt;=Законод!$C$22,AF1163,Законод!$C$22*'01_Доходи'!AF1162),IF($B$1159="Лікар-педіатр","x",IF($B$1159="Лікар-терапевт",IF(AG1163&lt;=Законод!$C$26,AF1163,Законод!$C$26*'01_Доходи'!AF1162),0)))</f>
        <v>0</v>
      </c>
      <c r="AG1164" s="209">
        <f ca="1">SUM(AB1164:AF1164)</f>
        <v>0</v>
      </c>
      <c r="AH1164" s="942"/>
      <c r="AI1164" s="201"/>
      <c r="AJ1164" s="945"/>
      <c r="AK1164" s="960"/>
      <c r="AL1164" s="960"/>
      <c r="AM1164" s="348" t="s">
        <v>451</v>
      </c>
      <c r="AN1164" s="210">
        <f ca="1">IF(B1159="Лікар загальної практики - сімейний лікар",G1164*Законод!$C$11+'01_Доходи'!H1164*Законод!$D$11+'01_Доходи'!I1164*Законод!$E$11+'01_Доходи'!J1164*Законод!$F$11+'01_Доходи'!K1164*Законод!$G$11,IF(B1159="Лікар-педіатр",G1164*Законод!$C$11+'01_Доходи'!H1164*Законод!$D$11,IF(B1159="Лікар-терапевт",'01_Доходи'!I1164*Законод!$E$11+'01_Доходи'!J1164*Законод!$F$11+'01_Доходи'!K1164*Законод!$G$11,0)))</f>
        <v>0</v>
      </c>
      <c r="AO1164" s="210">
        <f ca="1">IF(B1159="Лікар загальної практики - сімейний лікар",N1164*Законод!$C$11+'01_Доходи'!O1164*Законод!$D$11+'01_Доходи'!P1164*Законод!$E$11+'01_Доходи'!Q1164*Законод!$F$11+'01_Доходи'!R1164*Законод!$G$11,IF(B1159="Лікар-педіатр",N1164*Законод!$C$11+'01_Доходи'!O1164*Законод!$D$11,IF(B1159="Лікар-терапевт",'01_Доходи'!P1164*Законод!$E$11+'01_Доходи'!Q1164*Законод!$F$11+'01_Доходи'!R1164*Законод!$G$11,0)))</f>
        <v>0</v>
      </c>
      <c r="AP1164" s="210">
        <f ca="1">IF(B1159="Лікар загальної практики - сімейний лікар",U1164*Законод!$C$11+'01_Доходи'!V1164*Законод!$D$11+'01_Доходи'!W1164*Законод!$E$11+'01_Доходи'!X1164*Законод!$F$11+'01_Доходи'!Y1164*Законод!$G$11,IF(B1159="Лікар-педіатр",U1164*Законод!$C$11+'01_Доходи'!V1164*Законод!$D$11,IF(B1159="Лікар-терапевт",'01_Доходи'!W1164*Законод!$E$11+'01_Доходи'!X1164*Законод!$F$11+'01_Доходи'!Y1164*Законод!$G$11,0)))</f>
        <v>0</v>
      </c>
      <c r="AQ1164" s="210">
        <f ca="1">IF(B1159="Лікар загальної практики - сімейний лікар",AB1164*Законод!$C$11+'01_Доходи'!AC1164*Законод!$D$11+'01_Доходи'!AD1164*Законод!$E$11+'01_Доходи'!AE1164*Законод!$F$11+'01_Доходи'!AF1164*Законод!$G$11,IF(B1159="Лікар-педіатр",AB1164*Законод!$C$11+'01_Доходи'!AC1164*Законод!$D$11,IF(B1159="Лікар-терапевт",'01_Доходи'!AD1164*Законод!$E$11+'01_Доходи'!AE1164*Законод!$F$11+'01_Доходи'!AF1164*Законод!$G$11,0)))</f>
        <v>0</v>
      </c>
      <c r="AR1164" s="211">
        <f t="shared" ref="AR1164:AR1170" si="129">SUM(AN1164:AQ1164)</f>
        <v>0</v>
      </c>
    </row>
    <row r="1165" spans="1:44" s="50" customFormat="1" ht="31.9" hidden="1" customHeight="1">
      <c r="A1165" s="197"/>
      <c r="B1165" s="951"/>
      <c r="C1165" s="954"/>
      <c r="D1165" s="957"/>
      <c r="E1165" s="939"/>
      <c r="F1165" s="238" t="str">
        <f ca="1">IF(B1159="Лікар-педіатр",Законод!$E$17,IF(B1159="Лікар загальної практики - сімейний лікар",Законод!$E$21,IF(B1159="Лікар-терапевт",Законод!$E$25,"х")))</f>
        <v>х</v>
      </c>
      <c r="G1165" s="935" t="s">
        <v>423</v>
      </c>
      <c r="H1165" s="936"/>
      <c r="I1165" s="936"/>
      <c r="J1165" s="936"/>
      <c r="K1165" s="937"/>
      <c r="L1165" s="196">
        <f ca="1">IF($B$1159="Лікар загальної практики - сімейний лікар",IF(L1163&lt;Законод!$C$22,0,(IF(AND(L1163&gt;=Законод!$E$22,L1163&lt;=Законод!$E$23),L1163-Законод!$C$22,IF('01_Доходи'!L1163&gt;=Законод!$F$22,Законод!$E$24,0)))),IF($B$1159="Лікар-педіатр",IF(L1163&lt;Законод!$C$18,0,(IF(AND(L1163&gt;=Законод!$E$18,L1163&lt;=Законод!$E$19),L1163-Законод!$C$18,IF('01_Доходи'!L1163&gt;=Законод!$F$18,Законод!$E$20,0)))),IF($B$1159="Лікар-терапевт",IF(L1163&lt;Законод!$C$26,0,(IF(AND(L1163&gt;=Законод!$E$26,L1163&lt;=Законод!$E$27),L1163-Законод!$C$26,IF('01_Доходи'!L1163&gt;=Законод!$F$26,Законод!$E$28,0)))),0)))</f>
        <v>0</v>
      </c>
      <c r="M1165" s="942"/>
      <c r="N1165" s="935" t="s">
        <v>423</v>
      </c>
      <c r="O1165" s="936"/>
      <c r="P1165" s="936"/>
      <c r="Q1165" s="936"/>
      <c r="R1165" s="937"/>
      <c r="S1165" s="196">
        <f ca="1">IF($B$1159="Лікар загальної практики - сімейний лікар",IF(S1163&lt;Законод!$C$22,0,(IF(AND(S1163&gt;=Законод!$E$22,S1163&lt;=Законод!$E$23),S1163-Законод!$C$22,IF('01_Доходи'!S1163&gt;=Законод!$F$22,Законод!$E$24,0)))),IF($B$1159="Лікар-педіатр",IF(S1163&lt;Законод!$C$18,0,(IF(AND(S1163&gt;=Законод!$E$18,S1163&lt;=Законод!$E$19),S1163-Законод!$C$18,IF('01_Доходи'!S1163&gt;=Законод!$F$18,Законод!$E$20,0)))),IF($B$1159="Лікар-терапевт",IF(S1163&lt;Законод!$C$26,0,(IF(AND(S1163&gt;=Законод!$E$26,S1163&lt;=Законод!$E$27),S1163-Законод!$C$26,IF('01_Доходи'!S1163&gt;=Законод!$F$26,Законод!$E$28,0)))),0)))</f>
        <v>0</v>
      </c>
      <c r="T1165" s="942"/>
      <c r="U1165" s="935" t="s">
        <v>423</v>
      </c>
      <c r="V1165" s="936"/>
      <c r="W1165" s="936"/>
      <c r="X1165" s="936"/>
      <c r="Y1165" s="937"/>
      <c r="Z1165" s="196">
        <f ca="1">IF($B$1159="Лікар загальної практики - сімейний лікар",IF(Z1163&lt;Законод!$C$22,0,(IF(AND(Z1163&gt;=Законод!$E$22,Z1163&lt;=Законод!$E$23),Z1163-Законод!$C$22,IF('01_Доходи'!Z1163&gt;=Законод!$F$22,Законод!$E$24,0)))),IF($B$1159="Лікар-педіатр",IF(Z1163&lt;Законод!$C$18,0,(IF(AND(Z1163&gt;=Законод!$E$18,Z1163&lt;=Законод!$E$19),Z1163-Законод!$C$18,IF('01_Доходи'!Z1163&gt;=Законод!$F$18,Законод!$E$20,0)))),IF($B$1159="Лікар-терапевт",IF(Z1163&lt;Законод!$C$26,0,(IF(AND(Z1163&gt;=Законод!$E$26,Z1163&lt;=Законод!$E$27),Z1163-Законод!$C$26,IF('01_Доходи'!Z1163&gt;=Законод!$F$26,Законод!$E$28,0)))),0)))</f>
        <v>0</v>
      </c>
      <c r="AA1165" s="942"/>
      <c r="AB1165" s="935" t="s">
        <v>423</v>
      </c>
      <c r="AC1165" s="936"/>
      <c r="AD1165" s="936"/>
      <c r="AE1165" s="936"/>
      <c r="AF1165" s="937"/>
      <c r="AG1165" s="196">
        <f ca="1">IF($B$1159="Лікар загальної практики - сімейний лікар",IF(AG1163&lt;Законод!$C$22,0,(IF(AND(AG1163&gt;=Законод!$E$22,AG1163&lt;=Законод!$E$23),AG1163-Законод!$C$22,IF('01_Доходи'!AG1163&gt;=Законод!$F$22,Законод!$E$24,0)))),IF($B$1159="Лікар-педіатр",IF(AG1163&lt;Законод!$C$18,0,(IF(AND(AG1163&gt;=Законод!$E$18,AG1163&lt;=Законод!$E$19),AG1163-Законод!$C$18,IF('01_Доходи'!AG1163&gt;=Законод!$F$18,Законод!$E$20,0)))),IF($B$1159="Лікар-терапевт",IF(AG1163&lt;Законод!$C$26,0,(IF(AND(AG1163&gt;=Законод!$E$26,AG1163&lt;=Законод!$E$27),AG1163-Законод!$C$26,IF('01_Доходи'!AG1163&gt;=Законод!$F$26,Законод!$E$28,0)))),0)))</f>
        <v>0</v>
      </c>
      <c r="AH1165" s="942"/>
      <c r="AI1165" s="201"/>
      <c r="AJ1165" s="945"/>
      <c r="AK1165" s="960"/>
      <c r="AL1165" s="960"/>
      <c r="AM1165" s="926" t="s">
        <v>452</v>
      </c>
      <c r="AN1165" s="210">
        <f ca="1">IF(B1159="Лікар загальної практики - сімейний лікар",L1165*Законод!$C$9/4*Законод!$E$16,IF(B1159="Лікар-педіатр",L1165*Законод!$C$9/4*Законод!$E$16,IF(B1159="Лікар-терапевт",L1165*Законод!$C$9/4*Законод!$E$16,0)))</f>
        <v>0</v>
      </c>
      <c r="AO1165" s="210">
        <f ca="1">IF(B1159="Лікар загальної практики - сімейний лікар",S1165*Законод!$C$9/4*Законод!$E$16,IF(B1159="Лікар-педіатр",S1165*Законод!$C$9/4*Законод!$E$16,IF(B1159="Лікар-терапевт",S1165*Законод!$C$9/4*Законод!$E$16,0)))</f>
        <v>0</v>
      </c>
      <c r="AP1165" s="210">
        <f ca="1">IF(B1159="Лікар загальної практики - сімейний лікар",Z1165*Законод!$C$9/4*Законод!$E$16,IF(B1159="Лікар-педіатр",Z1165*Законод!$C$9/4*Законод!$E$16,IF(B1159="Лікар-терапевт",Z1165*Законод!$C$9/4*Законод!$E$16,0)))</f>
        <v>0</v>
      </c>
      <c r="AQ1165" s="210">
        <f ca="1">IF(B1159="Лікар загальної практики - сімейний лікар",AG1165*Законод!$C$9/4*Законод!$E$16,IF(B1159="Лікар-педіатр",AG1165*Законод!$C$9/4*Законод!$E$16,IF(B1159="Лікар-терапевт",AG1165*Законод!$C$9/4*Законод!$E$16,0)))</f>
        <v>0</v>
      </c>
      <c r="AR1165" s="211">
        <f t="shared" si="129"/>
        <v>0</v>
      </c>
    </row>
    <row r="1166" spans="1:44" s="50" customFormat="1" ht="31.9" hidden="1" customHeight="1">
      <c r="A1166" s="197"/>
      <c r="B1166" s="951"/>
      <c r="C1166" s="954"/>
      <c r="D1166" s="957"/>
      <c r="E1166" s="939"/>
      <c r="F1166" s="238" t="str">
        <f ca="1">IF(B1159="Лікар-педіатр",Законод!$F$17,IF(B1159="Лікар загальної практики - сімейний лікар",Законод!$F$21,IF(B1159="Лікар-терапевт",Законод!$F$25,"х")))</f>
        <v>х</v>
      </c>
      <c r="G1166" s="935" t="s">
        <v>423</v>
      </c>
      <c r="H1166" s="936"/>
      <c r="I1166" s="936"/>
      <c r="J1166" s="936"/>
      <c r="K1166" s="937"/>
      <c r="L1166" s="196">
        <f ca="1">IF($B$1159="Лікар загальної практики - сімейний лікар",IF(L1163&lt;Законод!$C$22,0,(IF(AND(L1163&gt;=Законод!$F$22,L1163&lt;=Законод!$F$23),L1163-Законод!$E$23,IF('01_Доходи'!L1163&gt;=Законод!$G$22,Законод!$F$24,0)))),IF($B$1159="Лікар-педіатр",IF(L1163&lt;Законод!$C$18,0,(IF(AND(L1163&gt;=Законод!$F$18,L1163&lt;=Законод!$F$19),L1163-Законод!$E$19,IF('01_Доходи'!L1163&gt;=Законод!$G$18,Законод!$F$20,0)))),IF($B$1159="Лікар-терапевт",IF(L1163&lt;Законод!$C$26,0,(IF(AND(L1163&gt;=Законод!$F$26,L1163&lt;=Законод!$F$27),L1163-Законод!$E$27,IF('01_Доходи'!L1163&gt;=Законод!$G$26,Законод!$F$28,0)))),0)))</f>
        <v>0</v>
      </c>
      <c r="M1166" s="942"/>
      <c r="N1166" s="935" t="s">
        <v>423</v>
      </c>
      <c r="O1166" s="936"/>
      <c r="P1166" s="936"/>
      <c r="Q1166" s="936"/>
      <c r="R1166" s="937"/>
      <c r="S1166" s="196">
        <f ca="1">IF($B$1159="Лікар загальної практики - сімейний лікар",IF(S1163&lt;Законод!$C$22,0,(IF(AND(S1163&gt;=Законод!$F$22,S1163&lt;=Законод!$F$23),S1163-Законод!$E$23,IF('01_Доходи'!S1163&gt;=Законод!$G$22,Законод!$F$24,0)))),IF($B$1159="Лікар-педіатр",IF(S1163&lt;Законод!$C$18,0,(IF(AND(S1163&gt;=Законод!$F$18,S1163&lt;=Законод!$F$19),S1163-Законод!$E$19,IF('01_Доходи'!S1163&gt;=Законод!$G$18,Законод!$F$20,0)))),IF($B$1159="Лікар-терапевт",IF(S1163&lt;Законод!$C$26,0,(IF(AND(S1163&gt;=Законод!$F$26,S1163&lt;=Законод!$F$27),S1163-Законод!$E$27,IF('01_Доходи'!S1163&gt;=Законод!$G$26,Законод!$F$28,0)))),0)))</f>
        <v>0</v>
      </c>
      <c r="T1166" s="942"/>
      <c r="U1166" s="935" t="s">
        <v>423</v>
      </c>
      <c r="V1166" s="936"/>
      <c r="W1166" s="936"/>
      <c r="X1166" s="936"/>
      <c r="Y1166" s="937"/>
      <c r="Z1166" s="196">
        <f ca="1">IF($B$1159="Лікар загальної практики - сімейний лікар",IF(Z1163&lt;Законод!$C$22,0,(IF(AND(Z1163&gt;=Законод!$F$22,Z1163&lt;=Законод!$F$23),Z1163-Законод!$E$23,IF('01_Доходи'!Z1163&gt;=Законод!$G$22,Законод!$F$24,0)))),IF($B$1159="Лікар-педіатр",IF(Z1163&lt;Законод!$C$18,0,(IF(AND(Z1163&gt;=Законод!$F$18,Z1163&lt;=Законод!$F$19),Z1163-Законод!$E$19,IF('01_Доходи'!Z1163&gt;=Законод!$G$18,Законод!$F$20,0)))),IF($B$1159="Лікар-терапевт",IF(Z1163&lt;Законод!$C$26,0,(IF(AND(Z1163&gt;=Законод!$F$26,Z1163&lt;=Законод!$F$27),Z1163-Законод!$E$27,IF('01_Доходи'!Z1163&gt;=Законод!$G$26,Законод!$F$28,0)))),0)))</f>
        <v>0</v>
      </c>
      <c r="AA1166" s="942"/>
      <c r="AB1166" s="935" t="s">
        <v>423</v>
      </c>
      <c r="AC1166" s="936"/>
      <c r="AD1166" s="936"/>
      <c r="AE1166" s="936"/>
      <c r="AF1166" s="937"/>
      <c r="AG1166" s="196">
        <f ca="1">IF($B$1159="Лікар загальної практики - сімейний лікар",IF(AG1163&lt;Законод!$C$22,0,(IF(AND(AG1163&gt;=Законод!$F$22,AG1163&lt;=Законод!$F$23),AG1163-Законод!$E$23,IF('01_Доходи'!AG1163&gt;=Законод!$G$22,Законод!$F$24,0)))),IF($B$1159="Лікар-педіатр",IF(AG1163&lt;Законод!$C$18,0,(IF(AND(AG1163&gt;=Законод!$F$18,AG1163&lt;=Законод!$F$19),AG1163-Законод!$E$19,IF('01_Доходи'!AG1163&gt;=Законод!$G$18,Законод!$F$20,0)))),IF($B$1159="Лікар-терапевт",IF(AG1163&lt;Законод!$C$26,0,(IF(AND(AG1163&gt;=Законод!$F$26,AG1163&lt;=Законод!$F$27),AG1163-Законод!$E$27,IF('01_Доходи'!AG1163&gt;=Законод!$G$26,Законод!$F$28,0)))),0)))</f>
        <v>0</v>
      </c>
      <c r="AH1166" s="942"/>
      <c r="AI1166" s="201"/>
      <c r="AJ1166" s="945"/>
      <c r="AK1166" s="960"/>
      <c r="AL1166" s="960"/>
      <c r="AM1166" s="927"/>
      <c r="AN1166" s="210">
        <f ca="1">IF(B1159="Лікар загальної практики - сімейний лікар",L1166*Законод!$C$9/4*Законод!$F$16,IF(B1159="Лікар-педіатр",L1166*Законод!$C$9/4*Законод!$F$16,IF(B1159="Лікар-терапевт",L1166*Законод!$C$9/4*Законод!$F$16,0)))</f>
        <v>0</v>
      </c>
      <c r="AO1166" s="210">
        <f ca="1">IF(B1159="Лікар загальної практики - сімейний лікар",S1166*Законод!$C$9/4*Законод!$F$16,IF(B1159="Лікар-педіатр",S1166*Законод!$C$9/4*Законод!$F$16,IF(B1159="Лікар-терапевт",S1166*Законод!$C$9/4*Законод!$F$16,0)))</f>
        <v>0</v>
      </c>
      <c r="AP1166" s="210">
        <f ca="1">IF(B1159="Лікар загальної практики - сімейний лікар",Z1166*Законод!$C$9/4*Законод!$F$16,IF(B1159="Лікар-педіатр",Z1166*Законод!$C$9/4*Законод!$F$16,IF(B1159="Лікар-терапевт",Z1166*Законод!$C$9/4*Законод!$F$16,0)))</f>
        <v>0</v>
      </c>
      <c r="AQ1166" s="210">
        <f ca="1">IF(B1159="Лікар загальної практики - сімейний лікар",AG1166*Законод!$C$9/4*Законод!$F$16,IF(B1159="Лікар-педіатр",AG1166*Законод!$C$9/4*Законод!$F$16,IF(B1159="Лікар-терапевт",AG1166*Законод!$C$9/4*Законод!$F$16,0)))</f>
        <v>0</v>
      </c>
      <c r="AR1166" s="211">
        <f t="shared" si="129"/>
        <v>0</v>
      </c>
    </row>
    <row r="1167" spans="1:44" s="50" customFormat="1" ht="31.9" hidden="1" customHeight="1">
      <c r="A1167" s="197"/>
      <c r="B1167" s="951"/>
      <c r="C1167" s="954"/>
      <c r="D1167" s="957"/>
      <c r="E1167" s="939"/>
      <c r="F1167" s="238" t="str">
        <f ca="1">IF(B1159="Лікар-педіатр",Законод!$G$17,IF(B1159="Лікар загальної практики - сімейний лікар",Законод!$G$21,IF(B1159="Лікар-терапевт",Законод!$G$25,"х")))</f>
        <v>х</v>
      </c>
      <c r="G1167" s="935" t="s">
        <v>423</v>
      </c>
      <c r="H1167" s="936"/>
      <c r="I1167" s="936"/>
      <c r="J1167" s="936"/>
      <c r="K1167" s="937"/>
      <c r="L1167" s="196">
        <f ca="1">IF($B$1159="Лікар загальної практики - сімейний лікар",IF(L1163&lt;Законод!$C$22,0,(IF(AND(L1163&gt;=Законод!$G$22,L1163&lt;=Законод!$G$23),L1163-Законод!$F$23,IF('01_Доходи'!L1163&gt;=Законод!$H$22,Законод!$G$24,0)))),IF($B$1159="Лікар-педіатр",IF(L1163&lt;Законод!$C$18,0,(IF(AND(L1163&gt;=Законод!$G$18,L1163&lt;=Законод!$G$19),L1163-Законод!$F$19,IF('01_Доходи'!L1163&gt;=Законод!$H$18,Законод!$G$20,0)))),IF($B$1159="Лікар-терапевт",IF(L1163&lt;Законод!$C$26,0,(IF(AND(L1163&gt;=Законод!$G$26,L1163&lt;=Законод!$G$27),L1163-Законод!$F$27,IF('01_Доходи'!L1163&gt;=Законод!$H$26,Законод!$G$28,0)))),0)))</f>
        <v>0</v>
      </c>
      <c r="M1167" s="942"/>
      <c r="N1167" s="935" t="s">
        <v>423</v>
      </c>
      <c r="O1167" s="936"/>
      <c r="P1167" s="936"/>
      <c r="Q1167" s="936"/>
      <c r="R1167" s="937"/>
      <c r="S1167" s="196">
        <f ca="1">IF($B$1159="Лікар загальної практики - сімейний лікар",IF(S1163&lt;Законод!$C$22,0,(IF(AND(S1163&gt;=Законод!$G$22,S1163&lt;=Законод!$G$23),S1163-Законод!$F$23,IF('01_Доходи'!S1163&gt;=Законод!$H$22,Законод!$G$24,0)))),IF($B$1159="Лікар-педіатр",IF(S1163&lt;Законод!$C$18,0,(IF(AND(S1163&gt;=Законод!$G$18,S1163&lt;=Законод!$G$19),S1163-Законод!$F$19,IF('01_Доходи'!S1163&gt;=Законод!$H$18,Законод!$G$20,0)))),IF($B$1159="Лікар-терапевт",IF(S1163&lt;Законод!$C$26,0,(IF(AND(S1163&gt;=Законод!$G$26,S1163&lt;=Законод!$G$27),S1163-Законод!$F$27,IF('01_Доходи'!S1163&gt;=Законод!$H$26,Законод!$G$28,0)))),0)))</f>
        <v>0</v>
      </c>
      <c r="T1167" s="942"/>
      <c r="U1167" s="935" t="s">
        <v>423</v>
      </c>
      <c r="V1167" s="936"/>
      <c r="W1167" s="936"/>
      <c r="X1167" s="936"/>
      <c r="Y1167" s="937"/>
      <c r="Z1167" s="196">
        <f ca="1">IF($B$1159="Лікар загальної практики - сімейний лікар",IF(Z1163&lt;Законод!$C$22,0,(IF(AND(Z1163&gt;=Законод!$G$22,Z1163&lt;=Законод!$G$23),Z1163-Законод!$F$23,IF('01_Доходи'!Z1163&gt;=Законод!$H$22,Законод!$G$24,0)))),IF($B$1159="Лікар-педіатр",IF(Z1163&lt;Законод!$C$18,0,(IF(AND(Z1163&gt;=Законод!$G$18,Z1163&lt;=Законод!$G$19),Z1163-Законод!$F$19,IF('01_Доходи'!Z1163&gt;=Законод!$H$18,Законод!$G$20,0)))),IF($B$1159="Лікар-терапевт",IF(Z1163&lt;Законод!$C$26,0,(IF(AND(Z1163&gt;=Законод!$G$26,Z1163&lt;=Законод!$G$27),Z1163-Законод!$F$27,IF('01_Доходи'!Z1163&gt;=Законод!$H$26,Законод!$G$28,0)))),0)))</f>
        <v>0</v>
      </c>
      <c r="AA1167" s="942"/>
      <c r="AB1167" s="935" t="s">
        <v>423</v>
      </c>
      <c r="AC1167" s="936"/>
      <c r="AD1167" s="936"/>
      <c r="AE1167" s="936"/>
      <c r="AF1167" s="937"/>
      <c r="AG1167" s="196">
        <f ca="1">IF($B$1159="Лікар загальної практики - сімейний лікар",IF(AG1163&lt;Законод!$C$22,0,(IF(AND(AG1163&gt;=Законод!$G$22,AG1163&lt;=Законод!$G$23),AG1163-Законод!$F$23,IF('01_Доходи'!AG1163&gt;=Законод!$H$22,Законод!$G$24,0)))),IF($B$1159="Лікар-педіатр",IF(AG1163&lt;Законод!$C$18,0,(IF(AND(AG1163&gt;=Законод!$G$18,AG1163&lt;=Законод!$G$19),AG1163-Законод!$F$19,IF('01_Доходи'!AG1163&gt;=Законод!$H$18,Законод!$G$20,0)))),IF($B$1159="Лікар-терапевт",IF(AG1163&lt;Законод!$C$26,0,(IF(AND(AG1163&gt;=Законод!$G$26,AG1163&lt;=Законод!$G$27),AG1163-Законод!$F$27,IF('01_Доходи'!AG1163&gt;=Законод!$H$26,Законод!$G$28,0)))),0)))</f>
        <v>0</v>
      </c>
      <c r="AH1167" s="942"/>
      <c r="AI1167" s="201"/>
      <c r="AJ1167" s="945"/>
      <c r="AK1167" s="960"/>
      <c r="AL1167" s="960"/>
      <c r="AM1167" s="927"/>
      <c r="AN1167" s="210">
        <f ca="1">IF(B1159="Лікар загальної практики - сімейний лікар",L1167*Законод!$C$9/4*Законод!$G$16,IF(B1159="Лікар-педіатр",L1167*Законод!$C$9/4*Законод!$G$16,IF(B1159="Лікар-терапевт",L1167*Законод!$C$9/4*Законод!$G$16,0)))</f>
        <v>0</v>
      </c>
      <c r="AO1167" s="210">
        <f ca="1">IF(B1159="Лікар загальної практики - сімейний лікар",S1167*Законод!$C$9/4*Законод!$G$16,IF(B1159="Лікар-педіатр",S1167*Законод!$C$9/4*Законод!$G$16,IF(B1159="Лікар-терапевт",S1167*Законод!$C$9/4*Законод!$G$16,0)))</f>
        <v>0</v>
      </c>
      <c r="AP1167" s="210">
        <f ca="1">IF(B1159="Лікар загальної практики - сімейний лікар",Z1167*Законод!$C$9/4*Законод!$G$16,IF(B1159="Лікар-педіатр",Z1167*Законод!$C$9/4*Законод!$G$16,IF(B1159="Лікар-терапевт",Z1167*Законод!$C$9/4*Законод!$G$16,0)))</f>
        <v>0</v>
      </c>
      <c r="AQ1167" s="210">
        <f ca="1">IF(B1159="Лікар загальної практики - сімейний лікар",AG1167*Законод!$C$9/4*Законод!$G$16,IF(B1159="Лікар-педіатр",AG1167*Законод!$C$9/4*Законод!$G$16,IF(B1159="Лікар-терапевт",AG1167*Законод!$C$9/4*Законод!$G$16,0)))</f>
        <v>0</v>
      </c>
      <c r="AR1167" s="211">
        <f t="shared" si="129"/>
        <v>0</v>
      </c>
    </row>
    <row r="1168" spans="1:44" s="50" customFormat="1" ht="31.9" hidden="1" customHeight="1">
      <c r="A1168" s="197"/>
      <c r="B1168" s="951"/>
      <c r="C1168" s="954"/>
      <c r="D1168" s="957"/>
      <c r="E1168" s="939"/>
      <c r="F1168" s="238" t="str">
        <f ca="1">IF(B1159="Лікар-педіатр",Законод!$H$17,IF(B1159="Лікар загальної практики - сімейний лікар",Законод!$H$21,IF(B1159="Лікар-терапевт",Законод!$H$25,"х")))</f>
        <v>х</v>
      </c>
      <c r="G1168" s="935" t="s">
        <v>423</v>
      </c>
      <c r="H1168" s="936"/>
      <c r="I1168" s="936"/>
      <c r="J1168" s="936"/>
      <c r="K1168" s="937"/>
      <c r="L1168" s="196">
        <f ca="1">IF($B$1159="Лікар загальної практики - сімейний лікар",IF(L1163&lt;Законод!$C$22,0,(IF(AND(L1163&gt;=Законод!$H$22,L1163&lt;=Законод!$H$23),L1163-Законод!$G$23,IF('01_Доходи'!L1163&gt;=Законод!$I$22,Законод!$H$24,0)))),IF($B$1159="Лікар-педіатр",IF(L1163&lt;Законод!$C$18,0,(IF(AND(L1163&gt;=Законод!$H$18,L1163&lt;=Законод!$H$19),L1163-Законод!$G$19,IF('01_Доходи'!L1163&gt;=Законод!$I$18,Законод!$H$20,0)))),IF($B$1159="Лікар-терапевт",IF(L1163&lt;Законод!$C$26,0,(IF(AND(L1163&gt;=Законод!$H$26,L1163&lt;=Законод!$H$27),L1163-Законод!$G$27,IF(L1163&gt;=Законод!$I$26,Законод!$H$28,0)))),0)))</f>
        <v>0</v>
      </c>
      <c r="M1168" s="942"/>
      <c r="N1168" s="935" t="s">
        <v>423</v>
      </c>
      <c r="O1168" s="936"/>
      <c r="P1168" s="936"/>
      <c r="Q1168" s="936"/>
      <c r="R1168" s="937"/>
      <c r="S1168" s="196">
        <f ca="1">IF($B$1159="Лікар загальної практики - сімейний лікар",IF(S1163&lt;Законод!$C$22,0,(IF(AND(S1163&gt;=Законод!$H$22,S1163&lt;=Законод!$H$23),S1163-Законод!$G$23,IF('01_Доходи'!S1163&gt;=Законод!$I$22,Законод!$H$24,0)))),IF($B$1159="Лікар-педіатр",IF(S1163&lt;Законод!$C$18,0,(IF(AND(S1163&gt;=Законод!$H$18,S1163&lt;=Законод!$H$19),S1163-Законод!$G$19,IF('01_Доходи'!S1163&gt;=Законод!$I$18,Законод!$H$20,0)))),IF($B$1159="Лікар-терапевт",IF(S1163&lt;Законод!$C$26,0,(IF(AND(S1163&gt;=Законод!$H$26,S1163&lt;=Законод!$H$27),S1163-Законод!$G$27,IF(S1163&gt;=Законод!$I$26,Законод!$H$28,0)))),0)))</f>
        <v>0</v>
      </c>
      <c r="T1168" s="942"/>
      <c r="U1168" s="935" t="s">
        <v>423</v>
      </c>
      <c r="V1168" s="936"/>
      <c r="W1168" s="936"/>
      <c r="X1168" s="936"/>
      <c r="Y1168" s="937"/>
      <c r="Z1168" s="196">
        <f ca="1">IF($B$1159="Лікар загальної практики - сімейний лікар",IF(Z1163&lt;Законод!$C$22,0,(IF(AND(Z1163&gt;=Законод!$H$22,Z1163&lt;=Законод!$H$23),Z1163-Законод!$G$23,IF('01_Доходи'!Z1163&gt;=Законод!$I$22,Законод!$H$24,0)))),IF($B$1159="Лікар-педіатр",IF(Z1163&lt;Законод!$C$18,0,(IF(AND(Z1163&gt;=Законод!$H$18,Z1163&lt;=Законод!$H$19),Z1163-Законод!$G$19,IF('01_Доходи'!Z1163&gt;=Законод!$I$18,Законод!$H$20,0)))),IF($B$1159="Лікар-терапевт",IF(Z1163&lt;Законод!$C$26,0,(IF(AND(Z1163&gt;=Законод!$H$26,Z1163&lt;=Законод!$H$27),Z1163-Законод!$G$27,IF(Z1163&gt;=Законод!$I$26,Законод!$H$28,0)))),0)))</f>
        <v>0</v>
      </c>
      <c r="AA1168" s="942"/>
      <c r="AB1168" s="935" t="s">
        <v>423</v>
      </c>
      <c r="AC1168" s="936"/>
      <c r="AD1168" s="936"/>
      <c r="AE1168" s="936"/>
      <c r="AF1168" s="937"/>
      <c r="AG1168" s="196">
        <f ca="1">IF($B$1159="Лікар загальної практики - сімейний лікар",IF(AG1163&lt;Законод!$C$22,0,(IF(AND(AG1163&gt;=Законод!$H$22,AG1163&lt;=Законод!$H$23),AG1163-Законод!$G$23,IF('01_Доходи'!AG1163&gt;=Законод!$I$22,Законод!$H$24,0)))),IF($B$1159="Лікар-педіатр",IF(AG1163&lt;Законод!$C$18,0,(IF(AND(AG1163&gt;=Законод!$H$18,AG1163&lt;=Законод!$H$19),AG1163-Законод!$G$19,IF('01_Доходи'!AG1163&gt;=Законод!$I$18,Законод!$H$20,0)))),IF($B$1159="Лікар-терапевт",IF(AG1163&lt;Законод!$C$26,0,(IF(AND(AG1163&gt;=Законод!$H$26,AG1163&lt;=Законод!$H$27),AG1163-Законод!$G$27,IF(AG1163&gt;=Законод!$I$26,Законод!$H$28,0)))),0)))</f>
        <v>0</v>
      </c>
      <c r="AH1168" s="942"/>
      <c r="AI1168" s="201"/>
      <c r="AJ1168" s="945"/>
      <c r="AK1168" s="960"/>
      <c r="AL1168" s="960"/>
      <c r="AM1168" s="927"/>
      <c r="AN1168" s="210">
        <f ca="1">IF(B1159="Лікар загальної практики - сімейний лікар",L1168*Законод!$C$9/4*Законод!$H$16,IF(B1159="Лікар-педіатр",L1168*Законод!$C$9/4*Законод!$H$16,IF(B1159="Лікар-терапевт",L1168*Законод!$C$9/4*Законод!$H$16,0)))</f>
        <v>0</v>
      </c>
      <c r="AO1168" s="210">
        <f ca="1">IF(B1159="Лікар загальної практики - сімейний лікар",S1168*Законод!$C$9/4*Законод!$H$16,IF(B1159="Лікар-педіатр",S1168*Законод!$C$9/4*Законод!$H$16,IF(B1159="Лікар-терапевт",S1168*Законод!$C$9/4*Законод!$H$16,0)))</f>
        <v>0</v>
      </c>
      <c r="AP1168" s="210">
        <f ca="1">IF(B1159="Лікар загальної практики - сімейний лікар",Z1168*Законод!$C$9/4*Законод!$H$16,IF(B1159="Лікар-педіатр",Z1168*Законод!$C$9/4*Законод!$H$16,IF(B1159="Лікар-терапевт",Z1168*Законод!$C$9/4*Законод!$H$16,0)))</f>
        <v>0</v>
      </c>
      <c r="AQ1168" s="210">
        <f ca="1">IF(B1159="Лікар загальної практики - сімейний лікар",AG1168*Законод!$C$9/4*Законод!$H$16,IF(B1159="Лікар-педіатр",AG1168*Законод!$C$9/4*Законод!$H$16,IF(B1159="Лікар-терапевт",AG1168*Законод!$C$9/4*Законод!$H$16,0)))</f>
        <v>0</v>
      </c>
      <c r="AR1168" s="211">
        <f t="shared" si="129"/>
        <v>0</v>
      </c>
    </row>
    <row r="1169" spans="1:44" s="50" customFormat="1" ht="31.9" hidden="1" customHeight="1">
      <c r="A1169" s="197"/>
      <c r="B1169" s="951"/>
      <c r="C1169" s="954"/>
      <c r="D1169" s="957"/>
      <c r="E1169" s="939"/>
      <c r="F1169" s="238" t="str">
        <f ca="1">IF(B1159="Лікар-педіатр",Законод!$I$17,IF(B1159="Лікар загальної практики - сімейний лікар",Законод!$I$21,IF(B1159="Лікар-терапевт",Законод!$I$25,"х")))</f>
        <v>х</v>
      </c>
      <c r="G1169" s="935" t="s">
        <v>423</v>
      </c>
      <c r="H1169" s="936"/>
      <c r="I1169" s="936"/>
      <c r="J1169" s="936"/>
      <c r="K1169" s="937"/>
      <c r="L1169" s="196">
        <f ca="1">IF($B$1159="Лікар загальної практики - сімейний лікар",IF(L1163&lt;Законод!$C$22,0,(IF(AND(L1163&gt;=Законод!$I$22,L1163&lt;=Законод!$I$23),L1163-Законод!$H$23,IF('01_Доходи'!L1163&gt;=Законод!$I$22,Законод!$I$24,0)))),IF($B$1159="Лікар-педіатр",IF(L1163&lt;Законод!$C$18,0,(IF(AND(L1163&gt;=Законод!$I$18,L1163&lt;=Законод!$I$19),L1163-Законод!$H$19,IF('01_Доходи'!L1163&gt;=Законод!$I$18,Законод!$H$20,0)))),IF($B$1159="Лікар-терапевт",IF(L1163&lt;Законод!$C$26,0,(IF(AND(L1163&gt;=Законод!$I$26,L1163&lt;=Законод!$I$27),L1163-Законод!$H$27,IF('01_Доходи'!L1163&gt;=Законод!$I$26,Законод!$H$28,0)))),0)))</f>
        <v>0</v>
      </c>
      <c r="M1169" s="942"/>
      <c r="N1169" s="935" t="s">
        <v>423</v>
      </c>
      <c r="O1169" s="936"/>
      <c r="P1169" s="936"/>
      <c r="Q1169" s="936"/>
      <c r="R1169" s="937"/>
      <c r="S1169" s="196">
        <f ca="1">IF($B$1159="Лікар загальної практики - сімейний лікар",IF(S1163&lt;Законод!$C$22,0,(IF(AND(S1163&gt;=Законод!$I$22,S1163&lt;=Законод!$I$23),S1163-Законод!$H$23,IF('01_Доходи'!S1163&gt;=Законод!$I$22,Законод!$I$24,0)))),IF($B$1159="Лікар-педіатр",IF(S1163&lt;Законод!$C$18,0,(IF(AND(S1163&gt;=Законод!$I$18,S1163&lt;=Законод!$I$19),S1163-Законод!$H$19,IF('01_Доходи'!S1163&gt;=Законод!$I$18,Законод!$H$20,0)))),IF($B$1159="Лікар-терапевт",IF(S1163&lt;Законод!$C$26,0,(IF(AND(S1163&gt;=Законод!$I$26,S1163&lt;=Законод!$I$27),S1163-Законод!$H$27,IF('01_Доходи'!S1163&gt;=Законод!$I$26,Законод!$H$28,0)))),0)))</f>
        <v>0</v>
      </c>
      <c r="T1169" s="942"/>
      <c r="U1169" s="935" t="s">
        <v>423</v>
      </c>
      <c r="V1169" s="936"/>
      <c r="W1169" s="936"/>
      <c r="X1169" s="936"/>
      <c r="Y1169" s="937"/>
      <c r="Z1169" s="196">
        <f ca="1">IF($B$1159="Лікар загальної практики - сімейний лікар",IF(Z1163&lt;Законод!$C$22,0,(IF(AND(Z1163&gt;=Законод!$I$22,Z1163&lt;=Законод!$I$23),Z1163-Законод!$H$23,IF('01_Доходи'!Z1163&gt;=Законод!$I$22,Законод!$I$24,0)))),IF($B$1159="Лікар-педіатр",IF(Z1163&lt;Законод!$C$18,0,(IF(AND(Z1163&gt;=Законод!$I$18,Z1163&lt;=Законод!$I$19),Z1163-Законод!$H$19,IF('01_Доходи'!Z1163&gt;=Законод!$I$18,Законод!$H$20,0)))),IF($B$1159="Лікар-терапевт",IF(Z1163&lt;Законод!$C$26,0,(IF(AND(Z1163&gt;=Законод!$I$26,Z1163&lt;=Законод!$I$27),Z1163-Законод!$H$27,IF('01_Доходи'!Z1163&gt;=Законод!$I$26,Законод!$H$28,0)))),0)))</f>
        <v>0</v>
      </c>
      <c r="AA1169" s="942"/>
      <c r="AB1169" s="935" t="s">
        <v>423</v>
      </c>
      <c r="AC1169" s="936"/>
      <c r="AD1169" s="936"/>
      <c r="AE1169" s="936"/>
      <c r="AF1169" s="937"/>
      <c r="AG1169" s="196">
        <f ca="1">IF($B$1159="Лікар загальної практики - сімейний лікар",IF(AG1163&lt;Законод!$C$22,0,(IF(AND(AG1163&gt;=Законод!$I$22,AG1163&lt;=Законод!$I$23),AG1163-Законод!$H$23,IF('01_Доходи'!AG1163&gt;=Законод!$I$22,Законод!$I$24,0)))),IF($B$1159="Лікар-педіатр",IF(AG1163&lt;Законод!$C$18,0,(IF(AND(AG1163&gt;=Законод!$I$18,AG1163&lt;=Законод!$I$19),AG1163-Законод!$H$19,IF('01_Доходи'!AG1163&gt;=Законод!$I$18,Законод!$H$20,0)))),IF($B$1159="Лікар-терапевт",IF(AG1163&lt;Законод!$C$26,0,(IF(AND(AG1163&gt;=Законод!$I$26,AG1163&lt;=Законод!$I$27),AG1163-Законод!$H$27,IF('01_Доходи'!AG1163&gt;=Законод!$I$26,Законод!$H$28,0)))),0)))</f>
        <v>0</v>
      </c>
      <c r="AH1169" s="942"/>
      <c r="AI1169" s="201"/>
      <c r="AJ1169" s="945"/>
      <c r="AK1169" s="960"/>
      <c r="AL1169" s="960"/>
      <c r="AM1169" s="927"/>
      <c r="AN1169" s="210">
        <f ca="1">IF(B1159="Лікар загальної практики - сімейний лікар",L1169*Законод!$C$9/4*Законод!$I$16,IF(B1159="Лікар-педіатр",L1169*Законод!$C$9/4*Законод!$I$16,IF(B1159="Лікар-терапевт",L1169*Законод!$C$9/4*Законод!$I$16,0)))</f>
        <v>0</v>
      </c>
      <c r="AO1169" s="210">
        <f ca="1">IF(B1159="Лікар загальної практики - сімейний лікар",S1169*Законод!$C$9/4*Законод!$I$16,IF(B1159="Лікар-педіатр",S1169*Законод!$C$9/4*Законод!$I$16,IF(B1159="Лікар-терапевт",S1169*Законод!$C$9/4*Законод!$I$16,0)))</f>
        <v>0</v>
      </c>
      <c r="AP1169" s="210">
        <f ca="1">IF(B1159="Лікар загальної практики - сімейний лікар",Z1169*Законод!$C$9/4*Законод!$I$16,IF(B1159="Лікар-педіатр",Z1169*Законод!$C$9/4*Законод!$I$16,IF(B1159="Лікар-терапевт",Z1169*Законод!$C$9/4*Законод!$I$16,0)))</f>
        <v>0</v>
      </c>
      <c r="AQ1169" s="210">
        <f ca="1">IF(B1159="Лікар загальної практики - сімейний лікар",AG1169*Законод!$C$9/4*Законод!$I$16,IF(B1159="Лікар-педіатр",AG1169*Законод!$C$9/4*Законод!$I$16,IF(B1159="Лікар-терапевт",AG1169*Законод!$C$9/4*Законод!$I$16,0)))</f>
        <v>0</v>
      </c>
      <c r="AR1169" s="211">
        <f t="shared" si="129"/>
        <v>0</v>
      </c>
    </row>
    <row r="1170" spans="1:44" s="218" customFormat="1" ht="31.9" hidden="1" customHeight="1" thickBot="1">
      <c r="A1170" s="213"/>
      <c r="B1170" s="952"/>
      <c r="C1170" s="955"/>
      <c r="D1170" s="958"/>
      <c r="E1170" s="940"/>
      <c r="F1170" s="239" t="str">
        <f ca="1">IF(B1159="Лікар-педіатр",Законод!$J$17,IF(B1159="Лікар загальної практики - сімейний лікар",Законод!$J$21,IF(B1159="Лікар-терапевт",Законод!$J$25,"х")))</f>
        <v>х</v>
      </c>
      <c r="G1170" s="932" t="s">
        <v>423</v>
      </c>
      <c r="H1170" s="933"/>
      <c r="I1170" s="933"/>
      <c r="J1170" s="933"/>
      <c r="K1170" s="934"/>
      <c r="L1170" s="196">
        <f ca="1">IF($B$1159="Лікар загальної практики - сімейний лікар",IF(L1163&gt;=Законод!$J$22,'01_Доходи'!L1163-('01_Доходи'!L1164+'01_Доходи'!L1165+'01_Доходи'!L1166+'01_Доходи'!L1167+'01_Доходи'!L1168+'01_Доходи'!L1169),0),IF($B$1159="Лікар-педіатр",IF(L1163&gt;=Законод!$J$18,'01_Доходи'!L1163-('01_Доходи'!L1164+'01_Доходи'!L1165+'01_Доходи'!L1166+'01_Доходи'!L1167+'01_Доходи'!L1168+'01_Доходи'!L1169),0),IF($B$1159="Лікар-терапевт",IF('01_Доходи'!L1163&gt;=Законод!$J$26,L1163-Законод!$I$27,0),0)))</f>
        <v>0</v>
      </c>
      <c r="M1170" s="943"/>
      <c r="N1170" s="932" t="s">
        <v>423</v>
      </c>
      <c r="O1170" s="933"/>
      <c r="P1170" s="933"/>
      <c r="Q1170" s="933"/>
      <c r="R1170" s="934"/>
      <c r="S1170" s="196">
        <f ca="1">IF($B$1159="Лікар загальної практики - сімейний лікар",IF(S1163&gt;=Законод!$J$22,'01_Доходи'!S1163-('01_Доходи'!S1164+'01_Доходи'!S1165+'01_Доходи'!S1166+'01_Доходи'!S1167+'01_Доходи'!S1168+'01_Доходи'!S1169),0),IF($B$1159="Лікар-педіатр",IF(S1163&gt;=Законод!$J$18,'01_Доходи'!S1163-('01_Доходи'!S1164+'01_Доходи'!S1165+'01_Доходи'!S1166+'01_Доходи'!S1167+'01_Доходи'!S1168+'01_Доходи'!S1169),0),IF($B$1159="Лікар-терапевт",IF('01_Доходи'!S1163&gt;=Законод!$J$26,S1163-Законод!$I$27,0),0)))</f>
        <v>0</v>
      </c>
      <c r="T1170" s="943"/>
      <c r="U1170" s="932" t="s">
        <v>423</v>
      </c>
      <c r="V1170" s="933"/>
      <c r="W1170" s="933"/>
      <c r="X1170" s="933"/>
      <c r="Y1170" s="934"/>
      <c r="Z1170" s="196">
        <f ca="1">IF($B$1159="Лікар загальної практики - сімейний лікар",IF(Z1163&gt;=Законод!$J$22,'01_Доходи'!Z1163-('01_Доходи'!Z1164+'01_Доходи'!Z1165+'01_Доходи'!Z1166+'01_Доходи'!Z1167+'01_Доходи'!Z1168+'01_Доходи'!Z1169),0),IF($B$1159="Лікар-педіатр",IF(Z1163&gt;=Законод!$J$18,'01_Доходи'!Z1163-('01_Доходи'!Z1164+'01_Доходи'!Z1165+'01_Доходи'!Z1166+'01_Доходи'!Z1167+'01_Доходи'!Z1168+'01_Доходи'!Z1169),0),IF($B$1159="Лікар-терапевт",IF('01_Доходи'!Z1163&gt;=Законод!$J$26,Z1163-Законод!$I$27,0),0)))</f>
        <v>0</v>
      </c>
      <c r="AA1170" s="943"/>
      <c r="AB1170" s="932" t="s">
        <v>423</v>
      </c>
      <c r="AC1170" s="933"/>
      <c r="AD1170" s="933"/>
      <c r="AE1170" s="933"/>
      <c r="AF1170" s="934"/>
      <c r="AG1170" s="196">
        <f ca="1">IF($B$1159="Лікар загальної практики - сімейний лікар",IF(AG1163&gt;=Законод!$J$22,'01_Доходи'!AG1163-('01_Доходи'!AG1164+'01_Доходи'!AG1165+'01_Доходи'!AG1166+'01_Доходи'!AG1167+'01_Доходи'!AG1168+'01_Доходи'!AG1169),0),IF($B$1159="Лікар-педіатр",IF(AG1163&gt;=Законод!$J$18,'01_Доходи'!AG1163-('01_Доходи'!AG1164+'01_Доходи'!AG1165+'01_Доходи'!AG1166+'01_Доходи'!AG1167+'01_Доходи'!AG1168+'01_Доходи'!AG1169),0),IF($B$1159="Лікар-терапевт",IF('01_Доходи'!AG1163&gt;=Законод!$J$26,AG1163-Законод!$I$27,0),0)))</f>
        <v>0</v>
      </c>
      <c r="AH1170" s="943"/>
      <c r="AI1170" s="215"/>
      <c r="AJ1170" s="946"/>
      <c r="AK1170" s="961"/>
      <c r="AL1170" s="961"/>
      <c r="AM1170" s="928"/>
      <c r="AN1170" s="216">
        <f ca="1">IF(B1159="Лікар загальної практики - сімейний лікар",L1170*Законод!$C$9/4*Законод!$J$16,IF(B1159="Лікар-педіатр",L1170*Законод!$C$9/4*Законод!$J$16,IF(B1159="Лікар-терапевт",L1170*Законод!$C$9/4*Законод!$J$16,0)))</f>
        <v>0</v>
      </c>
      <c r="AO1170" s="216">
        <f ca="1">IF(B1159="Лікар загальної практики - сімейний лікар",S1170*Законод!$C$9/4*Законод!$J$16,IF(B1159="Лікар-педіатр",S1170*Законод!$C$9/4*Законод!$J$16,IF(B1159="Лікар-терапевт",S1170*Законод!$C$9/4*Законод!$J$16,0)))</f>
        <v>0</v>
      </c>
      <c r="AP1170" s="216">
        <f ca="1">IF(B1159="Лікар загальної практики - сімейний лікар",S1170*Законод!$C$9/4*Законод!$J$16,IF(B1159="Лікар-педіатр",S1170*Законод!$C$9/4*Законод!$J$16,IF(B1159="Лікар-терапевт",S1170*Законод!$C$9/4*Законод!$J$16,0)))</f>
        <v>0</v>
      </c>
      <c r="AQ1170" s="216">
        <f ca="1">IF(B1159="Лікар загальної практики - сімейний лікар",AG1170*Законод!$C$9/4*Законод!$J$16,IF(B1159="Лікар-педіатр",AG1170*Законод!$C$9/4*Законод!$J$16,IF(B1159="Лікар-терапевт",AG1170*Законод!$C$9/4*Законод!$J$16,0)))</f>
        <v>0</v>
      </c>
      <c r="AR1170" s="217">
        <f t="shared" si="129"/>
        <v>0</v>
      </c>
    </row>
    <row r="1171" spans="1:44" s="247" customFormat="1" ht="23.45" hidden="1" customHeight="1" thickBot="1">
      <c r="A1171" s="243"/>
      <c r="B1171" s="244"/>
      <c r="C1171" s="244"/>
      <c r="D1171" s="244"/>
      <c r="E1171" s="244"/>
      <c r="F1171" s="245"/>
      <c r="G1171" s="246"/>
      <c r="H1171" s="246"/>
      <c r="L1171" s="248"/>
      <c r="S1171" s="248"/>
      <c r="Z1171" s="248"/>
      <c r="AG1171" s="248"/>
      <c r="AM1171" s="249"/>
      <c r="AR1171" s="250"/>
    </row>
    <row r="1172" spans="1:44" s="191" customFormat="1" ht="24.6" hidden="1" customHeight="1">
      <c r="A1172" s="194">
        <f>A1159+1</f>
        <v>88</v>
      </c>
      <c r="B1172" s="950"/>
      <c r="C1172" s="953"/>
      <c r="D1172" s="956"/>
      <c r="E1172" s="938"/>
      <c r="F1172" s="234" t="s">
        <v>659</v>
      </c>
      <c r="G1172" s="196">
        <f>IF($B$1172="Лікар-педіатр",G1175*L1172,IF($B$1172="Лікар-терапевт","х",IF($B$1172="Лікар загальної практики - сімейний лікар",G1175*L1172,0)))</f>
        <v>0</v>
      </c>
      <c r="H1172" s="196">
        <f>IF($B$1172="Лікар-педіатр",H1175*L1172,IF($B$1172="Лікар-терапевт","х",IF($B$1172="Лікар загальної практики - сімейний лікар",H1175*L1172,0)))</f>
        <v>0</v>
      </c>
      <c r="I1172" s="196">
        <f>IF($B$1172="Лікар-педіатр","x",IF($B$1172="Лікар-терапевт",I1175*L1172,IF($B$1172="Лікар загальної практики - сімейний лікар",I1175*L1172,0)))</f>
        <v>0</v>
      </c>
      <c r="J1172" s="196">
        <f>IF($B$1172="Лікар-педіатр","x",IF($B$1172="Лікар-терапевт",J1175*L1172,IF($B$1172="Лікар загальної практики - сімейний лікар",J1175*L1172,0)))</f>
        <v>0</v>
      </c>
      <c r="K1172" s="196">
        <f>IF($B$1172="Лікар-педіатр","x",IF($B$1172="Лікар-терапевт",K1175*L1172,IF($B$1172="Лікар загальної практики - сімейний лікар",K1175*L1172,0)))</f>
        <v>0</v>
      </c>
      <c r="L1172" s="557"/>
      <c r="M1172" s="941"/>
      <c r="N1172" s="196">
        <f>IF($B$1172="Лікар-педіатр",N1175*S1172,IF($B$1172="Лікар-терапевт","х",IF($B$1172="Лікар загальної практики - сімейний лікар",N1175*S1172,0)))</f>
        <v>0</v>
      </c>
      <c r="O1172" s="196">
        <f>IF($B$1172="Лікар-педіатр",O1175*S1172,IF($B$1172="Лікар-терапевт","х",IF($B$1172="Лікар загальної практики - сімейний лікар",O1175*S1172,0)))</f>
        <v>0</v>
      </c>
      <c r="P1172" s="196">
        <f>IF($B$1172="Лікар-педіатр","x",IF($B$1172="Лікар-терапевт",P1175*S1172,IF($B$1172="Лікар загальної практики - сімейний лікар",P1175*S1172,0)))</f>
        <v>0</v>
      </c>
      <c r="Q1172" s="196">
        <f>IF($B$1172="Лікар-педіатр","x",IF($B$1172="Лікар-терапевт",Q1175*S1172,IF($B$1172="Лікар загальної практики - сімейний лікар",Q1175*S1172,0)))</f>
        <v>0</v>
      </c>
      <c r="R1172" s="196">
        <f>IF($B$1172="Лікар-педіатр","x",IF($B$1172="Лікар-терапевт",R1175*S1172,IF($B$1172="Лікар загальної практики - сімейний лікар",R1175*S1172,0)))</f>
        <v>0</v>
      </c>
      <c r="S1172" s="557"/>
      <c r="T1172" s="941"/>
      <c r="U1172" s="196">
        <f>IF($B$1172="Лікар-педіатр",U1175*Z1172,IF($B$1172="Лікар-терапевт","х",IF($B$1172="Лікар загальної практики - сімейний лікар",U1175*Z1172,0)))</f>
        <v>0</v>
      </c>
      <c r="V1172" s="196">
        <f>IF($B$1172="Лікар-педіатр",V1175*Z1172,IF($B$1172="Лікар-терапевт","х",IF($B$1172="Лікар загальної практики - сімейний лікар",V1175*Z1172,0)))</f>
        <v>0</v>
      </c>
      <c r="W1172" s="196">
        <f>IF($B$1172="Лікар-педіатр","x",IF($B$1172="Лікар-терапевт",W1175*Z1172,IF($B$1172="Лікар загальної практики - сімейний лікар",W1175*Z1172,0)))</f>
        <v>0</v>
      </c>
      <c r="X1172" s="196">
        <f>IF($B$1172="Лікар-педіатр","x",IF($B$1172="Лікар-терапевт",X1175*Z1172,IF($B$1172="Лікар загальної практики - сімейний лікар",X1175*Z1172,0)))</f>
        <v>0</v>
      </c>
      <c r="Y1172" s="196">
        <f>IF($B$1172="Лікар-педіатр","x",IF($B$1172="Лікар-терапевт",Y1175*Z1172,IF($B$1172="Лікар загальної практики - сімейний лікар",Y1175*Z1172,0)))</f>
        <v>0</v>
      </c>
      <c r="Z1172" s="557"/>
      <c r="AA1172" s="941"/>
      <c r="AB1172" s="196">
        <f>IF($B$1172="Лікар-педіатр",AB1175*AG1172,IF($B$1172="Лікар-терапевт","х",IF($B$1172="Лікар загальної практики - сімейний лікар",AB1175*AG1172,0)))</f>
        <v>0</v>
      </c>
      <c r="AC1172" s="196">
        <f>IF($B$1172="Лікар-педіатр",AC1175*AG1172,IF($B$1172="Лікар-терапевт","х",IF($B$1172="Лікар загальної практики - сімейний лікар",AC1175*AG1172,0)))</f>
        <v>0</v>
      </c>
      <c r="AD1172" s="196">
        <f>IF($B$1172="Лікар-педіатр","x",IF($B$1172="Лікар-терапевт",AD1175*AG1172,IF($B$1172="Лікар загальної практики - сімейний лікар",AD1175*AG1172,0)))</f>
        <v>0</v>
      </c>
      <c r="AE1172" s="196">
        <f>IF($B$1172="Лікар-педіатр","x",IF($B$1172="Лікар-терапевт",AE1175*AG1172,IF($B$1172="Лікар загальної практики - сімейний лікар",AE1175*AG1172,0)))</f>
        <v>0</v>
      </c>
      <c r="AF1172" s="196">
        <f>IF($B$1172="Лікар-педіатр","x",IF($B$1172="Лікар-терапевт",AF1175*AG1172,IF($B$1172="Лікар загальної практики - сімейний лікар",AF1175*AG1172,0)))</f>
        <v>0</v>
      </c>
      <c r="AG1172" s="557"/>
      <c r="AH1172" s="941"/>
      <c r="AI1172" s="540">
        <f>A1172</f>
        <v>88</v>
      </c>
      <c r="AJ1172" s="944">
        <f>B1172</f>
        <v>0</v>
      </c>
      <c r="AK1172" s="959">
        <f>C1172</f>
        <v>0</v>
      </c>
      <c r="AL1172" s="959">
        <f>D1172</f>
        <v>0</v>
      </c>
      <c r="AM1172" s="929" t="s">
        <v>79</v>
      </c>
      <c r="AN1172" s="947">
        <f>SUM(AN1177:AN1183)</f>
        <v>0</v>
      </c>
      <c r="AO1172" s="947">
        <f>SUM(AO1177:AO1183)</f>
        <v>0</v>
      </c>
      <c r="AP1172" s="947">
        <f>SUM(AP1177:AP1183)</f>
        <v>0</v>
      </c>
      <c r="AQ1172" s="947">
        <f>SUM(AQ1177:AQ1183)</f>
        <v>0</v>
      </c>
      <c r="AR1172" s="962">
        <f>SUM(AN1172:AQ1176)</f>
        <v>0</v>
      </c>
    </row>
    <row r="1173" spans="1:44" s="50" customFormat="1" ht="28.15" hidden="1" customHeight="1">
      <c r="A1173" s="197"/>
      <c r="B1173" s="951"/>
      <c r="C1173" s="954"/>
      <c r="D1173" s="957"/>
      <c r="E1173" s="939"/>
      <c r="F1173" s="234" t="s">
        <v>660</v>
      </c>
      <c r="G1173" s="196">
        <f>IF($B$1172="Лікар-педіатр",G1175*L1173,IF($B$1172="Лікар-терапевт","х",IF($B$1172="Лікар загальної практики - сімейний лікар",G1175*L1173,0)))</f>
        <v>0</v>
      </c>
      <c r="H1173" s="196">
        <f>IF($B$1172="Лікар-педіатр",H1175*L1173,IF($B$1172="Лікар-терапевт","х",IF($B$1172="Лікар загальної практики - сімейний лікар",H1175*L1173,0)))</f>
        <v>0</v>
      </c>
      <c r="I1173" s="196">
        <f>IF($B$1172="Лікар-педіатр","x",IF($B$1172="Лікар-терапевт",I1175*L1173,IF($B$1172="Лікар загальної практики - сімейний лікар",I1175*L1173,0)))</f>
        <v>0</v>
      </c>
      <c r="J1173" s="196">
        <f>IF($B$1172="Лікар-педіатр","x",IF($B$1172="Лікар-терапевт",J1175*L1173,IF($B$1172="Лікар загальної практики - сімейний лікар",J1175*L1173,0)))</f>
        <v>0</v>
      </c>
      <c r="K1173" s="196">
        <f>IF($B$1172="Лікар-педіатр","x",IF($B$1172="Лікар-терапевт",K1175*L1173,IF($B$1172="Лікар загальної практики - сімейний лікар",K1175*L1173,0)))</f>
        <v>0</v>
      </c>
      <c r="L1173" s="557"/>
      <c r="M1173" s="942"/>
      <c r="N1173" s="196">
        <f>IF($B$1172="Лікар-педіатр",N1175*S1173,IF($B$1172="Лікар-терапевт","х",IF($B$1172="Лікар загальної практики - сімейний лікар",N1175*S1173,0)))</f>
        <v>0</v>
      </c>
      <c r="O1173" s="196">
        <f>IF($B$1172="Лікар-педіатр",O1175*S1173,IF($B$1172="Лікар-терапевт","х",IF($B$1172="Лікар загальної практики - сімейний лікар",O1175*S1173,0)))</f>
        <v>0</v>
      </c>
      <c r="P1173" s="196">
        <f>IF($B$1172="Лікар-педіатр","x",IF($B$1172="Лікар-терапевт",P1175*S1173,IF($B$1172="Лікар загальної практики - сімейний лікар",P1175*S1173,0)))</f>
        <v>0</v>
      </c>
      <c r="Q1173" s="196">
        <f>IF($B$1172="Лікар-педіатр","x",IF($B$1172="Лікар-терапевт",Q1175*S1173,IF($B$1172="Лікар загальної практики - сімейний лікар",Q1175*S1173,0)))</f>
        <v>0</v>
      </c>
      <c r="R1173" s="196">
        <f>IF($B$1172="Лікар-педіатр","x",IF($B$1172="Лікар-терапевт",R1175*S1173,IF($B$1172="Лікар загальної практики - сімейний лікар",R1175*S1173,0)))</f>
        <v>0</v>
      </c>
      <c r="S1173" s="557"/>
      <c r="T1173" s="942"/>
      <c r="U1173" s="196">
        <f>IF($B$1172="Лікар-педіатр",U1175*Z1173,IF($B$1172="Лікар-терапевт","х",IF($B$1172="Лікар загальної практики - сімейний лікар",U1175*Z1173,0)))</f>
        <v>0</v>
      </c>
      <c r="V1173" s="196">
        <f>IF($B$1172="Лікар-педіатр",V1175*Z1173,IF($B$1172="Лікар-терапевт","х",IF($B$1172="Лікар загальної практики - сімейний лікар",V1175*Z1173,0)))</f>
        <v>0</v>
      </c>
      <c r="W1173" s="196">
        <f>IF($B$1172="Лікар-педіатр","x",IF($B$1172="Лікар-терапевт",W1175*Z1173,IF($B$1172="Лікар загальної практики - сімейний лікар",W1175*Z1173,0)))</f>
        <v>0</v>
      </c>
      <c r="X1173" s="196">
        <f>IF($B$1172="Лікар-педіатр","x",IF($B$1172="Лікар-терапевт",X1175*Z1173,IF($B$1172="Лікар загальної практики - сімейний лікар",X1175*Z1173,0)))</f>
        <v>0</v>
      </c>
      <c r="Y1173" s="196">
        <f>IF($B$1172="Лікар-педіатр","x",IF($B$1172="Лікар-терапевт",Y1175*Z1173,IF($B$1172="Лікар загальної практики - сімейний лікар",Y1175*Z1173,0)))</f>
        <v>0</v>
      </c>
      <c r="Z1173" s="557"/>
      <c r="AA1173" s="942"/>
      <c r="AB1173" s="196">
        <f>IF($B$1172="Лікар-педіатр",AB1175*AG1173,IF($B$1172="Лікар-терапевт","х",IF($B$1172="Лікар загальної практики - сімейний лікар",AB1175*AG1173,0)))</f>
        <v>0</v>
      </c>
      <c r="AC1173" s="196">
        <f>IF($B$1172="Лікар-педіатр",AC1175*AG1173,IF($B$1172="Лікар-терапевт","х",IF($B$1172="Лікар загальної практики - сімейний лікар",AC1175*AG1173,0)))</f>
        <v>0</v>
      </c>
      <c r="AD1173" s="196">
        <f>IF($B$1172="Лікар-педіатр","x",IF($B$1172="Лікар-терапевт",AD1175*AG1173,IF($B$1172="Лікар загальної практики - сімейний лікар",AD1175*AG1173,0)))</f>
        <v>0</v>
      </c>
      <c r="AE1173" s="196">
        <f>IF($B$1172="Лікар-педіатр","x",IF($B$1172="Лікар-терапевт",AE1175*AG1173,IF($B$1172="Лікар загальної практики - сімейний лікар",AE1175*AG1173,0)))</f>
        <v>0</v>
      </c>
      <c r="AF1173" s="196">
        <f>IF($B$1172="Лікар-педіатр","x",IF($B$1172="Лікар-терапевт",AF1175*AG1173,IF($B$1172="Лікар загальної практики - сімейний лікар",AF1175*AG1173,0)))</f>
        <v>0</v>
      </c>
      <c r="AG1173" s="557"/>
      <c r="AH1173" s="942"/>
      <c r="AI1173" s="198"/>
      <c r="AJ1173" s="945"/>
      <c r="AK1173" s="960"/>
      <c r="AL1173" s="960"/>
      <c r="AM1173" s="930"/>
      <c r="AN1173" s="948"/>
      <c r="AO1173" s="948"/>
      <c r="AP1173" s="948"/>
      <c r="AQ1173" s="948"/>
      <c r="AR1173" s="963"/>
    </row>
    <row r="1174" spans="1:44" s="90" customFormat="1" ht="31.15" hidden="1" customHeight="1">
      <c r="A1174" s="240"/>
      <c r="B1174" s="951"/>
      <c r="C1174" s="954"/>
      <c r="D1174" s="957"/>
      <c r="E1174" s="939"/>
      <c r="F1174" s="241" t="s">
        <v>661</v>
      </c>
      <c r="G1174" s="199">
        <f>IF(B1172="Лікар загальної практики - сімейний лікар"," ",IF(B1172="Лікар-педіатр"," ",IF(B1172="Лікар-терапевт","х",0)))</f>
        <v>0</v>
      </c>
      <c r="H1174" s="199">
        <f>IF(B1172="Лікар загальної практики - сімейний лікар"," ",IF(B1172="Лікар-педіатр"," ",IF(B1172="Лікар-терапевт","х",0)))</f>
        <v>0</v>
      </c>
      <c r="I1174" s="199">
        <f>IF(B1172="Лікар загальної практики - сімейний лікар"," ",IF(B1172="Лікар-педіатр","х",IF(B1172="Лікар-терапевт"," ",0)))</f>
        <v>0</v>
      </c>
      <c r="J1174" s="199">
        <f>IF(B1172="Лікар загальної практики - сімейний лікар"," ",IF(B1172="Лікар-педіатр","х",IF(B1172="Лікар-терапевт"," ",0)))</f>
        <v>0</v>
      </c>
      <c r="K1174" s="199">
        <f>IF(B1172="Лікар загальної практики - сімейний лікар"," ",IF(B1172="Лікар-педіатр","х",IF(B1172="Лікар-терапевт"," ",0)))</f>
        <v>0</v>
      </c>
      <c r="L1174" s="200">
        <f>SUM(G1174:K1174)</f>
        <v>0</v>
      </c>
      <c r="M1174" s="942"/>
      <c r="N1174" s="199">
        <f>IF(B1172="Лікар загальної практики - сімейний лікар"," ",IF(B1172="Лікар-педіатр"," ",IF(B1172="Лікар-терапевт","х",0)))</f>
        <v>0</v>
      </c>
      <c r="O1174" s="199">
        <f>IF(B1172="Лікар загальної практики - сімейний лікар"," ",IF(B1172="Лікар-педіатр"," ",IF(B1172="Лікар-терапевт","х",0)))</f>
        <v>0</v>
      </c>
      <c r="P1174" s="199">
        <f>IF(B1172="Лікар загальної практики - сімейний лікар"," ",IF(B1172="Лікар-педіатр","х",IF(B1172="Лікар-терапевт"," ",0)))</f>
        <v>0</v>
      </c>
      <c r="Q1174" s="199">
        <f>IF(B1172="Лікар загальної практики - сімейний лікар"," ",IF(B1172="Лікар-педіатр","х",IF(B1172="Лікар-терапевт"," ",0)))</f>
        <v>0</v>
      </c>
      <c r="R1174" s="199">
        <f>IF(B1172="Лікар загальної практики - сімейний лікар"," ",IF(B1172="Лікар-педіатр","х",IF(B1172="Лікар-терапевт"," ",0)))</f>
        <v>0</v>
      </c>
      <c r="S1174" s="200">
        <f>SUM(N1174:R1174)</f>
        <v>0</v>
      </c>
      <c r="T1174" s="942"/>
      <c r="U1174" s="199">
        <f>IF(B1172="Лікар загальної практики - сімейний лікар"," ",IF(B1172="Лікар-педіатр"," ",IF(B1172="Лікар-терапевт","х",0)))</f>
        <v>0</v>
      </c>
      <c r="V1174" s="199">
        <f>IF(B1172="Лікар загальної практики - сімейний лікар"," ",IF(B1172="Лікар-педіатр"," ",IF(B1172="Лікар-терапевт","х",0)))</f>
        <v>0</v>
      </c>
      <c r="W1174" s="199">
        <f>IF(B1172="Лікар загальної практики - сімейний лікар"," ",IF(B1172="Лікар-педіатр","х",IF(B1172="Лікар-терапевт"," ",0)))</f>
        <v>0</v>
      </c>
      <c r="X1174" s="199">
        <f>IF(B1172="Лікар загальної практики - сімейний лікар"," ",IF(B1172="Лікар-педіатр","х",IF(B1172="Лікар-терапевт"," ",0)))</f>
        <v>0</v>
      </c>
      <c r="Y1174" s="199">
        <f>IF(B1172="Лікар загальної практики - сімейний лікар"," ",IF(B1172="Лікар-педіатр","х",IF(B1172="Лікар-терапевт"," ",0)))</f>
        <v>0</v>
      </c>
      <c r="Z1174" s="200">
        <f>SUM(U1174:Y1174)</f>
        <v>0</v>
      </c>
      <c r="AA1174" s="942"/>
      <c r="AB1174" s="199">
        <f>IF(B1172="Лікар загальної практики - сімейний лікар"," ",IF(B1172="Лікар-педіатр"," ",IF(B1172="Лікар-терапевт","х",0)))</f>
        <v>0</v>
      </c>
      <c r="AC1174" s="199">
        <f>IF(B1172="Лікар загальної практики - сімейний лікар"," ",IF(B1172="Лікар-педіатр"," ",IF(B1172="Лікар-терапевт","х",0)))</f>
        <v>0</v>
      </c>
      <c r="AD1174" s="199">
        <f>IF(B1172="Лікар загальної практики - сімейний лікар"," ",IF(B1172="Лікар-педіатр","х",IF(B1172="Лікар-терапевт"," ",0)))</f>
        <v>0</v>
      </c>
      <c r="AE1174" s="199">
        <f>IF(B1172="Лікар загальної практики - сімейний лікар"," ",IF(B1172="Лікар-педіатр","х",IF(B1172="Лікар-терапевт"," ",0)))</f>
        <v>0</v>
      </c>
      <c r="AF1174" s="199">
        <f>IF(B1172="Лікар загальної практики - сімейний лікар"," ",IF(B1172="Лікар-педіатр","х",IF(B1172="Лікар-терапевт"," ",0)))</f>
        <v>0</v>
      </c>
      <c r="AG1174" s="200">
        <f>SUM(AB1174:AF1174)</f>
        <v>0</v>
      </c>
      <c r="AH1174" s="942"/>
      <c r="AI1174" s="242"/>
      <c r="AJ1174" s="945"/>
      <c r="AK1174" s="960"/>
      <c r="AL1174" s="960"/>
      <c r="AM1174" s="930"/>
      <c r="AN1174" s="948"/>
      <c r="AO1174" s="948"/>
      <c r="AP1174" s="948"/>
      <c r="AQ1174" s="948"/>
      <c r="AR1174" s="963"/>
    </row>
    <row r="1175" spans="1:44" s="50" customFormat="1" ht="31.9" hidden="1" customHeight="1" thickBot="1">
      <c r="A1175" s="197"/>
      <c r="B1175" s="951"/>
      <c r="C1175" s="954"/>
      <c r="D1175" s="957"/>
      <c r="E1175" s="939"/>
      <c r="F1175" s="236" t="s">
        <v>426</v>
      </c>
      <c r="G1175" s="203">
        <f>IF($B$1172="Лікар-педіатр",G1174/L1174,IF($B$1172="Лікар-терапевт","х",IF($B$1172="Лікар загальної практики - сімейний лікар",G1174/L1174,0)))</f>
        <v>0</v>
      </c>
      <c r="H1175" s="203">
        <f>IF($B$1172="Лікар-педіатр",H1174/L1174,IF($B$1172="Лікар-терапевт","х",IF($B$1172="Лікар загальної практики - сімейний лікар",H1174/L1174,0)))</f>
        <v>0</v>
      </c>
      <c r="I1175" s="203">
        <f>IF($B$1172="Лікар-педіатр","x",IF($B$1172="Лікар-терапевт",I1174/L1174,IF($B$1172="Лікар загальної практики - сімейний лікар",I1174/L1174,0)))</f>
        <v>0</v>
      </c>
      <c r="J1175" s="203">
        <f>IF($B$1172="Лікар-педіатр","x",IF($B$1172="Лікар-терапевт",J1174/L1174,IF($B$1172="Лікар загальної практики - сімейний лікар",J1174/L1174,0)))</f>
        <v>0</v>
      </c>
      <c r="K1175" s="203">
        <f>IF($B$1172="Лікар-педіатр","x",IF($B$1172="Лікар-терапевт",K1174/L1174,IF($B$1172="Лікар загальної практики - сімейний лікар",K1174/L1174,0)))</f>
        <v>0</v>
      </c>
      <c r="L1175" s="203">
        <f>SUM(G1175:K1175)</f>
        <v>0</v>
      </c>
      <c r="M1175" s="942"/>
      <c r="N1175" s="203">
        <f>IF($B$1172="Лікар-педіатр",N1174/S1174,IF($B$1172="Лікар-терапевт","х",IF($B$1172="Лікар загальної практики - сімейний лікар",N1174/S1174,0)))</f>
        <v>0</v>
      </c>
      <c r="O1175" s="203">
        <f>IF($B$1172="Лікар-педіатр",O1174/S1174,IF($B$1172="Лікар-терапевт","х",IF($B$1172="Лікар загальної практики - сімейний лікар",O1174/S1174,0)))</f>
        <v>0</v>
      </c>
      <c r="P1175" s="203">
        <f>IF($B$1172="Лікар-педіатр","x",IF($B$1172="Лікар-терапевт",P1174/S1174,IF($B$1172="Лікар загальної практики - сімейний лікар",P1174/S1174,0)))</f>
        <v>0</v>
      </c>
      <c r="Q1175" s="203">
        <f>IF($B$1172="Лікар-педіатр","x",IF($B$1172="Лікар-терапевт",Q1174/S1174,IF($B$1172="Лікар загальної практики - сімейний лікар",Q1174/S1174,0)))</f>
        <v>0</v>
      </c>
      <c r="R1175" s="203">
        <f>IF($B$1172="Лікар-педіатр","x",IF($B$1172="Лікар-терапевт",R1174/S1174,IF($B$1172="Лікар загальної практики - сімейний лікар",R1174/S1174,0)))</f>
        <v>0</v>
      </c>
      <c r="S1175" s="203">
        <f>SUM(N1175:R1175)</f>
        <v>0</v>
      </c>
      <c r="T1175" s="942"/>
      <c r="U1175" s="203">
        <f>IF($B$1172="Лікар-педіатр",U1174/Z1174,IF($B$1172="Лікар-терапевт","х",IF($B$1172="Лікар загальної практики - сімейний лікар",U1174/Z1174,0)))</f>
        <v>0</v>
      </c>
      <c r="V1175" s="203">
        <f>IF($B$1172="Лікар-педіатр",V1174/Z1174,IF($B$1172="Лікар-терапевт","х",IF($B$1172="Лікар загальної практики - сімейний лікар",V1174/Z1174,0)))</f>
        <v>0</v>
      </c>
      <c r="W1175" s="203">
        <f>IF($B$1172="Лікар-педіатр","x",IF($B$1172="Лікар-терапевт",W1174/Z1174,IF($B$1172="Лікар загальної практики - сімейний лікар",W1174/Z1174,0)))</f>
        <v>0</v>
      </c>
      <c r="X1175" s="203">
        <f>IF($B$1172="Лікар-педіатр","x",IF($B$1172="Лікар-терапевт",X1174/Z1174,IF($B$1172="Лікар загальної практики - сімейний лікар",X1174/Z1174,0)))</f>
        <v>0</v>
      </c>
      <c r="Y1175" s="203">
        <f>IF($B$1172="Лікар-педіатр","x",IF($B$1172="Лікар-терапевт",Y1174/Z1174,IF($B$1172="Лікар загальної практики - сімейний лікар",Y1174/Z1174,0)))</f>
        <v>0</v>
      </c>
      <c r="Z1175" s="203">
        <f>SUM(U1175:Y1175)</f>
        <v>0</v>
      </c>
      <c r="AA1175" s="942"/>
      <c r="AB1175" s="203">
        <f>IF($B$1172="Лікар-педіатр",AB1174/AG1174,IF($B$1172="Лікар-терапевт","х",IF($B$1172="Лікар загальної практики - сімейний лікар",AB1174/AG1174,0)))</f>
        <v>0</v>
      </c>
      <c r="AC1175" s="203">
        <f>IF($B$1172="Лікар-педіатр",AC1174/AG1174,IF($B$1172="Лікар-терапевт","х",IF($B$1172="Лікар загальної практики - сімейний лікар",AC1174/AG1174,0)))</f>
        <v>0</v>
      </c>
      <c r="AD1175" s="203">
        <f>IF($B$1172="Лікар-педіатр","x",IF($B$1172="Лікар-терапевт",AD1174/AG1174,IF($B$1172="Лікар загальної практики - сімейний лікар",AD1174/AG1174,0)))</f>
        <v>0</v>
      </c>
      <c r="AE1175" s="203">
        <f>IF($B$1172="Лікар-педіатр","x",IF($B$1172="Лікар-терапевт",AE1174/AG1174,IF($B$1172="Лікар загальної практики - сімейний лікар",AE1174/AG1174,0)))</f>
        <v>0</v>
      </c>
      <c r="AF1175" s="203">
        <f>IF($B$1172="Лікар-педіатр","x",IF($B$1172="Лікар-терапевт",AF1174/AG1174,IF($B$1172="Лікар загальної практики - сімейний лікар",AF1174/AG1174,0)))</f>
        <v>0</v>
      </c>
      <c r="AG1175" s="203">
        <f>SUM(AB1175:AF1175)</f>
        <v>0</v>
      </c>
      <c r="AH1175" s="942"/>
      <c r="AI1175" s="201"/>
      <c r="AJ1175" s="945"/>
      <c r="AK1175" s="960"/>
      <c r="AL1175" s="960"/>
      <c r="AM1175" s="930"/>
      <c r="AN1175" s="948"/>
      <c r="AO1175" s="948"/>
      <c r="AP1175" s="948"/>
      <c r="AQ1175" s="948"/>
      <c r="AR1175" s="963"/>
    </row>
    <row r="1176" spans="1:44" s="50" customFormat="1" ht="45" hidden="1" customHeight="1" thickBot="1">
      <c r="A1176" s="197"/>
      <c r="B1176" s="951"/>
      <c r="C1176" s="954"/>
      <c r="D1176" s="957"/>
      <c r="E1176" s="939"/>
      <c r="F1176" s="204" t="s">
        <v>662</v>
      </c>
      <c r="G1176" s="205">
        <f>IF($B$1172="Лікар загальної практики - сімейний лікар",AVERAGE(G1172:G1174),IF($B$1172="Лікар-педіатр",AVERAGE(G1172:G1174),IF($B$1172="Лікар-терапевт","х",0)))</f>
        <v>0</v>
      </c>
      <c r="H1176" s="205">
        <f>IF($B$1172="Лікар загальної практики - сімейний лікар",AVERAGE(H1172:H1174),IF($B$1172="Лікар-педіатр",AVERAGE(H1172:H1174),IF($B$1172="Лікар-терапевт","х",0)))</f>
        <v>0</v>
      </c>
      <c r="I1176" s="205">
        <f>IF($B$1172="Лікар загальної практики - сімейний лікар",AVERAGE(I1172:I1174),IF($B$1172="Лікар-педіатр","x",IF($B$1172="Лікар-терапевт",AVERAGE(I1172:I1174),0)))</f>
        <v>0</v>
      </c>
      <c r="J1176" s="205">
        <f>IF($B$1172="Лікар загальної практики - сімейний лікар",AVERAGE(J1172:J1174),IF($B$1172="Лікар-педіатр","x",IF($B$1172="Лікар-терапевт",AVERAGE(J1172:J1174),0)))</f>
        <v>0</v>
      </c>
      <c r="K1176" s="205">
        <f>IF($B$1172="Лікар загальної практики - сімейний лікар",AVERAGE(K1172:K1174),IF($B$1172="Лікар-педіатр","x",IF($B$1172="Лікар-терапевт",AVERAGE(K1172:K1174),0)))</f>
        <v>0</v>
      </c>
      <c r="L1176" s="206">
        <f>SUM(G1176:K1176)</f>
        <v>0</v>
      </c>
      <c r="M1176" s="942"/>
      <c r="N1176" s="205">
        <f>IF($B$1172="Лікар загальної практики - сімейний лікар",AVERAGE(N1172:N1174),IF($B$1172="Лікар-педіатр",AVERAGE(N1172:N1174),IF($B$1172="Лікар-терапевт","х",0)))</f>
        <v>0</v>
      </c>
      <c r="O1176" s="205">
        <f>IF($B$1172="Лікар загальної практики - сімейний лікар",AVERAGE(O1172:O1174),IF($B$1172="Лікар-педіатр",AVERAGE(O1172:O1174),IF($B$1172="Лікар-терапевт","х",0)))</f>
        <v>0</v>
      </c>
      <c r="P1176" s="205">
        <f>IF($B$1172="Лікар загальної практики - сімейний лікар",AVERAGE(P1172:P1174),IF($B$1172="Лікар-педіатр","x",IF($B$1172="Лікар-терапевт",AVERAGE(P1172:P1174),0)))</f>
        <v>0</v>
      </c>
      <c r="Q1176" s="205">
        <f>IF($B$1172="Лікар загальної практики - сімейний лікар",AVERAGE(Q1172:Q1174),IF($B$1172="Лікар-педіатр","x",IF($B$1172="Лікар-терапевт",AVERAGE(Q1172:Q1174),0)))</f>
        <v>0</v>
      </c>
      <c r="R1176" s="205">
        <f>IF($B$1172="Лікар загальної практики - сімейний лікар",AVERAGE(R1172:R1174),IF($B$1172="Лікар-педіатр","x",IF($B$1172="Лікар-терапевт",AVERAGE(R1172:R1174),0)))</f>
        <v>0</v>
      </c>
      <c r="S1176" s="206">
        <f>SUM(N1176:R1176)</f>
        <v>0</v>
      </c>
      <c r="T1176" s="942"/>
      <c r="U1176" s="205">
        <f>IF($B$1172="Лікар загальної практики - сімейний лікар",AVERAGE(U1172:U1174),IF($B$1172="Лікар-педіатр",AVERAGE(U1172:U1174),IF($B$1172="Лікар-терапевт","х",0)))</f>
        <v>0</v>
      </c>
      <c r="V1176" s="205">
        <f>IF($B$1172="Лікар загальної практики - сімейний лікар",AVERAGE(V1172:V1174),IF($B$1172="Лікар-педіатр",AVERAGE(V1172:V1174),IF($B$1172="Лікар-терапевт","х",0)))</f>
        <v>0</v>
      </c>
      <c r="W1176" s="205">
        <f>IF($B$1172="Лікар загальної практики - сімейний лікар",AVERAGE(W1172:W1174),IF($B$1172="Лікар-педіатр","x",IF($B$1172="Лікар-терапевт",AVERAGE(W1172:W1174),0)))</f>
        <v>0</v>
      </c>
      <c r="X1176" s="205">
        <f>IF($B$1172="Лікар загальної практики - сімейний лікар",AVERAGE(X1172:X1174),IF($B$1172="Лікар-педіатр","x",IF($B$1172="Лікар-терапевт",AVERAGE(X1172:X1174),0)))</f>
        <v>0</v>
      </c>
      <c r="Y1176" s="205">
        <f>IF($B$1172="Лікар загальної практики - сімейний лікар",AVERAGE(Y1172:Y1174),IF($B$1172="Лікар-педіатр","x",IF($B$1172="Лікар-терапевт",AVERAGE(Y1172:Y1174),0)))</f>
        <v>0</v>
      </c>
      <c r="Z1176" s="206">
        <f>SUM(U1176:Y1176)</f>
        <v>0</v>
      </c>
      <c r="AA1176" s="942"/>
      <c r="AB1176" s="205">
        <f>IF($B$1172="Лікар загальної практики - сімейний лікар",AVERAGE(AB1172:AB1174),IF($B$1172="Лікар-педіатр",AVERAGE(AB1172:AB1174),IF($B$1172="Лікар-терапевт","х",0)))</f>
        <v>0</v>
      </c>
      <c r="AC1176" s="205">
        <f>IF($B$1172="Лікар загальної практики - сімейний лікар",AVERAGE(AC1172:AC1174),IF($B$1172="Лікар-педіатр",AVERAGE(AC1172:AC1174),IF($B$1172="Лікар-терапевт","х",0)))</f>
        <v>0</v>
      </c>
      <c r="AD1176" s="205">
        <f>IF($B$1172="Лікар загальної практики - сімейний лікар",AVERAGE(AD1172:AD1174),IF($B$1172="Лікар-педіатр","x",IF($B$1172="Лікар-терапевт",AVERAGE(AD1172:AD1174),0)))</f>
        <v>0</v>
      </c>
      <c r="AE1176" s="205">
        <f>IF($B$1172="Лікар загальної практики - сімейний лікар",AVERAGE(AE1172:AE1174),IF($B$1172="Лікар-педіатр","x",IF($B$1172="Лікар-терапевт",AVERAGE(AE1172:AE1174),0)))</f>
        <v>0</v>
      </c>
      <c r="AF1176" s="205">
        <f>IF($B$1172="Лікар загальної практики - сімейний лікар",AVERAGE(AF1172:AF1174),IF($B$1172="Лікар-педіатр","x",IF($B$1172="Лікар-терапевт",AVERAGE(AF1172:AF1174),0)))</f>
        <v>0</v>
      </c>
      <c r="AG1176" s="206">
        <f>SUM(AB1176:AF1176)</f>
        <v>0</v>
      </c>
      <c r="AH1176" s="942"/>
      <c r="AI1176" s="201"/>
      <c r="AJ1176" s="945"/>
      <c r="AK1176" s="960"/>
      <c r="AL1176" s="960"/>
      <c r="AM1176" s="931"/>
      <c r="AN1176" s="949"/>
      <c r="AO1176" s="949"/>
      <c r="AP1176" s="949"/>
      <c r="AQ1176" s="949"/>
      <c r="AR1176" s="964"/>
    </row>
    <row r="1177" spans="1:44" s="50" customFormat="1" ht="40.5" hidden="1">
      <c r="A1177" s="197"/>
      <c r="B1177" s="951"/>
      <c r="C1177" s="954"/>
      <c r="D1177" s="957"/>
      <c r="E1177" s="939"/>
      <c r="F1177" s="237" t="str">
        <f ca="1">IF(B1172="Лікар-педіатр",Законод!$C$17,IF(B1172="Лікар загальної практики - сімейний лікар",Законод!$C$21,IF(B1172="Лікар-терапевт",Законод!$C$25,"х")))</f>
        <v>х</v>
      </c>
      <c r="G1177" s="208">
        <f ca="1">IF($B$1172="Лікар загальної практики - сімейний лікар",IF(L1176&lt;=Законод!$C$22,G1176,Законод!$C$22*'01_Доходи'!G1175),IF($B$1172="Лікар-педіатр",IF(L1176&lt;=Законод!$C$18,G1176,Законод!$C$18*'01_Доходи'!G1175),IF($B$1172="Лікар-терапевт","x",0)))</f>
        <v>0</v>
      </c>
      <c r="H1177" s="208">
        <f ca="1">IF($B$1172="Лікар загальної практики - сімейний лікар",IF(L1176&lt;=Законод!$C$22,H1176,Законод!$C$22*'01_Доходи'!H1175),IF($B$1172="Лікар-педіатр",IF(L1176&lt;=Законод!$C$18,H1176,Законод!$C$18*'01_Доходи'!H1175),IF($B$1172="Лікар-терапевт","x",0)))</f>
        <v>0</v>
      </c>
      <c r="I1177" s="208">
        <f ca="1">IF($B$1172="Лікар загальної практики - сімейний лікар",IF(L1176&lt;=Законод!$C$22,I1176,Законод!$C$22*'01_Доходи'!I1175),IF($B$1172="Лікар-педіатр","x",IF($B$1172="Лікар-терапевт",IF(L1176&lt;=Законод!$C$26,I1176,Законод!$C$26*'01_Доходи'!I1175),0)))</f>
        <v>0</v>
      </c>
      <c r="J1177" s="208">
        <f ca="1">IF($B$1172="Лікар загальної практики - сімейний лікар",IF(L1176&lt;=Законод!$C$22,J1176,Законод!$C$22*'01_Доходи'!J1175),IF($B$1172="Лікар-педіатр","x",IF($B$1172="Лікар-терапевт",IF(L1176&lt;=Законод!$C$26,J1176,Законод!$C$26*'01_Доходи'!J1175),0)))</f>
        <v>0</v>
      </c>
      <c r="K1177" s="208">
        <f ca="1">IF($B$1172="Лікар загальної практики - сімейний лікар",IF(L1176&lt;=Законод!$C$22,K1176,Законод!$C$22*'01_Доходи'!K1175),IF($B$1172="Лікар-педіатр","x",IF($B$1172="Лікар-терапевт",IF(L1176&lt;=Законод!$C$26,K1176,Законод!$C$26*'01_Доходи'!K1175),0)))</f>
        <v>0</v>
      </c>
      <c r="L1177" s="209">
        <f ca="1">SUM(G1177:K1177)</f>
        <v>0</v>
      </c>
      <c r="M1177" s="942"/>
      <c r="N1177" s="208">
        <f ca="1">IF($B$1172="Лікар загальної практики - сімейний лікар",IF(S1176&lt;=Законод!$C$22,N1176,Законод!$C$22*'01_Доходи'!N1175),IF($B$1172="Лікар-педіатр",IF(S1176&lt;=Законод!$C$18,N1176,Законод!$C$18*'01_Доходи'!N1175),IF($B$1172="Лікар-терапевт","x",0)))</f>
        <v>0</v>
      </c>
      <c r="O1177" s="208">
        <f ca="1">IF($B$1172="Лікар загальної практики - сімейний лікар",IF(S1176&lt;=Законод!$C$22,O1176,Законод!$C$22*'01_Доходи'!O1175),IF($B$1172="Лікар-педіатр",IF(S1176&lt;=Законод!$C$18,O1176,Законод!$C$18*'01_Доходи'!O1175),IF($B$1172="Лікар-терапевт","x",0)))</f>
        <v>0</v>
      </c>
      <c r="P1177" s="208">
        <f ca="1">IF($B$1172="Лікар загальної практики - сімейний лікар",IF(S1176&lt;=Законод!$C$22,P1176,Законод!$C$22*'01_Доходи'!P1175),IF($B$1172="Лікар-педіатр","x",IF($B$1172="Лікар-терапевт",IF(S1176&lt;=Законод!$C$26,P1176,Законод!$C$26*'01_Доходи'!P1175),0)))</f>
        <v>0</v>
      </c>
      <c r="Q1177" s="208">
        <f ca="1">IF($B$1172="Лікар загальної практики - сімейний лікар",IF(S1176&lt;=Законод!$C$22,Q1176,Законод!$C$22*'01_Доходи'!Q1175),IF($B$1172="Лікар-педіатр","x",IF($B$1172="Лікар-терапевт",IF(S1176&lt;=Законод!$C$26,Q1176,Законод!$C$26*'01_Доходи'!Q1175),0)))</f>
        <v>0</v>
      </c>
      <c r="R1177" s="208">
        <f ca="1">IF($B$1172="Лікар загальної практики - сімейний лікар",IF(S1176&lt;=Законод!$C$22,R1176,Законод!$C$22*'01_Доходи'!R1175),IF($B$1172="Лікар-педіатр","x",IF($B$1172="Лікар-терапевт",IF(S1176&lt;=Законод!$C$26,R1176,Законод!$C$26*'01_Доходи'!R1175),0)))</f>
        <v>0</v>
      </c>
      <c r="S1177" s="209">
        <f ca="1">SUM(N1177:R1177)</f>
        <v>0</v>
      </c>
      <c r="T1177" s="942"/>
      <c r="U1177" s="208">
        <f ca="1">IF($B$1172="Лікар загальної практики - сімейний лікар",IF(Z1176&lt;=Законод!$C$22,U1176,Законод!$C$22*'01_Доходи'!U1175),IF($B$1172="Лікар-педіатр",IF(Z1176&lt;=Законод!$C$18,U1176,Законод!$C$18*'01_Доходи'!U1175),IF($B$1172="Лікар-терапевт","x",0)))</f>
        <v>0</v>
      </c>
      <c r="V1177" s="208">
        <f ca="1">IF($B$1172="Лікар загальної практики - сімейний лікар",IF(Z1176&lt;=Законод!$C$22,V1176,Законод!$C$22*'01_Доходи'!V1175),IF($B$1172="Лікар-педіатр",IF(Z1176&lt;=Законод!$C$18,V1176,Законод!$C$18*'01_Доходи'!V1175),IF($B$1172="Лікар-терапевт","x",0)))</f>
        <v>0</v>
      </c>
      <c r="W1177" s="208">
        <f ca="1">IF($B$1172="Лікар загальної практики - сімейний лікар",IF(Z1176&lt;=Законод!$C$22,W1176,Законод!$C$22*'01_Доходи'!W1175),IF($B$1172="Лікар-педіатр","x",IF($B$1172="Лікар-терапевт",IF(Z1176&lt;=Законод!$C$26,W1176,Законод!$C$26*'01_Доходи'!W1175),0)))</f>
        <v>0</v>
      </c>
      <c r="X1177" s="208">
        <f ca="1">IF($B$1172="Лікар загальної практики - сімейний лікар",IF(Z1176&lt;=Законод!$C$22,X1176,Законод!$C$22*'01_Доходи'!X1175),IF($B$1172="Лікар-педіатр","x",IF($B$1172="Лікар-терапевт",IF(Z1176&lt;=Законод!$C$26,X1176,Законод!$C$26*'01_Доходи'!X1175),0)))</f>
        <v>0</v>
      </c>
      <c r="Y1177" s="208">
        <f ca="1">IF($B$1172="Лікар загальної практики - сімейний лікар",IF(Z1176&lt;=Законод!$C$22,Y1176,Законод!$C$22*'01_Доходи'!Y1175),IF($B$1172="Лікар-педіатр","x",IF($B$1172="Лікар-терапевт",IF(Z1176&lt;=Законод!$C$26,Y1176,Законод!$C$26*'01_Доходи'!Y1175),0)))</f>
        <v>0</v>
      </c>
      <c r="Z1177" s="209">
        <f ca="1">SUM(U1177:Y1177)</f>
        <v>0</v>
      </c>
      <c r="AA1177" s="942"/>
      <c r="AB1177" s="208">
        <f ca="1">IF($B$1172="Лікар загальної практики - сімейний лікар",IF(AG1176&lt;=Законод!$C$22,AB1176,Законод!$C$22*'01_Доходи'!AB1175),IF($B$1172="Лікар-педіатр",IF(AG1176&lt;=Законод!$C$18,AB1176,Законод!$C$18*'01_Доходи'!AB1175),IF($B$1172="Лікар-терапевт","x",0)))</f>
        <v>0</v>
      </c>
      <c r="AC1177" s="208">
        <f ca="1">IF($B$1172="Лікар загальної практики - сімейний лікар",IF(AG1176&lt;=Законод!$C$22,AC1176,Законод!$C$22*'01_Доходи'!AC1175),IF($B$1172="Лікар-педіатр",IF(AG1176&lt;=Законод!$C$18,AC1176,Законод!$C$18*'01_Доходи'!AC1175),IF($B$1172="Лікар-терапевт","x",0)))</f>
        <v>0</v>
      </c>
      <c r="AD1177" s="208">
        <f ca="1">IF($B$1172="Лікар загальної практики - сімейний лікар",IF(AG1176&lt;=Законод!$C$22,AD1176,Законод!$C$22*'01_Доходи'!AD1175),IF($B$1172="Лікар-педіатр","x",IF($B$1172="Лікар-терапевт",IF(AG1176&lt;=Законод!$C$26,AD1176,Законод!$C$26*'01_Доходи'!AD1175),0)))</f>
        <v>0</v>
      </c>
      <c r="AE1177" s="208">
        <f ca="1">IF($B$1172="Лікар загальної практики - сімейний лікар",IF(AG1176&lt;=Законод!$C$22,AE1176,Законод!$C$22*'01_Доходи'!AE1175),IF($B$1172="Лікар-педіатр","x",IF($B$1172="Лікар-терапевт",IF(AG1176&lt;=Законод!$C$26,AE1176,Законод!$C$26*'01_Доходи'!AE1175),0)))</f>
        <v>0</v>
      </c>
      <c r="AF1177" s="208">
        <f ca="1">IF($B$1172="Лікар загальної практики - сімейний лікар",IF(AG1176&lt;=Законод!$C$22,AF1176,Законод!$C$22*'01_Доходи'!AF1175),IF($B$1172="Лікар-педіатр","x",IF($B$1172="Лікар-терапевт",IF(AG1176&lt;=Законод!$C$26,AF1176,Законод!$C$26*'01_Доходи'!AF1175),0)))</f>
        <v>0</v>
      </c>
      <c r="AG1177" s="209">
        <f ca="1">SUM(AB1177:AF1177)</f>
        <v>0</v>
      </c>
      <c r="AH1177" s="942"/>
      <c r="AI1177" s="201"/>
      <c r="AJ1177" s="945"/>
      <c r="AK1177" s="960"/>
      <c r="AL1177" s="960"/>
      <c r="AM1177" s="348" t="s">
        <v>451</v>
      </c>
      <c r="AN1177" s="210">
        <f ca="1">IF(B1172="Лікар загальної практики - сімейний лікар",G1177*Законод!$C$11+'01_Доходи'!H1177*Законод!$D$11+'01_Доходи'!I1177*Законод!$E$11+'01_Доходи'!J1177*Законод!$F$11+'01_Доходи'!K1177*Законод!$G$11,IF(B1172="Лікар-педіатр",G1177*Законод!$C$11+'01_Доходи'!H1177*Законод!$D$11,IF(B1172="Лікар-терапевт",'01_Доходи'!I1177*Законод!$E$11+'01_Доходи'!J1177*Законод!$F$11+'01_Доходи'!K1177*Законод!$G$11,0)))</f>
        <v>0</v>
      </c>
      <c r="AO1177" s="210">
        <f ca="1">IF(B1172="Лікар загальної практики - сімейний лікар",N1177*Законод!$C$11+'01_Доходи'!O1177*Законод!$D$11+'01_Доходи'!P1177*Законод!$E$11+'01_Доходи'!Q1177*Законод!$F$11+'01_Доходи'!R1177*Законод!$G$11,IF(B1172="Лікар-педіатр",N1177*Законод!$C$11+'01_Доходи'!O1177*Законод!$D$11,IF(B1172="Лікар-терапевт",'01_Доходи'!P1177*Законод!$E$11+'01_Доходи'!Q1177*Законод!$F$11+'01_Доходи'!R1177*Законод!$G$11,0)))</f>
        <v>0</v>
      </c>
      <c r="AP1177" s="210">
        <f ca="1">IF(B1172="Лікар загальної практики - сімейний лікар",U1177*Законод!$C$11+'01_Доходи'!V1177*Законод!$D$11+'01_Доходи'!W1177*Законод!$E$11+'01_Доходи'!X1177*Законод!$F$11+'01_Доходи'!Y1177*Законод!$G$11,IF(B1172="Лікар-педіатр",U1177*Законод!$C$11+'01_Доходи'!V1177*Законод!$D$11,IF(B1172="Лікар-терапевт",'01_Доходи'!W1177*Законод!$E$11+'01_Доходи'!X1177*Законод!$F$11+'01_Доходи'!Y1177*Законод!$G$11,0)))</f>
        <v>0</v>
      </c>
      <c r="AQ1177" s="210">
        <f ca="1">IF(B1172="Лікар загальної практики - сімейний лікар",AB1177*Законод!$C$11+'01_Доходи'!AC1177*Законод!$D$11+'01_Доходи'!AD1177*Законод!$E$11+'01_Доходи'!AE1177*Законод!$F$11+'01_Доходи'!AF1177*Законод!$G$11,IF(B1172="Лікар-педіатр",AB1177*Законод!$C$11+'01_Доходи'!AC1177*Законод!$D$11,IF(B1172="Лікар-терапевт",'01_Доходи'!AD1177*Законод!$E$11+'01_Доходи'!AE1177*Законод!$F$11+'01_Доходи'!AF1177*Законод!$G$11,0)))</f>
        <v>0</v>
      </c>
      <c r="AR1177" s="211">
        <f t="shared" ref="AR1177:AR1183" si="130">SUM(AN1177:AQ1177)</f>
        <v>0</v>
      </c>
    </row>
    <row r="1178" spans="1:44" s="50" customFormat="1" ht="31.9" hidden="1" customHeight="1">
      <c r="A1178" s="197"/>
      <c r="B1178" s="951"/>
      <c r="C1178" s="954"/>
      <c r="D1178" s="957"/>
      <c r="E1178" s="939"/>
      <c r="F1178" s="238" t="str">
        <f ca="1">IF(B1172="Лікар-педіатр",Законод!$E$17,IF(B1172="Лікар загальної практики - сімейний лікар",Законод!$E$21,IF(B1172="Лікар-терапевт",Законод!$E$25,"х")))</f>
        <v>х</v>
      </c>
      <c r="G1178" s="935" t="s">
        <v>423</v>
      </c>
      <c r="H1178" s="936"/>
      <c r="I1178" s="936"/>
      <c r="J1178" s="936"/>
      <c r="K1178" s="937"/>
      <c r="L1178" s="196">
        <f ca="1">IF($B$1172="Лікар загальної практики - сімейний лікар",IF(L1176&lt;Законод!$C$22,0,(IF(AND(L1176&gt;=Законод!$E$22,L1176&lt;=Законод!$E$23),L1176-Законод!$C$22,IF('01_Доходи'!L1176&gt;=Законод!$F$22,Законод!$E$24,0)))),IF($B$1172="Лікар-педіатр",IF(L1176&lt;Законод!$C$18,0,(IF(AND(L1176&gt;=Законод!$E$18,L1176&lt;=Законод!$E$19),L1176-Законод!$C$18,IF('01_Доходи'!L1176&gt;=Законод!$F$18,Законод!$E$20,0)))),IF($B$1172="Лікар-терапевт",IF(L1176&lt;Законод!$C$26,0,(IF(AND(L1176&gt;=Законод!$E$26,L1176&lt;=Законод!$E$27),L1176-Законод!$C$26,IF('01_Доходи'!L1176&gt;=Законод!$F$26,Законод!$E$28,0)))),0)))</f>
        <v>0</v>
      </c>
      <c r="M1178" s="942"/>
      <c r="N1178" s="935" t="s">
        <v>423</v>
      </c>
      <c r="O1178" s="936"/>
      <c r="P1178" s="936"/>
      <c r="Q1178" s="936"/>
      <c r="R1178" s="937"/>
      <c r="S1178" s="196">
        <f ca="1">IF($B$1172="Лікар загальної практики - сімейний лікар",IF(S1176&lt;Законод!$C$22,0,(IF(AND(S1176&gt;=Законод!$E$22,S1176&lt;=Законод!$E$23),S1176-Законод!$C$22,IF('01_Доходи'!S1176&gt;=Законод!$F$22,Законод!$E$24,0)))),IF($B$1172="Лікар-педіатр",IF(S1176&lt;Законод!$C$18,0,(IF(AND(S1176&gt;=Законод!$E$18,S1176&lt;=Законод!$E$19),S1176-Законод!$C$18,IF('01_Доходи'!S1176&gt;=Законод!$F$18,Законод!$E$20,0)))),IF($B$1172="Лікар-терапевт",IF(S1176&lt;Законод!$C$26,0,(IF(AND(S1176&gt;=Законод!$E$26,S1176&lt;=Законод!$E$27),S1176-Законод!$C$26,IF('01_Доходи'!S1176&gt;=Законод!$F$26,Законод!$E$28,0)))),0)))</f>
        <v>0</v>
      </c>
      <c r="T1178" s="942"/>
      <c r="U1178" s="935" t="s">
        <v>423</v>
      </c>
      <c r="V1178" s="936"/>
      <c r="W1178" s="936"/>
      <c r="X1178" s="936"/>
      <c r="Y1178" s="937"/>
      <c r="Z1178" s="196">
        <f ca="1">IF($B$1172="Лікар загальної практики - сімейний лікар",IF(Z1176&lt;Законод!$C$22,0,(IF(AND(Z1176&gt;=Законод!$E$22,Z1176&lt;=Законод!$E$23),Z1176-Законод!$C$22,IF('01_Доходи'!Z1176&gt;=Законод!$F$22,Законод!$E$24,0)))),IF($B$1172="Лікар-педіатр",IF(Z1176&lt;Законод!$C$18,0,(IF(AND(Z1176&gt;=Законод!$E$18,Z1176&lt;=Законод!$E$19),Z1176-Законод!$C$18,IF('01_Доходи'!Z1176&gt;=Законод!$F$18,Законод!$E$20,0)))),IF($B$1172="Лікар-терапевт",IF(Z1176&lt;Законод!$C$26,0,(IF(AND(Z1176&gt;=Законод!$E$26,Z1176&lt;=Законод!$E$27),Z1176-Законод!$C$26,IF('01_Доходи'!Z1176&gt;=Законод!$F$26,Законод!$E$28,0)))),0)))</f>
        <v>0</v>
      </c>
      <c r="AA1178" s="942"/>
      <c r="AB1178" s="935" t="s">
        <v>423</v>
      </c>
      <c r="AC1178" s="936"/>
      <c r="AD1178" s="936"/>
      <c r="AE1178" s="936"/>
      <c r="AF1178" s="937"/>
      <c r="AG1178" s="196">
        <f ca="1">IF($B$1172="Лікар загальної практики - сімейний лікар",IF(AG1176&lt;Законод!$C$22,0,(IF(AND(AG1176&gt;=Законод!$E$22,AG1176&lt;=Законод!$E$23),AG1176-Законод!$C$22,IF('01_Доходи'!AG1176&gt;=Законод!$F$22,Законод!$E$24,0)))),IF($B$1172="Лікар-педіатр",IF(AG1176&lt;Законод!$C$18,0,(IF(AND(AG1176&gt;=Законод!$E$18,AG1176&lt;=Законод!$E$19),AG1176-Законод!$C$18,IF('01_Доходи'!AG1176&gt;=Законод!$F$18,Законод!$E$20,0)))),IF($B$1172="Лікар-терапевт",IF(AG1176&lt;Законод!$C$26,0,(IF(AND(AG1176&gt;=Законод!$E$26,AG1176&lt;=Законод!$E$27),AG1176-Законод!$C$26,IF('01_Доходи'!AG1176&gt;=Законод!$F$26,Законод!$E$28,0)))),0)))</f>
        <v>0</v>
      </c>
      <c r="AH1178" s="942"/>
      <c r="AI1178" s="201"/>
      <c r="AJ1178" s="945"/>
      <c r="AK1178" s="960"/>
      <c r="AL1178" s="960"/>
      <c r="AM1178" s="926" t="s">
        <v>452</v>
      </c>
      <c r="AN1178" s="210">
        <f ca="1">IF(B1172="Лікар загальної практики - сімейний лікар",L1178*Законод!$C$9/4*Законод!$E$16,IF(B1172="Лікар-педіатр",L1178*Законод!$C$9/4*Законод!$E$16,IF(B1172="Лікар-терапевт",L1178*Законод!$C$9/4*Законод!$E$16,0)))</f>
        <v>0</v>
      </c>
      <c r="AO1178" s="210">
        <f ca="1">IF(B1172="Лікар загальної практики - сімейний лікар",S1178*Законод!$C$9/4*Законод!$E$16,IF(B1172="Лікар-педіатр",S1178*Законод!$C$9/4*Законод!$E$16,IF(B1172="Лікар-терапевт",S1178*Законод!$C$9/4*Законод!$E$16,0)))</f>
        <v>0</v>
      </c>
      <c r="AP1178" s="210">
        <f ca="1">IF(B1172="Лікар загальної практики - сімейний лікар",Z1178*Законод!$C$9/4*Законод!$E$16,IF(B1172="Лікар-педіатр",Z1178*Законод!$C$9/4*Законод!$E$16,IF(B1172="Лікар-терапевт",Z1178*Законод!$C$9/4*Законод!$E$16,0)))</f>
        <v>0</v>
      </c>
      <c r="AQ1178" s="210">
        <f ca="1">IF(B1172="Лікар загальної практики - сімейний лікар",AG1178*Законод!$C$9/4*Законод!$E$16,IF(B1172="Лікар-педіатр",AG1178*Законод!$C$9/4*Законод!$E$16,IF(B1172="Лікар-терапевт",AG1178*Законод!$C$9/4*Законод!$E$16,0)))</f>
        <v>0</v>
      </c>
      <c r="AR1178" s="211">
        <f t="shared" si="130"/>
        <v>0</v>
      </c>
    </row>
    <row r="1179" spans="1:44" s="50" customFormat="1" ht="31.9" hidden="1" customHeight="1">
      <c r="A1179" s="197"/>
      <c r="B1179" s="951"/>
      <c r="C1179" s="954"/>
      <c r="D1179" s="957"/>
      <c r="E1179" s="939"/>
      <c r="F1179" s="238" t="str">
        <f ca="1">IF(B1172="Лікар-педіатр",Законод!$F$17,IF(B1172="Лікар загальної практики - сімейний лікар",Законод!$F$21,IF(B1172="Лікар-терапевт",Законод!$F$25,"х")))</f>
        <v>х</v>
      </c>
      <c r="G1179" s="935" t="s">
        <v>423</v>
      </c>
      <c r="H1179" s="936"/>
      <c r="I1179" s="936"/>
      <c r="J1179" s="936"/>
      <c r="K1179" s="937"/>
      <c r="L1179" s="196">
        <f ca="1">IF($B$1172="Лікар загальної практики - сімейний лікар",IF(L1176&lt;Законод!$C$22,0,(IF(AND(L1176&gt;=Законод!$F$22,L1176&lt;=Законод!$F$23),L1176-Законод!$E$23,IF('01_Доходи'!L1176&gt;=Законод!$G$22,Законод!$F$24,0)))),IF($B$1172="Лікар-педіатр",IF(L1176&lt;Законод!$C$18,0,(IF(AND(L1176&gt;=Законод!$F$18,L1176&lt;=Законод!$F$19),L1176-Законод!$E$19,IF('01_Доходи'!L1176&gt;=Законод!$G$18,Законод!$F$20,0)))),IF($B$1172="Лікар-терапевт",IF(L1176&lt;Законод!$C$26,0,(IF(AND(L1176&gt;=Законод!$F$26,L1176&lt;=Законод!$F$27),L1176-Законод!$E$27,IF('01_Доходи'!L1176&gt;=Законод!$G$26,Законод!$F$28,0)))),0)))</f>
        <v>0</v>
      </c>
      <c r="M1179" s="942"/>
      <c r="N1179" s="935" t="s">
        <v>423</v>
      </c>
      <c r="O1179" s="936"/>
      <c r="P1179" s="936"/>
      <c r="Q1179" s="936"/>
      <c r="R1179" s="937"/>
      <c r="S1179" s="196">
        <f ca="1">IF($B$1172="Лікар загальної практики - сімейний лікар",IF(S1176&lt;Законод!$C$22,0,(IF(AND(S1176&gt;=Законод!$F$22,S1176&lt;=Законод!$F$23),S1176-Законод!$E$23,IF('01_Доходи'!S1176&gt;=Законод!$G$22,Законод!$F$24,0)))),IF($B$1172="Лікар-педіатр",IF(S1176&lt;Законод!$C$18,0,(IF(AND(S1176&gt;=Законод!$F$18,S1176&lt;=Законод!$F$19),S1176-Законод!$E$19,IF('01_Доходи'!S1176&gt;=Законод!$G$18,Законод!$F$20,0)))),IF($B$1172="Лікар-терапевт",IF(S1176&lt;Законод!$C$26,0,(IF(AND(S1176&gt;=Законод!$F$26,S1176&lt;=Законод!$F$27),S1176-Законод!$E$27,IF('01_Доходи'!S1176&gt;=Законод!$G$26,Законод!$F$28,0)))),0)))</f>
        <v>0</v>
      </c>
      <c r="T1179" s="942"/>
      <c r="U1179" s="935" t="s">
        <v>423</v>
      </c>
      <c r="V1179" s="936"/>
      <c r="W1179" s="936"/>
      <c r="X1179" s="936"/>
      <c r="Y1179" s="937"/>
      <c r="Z1179" s="196">
        <f ca="1">IF($B$1172="Лікар загальної практики - сімейний лікар",IF(Z1176&lt;Законод!$C$22,0,(IF(AND(Z1176&gt;=Законод!$F$22,Z1176&lt;=Законод!$F$23),Z1176-Законод!$E$23,IF('01_Доходи'!Z1176&gt;=Законод!$G$22,Законод!$F$24,0)))),IF($B$1172="Лікар-педіатр",IF(Z1176&lt;Законод!$C$18,0,(IF(AND(Z1176&gt;=Законод!$F$18,Z1176&lt;=Законод!$F$19),Z1176-Законод!$E$19,IF('01_Доходи'!Z1176&gt;=Законод!$G$18,Законод!$F$20,0)))),IF($B$1172="Лікар-терапевт",IF(Z1176&lt;Законод!$C$26,0,(IF(AND(Z1176&gt;=Законод!$F$26,Z1176&lt;=Законод!$F$27),Z1176-Законод!$E$27,IF('01_Доходи'!Z1176&gt;=Законод!$G$26,Законод!$F$28,0)))),0)))</f>
        <v>0</v>
      </c>
      <c r="AA1179" s="942"/>
      <c r="AB1179" s="935" t="s">
        <v>423</v>
      </c>
      <c r="AC1179" s="936"/>
      <c r="AD1179" s="936"/>
      <c r="AE1179" s="936"/>
      <c r="AF1179" s="937"/>
      <c r="AG1179" s="196">
        <f ca="1">IF($B$1172="Лікар загальної практики - сімейний лікар",IF(AG1176&lt;Законод!$C$22,0,(IF(AND(AG1176&gt;=Законод!$F$22,AG1176&lt;=Законод!$F$23),AG1176-Законод!$E$23,IF('01_Доходи'!AG1176&gt;=Законод!$G$22,Законод!$F$24,0)))),IF($B$1172="Лікар-педіатр",IF(AG1176&lt;Законод!$C$18,0,(IF(AND(AG1176&gt;=Законод!$F$18,AG1176&lt;=Законод!$F$19),AG1176-Законод!$E$19,IF('01_Доходи'!AG1176&gt;=Законод!$G$18,Законод!$F$20,0)))),IF($B$1172="Лікар-терапевт",IF(AG1176&lt;Законод!$C$26,0,(IF(AND(AG1176&gt;=Законод!$F$26,AG1176&lt;=Законод!$F$27),AG1176-Законод!$E$27,IF('01_Доходи'!AG1176&gt;=Законод!$G$26,Законод!$F$28,0)))),0)))</f>
        <v>0</v>
      </c>
      <c r="AH1179" s="942"/>
      <c r="AI1179" s="201"/>
      <c r="AJ1179" s="945"/>
      <c r="AK1179" s="960"/>
      <c r="AL1179" s="960"/>
      <c r="AM1179" s="927"/>
      <c r="AN1179" s="210">
        <f ca="1">IF(B1172="Лікар загальної практики - сімейний лікар",L1179*Законод!$C$9/4*Законод!$F$16,IF(B1172="Лікар-педіатр",L1179*Законод!$C$9/4*Законод!$F$16,IF(B1172="Лікар-терапевт",L1179*Законод!$C$9/4*Законод!$F$16,0)))</f>
        <v>0</v>
      </c>
      <c r="AO1179" s="210">
        <f ca="1">IF(B1172="Лікар загальної практики - сімейний лікар",S1179*Законод!$C$9/4*Законод!$F$16,IF(B1172="Лікар-педіатр",S1179*Законод!$C$9/4*Законод!$F$16,IF(B1172="Лікар-терапевт",S1179*Законод!$C$9/4*Законод!$F$16,0)))</f>
        <v>0</v>
      </c>
      <c r="AP1179" s="210">
        <f ca="1">IF(B1172="Лікар загальної практики - сімейний лікар",Z1179*Законод!$C$9/4*Законод!$F$16,IF(B1172="Лікар-педіатр",Z1179*Законод!$C$9/4*Законод!$F$16,IF(B1172="Лікар-терапевт",Z1179*Законод!$C$9/4*Законод!$F$16,0)))</f>
        <v>0</v>
      </c>
      <c r="AQ1179" s="210">
        <f ca="1">IF(B1172="Лікар загальної практики - сімейний лікар",AG1179*Законод!$C$9/4*Законод!$F$16,IF(B1172="Лікар-педіатр",AG1179*Законод!$C$9/4*Законод!$F$16,IF(B1172="Лікар-терапевт",AG1179*Законод!$C$9/4*Законод!$F$16,0)))</f>
        <v>0</v>
      </c>
      <c r="AR1179" s="211">
        <f t="shared" si="130"/>
        <v>0</v>
      </c>
    </row>
    <row r="1180" spans="1:44" s="50" customFormat="1" ht="31.9" hidden="1" customHeight="1">
      <c r="A1180" s="197"/>
      <c r="B1180" s="951"/>
      <c r="C1180" s="954"/>
      <c r="D1180" s="957"/>
      <c r="E1180" s="939"/>
      <c r="F1180" s="238" t="str">
        <f ca="1">IF(B1172="Лікар-педіатр",Законод!$G$17,IF(B1172="Лікар загальної практики - сімейний лікар",Законод!$G$21,IF(B1172="Лікар-терапевт",Законод!$G$25,"х")))</f>
        <v>х</v>
      </c>
      <c r="G1180" s="935" t="s">
        <v>423</v>
      </c>
      <c r="H1180" s="936"/>
      <c r="I1180" s="936"/>
      <c r="J1180" s="936"/>
      <c r="K1180" s="937"/>
      <c r="L1180" s="196">
        <f ca="1">IF($B$1172="Лікар загальної практики - сімейний лікар",IF(L1176&lt;Законод!$C$22,0,(IF(AND(L1176&gt;=Законод!$G$22,L1176&lt;=Законод!$G$23),L1176-Законод!$F$23,IF('01_Доходи'!L1176&gt;=Законод!$H$22,Законод!$G$24,0)))),IF($B$1172="Лікар-педіатр",IF(L1176&lt;Законод!$C$18,0,(IF(AND(L1176&gt;=Законод!$G$18,L1176&lt;=Законод!$G$19),L1176-Законод!$F$19,IF('01_Доходи'!L1176&gt;=Законод!$H$18,Законод!$G$20,0)))),IF($B$1172="Лікар-терапевт",IF(L1176&lt;Законод!$C$26,0,(IF(AND(L1176&gt;=Законод!$G$26,L1176&lt;=Законод!$G$27),L1176-Законод!$F$27,IF('01_Доходи'!L1176&gt;=Законод!$H$26,Законод!$G$28,0)))),0)))</f>
        <v>0</v>
      </c>
      <c r="M1180" s="942"/>
      <c r="N1180" s="935" t="s">
        <v>423</v>
      </c>
      <c r="O1180" s="936"/>
      <c r="P1180" s="936"/>
      <c r="Q1180" s="936"/>
      <c r="R1180" s="937"/>
      <c r="S1180" s="196">
        <f ca="1">IF($B$1172="Лікар загальної практики - сімейний лікар",IF(S1176&lt;Законод!$C$22,0,(IF(AND(S1176&gt;=Законод!$G$22,S1176&lt;=Законод!$G$23),S1176-Законод!$F$23,IF('01_Доходи'!S1176&gt;=Законод!$H$22,Законод!$G$24,0)))),IF($B$1172="Лікар-педіатр",IF(S1176&lt;Законод!$C$18,0,(IF(AND(S1176&gt;=Законод!$G$18,S1176&lt;=Законод!$G$19),S1176-Законод!$F$19,IF('01_Доходи'!S1176&gt;=Законод!$H$18,Законод!$G$20,0)))),IF($B$1172="Лікар-терапевт",IF(S1176&lt;Законод!$C$26,0,(IF(AND(S1176&gt;=Законод!$G$26,S1176&lt;=Законод!$G$27),S1176-Законод!$F$27,IF('01_Доходи'!S1176&gt;=Законод!$H$26,Законод!$G$28,0)))),0)))</f>
        <v>0</v>
      </c>
      <c r="T1180" s="942"/>
      <c r="U1180" s="935" t="s">
        <v>423</v>
      </c>
      <c r="V1180" s="936"/>
      <c r="W1180" s="936"/>
      <c r="X1180" s="936"/>
      <c r="Y1180" s="937"/>
      <c r="Z1180" s="196">
        <f ca="1">IF($B$1172="Лікар загальної практики - сімейний лікар",IF(Z1176&lt;Законод!$C$22,0,(IF(AND(Z1176&gt;=Законод!$G$22,Z1176&lt;=Законод!$G$23),Z1176-Законод!$F$23,IF('01_Доходи'!Z1176&gt;=Законод!$H$22,Законод!$G$24,0)))),IF($B$1172="Лікар-педіатр",IF(Z1176&lt;Законод!$C$18,0,(IF(AND(Z1176&gt;=Законод!$G$18,Z1176&lt;=Законод!$G$19),Z1176-Законод!$F$19,IF('01_Доходи'!Z1176&gt;=Законод!$H$18,Законод!$G$20,0)))),IF($B$1172="Лікар-терапевт",IF(Z1176&lt;Законод!$C$26,0,(IF(AND(Z1176&gt;=Законод!$G$26,Z1176&lt;=Законод!$G$27),Z1176-Законод!$F$27,IF('01_Доходи'!Z1176&gt;=Законод!$H$26,Законод!$G$28,0)))),0)))</f>
        <v>0</v>
      </c>
      <c r="AA1180" s="942"/>
      <c r="AB1180" s="935" t="s">
        <v>423</v>
      </c>
      <c r="AC1180" s="936"/>
      <c r="AD1180" s="936"/>
      <c r="AE1180" s="936"/>
      <c r="AF1180" s="937"/>
      <c r="AG1180" s="196">
        <f ca="1">IF($B$1172="Лікар загальної практики - сімейний лікар",IF(AG1176&lt;Законод!$C$22,0,(IF(AND(AG1176&gt;=Законод!$G$22,AG1176&lt;=Законод!$G$23),AG1176-Законод!$F$23,IF('01_Доходи'!AG1176&gt;=Законод!$H$22,Законод!$G$24,0)))),IF($B$1172="Лікар-педіатр",IF(AG1176&lt;Законод!$C$18,0,(IF(AND(AG1176&gt;=Законод!$G$18,AG1176&lt;=Законод!$G$19),AG1176-Законод!$F$19,IF('01_Доходи'!AG1176&gt;=Законод!$H$18,Законод!$G$20,0)))),IF($B$1172="Лікар-терапевт",IF(AG1176&lt;Законод!$C$26,0,(IF(AND(AG1176&gt;=Законод!$G$26,AG1176&lt;=Законод!$G$27),AG1176-Законод!$F$27,IF('01_Доходи'!AG1176&gt;=Законод!$H$26,Законод!$G$28,0)))),0)))</f>
        <v>0</v>
      </c>
      <c r="AH1180" s="942"/>
      <c r="AI1180" s="201"/>
      <c r="AJ1180" s="945"/>
      <c r="AK1180" s="960"/>
      <c r="AL1180" s="960"/>
      <c r="AM1180" s="927"/>
      <c r="AN1180" s="210">
        <f ca="1">IF(B1172="Лікар загальної практики - сімейний лікар",L1180*Законод!$C$9/4*Законод!$G$16,IF(B1172="Лікар-педіатр",L1180*Законод!$C$9/4*Законод!$G$16,IF(B1172="Лікар-терапевт",L1180*Законод!$C$9/4*Законод!$G$16,0)))</f>
        <v>0</v>
      </c>
      <c r="AO1180" s="210">
        <f ca="1">IF(B1172="Лікар загальної практики - сімейний лікар",S1180*Законод!$C$9/4*Законод!$G$16,IF(B1172="Лікар-педіатр",S1180*Законод!$C$9/4*Законод!$G$16,IF(B1172="Лікар-терапевт",S1180*Законод!$C$9/4*Законод!$G$16,0)))</f>
        <v>0</v>
      </c>
      <c r="AP1180" s="210">
        <f ca="1">IF(B1172="Лікар загальної практики - сімейний лікар",Z1180*Законод!$C$9/4*Законод!$G$16,IF(B1172="Лікар-педіатр",Z1180*Законод!$C$9/4*Законод!$G$16,IF(B1172="Лікар-терапевт",Z1180*Законод!$C$9/4*Законод!$G$16,0)))</f>
        <v>0</v>
      </c>
      <c r="AQ1180" s="210">
        <f ca="1">IF(B1172="Лікар загальної практики - сімейний лікар",AG1180*Законод!$C$9/4*Законод!$G$16,IF(B1172="Лікар-педіатр",AG1180*Законод!$C$9/4*Законод!$G$16,IF(B1172="Лікар-терапевт",AG1180*Законод!$C$9/4*Законод!$G$16,0)))</f>
        <v>0</v>
      </c>
      <c r="AR1180" s="211">
        <f t="shared" si="130"/>
        <v>0</v>
      </c>
    </row>
    <row r="1181" spans="1:44" s="50" customFormat="1" ht="31.9" hidden="1" customHeight="1">
      <c r="A1181" s="197"/>
      <c r="B1181" s="951"/>
      <c r="C1181" s="954"/>
      <c r="D1181" s="957"/>
      <c r="E1181" s="939"/>
      <c r="F1181" s="238" t="str">
        <f ca="1">IF(B1172="Лікар-педіатр",Законод!$H$17,IF(B1172="Лікар загальної практики - сімейний лікар",Законод!$H$21,IF(B1172="Лікар-терапевт",Законод!$H$25,"х")))</f>
        <v>х</v>
      </c>
      <c r="G1181" s="935" t="s">
        <v>423</v>
      </c>
      <c r="H1181" s="936"/>
      <c r="I1181" s="936"/>
      <c r="J1181" s="936"/>
      <c r="K1181" s="937"/>
      <c r="L1181" s="196">
        <f ca="1">IF($B$1172="Лікар загальної практики - сімейний лікар",IF(L1176&lt;Законод!$C$22,0,(IF(AND(L1176&gt;=Законод!$H$22,L1176&lt;=Законод!$H$23),L1176-Законод!$G$23,IF('01_Доходи'!L1176&gt;=Законод!$I$22,Законод!$H$24,0)))),IF($B$1172="Лікар-педіатр",IF(L1176&lt;Законод!$C$18,0,(IF(AND(L1176&gt;=Законод!$H$18,L1176&lt;=Законод!$H$19),L1176-Законод!$G$19,IF('01_Доходи'!L1176&gt;=Законод!$I$18,Законод!$H$20,0)))),IF($B$1172="Лікар-терапевт",IF(L1176&lt;Законод!$C$26,0,(IF(AND(L1176&gt;=Законод!$H$26,L1176&lt;=Законод!$H$27),L1176-Законод!$G$27,IF(L1176&gt;=Законод!$I$26,Законод!$H$28,0)))),0)))</f>
        <v>0</v>
      </c>
      <c r="M1181" s="942"/>
      <c r="N1181" s="935" t="s">
        <v>423</v>
      </c>
      <c r="O1181" s="936"/>
      <c r="P1181" s="936"/>
      <c r="Q1181" s="936"/>
      <c r="R1181" s="937"/>
      <c r="S1181" s="196">
        <f ca="1">IF($B$1172="Лікар загальної практики - сімейний лікар",IF(S1176&lt;Законод!$C$22,0,(IF(AND(S1176&gt;=Законод!$H$22,S1176&lt;=Законод!$H$23),S1176-Законод!$G$23,IF('01_Доходи'!S1176&gt;=Законод!$I$22,Законод!$H$24,0)))),IF($B$1172="Лікар-педіатр",IF(S1176&lt;Законод!$C$18,0,(IF(AND(S1176&gt;=Законод!$H$18,S1176&lt;=Законод!$H$19),S1176-Законод!$G$19,IF('01_Доходи'!S1176&gt;=Законод!$I$18,Законод!$H$20,0)))),IF($B$1172="Лікар-терапевт",IF(S1176&lt;Законод!$C$26,0,(IF(AND(S1176&gt;=Законод!$H$26,S1176&lt;=Законод!$H$27),S1176-Законод!$G$27,IF(S1176&gt;=Законод!$I$26,Законод!$H$28,0)))),0)))</f>
        <v>0</v>
      </c>
      <c r="T1181" s="942"/>
      <c r="U1181" s="935" t="s">
        <v>423</v>
      </c>
      <c r="V1181" s="936"/>
      <c r="W1181" s="936"/>
      <c r="X1181" s="936"/>
      <c r="Y1181" s="937"/>
      <c r="Z1181" s="196">
        <f ca="1">IF($B$1172="Лікар загальної практики - сімейний лікар",IF(Z1176&lt;Законод!$C$22,0,(IF(AND(Z1176&gt;=Законод!$H$22,Z1176&lt;=Законод!$H$23),Z1176-Законод!$G$23,IF('01_Доходи'!Z1176&gt;=Законод!$I$22,Законод!$H$24,0)))),IF($B$1172="Лікар-педіатр",IF(Z1176&lt;Законод!$C$18,0,(IF(AND(Z1176&gt;=Законод!$H$18,Z1176&lt;=Законод!$H$19),Z1176-Законод!$G$19,IF('01_Доходи'!Z1176&gt;=Законод!$I$18,Законод!$H$20,0)))),IF($B$1172="Лікар-терапевт",IF(Z1176&lt;Законод!$C$26,0,(IF(AND(Z1176&gt;=Законод!$H$26,Z1176&lt;=Законод!$H$27),Z1176-Законод!$G$27,IF(Z1176&gt;=Законод!$I$26,Законод!$H$28,0)))),0)))</f>
        <v>0</v>
      </c>
      <c r="AA1181" s="942"/>
      <c r="AB1181" s="935" t="s">
        <v>423</v>
      </c>
      <c r="AC1181" s="936"/>
      <c r="AD1181" s="936"/>
      <c r="AE1181" s="936"/>
      <c r="AF1181" s="937"/>
      <c r="AG1181" s="196">
        <f ca="1">IF($B$1172="Лікар загальної практики - сімейний лікар",IF(AG1176&lt;Законод!$C$22,0,(IF(AND(AG1176&gt;=Законод!$H$22,AG1176&lt;=Законод!$H$23),AG1176-Законод!$G$23,IF('01_Доходи'!AG1176&gt;=Законод!$I$22,Законод!$H$24,0)))),IF($B$1172="Лікар-педіатр",IF(AG1176&lt;Законод!$C$18,0,(IF(AND(AG1176&gt;=Законод!$H$18,AG1176&lt;=Законод!$H$19),AG1176-Законод!$G$19,IF('01_Доходи'!AG1176&gt;=Законод!$I$18,Законод!$H$20,0)))),IF($B$1172="Лікар-терапевт",IF(AG1176&lt;Законод!$C$26,0,(IF(AND(AG1176&gt;=Законод!$H$26,AG1176&lt;=Законод!$H$27),AG1176-Законод!$G$27,IF(AG1176&gt;=Законод!$I$26,Законод!$H$28,0)))),0)))</f>
        <v>0</v>
      </c>
      <c r="AH1181" s="942"/>
      <c r="AI1181" s="201"/>
      <c r="AJ1181" s="945"/>
      <c r="AK1181" s="960"/>
      <c r="AL1181" s="960"/>
      <c r="AM1181" s="927"/>
      <c r="AN1181" s="210">
        <f ca="1">IF(B1172="Лікар загальної практики - сімейний лікар",L1181*Законод!$C$9/4*Законод!$H$16,IF(B1172="Лікар-педіатр",L1181*Законод!$C$9/4*Законод!$H$16,IF(B1172="Лікар-терапевт",L1181*Законод!$C$9/4*Законод!$H$16,0)))</f>
        <v>0</v>
      </c>
      <c r="AO1181" s="210">
        <f ca="1">IF(B1172="Лікар загальної практики - сімейний лікар",S1181*Законод!$C$9/4*Законод!$H$16,IF(B1172="Лікар-педіатр",S1181*Законод!$C$9/4*Законод!$H$16,IF(B1172="Лікар-терапевт",S1181*Законод!$C$9/4*Законод!$H$16,0)))</f>
        <v>0</v>
      </c>
      <c r="AP1181" s="210">
        <f ca="1">IF(B1172="Лікар загальної практики - сімейний лікар",Z1181*Законод!$C$9/4*Законод!$H$16,IF(B1172="Лікар-педіатр",Z1181*Законод!$C$9/4*Законод!$H$16,IF(B1172="Лікар-терапевт",Z1181*Законод!$C$9/4*Законод!$H$16,0)))</f>
        <v>0</v>
      </c>
      <c r="AQ1181" s="210">
        <f ca="1">IF(B1172="Лікар загальної практики - сімейний лікар",AG1181*Законод!$C$9/4*Законод!$H$16,IF(B1172="Лікар-педіатр",AG1181*Законод!$C$9/4*Законод!$H$16,IF(B1172="Лікар-терапевт",AG1181*Законод!$C$9/4*Законод!$H$16,0)))</f>
        <v>0</v>
      </c>
      <c r="AR1181" s="211">
        <f t="shared" si="130"/>
        <v>0</v>
      </c>
    </row>
    <row r="1182" spans="1:44" s="50" customFormat="1" ht="31.9" hidden="1" customHeight="1">
      <c r="A1182" s="197"/>
      <c r="B1182" s="951"/>
      <c r="C1182" s="954"/>
      <c r="D1182" s="957"/>
      <c r="E1182" s="939"/>
      <c r="F1182" s="238" t="str">
        <f ca="1">IF(B1172="Лікар-педіатр",Законод!$I$17,IF(B1172="Лікар загальної практики - сімейний лікар",Законод!$I$21,IF(B1172="Лікар-терапевт",Законод!$I$25,"х")))</f>
        <v>х</v>
      </c>
      <c r="G1182" s="935" t="s">
        <v>423</v>
      </c>
      <c r="H1182" s="936"/>
      <c r="I1182" s="936"/>
      <c r="J1182" s="936"/>
      <c r="K1182" s="937"/>
      <c r="L1182" s="196">
        <f ca="1">IF($B$1172="Лікар загальної практики - сімейний лікар",IF(L1176&lt;Законод!$C$22,0,(IF(AND(L1176&gt;=Законод!$I$22,L1176&lt;=Законод!$I$23),L1176-Законод!$H$23,IF('01_Доходи'!L1176&gt;=Законод!$I$22,Законод!$I$24,0)))),IF($B$1172="Лікар-педіатр",IF(L1176&lt;Законод!$C$18,0,(IF(AND(L1176&gt;=Законод!$I$18,L1176&lt;=Законод!$I$19),L1176-Законод!$H$19,IF('01_Доходи'!L1176&gt;=Законод!$I$18,Законод!$H$20,0)))),IF($B$1172="Лікар-терапевт",IF(L1176&lt;Законод!$C$26,0,(IF(AND(L1176&gt;=Законод!$I$26,L1176&lt;=Законод!$I$27),L1176-Законод!$H$27,IF('01_Доходи'!L1176&gt;=Законод!$I$26,Законод!$H$28,0)))),0)))</f>
        <v>0</v>
      </c>
      <c r="M1182" s="942"/>
      <c r="N1182" s="935" t="s">
        <v>423</v>
      </c>
      <c r="O1182" s="936"/>
      <c r="P1182" s="936"/>
      <c r="Q1182" s="936"/>
      <c r="R1182" s="937"/>
      <c r="S1182" s="196">
        <f ca="1">IF($B$1172="Лікар загальної практики - сімейний лікар",IF(S1176&lt;Законод!$C$22,0,(IF(AND(S1176&gt;=Законод!$I$22,S1176&lt;=Законод!$I$23),S1176-Законод!$H$23,IF('01_Доходи'!S1176&gt;=Законод!$I$22,Законод!$I$24,0)))),IF($B$1172="Лікар-педіатр",IF(S1176&lt;Законод!$C$18,0,(IF(AND(S1176&gt;=Законод!$I$18,S1176&lt;=Законод!$I$19),S1176-Законод!$H$19,IF('01_Доходи'!S1176&gt;=Законод!$I$18,Законод!$H$20,0)))),IF($B$1172="Лікар-терапевт",IF(S1176&lt;Законод!$C$26,0,(IF(AND(S1176&gt;=Законод!$I$26,S1176&lt;=Законод!$I$27),S1176-Законод!$H$27,IF('01_Доходи'!S1176&gt;=Законод!$I$26,Законод!$H$28,0)))),0)))</f>
        <v>0</v>
      </c>
      <c r="T1182" s="942"/>
      <c r="U1182" s="935" t="s">
        <v>423</v>
      </c>
      <c r="V1182" s="936"/>
      <c r="W1182" s="936"/>
      <c r="X1182" s="936"/>
      <c r="Y1182" s="937"/>
      <c r="Z1182" s="196">
        <f ca="1">IF($B$1172="Лікар загальної практики - сімейний лікар",IF(Z1176&lt;Законод!$C$22,0,(IF(AND(Z1176&gt;=Законод!$I$22,Z1176&lt;=Законод!$I$23),Z1176-Законод!$H$23,IF('01_Доходи'!Z1176&gt;=Законод!$I$22,Законод!$I$24,0)))),IF($B$1172="Лікар-педіатр",IF(Z1176&lt;Законод!$C$18,0,(IF(AND(Z1176&gt;=Законод!$I$18,Z1176&lt;=Законод!$I$19),Z1176-Законод!$H$19,IF('01_Доходи'!Z1176&gt;=Законод!$I$18,Законод!$H$20,0)))),IF($B$1172="Лікар-терапевт",IF(Z1176&lt;Законод!$C$26,0,(IF(AND(Z1176&gt;=Законод!$I$26,Z1176&lt;=Законод!$I$27),Z1176-Законод!$H$27,IF('01_Доходи'!Z1176&gt;=Законод!$I$26,Законод!$H$28,0)))),0)))</f>
        <v>0</v>
      </c>
      <c r="AA1182" s="942"/>
      <c r="AB1182" s="935" t="s">
        <v>423</v>
      </c>
      <c r="AC1182" s="936"/>
      <c r="AD1182" s="936"/>
      <c r="AE1182" s="936"/>
      <c r="AF1182" s="937"/>
      <c r="AG1182" s="196">
        <f ca="1">IF($B$1172="Лікар загальної практики - сімейний лікар",IF(AG1176&lt;Законод!$C$22,0,(IF(AND(AG1176&gt;=Законод!$I$22,AG1176&lt;=Законод!$I$23),AG1176-Законод!$H$23,IF('01_Доходи'!AG1176&gt;=Законод!$I$22,Законод!$I$24,0)))),IF($B$1172="Лікар-педіатр",IF(AG1176&lt;Законод!$C$18,0,(IF(AND(AG1176&gt;=Законод!$I$18,AG1176&lt;=Законод!$I$19),AG1176-Законод!$H$19,IF('01_Доходи'!AG1176&gt;=Законод!$I$18,Законод!$H$20,0)))),IF($B$1172="Лікар-терапевт",IF(AG1176&lt;Законод!$C$26,0,(IF(AND(AG1176&gt;=Законод!$I$26,AG1176&lt;=Законод!$I$27),AG1176-Законод!$H$27,IF('01_Доходи'!AG1176&gt;=Законод!$I$26,Законод!$H$28,0)))),0)))</f>
        <v>0</v>
      </c>
      <c r="AH1182" s="942"/>
      <c r="AI1182" s="201"/>
      <c r="AJ1182" s="945"/>
      <c r="AK1182" s="960"/>
      <c r="AL1182" s="960"/>
      <c r="AM1182" s="927"/>
      <c r="AN1182" s="210">
        <f ca="1">IF(B1172="Лікар загальної практики - сімейний лікар",L1182*Законод!$C$9/4*Законод!$I$16,IF(B1172="Лікар-педіатр",L1182*Законод!$C$9/4*Законод!$I$16,IF(B1172="Лікар-терапевт",L1182*Законод!$C$9/4*Законод!$I$16,0)))</f>
        <v>0</v>
      </c>
      <c r="AO1182" s="210">
        <f ca="1">IF(B1172="Лікар загальної практики - сімейний лікар",S1182*Законод!$C$9/4*Законод!$I$16,IF(B1172="Лікар-педіатр",S1182*Законод!$C$9/4*Законод!$I$16,IF(B1172="Лікар-терапевт",S1182*Законод!$C$9/4*Законод!$I$16,0)))</f>
        <v>0</v>
      </c>
      <c r="AP1182" s="210">
        <f ca="1">IF(B1172="Лікар загальної практики - сімейний лікар",Z1182*Законод!$C$9/4*Законод!$I$16,IF(B1172="Лікар-педіатр",Z1182*Законод!$C$9/4*Законод!$I$16,IF(B1172="Лікар-терапевт",Z1182*Законод!$C$9/4*Законод!$I$16,0)))</f>
        <v>0</v>
      </c>
      <c r="AQ1182" s="210">
        <f ca="1">IF(B1172="Лікар загальної практики - сімейний лікар",AG1182*Законод!$C$9/4*Законод!$I$16,IF(B1172="Лікар-педіатр",AG1182*Законод!$C$9/4*Законод!$I$16,IF(B1172="Лікар-терапевт",AG1182*Законод!$C$9/4*Законод!$I$16,0)))</f>
        <v>0</v>
      </c>
      <c r="AR1182" s="211">
        <f t="shared" si="130"/>
        <v>0</v>
      </c>
    </row>
    <row r="1183" spans="1:44" s="218" customFormat="1" ht="31.9" hidden="1" customHeight="1" thickBot="1">
      <c r="A1183" s="213"/>
      <c r="B1183" s="952"/>
      <c r="C1183" s="955"/>
      <c r="D1183" s="958"/>
      <c r="E1183" s="940"/>
      <c r="F1183" s="239" t="str">
        <f ca="1">IF(B1172="Лікар-педіатр",Законод!$J$17,IF(B1172="Лікар загальної практики - сімейний лікар",Законод!$J$21,IF(B1172="Лікар-терапевт",Законод!$J$25,"х")))</f>
        <v>х</v>
      </c>
      <c r="G1183" s="932" t="s">
        <v>423</v>
      </c>
      <c r="H1183" s="933"/>
      <c r="I1183" s="933"/>
      <c r="J1183" s="933"/>
      <c r="K1183" s="934"/>
      <c r="L1183" s="196">
        <f ca="1">IF($B$1172="Лікар загальної практики - сімейний лікар",IF(L1176&gt;=Законод!$J$22,'01_Доходи'!L1176-('01_Доходи'!L1177+'01_Доходи'!L1178+'01_Доходи'!L1179+'01_Доходи'!L1180+'01_Доходи'!L1181+'01_Доходи'!L1182),0),IF($B$1172="Лікар-педіатр",IF(L1176&gt;=Законод!$J$18,'01_Доходи'!L1176-('01_Доходи'!L1177+'01_Доходи'!L1178+'01_Доходи'!L1179+'01_Доходи'!L1180+'01_Доходи'!L1181+'01_Доходи'!L1182),0),IF($B$1172="Лікар-терапевт",IF('01_Доходи'!L1176&gt;=Законод!$J$26,L1176-Законод!$I$27,0),0)))</f>
        <v>0</v>
      </c>
      <c r="M1183" s="943"/>
      <c r="N1183" s="932" t="s">
        <v>423</v>
      </c>
      <c r="O1183" s="933"/>
      <c r="P1183" s="933"/>
      <c r="Q1183" s="933"/>
      <c r="R1183" s="934"/>
      <c r="S1183" s="196">
        <f ca="1">IF($B$1172="Лікар загальної практики - сімейний лікар",IF(S1176&gt;=Законод!$J$22,'01_Доходи'!S1176-('01_Доходи'!S1177+'01_Доходи'!S1178+'01_Доходи'!S1179+'01_Доходи'!S1180+'01_Доходи'!S1181+'01_Доходи'!S1182),0),IF($B$1172="Лікар-педіатр",IF(S1176&gt;=Законод!$J$18,'01_Доходи'!S1176-('01_Доходи'!S1177+'01_Доходи'!S1178+'01_Доходи'!S1179+'01_Доходи'!S1180+'01_Доходи'!S1181+'01_Доходи'!S1182),0),IF($B$1172="Лікар-терапевт",IF('01_Доходи'!S1176&gt;=Законод!$J$26,S1176-Законод!$I$27,0),0)))</f>
        <v>0</v>
      </c>
      <c r="T1183" s="943"/>
      <c r="U1183" s="932" t="s">
        <v>423</v>
      </c>
      <c r="V1183" s="933"/>
      <c r="W1183" s="933"/>
      <c r="X1183" s="933"/>
      <c r="Y1183" s="934"/>
      <c r="Z1183" s="196">
        <f ca="1">IF($B$1172="Лікар загальної практики - сімейний лікар",IF(Z1176&gt;=Законод!$J$22,'01_Доходи'!Z1176-('01_Доходи'!Z1177+'01_Доходи'!Z1178+'01_Доходи'!Z1179+'01_Доходи'!Z1180+'01_Доходи'!Z1181+'01_Доходи'!Z1182),0),IF($B$1172="Лікар-педіатр",IF(Z1176&gt;=Законод!$J$18,'01_Доходи'!Z1176-('01_Доходи'!Z1177+'01_Доходи'!Z1178+'01_Доходи'!Z1179+'01_Доходи'!Z1180+'01_Доходи'!Z1181+'01_Доходи'!Z1182),0),IF($B$1172="Лікар-терапевт",IF('01_Доходи'!Z1176&gt;=Законод!$J$26,Z1176-Законод!$I$27,0),0)))</f>
        <v>0</v>
      </c>
      <c r="AA1183" s="943"/>
      <c r="AB1183" s="932" t="s">
        <v>423</v>
      </c>
      <c r="AC1183" s="933"/>
      <c r="AD1183" s="933"/>
      <c r="AE1183" s="933"/>
      <c r="AF1183" s="934"/>
      <c r="AG1183" s="196">
        <f ca="1">IF($B$1172="Лікар загальної практики - сімейний лікар",IF(AG1176&gt;=Законод!$J$22,'01_Доходи'!AG1176-('01_Доходи'!AG1177+'01_Доходи'!AG1178+'01_Доходи'!AG1179+'01_Доходи'!AG1180+'01_Доходи'!AG1181+'01_Доходи'!AG1182),0),IF($B$1172="Лікар-педіатр",IF(AG1176&gt;=Законод!$J$18,'01_Доходи'!AG1176-('01_Доходи'!AG1177+'01_Доходи'!AG1178+'01_Доходи'!AG1179+'01_Доходи'!AG1180+'01_Доходи'!AG1181+'01_Доходи'!AG1182),0),IF($B$1172="Лікар-терапевт",IF('01_Доходи'!AG1176&gt;=Законод!$J$26,AG1176-Законод!$I$27,0),0)))</f>
        <v>0</v>
      </c>
      <c r="AH1183" s="943"/>
      <c r="AI1183" s="215"/>
      <c r="AJ1183" s="946"/>
      <c r="AK1183" s="961"/>
      <c r="AL1183" s="961"/>
      <c r="AM1183" s="928"/>
      <c r="AN1183" s="216">
        <f ca="1">IF(B1172="Лікар загальної практики - сімейний лікар",L1183*Законод!$C$9/4*Законод!$J$16,IF(B1172="Лікар-педіатр",L1183*Законод!$C$9/4*Законод!$J$16,IF(B1172="Лікар-терапевт",L1183*Законод!$C$9/4*Законод!$J$16,0)))</f>
        <v>0</v>
      </c>
      <c r="AO1183" s="216">
        <f ca="1">IF(B1172="Лікар загальної практики - сімейний лікар",S1183*Законод!$C$9/4*Законод!$J$16,IF(B1172="Лікар-педіатр",S1183*Законод!$C$9/4*Законод!$J$16,IF(B1172="Лікар-терапевт",S1183*Законод!$C$9/4*Законод!$J$16,0)))</f>
        <v>0</v>
      </c>
      <c r="AP1183" s="216">
        <f ca="1">IF(B1172="Лікар загальної практики - сімейний лікар",S1183*Законод!$C$9/4*Законод!$J$16,IF(B1172="Лікар-педіатр",S1183*Законод!$C$9/4*Законод!$J$16,IF(B1172="Лікар-терапевт",S1183*Законод!$C$9/4*Законод!$J$16,0)))</f>
        <v>0</v>
      </c>
      <c r="AQ1183" s="216">
        <f ca="1">IF(B1172="Лікар загальної практики - сімейний лікар",AG1183*Законод!$C$9/4*Законод!$J$16,IF(B1172="Лікар-педіатр",AG1183*Законод!$C$9/4*Законод!$J$16,IF(B1172="Лікар-терапевт",AG1183*Законод!$C$9/4*Законод!$J$16,0)))</f>
        <v>0</v>
      </c>
      <c r="AR1183" s="217">
        <f t="shared" si="130"/>
        <v>0</v>
      </c>
    </row>
    <row r="1184" spans="1:44" s="247" customFormat="1" ht="23.45" hidden="1" customHeight="1" thickBot="1">
      <c r="A1184" s="243"/>
      <c r="B1184" s="244"/>
      <c r="C1184" s="244"/>
      <c r="D1184" s="244"/>
      <c r="E1184" s="244"/>
      <c r="F1184" s="245"/>
      <c r="G1184" s="246"/>
      <c r="H1184" s="246"/>
      <c r="L1184" s="248"/>
      <c r="S1184" s="248"/>
      <c r="Z1184" s="248"/>
      <c r="AG1184" s="248"/>
      <c r="AM1184" s="249"/>
      <c r="AR1184" s="250"/>
    </row>
    <row r="1185" spans="1:44" s="191" customFormat="1" ht="24.6" hidden="1" customHeight="1">
      <c r="A1185" s="194">
        <f>A1172+1</f>
        <v>89</v>
      </c>
      <c r="B1185" s="950"/>
      <c r="C1185" s="953"/>
      <c r="D1185" s="956"/>
      <c r="E1185" s="938"/>
      <c r="F1185" s="234" t="s">
        <v>659</v>
      </c>
      <c r="G1185" s="196">
        <f>IF($B$1185="Лікар-педіатр",G1188*L1185,IF($B$1185="Лікар-терапевт","х",IF($B$1185="Лікар загальної практики - сімейний лікар",G1188*L1185,0)))</f>
        <v>0</v>
      </c>
      <c r="H1185" s="196">
        <f>IF($B$1185="Лікар-педіатр",H1188*L1185,IF($B$1185="Лікар-терапевт","х",IF($B$1185="Лікар загальної практики - сімейний лікар",H1188*L1185,0)))</f>
        <v>0</v>
      </c>
      <c r="I1185" s="196">
        <f>IF($B$1185="Лікар-педіатр","x",IF($B$1185="Лікар-терапевт",I1188*L1185,IF($B$1185="Лікар загальної практики - сімейний лікар",I1188*L1185,0)))</f>
        <v>0</v>
      </c>
      <c r="J1185" s="196">
        <f>IF($B$1185="Лікар-педіатр","x",IF($B$1185="Лікар-терапевт",J1188*L1185,IF($B$1185="Лікар загальної практики - сімейний лікар",J1188*L1185,0)))</f>
        <v>0</v>
      </c>
      <c r="K1185" s="196">
        <f>IF($B$1185="Лікар-педіатр","x",IF($B$1185="Лікар-терапевт",K1188*L1185,IF($B$1185="Лікар загальної практики - сімейний лікар",K1188*L1185,0)))</f>
        <v>0</v>
      </c>
      <c r="L1185" s="557"/>
      <c r="M1185" s="941"/>
      <c r="N1185" s="196">
        <f>IF($B$1172="Лікар-педіатр",N1188*S1185,IF($B$1172="Лікар-терапевт","х",IF($B$1172="Лікар загальної практики - сімейний лікар",N1188*S1185,0)))</f>
        <v>0</v>
      </c>
      <c r="O1185" s="196">
        <f>IF($B$1172="Лікар-педіатр",O1188*S1185,IF($B$1172="Лікар-терапевт","х",IF($B$1172="Лікар загальної практики - сімейний лікар",O1188*S1185,0)))</f>
        <v>0</v>
      </c>
      <c r="P1185" s="196">
        <f>IF($B$1172="Лікар-педіатр","x",IF($B$1172="Лікар-терапевт",P1188*S1185,IF($B$1172="Лікар загальної практики - сімейний лікар",P1188*S1185,0)))</f>
        <v>0</v>
      </c>
      <c r="Q1185" s="196">
        <f>IF($B$1172="Лікар-педіатр","x",IF($B$1172="Лікар-терапевт",Q1188*S1185,IF($B$1172="Лікар загальної практики - сімейний лікар",Q1188*S1185,0)))</f>
        <v>0</v>
      </c>
      <c r="R1185" s="196">
        <f>IF($B$1172="Лікар-педіатр","x",IF($B$1172="Лікар-терапевт",R1188*S1185,IF($B$1172="Лікар загальної практики - сімейний лікар",R1188*S1185,0)))</f>
        <v>0</v>
      </c>
      <c r="S1185" s="557"/>
      <c r="T1185" s="941"/>
      <c r="U1185" s="196">
        <f>IF($B$1172="Лікар-педіатр",U1188*Z1185,IF($B$1172="Лікар-терапевт","х",IF($B$1172="Лікар загальної практики - сімейний лікар",U1188*Z1185,0)))</f>
        <v>0</v>
      </c>
      <c r="V1185" s="196">
        <f>IF($B$1172="Лікар-педіатр",V1188*Z1185,IF($B$1172="Лікар-терапевт","х",IF($B$1172="Лікар загальної практики - сімейний лікар",V1188*Z1185,0)))</f>
        <v>0</v>
      </c>
      <c r="W1185" s="196">
        <f>IF($B$1172="Лікар-педіатр","x",IF($B$1172="Лікар-терапевт",W1188*Z1185,IF($B$1172="Лікар загальної практики - сімейний лікар",W1188*Z1185,0)))</f>
        <v>0</v>
      </c>
      <c r="X1185" s="196">
        <f>IF($B$1172="Лікар-педіатр","x",IF($B$1172="Лікар-терапевт",X1188*Z1185,IF($B$1172="Лікар загальної практики - сімейний лікар",X1188*Z1185,0)))</f>
        <v>0</v>
      </c>
      <c r="Y1185" s="196">
        <f>IF($B$1172="Лікар-педіатр","x",IF($B$1172="Лікар-терапевт",Y1188*Z1185,IF($B$1172="Лікар загальної практики - сімейний лікар",Y1188*Z1185,0)))</f>
        <v>0</v>
      </c>
      <c r="Z1185" s="557"/>
      <c r="AA1185" s="941"/>
      <c r="AB1185" s="196">
        <f>IF($B$1172="Лікар-педіатр",AB1188*AG1185,IF($B$1172="Лікар-терапевт","х",IF($B$1172="Лікар загальної практики - сімейний лікар",AB1188*AG1185,0)))</f>
        <v>0</v>
      </c>
      <c r="AC1185" s="196">
        <f>IF($B$1172="Лікар-педіатр",AC1188*AG1185,IF($B$1172="Лікар-терапевт","х",IF($B$1172="Лікар загальної практики - сімейний лікар",AC1188*AG1185,0)))</f>
        <v>0</v>
      </c>
      <c r="AD1185" s="196">
        <f>IF($B$1172="Лікар-педіатр","x",IF($B$1172="Лікар-терапевт",AD1188*AG1185,IF($B$1172="Лікар загальної практики - сімейний лікар",AD1188*AG1185,0)))</f>
        <v>0</v>
      </c>
      <c r="AE1185" s="196">
        <f>IF($B$1172="Лікар-педіатр","x",IF($B$1172="Лікар-терапевт",AE1188*AG1185,IF($B$1172="Лікар загальної практики - сімейний лікар",AE1188*AG1185,0)))</f>
        <v>0</v>
      </c>
      <c r="AF1185" s="196">
        <f>IF($B$1172="Лікар-педіатр","x",IF($B$1172="Лікар-терапевт",AF1188*AG1185,IF($B$1172="Лікар загальної практики - сімейний лікар",AF1188*AG1185,0)))</f>
        <v>0</v>
      </c>
      <c r="AG1185" s="557"/>
      <c r="AH1185" s="941"/>
      <c r="AI1185" s="540">
        <f>A1185</f>
        <v>89</v>
      </c>
      <c r="AJ1185" s="944">
        <f>B1185</f>
        <v>0</v>
      </c>
      <c r="AK1185" s="959">
        <f>C1185</f>
        <v>0</v>
      </c>
      <c r="AL1185" s="959">
        <f>D1185</f>
        <v>0</v>
      </c>
      <c r="AM1185" s="929" t="s">
        <v>79</v>
      </c>
      <c r="AN1185" s="947">
        <f>SUM(AN1190:AN1196)</f>
        <v>0</v>
      </c>
      <c r="AO1185" s="947">
        <f>SUM(AO1190:AO1196)</f>
        <v>0</v>
      </c>
      <c r="AP1185" s="947">
        <f>SUM(AP1190:AP1196)</f>
        <v>0</v>
      </c>
      <c r="AQ1185" s="947">
        <f>SUM(AQ1190:AQ1196)</f>
        <v>0</v>
      </c>
      <c r="AR1185" s="962">
        <f>SUM(AN1185:AQ1189)</f>
        <v>0</v>
      </c>
    </row>
    <row r="1186" spans="1:44" s="50" customFormat="1" ht="28.15" hidden="1" customHeight="1">
      <c r="A1186" s="197"/>
      <c r="B1186" s="951"/>
      <c r="C1186" s="954"/>
      <c r="D1186" s="957"/>
      <c r="E1186" s="939"/>
      <c r="F1186" s="234" t="s">
        <v>660</v>
      </c>
      <c r="G1186" s="196">
        <f>IF($B$1185="Лікар-педіатр",G1188*L1186,IF($B$1185="Лікар-терапевт","х",IF($B$1185="Лікар загальної практики - сімейний лікар",G1188*L1186,0)))</f>
        <v>0</v>
      </c>
      <c r="H1186" s="196">
        <f>IF($B$1185="Лікар-педіатр",H1188*L1186,IF($B$1185="Лікар-терапевт","х",IF($B$1185="Лікар загальної практики - сімейний лікар",H1188*L1186,0)))</f>
        <v>0</v>
      </c>
      <c r="I1186" s="196">
        <f>IF($B$1185="Лікар-педіатр","x",IF($B$1185="Лікар-терапевт",I1188*L1186,IF($B$1185="Лікар загальної практики - сімейний лікар",I1188*L1186,0)))</f>
        <v>0</v>
      </c>
      <c r="J1186" s="196">
        <f>IF($B$1185="Лікар-педіатр","x",IF($B$1185="Лікар-терапевт",J1188*L1186,IF($B$1185="Лікар загальної практики - сімейний лікар",J1188*L1186,0)))</f>
        <v>0</v>
      </c>
      <c r="K1186" s="196">
        <f>IF($B$1185="Лікар-педіатр","x",IF($B$1185="Лікар-терапевт",K1188*L1186,IF($B$1185="Лікар загальної практики - сімейний лікар",K1188*L1186,0)))</f>
        <v>0</v>
      </c>
      <c r="L1186" s="557"/>
      <c r="M1186" s="942"/>
      <c r="N1186" s="196">
        <f>IF($B$1172="Лікар-педіатр",N1188*S1186,IF($B$1172="Лікар-терапевт","х",IF($B$1172="Лікар загальної практики - сімейний лікар",N1188*S1186,0)))</f>
        <v>0</v>
      </c>
      <c r="O1186" s="196">
        <f>IF($B$1172="Лікар-педіатр",O1188*S1186,IF($B$1172="Лікар-терапевт","х",IF($B$1172="Лікар загальної практики - сімейний лікар",O1188*S1186,0)))</f>
        <v>0</v>
      </c>
      <c r="P1186" s="196">
        <f>IF($B$1172="Лікар-педіатр","x",IF($B$1172="Лікар-терапевт",P1188*S1186,IF($B$1172="Лікар загальної практики - сімейний лікар",P1188*S1186,0)))</f>
        <v>0</v>
      </c>
      <c r="Q1186" s="196">
        <f>IF($B$1172="Лікар-педіатр","x",IF($B$1172="Лікар-терапевт",Q1188*S1186,IF($B$1172="Лікар загальної практики - сімейний лікар",Q1188*S1186,0)))</f>
        <v>0</v>
      </c>
      <c r="R1186" s="196">
        <f>IF($B$1172="Лікар-педіатр","x",IF($B$1172="Лікар-терапевт",R1188*S1186,IF($B$1172="Лікар загальної практики - сімейний лікар",R1188*S1186,0)))</f>
        <v>0</v>
      </c>
      <c r="S1186" s="557"/>
      <c r="T1186" s="942"/>
      <c r="U1186" s="196">
        <f>IF($B$1172="Лікар-педіатр",U1188*Z1186,IF($B$1172="Лікар-терапевт","х",IF($B$1172="Лікар загальної практики - сімейний лікар",U1188*Z1186,0)))</f>
        <v>0</v>
      </c>
      <c r="V1186" s="196">
        <f>IF($B$1172="Лікар-педіатр",V1188*Z1186,IF($B$1172="Лікар-терапевт","х",IF($B$1172="Лікар загальної практики - сімейний лікар",V1188*Z1186,0)))</f>
        <v>0</v>
      </c>
      <c r="W1186" s="196">
        <f>IF($B$1172="Лікар-педіатр","x",IF($B$1172="Лікар-терапевт",W1188*Z1186,IF($B$1172="Лікар загальної практики - сімейний лікар",W1188*Z1186,0)))</f>
        <v>0</v>
      </c>
      <c r="X1186" s="196">
        <f>IF($B$1172="Лікар-педіатр","x",IF($B$1172="Лікар-терапевт",X1188*Z1186,IF($B$1172="Лікар загальної практики - сімейний лікар",X1188*Z1186,0)))</f>
        <v>0</v>
      </c>
      <c r="Y1186" s="196">
        <f>IF($B$1172="Лікар-педіатр","x",IF($B$1172="Лікар-терапевт",Y1188*Z1186,IF($B$1172="Лікар загальної практики - сімейний лікар",Y1188*Z1186,0)))</f>
        <v>0</v>
      </c>
      <c r="Z1186" s="557"/>
      <c r="AA1186" s="942"/>
      <c r="AB1186" s="196">
        <f>IF($B$1172="Лікар-педіатр",AB1188*AG1186,IF($B$1172="Лікар-терапевт","х",IF($B$1172="Лікар загальної практики - сімейний лікар",AB1188*AG1186,0)))</f>
        <v>0</v>
      </c>
      <c r="AC1186" s="196">
        <f>IF($B$1172="Лікар-педіатр",AC1188*AG1186,IF($B$1172="Лікар-терапевт","х",IF($B$1172="Лікар загальної практики - сімейний лікар",AC1188*AG1186,0)))</f>
        <v>0</v>
      </c>
      <c r="AD1186" s="196">
        <f>IF($B$1172="Лікар-педіатр","x",IF($B$1172="Лікар-терапевт",AD1188*AG1186,IF($B$1172="Лікар загальної практики - сімейний лікар",AD1188*AG1186,0)))</f>
        <v>0</v>
      </c>
      <c r="AE1186" s="196">
        <f>IF($B$1172="Лікар-педіатр","x",IF($B$1172="Лікар-терапевт",AE1188*AG1186,IF($B$1172="Лікар загальної практики - сімейний лікар",AE1188*AG1186,0)))</f>
        <v>0</v>
      </c>
      <c r="AF1186" s="196">
        <f>IF($B$1172="Лікар-педіатр","x",IF($B$1172="Лікар-терапевт",AF1188*AG1186,IF($B$1172="Лікар загальної практики - сімейний лікар",AF1188*AG1186,0)))</f>
        <v>0</v>
      </c>
      <c r="AG1186" s="557"/>
      <c r="AH1186" s="942"/>
      <c r="AI1186" s="198"/>
      <c r="AJ1186" s="945"/>
      <c r="AK1186" s="960"/>
      <c r="AL1186" s="960"/>
      <c r="AM1186" s="930"/>
      <c r="AN1186" s="948"/>
      <c r="AO1186" s="948"/>
      <c r="AP1186" s="948"/>
      <c r="AQ1186" s="948"/>
      <c r="AR1186" s="963"/>
    </row>
    <row r="1187" spans="1:44" s="90" customFormat="1" ht="31.15" hidden="1" customHeight="1">
      <c r="A1187" s="240"/>
      <c r="B1187" s="951"/>
      <c r="C1187" s="954"/>
      <c r="D1187" s="957"/>
      <c r="E1187" s="939"/>
      <c r="F1187" s="241" t="s">
        <v>661</v>
      </c>
      <c r="G1187" s="199">
        <f>IF(B1185="Лікар загальної практики - сімейний лікар"," ",IF(B1185="Лікар-педіатр"," ",IF(B1185="Лікар-терапевт","х",0)))</f>
        <v>0</v>
      </c>
      <c r="H1187" s="199">
        <f>IF(B1185="Лікар загальної практики - сімейний лікар"," ",IF(B1185="Лікар-педіатр"," ",IF(B1185="Лікар-терапевт","х",0)))</f>
        <v>0</v>
      </c>
      <c r="I1187" s="199">
        <f>IF(B1185="Лікар загальної практики - сімейний лікар"," ",IF(B1185="Лікар-педіатр","х",IF(B1185="Лікар-терапевт"," ",0)))</f>
        <v>0</v>
      </c>
      <c r="J1187" s="199">
        <f>IF(B1185="Лікар загальної практики - сімейний лікар"," ",IF(B1185="Лікар-педіатр","х",IF(B1185="Лікар-терапевт"," ",0)))</f>
        <v>0</v>
      </c>
      <c r="K1187" s="199">
        <f>IF(B1185="Лікар загальної практики - сімейний лікар"," ",IF(B1185="Лікар-педіатр","х",IF(B1185="Лікар-терапевт"," ",0)))</f>
        <v>0</v>
      </c>
      <c r="L1187" s="200">
        <f>SUM(G1187:K1187)</f>
        <v>0</v>
      </c>
      <c r="M1187" s="942"/>
      <c r="N1187" s="199">
        <f>IF(B1185="Лікар загальної практики - сімейний лікар"," ",IF(B1185="Лікар-педіатр"," ",IF(B1185="Лікар-терапевт","х",0)))</f>
        <v>0</v>
      </c>
      <c r="O1187" s="199">
        <f>IF(B1185="Лікар загальної практики - сімейний лікар"," ",IF(B1185="Лікар-педіатр"," ",IF(B1185="Лікар-терапевт","х",0)))</f>
        <v>0</v>
      </c>
      <c r="P1187" s="199">
        <f>IF(B1185="Лікар загальної практики - сімейний лікар"," ",IF(B1185="Лікар-педіатр","х",IF(B1185="Лікар-терапевт"," ",0)))</f>
        <v>0</v>
      </c>
      <c r="Q1187" s="199">
        <f>IF(B1185="Лікар загальної практики - сімейний лікар"," ",IF(B1185="Лікар-педіатр","х",IF(B1185="Лікар-терапевт"," ",0)))</f>
        <v>0</v>
      </c>
      <c r="R1187" s="199">
        <f>IF(B1185="Лікар загальної практики - сімейний лікар"," ",IF(B1185="Лікар-педіатр","х",IF(B1185="Лікар-терапевт"," ",0)))</f>
        <v>0</v>
      </c>
      <c r="S1187" s="200">
        <f>SUM(N1187:R1187)</f>
        <v>0</v>
      </c>
      <c r="T1187" s="942"/>
      <c r="U1187" s="199">
        <f>IF(B1185="Лікар загальної практики - сімейний лікар"," ",IF(B1185="Лікар-педіатр"," ",IF(B1185="Лікар-терапевт","х",0)))</f>
        <v>0</v>
      </c>
      <c r="V1187" s="199">
        <f>IF(B1185="Лікар загальної практики - сімейний лікар"," ",IF(B1185="Лікар-педіатр"," ",IF(B1185="Лікар-терапевт","х",0)))</f>
        <v>0</v>
      </c>
      <c r="W1187" s="199">
        <f>IF(B1185="Лікар загальної практики - сімейний лікар"," ",IF(B1185="Лікар-педіатр","х",IF(B1185="Лікар-терапевт"," ",0)))</f>
        <v>0</v>
      </c>
      <c r="X1187" s="199">
        <f>IF(B1185="Лікар загальної практики - сімейний лікар"," ",IF(B1185="Лікар-педіатр","х",IF(B1185="Лікар-терапевт"," ",0)))</f>
        <v>0</v>
      </c>
      <c r="Y1187" s="199">
        <f>IF(B1185="Лікар загальної практики - сімейний лікар"," ",IF(B1185="Лікар-педіатр","х",IF(B1185="Лікар-терапевт"," ",0)))</f>
        <v>0</v>
      </c>
      <c r="Z1187" s="200">
        <f>SUM(U1187:Y1187)</f>
        <v>0</v>
      </c>
      <c r="AA1187" s="942"/>
      <c r="AB1187" s="199">
        <f>IF(B1185="Лікар загальної практики - сімейний лікар"," ",IF(B1185="Лікар-педіатр"," ",IF(B1185="Лікар-терапевт","х",0)))</f>
        <v>0</v>
      </c>
      <c r="AC1187" s="199">
        <f>IF(B1185="Лікар загальної практики - сімейний лікар"," ",IF(B1185="Лікар-педіатр"," ",IF(B1185="Лікар-терапевт","х",0)))</f>
        <v>0</v>
      </c>
      <c r="AD1187" s="199">
        <f>IF(B1185="Лікар загальної практики - сімейний лікар"," ",IF(B1185="Лікар-педіатр","х",IF(B1185="Лікар-терапевт"," ",0)))</f>
        <v>0</v>
      </c>
      <c r="AE1187" s="199">
        <f>IF(B1185="Лікар загальної практики - сімейний лікар"," ",IF(B1185="Лікар-педіатр","х",IF(B1185="Лікар-терапевт"," ",0)))</f>
        <v>0</v>
      </c>
      <c r="AF1187" s="199">
        <f>IF(B1185="Лікар загальної практики - сімейний лікар"," ",IF(B1185="Лікар-педіатр","х",IF(B1185="Лікар-терапевт"," ",0)))</f>
        <v>0</v>
      </c>
      <c r="AG1187" s="200">
        <f>SUM(AB1187:AF1187)</f>
        <v>0</v>
      </c>
      <c r="AH1187" s="942"/>
      <c r="AI1187" s="242"/>
      <c r="AJ1187" s="945"/>
      <c r="AK1187" s="960"/>
      <c r="AL1187" s="960"/>
      <c r="AM1187" s="930"/>
      <c r="AN1187" s="948"/>
      <c r="AO1187" s="948"/>
      <c r="AP1187" s="948"/>
      <c r="AQ1187" s="948"/>
      <c r="AR1187" s="963"/>
    </row>
    <row r="1188" spans="1:44" s="50" customFormat="1" ht="31.9" hidden="1" customHeight="1" thickBot="1">
      <c r="A1188" s="197"/>
      <c r="B1188" s="951"/>
      <c r="C1188" s="954"/>
      <c r="D1188" s="957"/>
      <c r="E1188" s="939"/>
      <c r="F1188" s="236" t="s">
        <v>426</v>
      </c>
      <c r="G1188" s="203">
        <f>IF($B$1185="Лікар-педіатр",G1187/L1187,IF($B$1185="Лікар-терапевт","х",IF($B$1185="Лікар загальної практики - сімейний лікар",G1187/L1187,0)))</f>
        <v>0</v>
      </c>
      <c r="H1188" s="203">
        <f>IF($B$1185="Лікар-педіатр",H1187/L1187,IF($B$1185="Лікар-терапевт","х",IF($B$1185="Лікар загальної практики - сімейний лікар",H1187/L1187,0)))</f>
        <v>0</v>
      </c>
      <c r="I1188" s="203">
        <f>IF($B$1185="Лікар-педіатр","x",IF($B$1185="Лікар-терапевт",I1187/L1187,IF($B$1185="Лікар загальної практики - сімейний лікар",I1187/L1187,0)))</f>
        <v>0</v>
      </c>
      <c r="J1188" s="203">
        <f>IF($B$1185="Лікар-педіатр","x",IF($B$1185="Лікар-терапевт",J1187/L1187,IF($B$1185="Лікар загальної практики - сімейний лікар",J1187/L1187,0)))</f>
        <v>0</v>
      </c>
      <c r="K1188" s="203">
        <f>IF($B$1185="Лікар-педіатр","x",IF($B$1185="Лікар-терапевт",K1187/L1187,IF($B$1185="Лікар загальної практики - сімейний лікар",K1187/L1187,0)))</f>
        <v>0</v>
      </c>
      <c r="L1188" s="203">
        <f>SUM(G1188:K1188)</f>
        <v>0</v>
      </c>
      <c r="M1188" s="942"/>
      <c r="N1188" s="203">
        <f>IF($B$1185="Лікар-педіатр",N1187/S1187,IF($B$1185="Лікар-терапевт","х",IF($B$1185="Лікар загальної практики - сімейний лікар",N1187/S1187,0)))</f>
        <v>0</v>
      </c>
      <c r="O1188" s="203">
        <f>IF($B$1185="Лікар-педіатр",O1187/S1187,IF($B$1185="Лікар-терапевт","х",IF($B$1185="Лікар загальної практики - сімейний лікар",O1187/S1187,0)))</f>
        <v>0</v>
      </c>
      <c r="P1188" s="203">
        <f>IF($B$1185="Лікар-педіатр","x",IF($B$1185="Лікар-терапевт",P1187/S1187,IF($B$1185="Лікар загальної практики - сімейний лікар",P1187/S1187,0)))</f>
        <v>0</v>
      </c>
      <c r="Q1188" s="203">
        <f>IF($B$1185="Лікар-педіатр","x",IF($B$1185="Лікар-терапевт",Q1187/S1187,IF($B$1185="Лікар загальної практики - сімейний лікар",Q1187/S1187,0)))</f>
        <v>0</v>
      </c>
      <c r="R1188" s="203">
        <f>IF($B$1185="Лікар-педіатр","x",IF($B$1185="Лікар-терапевт",R1187/S1187,IF($B$1185="Лікар загальної практики - сімейний лікар",R1187/S1187,0)))</f>
        <v>0</v>
      </c>
      <c r="S1188" s="203">
        <f>SUM(N1188:R1188)</f>
        <v>0</v>
      </c>
      <c r="T1188" s="942"/>
      <c r="U1188" s="203">
        <f>IF($B$1185="Лікар-педіатр",U1187/Z1187,IF($B$1185="Лікар-терапевт","х",IF($B$1185="Лікар загальної практики - сімейний лікар",U1187/Z1187,0)))</f>
        <v>0</v>
      </c>
      <c r="V1188" s="203">
        <f>IF($B$1185="Лікар-педіатр",V1187/Z1187,IF($B$1185="Лікар-терапевт","х",IF($B$1185="Лікар загальної практики - сімейний лікар",V1187/Z1187,0)))</f>
        <v>0</v>
      </c>
      <c r="W1188" s="203">
        <f>IF($B$1185="Лікар-педіатр","x",IF($B$1185="Лікар-терапевт",W1187/Z1187,IF($B$1185="Лікар загальної практики - сімейний лікар",W1187/Z1187,0)))</f>
        <v>0</v>
      </c>
      <c r="X1188" s="203">
        <f>IF($B$1185="Лікар-педіатр","x",IF($B$1185="Лікар-терапевт",X1187/Z1187,IF($B$1185="Лікар загальної практики - сімейний лікар",X1187/Z1187,0)))</f>
        <v>0</v>
      </c>
      <c r="Y1188" s="203">
        <f>IF($B$1185="Лікар-педіатр","x",IF($B$1185="Лікар-терапевт",Y1187/Z1187,IF($B$1185="Лікар загальної практики - сімейний лікар",Y1187/Z1187,0)))</f>
        <v>0</v>
      </c>
      <c r="Z1188" s="203">
        <f>SUM(U1188:Y1188)</f>
        <v>0</v>
      </c>
      <c r="AA1188" s="942"/>
      <c r="AB1188" s="203">
        <f>IF($B$1185="Лікар-педіатр",AB1187/AG1187,IF($B$1185="Лікар-терапевт","х",IF($B$1185="Лікар загальної практики - сімейний лікар",AB1187/AG1187,0)))</f>
        <v>0</v>
      </c>
      <c r="AC1188" s="203">
        <f>IF($B$1185="Лікар-педіатр",AC1187/AG1187,IF($B$1185="Лікар-терапевт","х",IF($B$1185="Лікар загальної практики - сімейний лікар",AC1187/AG1187,0)))</f>
        <v>0</v>
      </c>
      <c r="AD1188" s="203">
        <f>IF($B$1185="Лікар-педіатр","x",IF($B$1185="Лікар-терапевт",AD1187/AG1187,IF($B$1185="Лікар загальної практики - сімейний лікар",AD1187/AG1187,0)))</f>
        <v>0</v>
      </c>
      <c r="AE1188" s="203">
        <f>IF($B$1185="Лікар-педіатр","x",IF($B$1185="Лікар-терапевт",AE1187/AG1187,IF($B$1185="Лікар загальної практики - сімейний лікар",AE1187/AG1187,0)))</f>
        <v>0</v>
      </c>
      <c r="AF1188" s="203">
        <f>IF($B$1185="Лікар-педіатр","x",IF($B$1185="Лікар-терапевт",AF1187/AG1187,IF($B$1185="Лікар загальної практики - сімейний лікар",AF1187/AG1187,0)))</f>
        <v>0</v>
      </c>
      <c r="AG1188" s="203">
        <f>SUM(AB1188:AF1188)</f>
        <v>0</v>
      </c>
      <c r="AH1188" s="942"/>
      <c r="AI1188" s="201"/>
      <c r="AJ1188" s="945"/>
      <c r="AK1188" s="960"/>
      <c r="AL1188" s="960"/>
      <c r="AM1188" s="930"/>
      <c r="AN1188" s="948"/>
      <c r="AO1188" s="948"/>
      <c r="AP1188" s="948"/>
      <c r="AQ1188" s="948"/>
      <c r="AR1188" s="963"/>
    </row>
    <row r="1189" spans="1:44" s="50" customFormat="1" ht="45" hidden="1" customHeight="1" thickBot="1">
      <c r="A1189" s="197"/>
      <c r="B1189" s="951"/>
      <c r="C1189" s="954"/>
      <c r="D1189" s="957"/>
      <c r="E1189" s="939"/>
      <c r="F1189" s="204" t="s">
        <v>662</v>
      </c>
      <c r="G1189" s="205">
        <f>IF($B$1185="Лікар загальної практики - сімейний лікар",AVERAGE(G1185:G1187),IF($B$1185="Лікар-педіатр",AVERAGE(G1185:G1187),IF($B$1185="Лікар-терапевт","х",0)))</f>
        <v>0</v>
      </c>
      <c r="H1189" s="205">
        <f>IF($B$1185="Лікар загальної практики - сімейний лікар",AVERAGE(H1185:H1187),IF($B$1185="Лікар-педіатр",AVERAGE(H1185:H1187),IF($B$1185="Лікар-терапевт","х",0)))</f>
        <v>0</v>
      </c>
      <c r="I1189" s="205">
        <f>IF($B$1185="Лікар загальної практики - сімейний лікар",AVERAGE(I1185:I1187),IF($B$1185="Лікар-педіатр","x",IF($B$1185="Лікар-терапевт",AVERAGE(I1185:I1187),0)))</f>
        <v>0</v>
      </c>
      <c r="J1189" s="205">
        <f>IF($B$1185="Лікар загальної практики - сімейний лікар",AVERAGE(J1185:J1187),IF($B$1185="Лікар-педіатр","x",IF($B$1185="Лікар-терапевт",AVERAGE(J1185:J1187),0)))</f>
        <v>0</v>
      </c>
      <c r="K1189" s="205">
        <f>IF($B$1185="Лікар загальної практики - сімейний лікар",AVERAGE(K1185:K1187),IF($B$1185="Лікар-педіатр","x",IF($B$1185="Лікар-терапевт",AVERAGE(K1185:K1187),0)))</f>
        <v>0</v>
      </c>
      <c r="L1189" s="206">
        <f>SUM(G1189:K1189)</f>
        <v>0</v>
      </c>
      <c r="M1189" s="942"/>
      <c r="N1189" s="205">
        <f>IF($B$1172="Лікар загальної практики - сімейний лікар",AVERAGE(N1185:N1187),IF($B$1172="Лікар-педіатр",AVERAGE(N1185:N1187),IF($B$1172="Лікар-терапевт","х",0)))</f>
        <v>0</v>
      </c>
      <c r="O1189" s="205">
        <f>IF($B$1172="Лікар загальної практики - сімейний лікар",AVERAGE(O1185:O1187),IF($B$1172="Лікар-педіатр",AVERAGE(O1185:O1187),IF($B$1172="Лікар-терапевт","х",0)))</f>
        <v>0</v>
      </c>
      <c r="P1189" s="205">
        <f>IF($B$1172="Лікар загальної практики - сімейний лікар",AVERAGE(P1185:P1187),IF($B$1172="Лікар-педіатр","x",IF($B$1172="Лікар-терапевт",AVERAGE(P1185:P1187),0)))</f>
        <v>0</v>
      </c>
      <c r="Q1189" s="205">
        <f>IF($B$1172="Лікар загальної практики - сімейний лікар",AVERAGE(Q1185:Q1187),IF($B$1172="Лікар-педіатр","x",IF($B$1172="Лікар-терапевт",AVERAGE(Q1185:Q1187),0)))</f>
        <v>0</v>
      </c>
      <c r="R1189" s="205">
        <f>IF($B$1172="Лікар загальної практики - сімейний лікар",AVERAGE(R1185:R1187),IF($B$1172="Лікар-педіатр","x",IF($B$1172="Лікар-терапевт",AVERAGE(R1185:R1187),0)))</f>
        <v>0</v>
      </c>
      <c r="S1189" s="206">
        <f>SUM(N1189:R1189)</f>
        <v>0</v>
      </c>
      <c r="T1189" s="942"/>
      <c r="U1189" s="205">
        <f>IF($B$1172="Лікар загальної практики - сімейний лікар",AVERAGE(U1185:U1187),IF($B$1172="Лікар-педіатр",AVERAGE(U1185:U1187),IF($B$1172="Лікар-терапевт","х",0)))</f>
        <v>0</v>
      </c>
      <c r="V1189" s="205">
        <f>IF($B$1172="Лікар загальної практики - сімейний лікар",AVERAGE(V1185:V1187),IF($B$1172="Лікар-педіатр",AVERAGE(V1185:V1187),IF($B$1172="Лікар-терапевт","х",0)))</f>
        <v>0</v>
      </c>
      <c r="W1189" s="205">
        <f>IF($B$1172="Лікар загальної практики - сімейний лікар",AVERAGE(W1185:W1187),IF($B$1172="Лікар-педіатр","x",IF($B$1172="Лікар-терапевт",AVERAGE(W1185:W1187),0)))</f>
        <v>0</v>
      </c>
      <c r="X1189" s="205">
        <f>IF($B$1172="Лікар загальної практики - сімейний лікар",AVERAGE(X1185:X1187),IF($B$1172="Лікар-педіатр","x",IF($B$1172="Лікар-терапевт",AVERAGE(X1185:X1187),0)))</f>
        <v>0</v>
      </c>
      <c r="Y1189" s="205">
        <f>IF($B$1172="Лікар загальної практики - сімейний лікар",AVERAGE(Y1185:Y1187),IF($B$1172="Лікар-педіатр","x",IF($B$1172="Лікар-терапевт",AVERAGE(Y1185:Y1187),0)))</f>
        <v>0</v>
      </c>
      <c r="Z1189" s="206">
        <f>SUM(U1189:Y1189)</f>
        <v>0</v>
      </c>
      <c r="AA1189" s="942"/>
      <c r="AB1189" s="205">
        <f>IF($B$1172="Лікар загальної практики - сімейний лікар",AVERAGE(AB1185:AB1187),IF($B$1172="Лікар-педіатр",AVERAGE(AB1185:AB1187),IF($B$1172="Лікар-терапевт","х",0)))</f>
        <v>0</v>
      </c>
      <c r="AC1189" s="205">
        <f>IF($B$1172="Лікар загальної практики - сімейний лікар",AVERAGE(AC1185:AC1187),IF($B$1172="Лікар-педіатр",AVERAGE(AC1185:AC1187),IF($B$1172="Лікар-терапевт","х",0)))</f>
        <v>0</v>
      </c>
      <c r="AD1189" s="205">
        <f>IF($B$1172="Лікар загальної практики - сімейний лікар",AVERAGE(AD1185:AD1187),IF($B$1172="Лікар-педіатр","x",IF($B$1172="Лікар-терапевт",AVERAGE(AD1185:AD1187),0)))</f>
        <v>0</v>
      </c>
      <c r="AE1189" s="205">
        <f>IF($B$1172="Лікар загальної практики - сімейний лікар",AVERAGE(AE1185:AE1187),IF($B$1172="Лікар-педіатр","x",IF($B$1172="Лікар-терапевт",AVERAGE(AE1185:AE1187),0)))</f>
        <v>0</v>
      </c>
      <c r="AF1189" s="205">
        <f>IF($B$1172="Лікар загальної практики - сімейний лікар",AVERAGE(AF1185:AF1187),IF($B$1172="Лікар-педіатр","x",IF($B$1172="Лікар-терапевт",AVERAGE(AF1185:AF1187),0)))</f>
        <v>0</v>
      </c>
      <c r="AG1189" s="206">
        <f>SUM(AB1189:AF1189)</f>
        <v>0</v>
      </c>
      <c r="AH1189" s="942"/>
      <c r="AI1189" s="201"/>
      <c r="AJ1189" s="945"/>
      <c r="AK1189" s="960"/>
      <c r="AL1189" s="960"/>
      <c r="AM1189" s="931"/>
      <c r="AN1189" s="949"/>
      <c r="AO1189" s="949"/>
      <c r="AP1189" s="949"/>
      <c r="AQ1189" s="949"/>
      <c r="AR1189" s="964"/>
    </row>
    <row r="1190" spans="1:44" s="50" customFormat="1" ht="40.5" hidden="1">
      <c r="A1190" s="197"/>
      <c r="B1190" s="951"/>
      <c r="C1190" s="954"/>
      <c r="D1190" s="957"/>
      <c r="E1190" s="939"/>
      <c r="F1190" s="237" t="str">
        <f ca="1">IF(B1185="Лікар-педіатр",Законод!$C$17,IF(B1185="Лікар загальної практики - сімейний лікар",Законод!$C$21,IF(B1185="Лікар-терапевт",Законод!$C$25,"х")))</f>
        <v>х</v>
      </c>
      <c r="G1190" s="208">
        <f ca="1">IF($B$1185="Лікар загальної практики - сімейний лікар",IF(L1189&lt;=Законод!$C$22,G1189,Законод!$C$22*'01_Доходи'!G1188),IF($B$1185="Лікар-педіатр",IF(L1189&lt;=Законод!$C$18,G1189,Законод!$C$18*'01_Доходи'!G1188),IF($B$1185="Лікар-терапевт","x",0)))</f>
        <v>0</v>
      </c>
      <c r="H1190" s="208">
        <f ca="1">IF($B$1185="Лікар загальної практики - сімейний лікар",IF(L1189&lt;=Законод!$C$22,H1189,Законод!$C$22*'01_Доходи'!H1188),IF($B$1185="Лікар-педіатр",IF(L1189&lt;=Законод!$C$18,H1189,Законод!$C$18*'01_Доходи'!H1188),IF($B$1185="Лікар-терапевт","x",0)))</f>
        <v>0</v>
      </c>
      <c r="I1190" s="208">
        <f ca="1">IF($B$1185="Лікар загальної практики - сімейний лікар",IF(L1189&lt;=Законод!$C$22,I1189,Законод!$C$22*'01_Доходи'!I1188),IF($B$1185="Лікар-педіатр","x",IF($B$1185="Лікар-терапевт",IF(L1189&lt;=Законод!$C$26,I1189,Законод!$C$26*'01_Доходи'!I1188),0)))</f>
        <v>0</v>
      </c>
      <c r="J1190" s="208">
        <f ca="1">IF($B$1185="Лікар загальної практики - сімейний лікар",IF(L1189&lt;=Законод!$C$22,J1189,Законод!$C$22*'01_Доходи'!J1188),IF($B$1185="Лікар-педіатр","x",IF($B$1185="Лікар-терапевт",IF(L1189&lt;=Законод!$C$26,J1189,Законод!$C$26*'01_Доходи'!J1188),0)))</f>
        <v>0</v>
      </c>
      <c r="K1190" s="208">
        <f ca="1">IF($B$1185="Лікар загальної практики - сімейний лікар",IF(L1189&lt;=Законод!$C$22,K1189,Законод!$C$22*'01_Доходи'!K1188),IF($B$1185="Лікар-педіатр","x",IF($B$1185="Лікар-терапевт",IF(L1189&lt;=Законод!$C$26,K1189,Законод!$C$26*'01_Доходи'!K1188),0)))</f>
        <v>0</v>
      </c>
      <c r="L1190" s="209">
        <f ca="1">SUM(G1190:K1190)</f>
        <v>0</v>
      </c>
      <c r="M1190" s="942"/>
      <c r="N1190" s="208">
        <f ca="1">IF($B$1172="Лікар загальної практики - сімейний лікар",IF(S1189&lt;=Законод!$C$22,N1189,Законод!$C$22*'01_Доходи'!N1188),IF($B$1172="Лікар-педіатр",IF(S1189&lt;=Законод!$C$18,N1189,Законод!$C$18*'01_Доходи'!N1188),IF($B$1172="Лікар-терапевт","x",0)))</f>
        <v>0</v>
      </c>
      <c r="O1190" s="208">
        <f ca="1">IF($B$1172="Лікар загальної практики - сімейний лікар",IF(S1189&lt;=Законод!$C$22,O1189,Законод!$C$22*'01_Доходи'!O1188),IF($B$1172="Лікар-педіатр",IF(S1189&lt;=Законод!$C$18,O1189,Законод!$C$18*'01_Доходи'!O1188),IF($B$1172="Лікар-терапевт","x",0)))</f>
        <v>0</v>
      </c>
      <c r="P1190" s="208">
        <f ca="1">IF($B$1172="Лікар загальної практики - сімейний лікар",IF(S1189&lt;=Законод!$C$22,P1189,Законод!$C$22*'01_Доходи'!P1188),IF($B$1172="Лікар-педіатр","x",IF($B$1172="Лікар-терапевт",IF(S1189&lt;=Законод!$C$26,P1189,Законод!$C$26*'01_Доходи'!P1188),0)))</f>
        <v>0</v>
      </c>
      <c r="Q1190" s="208">
        <f ca="1">IF($B$1172="Лікар загальної практики - сімейний лікар",IF(S1189&lt;=Законод!$C$22,Q1189,Законод!$C$22*'01_Доходи'!Q1188),IF($B$1172="Лікар-педіатр","x",IF($B$1172="Лікар-терапевт",IF(S1189&lt;=Законод!$C$26,Q1189,Законод!$C$26*'01_Доходи'!Q1188),0)))</f>
        <v>0</v>
      </c>
      <c r="R1190" s="208">
        <f ca="1">IF($B$1172="Лікар загальної практики - сімейний лікар",IF(S1189&lt;=Законод!$C$22,R1189,Законод!$C$22*'01_Доходи'!R1188),IF($B$1172="Лікар-педіатр","x",IF($B$1172="Лікар-терапевт",IF(S1189&lt;=Законод!$C$26,R1189,Законод!$C$26*'01_Доходи'!R1188),0)))</f>
        <v>0</v>
      </c>
      <c r="S1190" s="209">
        <f ca="1">SUM(N1190:R1190)</f>
        <v>0</v>
      </c>
      <c r="T1190" s="942"/>
      <c r="U1190" s="208">
        <f ca="1">IF($B$1172="Лікар загальної практики - сімейний лікар",IF(Z1189&lt;=Законод!$C$22,U1189,Законод!$C$22*'01_Доходи'!U1188),IF($B$1172="Лікар-педіатр",IF(Z1189&lt;=Законод!$C$18,U1189,Законод!$C$18*'01_Доходи'!U1188),IF($B$1172="Лікар-терапевт","x",0)))</f>
        <v>0</v>
      </c>
      <c r="V1190" s="208">
        <f ca="1">IF($B$1172="Лікар загальної практики - сімейний лікар",IF(Z1189&lt;=Законод!$C$22,V1189,Законод!$C$22*'01_Доходи'!V1188),IF($B$1172="Лікар-педіатр",IF(Z1189&lt;=Законод!$C$18,V1189,Законод!$C$18*'01_Доходи'!V1188),IF($B$1172="Лікар-терапевт","x",0)))</f>
        <v>0</v>
      </c>
      <c r="W1190" s="208">
        <f ca="1">IF($B$1172="Лікар загальної практики - сімейний лікар",IF(Z1189&lt;=Законод!$C$22,W1189,Законод!$C$22*'01_Доходи'!W1188),IF($B$1172="Лікар-педіатр","x",IF($B$1172="Лікар-терапевт",IF(Z1189&lt;=Законод!$C$26,W1189,Законод!$C$26*'01_Доходи'!W1188),0)))</f>
        <v>0</v>
      </c>
      <c r="X1190" s="208">
        <f ca="1">IF($B$1172="Лікар загальної практики - сімейний лікар",IF(Z1189&lt;=Законод!$C$22,X1189,Законод!$C$22*'01_Доходи'!X1188),IF($B$1172="Лікар-педіатр","x",IF($B$1172="Лікар-терапевт",IF(Z1189&lt;=Законод!$C$26,X1189,Законод!$C$26*'01_Доходи'!X1188),0)))</f>
        <v>0</v>
      </c>
      <c r="Y1190" s="208">
        <f ca="1">IF($B$1172="Лікар загальної практики - сімейний лікар",IF(Z1189&lt;=Законод!$C$22,Y1189,Законод!$C$22*'01_Доходи'!Y1188),IF($B$1172="Лікар-педіатр","x",IF($B$1172="Лікар-терапевт",IF(Z1189&lt;=Законод!$C$26,Y1189,Законод!$C$26*'01_Доходи'!Y1188),0)))</f>
        <v>0</v>
      </c>
      <c r="Z1190" s="209">
        <f ca="1">SUM(U1190:Y1190)</f>
        <v>0</v>
      </c>
      <c r="AA1190" s="942"/>
      <c r="AB1190" s="208">
        <f ca="1">IF($B$1172="Лікар загальної практики - сімейний лікар",IF(AG1189&lt;=Законод!$C$22,AB1189,Законод!$C$22*'01_Доходи'!AB1188),IF($B$1172="Лікар-педіатр",IF(AG1189&lt;=Законод!$C$18,AB1189,Законод!$C$18*'01_Доходи'!AB1188),IF($B$1172="Лікар-терапевт","x",0)))</f>
        <v>0</v>
      </c>
      <c r="AC1190" s="208">
        <f ca="1">IF($B$1172="Лікар загальної практики - сімейний лікар",IF(AG1189&lt;=Законод!$C$22,AC1189,Законод!$C$22*'01_Доходи'!AC1188),IF($B$1172="Лікар-педіатр",IF(AG1189&lt;=Законод!$C$18,AC1189,Законод!$C$18*'01_Доходи'!AC1188),IF($B$1172="Лікар-терапевт","x",0)))</f>
        <v>0</v>
      </c>
      <c r="AD1190" s="208">
        <f ca="1">IF($B$1172="Лікар загальної практики - сімейний лікар",IF(AG1189&lt;=Законод!$C$22,AD1189,Законод!$C$22*'01_Доходи'!AD1188),IF($B$1172="Лікар-педіатр","x",IF($B$1172="Лікар-терапевт",IF(AG1189&lt;=Законод!$C$26,AD1189,Законод!$C$26*'01_Доходи'!AD1188),0)))</f>
        <v>0</v>
      </c>
      <c r="AE1190" s="208">
        <f ca="1">IF($B$1172="Лікар загальної практики - сімейний лікар",IF(AG1189&lt;=Законод!$C$22,AE1189,Законод!$C$22*'01_Доходи'!AE1188),IF($B$1172="Лікар-педіатр","x",IF($B$1172="Лікар-терапевт",IF(AG1189&lt;=Законод!$C$26,AE1189,Законод!$C$26*'01_Доходи'!AE1188),0)))</f>
        <v>0</v>
      </c>
      <c r="AF1190" s="208">
        <f ca="1">IF($B$1172="Лікар загальної практики - сімейний лікар",IF(AG1189&lt;=Законод!$C$22,AF1189,Законод!$C$22*'01_Доходи'!AF1188),IF($B$1172="Лікар-педіатр","x",IF($B$1172="Лікар-терапевт",IF(AG1189&lt;=Законод!$C$26,AF1189,Законод!$C$26*'01_Доходи'!AF1188),0)))</f>
        <v>0</v>
      </c>
      <c r="AG1190" s="209">
        <f ca="1">SUM(AB1190:AF1190)</f>
        <v>0</v>
      </c>
      <c r="AH1190" s="942"/>
      <c r="AI1190" s="201"/>
      <c r="AJ1190" s="945"/>
      <c r="AK1190" s="960"/>
      <c r="AL1190" s="960"/>
      <c r="AM1190" s="348" t="s">
        <v>451</v>
      </c>
      <c r="AN1190" s="210">
        <f ca="1">IF(B1185="Лікар загальної практики - сімейний лікар",G1190*Законод!$C$11+'01_Доходи'!H1190*Законод!$D$11+'01_Доходи'!I1190*Законод!$E$11+'01_Доходи'!J1190*Законод!$F$11+'01_Доходи'!K1190*Законод!$G$11,IF(B1185="Лікар-педіатр",G1190*Законод!$C$11+'01_Доходи'!H1190*Законод!$D$11,IF(B1185="Лікар-терапевт",'01_Доходи'!I1190*Законод!$E$11+'01_Доходи'!J1190*Законод!$F$11+'01_Доходи'!K1190*Законод!$G$11,0)))</f>
        <v>0</v>
      </c>
      <c r="AO1190" s="210">
        <f ca="1">IF(B1185="Лікар загальної практики - сімейний лікар",N1190*Законод!$C$11+'01_Доходи'!O1190*Законод!$D$11+'01_Доходи'!P1190*Законод!$E$11+'01_Доходи'!Q1190*Законод!$F$11+'01_Доходи'!R1190*Законод!$G$11,IF(B1185="Лікар-педіатр",N1190*Законод!$C$11+'01_Доходи'!O1190*Законод!$D$11,IF(B1185="Лікар-терапевт",'01_Доходи'!P1190*Законод!$E$11+'01_Доходи'!Q1190*Законод!$F$11+'01_Доходи'!R1190*Законод!$G$11,0)))</f>
        <v>0</v>
      </c>
      <c r="AP1190" s="210">
        <f ca="1">IF(B1185="Лікар загальної практики - сімейний лікар",U1190*Законод!$C$11+'01_Доходи'!V1190*Законод!$D$11+'01_Доходи'!W1190*Законод!$E$11+'01_Доходи'!X1190*Законод!$F$11+'01_Доходи'!Y1190*Законод!$G$11,IF(B1185="Лікар-педіатр",U1190*Законод!$C$11+'01_Доходи'!V1190*Законод!$D$11,IF(B1185="Лікар-терапевт",'01_Доходи'!W1190*Законод!$E$11+'01_Доходи'!X1190*Законод!$F$11+'01_Доходи'!Y1190*Законод!$G$11,0)))</f>
        <v>0</v>
      </c>
      <c r="AQ1190" s="210">
        <f ca="1">IF(B1185="Лікар загальної практики - сімейний лікар",AB1190*Законод!$C$11+'01_Доходи'!AC1190*Законод!$D$11+'01_Доходи'!AD1190*Законод!$E$11+'01_Доходи'!AE1190*Законод!$F$11+'01_Доходи'!AF1190*Законод!$G$11,IF(B1185="Лікар-педіатр",AB1190*Законод!$C$11+'01_Доходи'!AC1190*Законод!$D$11,IF(B1185="Лікар-терапевт",'01_Доходи'!AD1190*Законод!$E$11+'01_Доходи'!AE1190*Законод!$F$11+'01_Доходи'!AF1190*Законод!$G$11,0)))</f>
        <v>0</v>
      </c>
      <c r="AR1190" s="211">
        <f t="shared" ref="AR1190:AR1196" si="131">SUM(AN1190:AQ1190)</f>
        <v>0</v>
      </c>
    </row>
    <row r="1191" spans="1:44" s="50" customFormat="1" ht="31.9" hidden="1" customHeight="1">
      <c r="A1191" s="197"/>
      <c r="B1191" s="951"/>
      <c r="C1191" s="954"/>
      <c r="D1191" s="957"/>
      <c r="E1191" s="939"/>
      <c r="F1191" s="238" t="str">
        <f ca="1">IF(B1185="Лікар-педіатр",Законод!$E$17,IF(B1185="Лікар загальної практики - сімейний лікар",Законод!$E$21,IF(B1185="Лікар-терапевт",Законод!$E$25,"х")))</f>
        <v>х</v>
      </c>
      <c r="G1191" s="935" t="s">
        <v>423</v>
      </c>
      <c r="H1191" s="936"/>
      <c r="I1191" s="936"/>
      <c r="J1191" s="936"/>
      <c r="K1191" s="937"/>
      <c r="L1191" s="196">
        <f ca="1">IF($B$1185="Лікар загальної практики - сімейний лікар",IF(L1189&lt;Законод!$C$22,0,(IF(AND(L1189&gt;=Законод!$E$22,L1189&lt;=Законод!$E$23),L1189-Законод!$C$22,IF('01_Доходи'!L1189&gt;=Законод!$F$22,Законод!$E$24,0)))),IF($B$1185="Лікар-педіатр",IF(L1189&lt;Законод!$C$18,0,(IF(AND(L1189&gt;=Законод!$E$18,L1189&lt;=Законод!$E$19),L1189-Законод!$C$18,IF('01_Доходи'!L1189&gt;=Законод!$F$18,Законод!$E$20,0)))),IF($B$1185="Лікар-терапевт",IF(L1189&lt;Законод!$C$26,0,(IF(AND(L1189&gt;=Законод!$E$26,L1189&lt;=Законод!$E$27),L1189-Законод!$C$26,IF('01_Доходи'!L1189&gt;=Законод!$F$26,Законод!$E$28,0)))),0)))</f>
        <v>0</v>
      </c>
      <c r="M1191" s="942"/>
      <c r="N1191" s="935" t="s">
        <v>423</v>
      </c>
      <c r="O1191" s="936"/>
      <c r="P1191" s="936"/>
      <c r="Q1191" s="936"/>
      <c r="R1191" s="937"/>
      <c r="S1191" s="196">
        <f ca="1">IF($B$1172="Лікар загальної практики - сімейний лікар",IF(S1189&lt;Законод!$C$22,0,(IF(AND(S1189&gt;=Законод!$E$22,S1189&lt;=Законод!$E$23),S1189-Законод!$C$22,IF('01_Доходи'!S1189&gt;=Законод!$F$22,Законод!$E$24,0)))),IF($B$1172="Лікар-педіатр",IF(S1189&lt;Законод!$C$18,0,(IF(AND(S1189&gt;=Законод!$E$18,S1189&lt;=Законод!$E$19),S1189-Законод!$C$18,IF('01_Доходи'!S1189&gt;=Законод!$F$18,Законод!$E$20,0)))),IF($B$1172="Лікар-терапевт",IF(S1189&lt;Законод!$C$26,0,(IF(AND(S1189&gt;=Законод!$E$26,S1189&lt;=Законод!$E$27),S1189-Законод!$C$26,IF('01_Доходи'!S1189&gt;=Законод!$F$26,Законод!$E$28,0)))),0)))</f>
        <v>0</v>
      </c>
      <c r="T1191" s="942"/>
      <c r="U1191" s="935" t="s">
        <v>423</v>
      </c>
      <c r="V1191" s="936"/>
      <c r="W1191" s="936"/>
      <c r="X1191" s="936"/>
      <c r="Y1191" s="937"/>
      <c r="Z1191" s="196">
        <f ca="1">IF($B$1172="Лікар загальної практики - сімейний лікар",IF(Z1189&lt;Законод!$C$22,0,(IF(AND(Z1189&gt;=Законод!$E$22,Z1189&lt;=Законод!$E$23),Z1189-Законод!$C$22,IF('01_Доходи'!Z1189&gt;=Законод!$F$22,Законод!$E$24,0)))),IF($B$1172="Лікар-педіатр",IF(Z1189&lt;Законод!$C$18,0,(IF(AND(Z1189&gt;=Законод!$E$18,Z1189&lt;=Законод!$E$19),Z1189-Законод!$C$18,IF('01_Доходи'!Z1189&gt;=Законод!$F$18,Законод!$E$20,0)))),IF($B$1172="Лікар-терапевт",IF(Z1189&lt;Законод!$C$26,0,(IF(AND(Z1189&gt;=Законод!$E$26,Z1189&lt;=Законод!$E$27),Z1189-Законод!$C$26,IF('01_Доходи'!Z1189&gt;=Законод!$F$26,Законод!$E$28,0)))),0)))</f>
        <v>0</v>
      </c>
      <c r="AA1191" s="942"/>
      <c r="AB1191" s="935" t="s">
        <v>423</v>
      </c>
      <c r="AC1191" s="936"/>
      <c r="AD1191" s="936"/>
      <c r="AE1191" s="936"/>
      <c r="AF1191" s="937"/>
      <c r="AG1191" s="196">
        <f ca="1">IF($B$1172="Лікар загальної практики - сімейний лікар",IF(AG1189&lt;Законод!$C$22,0,(IF(AND(AG1189&gt;=Законод!$E$22,AG1189&lt;=Законод!$E$23),AG1189-Законод!$C$22,IF('01_Доходи'!AG1189&gt;=Законод!$F$22,Законод!$E$24,0)))),IF($B$1172="Лікар-педіатр",IF(AG1189&lt;Законод!$C$18,0,(IF(AND(AG1189&gt;=Законод!$E$18,AG1189&lt;=Законод!$E$19),AG1189-Законод!$C$18,IF('01_Доходи'!AG1189&gt;=Законод!$F$18,Законод!$E$20,0)))),IF($B$1172="Лікар-терапевт",IF(AG1189&lt;Законод!$C$26,0,(IF(AND(AG1189&gt;=Законод!$E$26,AG1189&lt;=Законод!$E$27),AG1189-Законод!$C$26,IF('01_Доходи'!AG1189&gt;=Законод!$F$26,Законод!$E$28,0)))),0)))</f>
        <v>0</v>
      </c>
      <c r="AH1191" s="942"/>
      <c r="AI1191" s="201"/>
      <c r="AJ1191" s="945"/>
      <c r="AK1191" s="960"/>
      <c r="AL1191" s="960"/>
      <c r="AM1191" s="926" t="s">
        <v>452</v>
      </c>
      <c r="AN1191" s="210">
        <f ca="1">IF(B1185="Лікар загальної практики - сімейний лікар",L1191*Законод!$C$9/4*Законод!$E$16,IF(B1185="Лікар-педіатр",L1191*Законод!$C$9/4*Законод!$E$16,IF(B1185="Лікар-терапевт",L1191*Законод!$C$9/4*Законод!$E$16,0)))</f>
        <v>0</v>
      </c>
      <c r="AO1191" s="210">
        <f ca="1">IF(B1185="Лікар загальної практики - сімейний лікар",S1191*Законод!$C$9/4*Законод!$E$16,IF(B1185="Лікар-педіатр",S1191*Законод!$C$9/4*Законод!$E$16,IF(B1185="Лікар-терапевт",S1191*Законод!$C$9/4*Законод!$E$16,0)))</f>
        <v>0</v>
      </c>
      <c r="AP1191" s="210">
        <f ca="1">IF(B1185="Лікар загальної практики - сімейний лікар",Z1191*Законод!$C$9/4*Законод!$E$16,IF(B1185="Лікар-педіатр",Z1191*Законод!$C$9/4*Законод!$E$16,IF(B1185="Лікар-терапевт",Z1191*Законод!$C$9/4*Законод!$E$16,0)))</f>
        <v>0</v>
      </c>
      <c r="AQ1191" s="210">
        <f ca="1">IF(B1185="Лікар загальної практики - сімейний лікар",AG1191*Законод!$C$9/4*Законод!$E$16,IF(B1185="Лікар-педіатр",AG1191*Законод!$C$9/4*Законод!$E$16,IF(B1185="Лікар-терапевт",AG1191*Законод!$C$9/4*Законод!$E$16,0)))</f>
        <v>0</v>
      </c>
      <c r="AR1191" s="211">
        <f t="shared" si="131"/>
        <v>0</v>
      </c>
    </row>
    <row r="1192" spans="1:44" s="50" customFormat="1" ht="31.9" hidden="1" customHeight="1">
      <c r="A1192" s="197"/>
      <c r="B1192" s="951"/>
      <c r="C1192" s="954"/>
      <c r="D1192" s="957"/>
      <c r="E1192" s="939"/>
      <c r="F1192" s="238" t="str">
        <f ca="1">IF(B1185="Лікар-педіатр",Законод!$F$17,IF(B1185="Лікар загальної практики - сімейний лікар",Законод!$F$21,IF(B1185="Лікар-терапевт",Законод!$F$25,"х")))</f>
        <v>х</v>
      </c>
      <c r="G1192" s="935" t="s">
        <v>423</v>
      </c>
      <c r="H1192" s="936"/>
      <c r="I1192" s="936"/>
      <c r="J1192" s="936"/>
      <c r="K1192" s="937"/>
      <c r="L1192" s="196">
        <f ca="1">IF($B$1185="Лікар загальної практики - сімейний лікар",IF(L1189&lt;Законод!$C$22,0,(IF(AND(L1189&gt;=Законод!$F$22,L1189&lt;=Законод!$F$23),L1189-Законод!$E$23,IF('01_Доходи'!L1189&gt;=Законод!$G$22,Законод!$F$24,0)))),IF($B$1185="Лікар-педіатр",IF(L1189&lt;Законод!$C$18,0,(IF(AND(L1189&gt;=Законод!$F$18,L1189&lt;=Законод!$F$19),L1189-Законод!$E$19,IF('01_Доходи'!L1189&gt;=Законод!$G$18,Законод!$F$20,0)))),IF($B$1185="Лікар-терапевт",IF(L1189&lt;Законод!$C$26,0,(IF(AND(L1189&gt;=Законод!$F$26,L1189&lt;=Законод!$F$27),L1189-Законод!$E$27,IF('01_Доходи'!L1189&gt;=Законод!$G$26,Законод!$F$28,0)))),0)))</f>
        <v>0</v>
      </c>
      <c r="M1192" s="942"/>
      <c r="N1192" s="935" t="s">
        <v>423</v>
      </c>
      <c r="O1192" s="936"/>
      <c r="P1192" s="936"/>
      <c r="Q1192" s="936"/>
      <c r="R1192" s="937"/>
      <c r="S1192" s="196">
        <f ca="1">IF($B$1172="Лікар загальної практики - сімейний лікар",IF(S1189&lt;Законод!$C$22,0,(IF(AND(S1189&gt;=Законод!$F$22,S1189&lt;=Законод!$F$23),S1189-Законод!$E$23,IF('01_Доходи'!S1189&gt;=Законод!$G$22,Законод!$F$24,0)))),IF($B$1172="Лікар-педіатр",IF(S1189&lt;Законод!$C$18,0,(IF(AND(S1189&gt;=Законод!$F$18,S1189&lt;=Законод!$F$19),S1189-Законод!$E$19,IF('01_Доходи'!S1189&gt;=Законод!$G$18,Законод!$F$20,0)))),IF($B$1172="Лікар-терапевт",IF(S1189&lt;Законод!$C$26,0,(IF(AND(S1189&gt;=Законод!$F$26,S1189&lt;=Законод!$F$27),S1189-Законод!$E$27,IF('01_Доходи'!S1189&gt;=Законод!$G$26,Законод!$F$28,0)))),0)))</f>
        <v>0</v>
      </c>
      <c r="T1192" s="942"/>
      <c r="U1192" s="935" t="s">
        <v>423</v>
      </c>
      <c r="V1192" s="936"/>
      <c r="W1192" s="936"/>
      <c r="X1192" s="936"/>
      <c r="Y1192" s="937"/>
      <c r="Z1192" s="196">
        <f ca="1">IF($B$1172="Лікар загальної практики - сімейний лікар",IF(Z1189&lt;Законод!$C$22,0,(IF(AND(Z1189&gt;=Законод!$F$22,Z1189&lt;=Законод!$F$23),Z1189-Законод!$E$23,IF('01_Доходи'!Z1189&gt;=Законод!$G$22,Законод!$F$24,0)))),IF($B$1172="Лікар-педіатр",IF(Z1189&lt;Законод!$C$18,0,(IF(AND(Z1189&gt;=Законод!$F$18,Z1189&lt;=Законод!$F$19),Z1189-Законод!$E$19,IF('01_Доходи'!Z1189&gt;=Законод!$G$18,Законод!$F$20,0)))),IF($B$1172="Лікар-терапевт",IF(Z1189&lt;Законод!$C$26,0,(IF(AND(Z1189&gt;=Законод!$F$26,Z1189&lt;=Законод!$F$27),Z1189-Законод!$E$27,IF('01_Доходи'!Z1189&gt;=Законод!$G$26,Законод!$F$28,0)))),0)))</f>
        <v>0</v>
      </c>
      <c r="AA1192" s="942"/>
      <c r="AB1192" s="935" t="s">
        <v>423</v>
      </c>
      <c r="AC1192" s="936"/>
      <c r="AD1192" s="936"/>
      <c r="AE1192" s="936"/>
      <c r="AF1192" s="937"/>
      <c r="AG1192" s="196">
        <f ca="1">IF($B$1172="Лікар загальної практики - сімейний лікар",IF(AG1189&lt;Законод!$C$22,0,(IF(AND(AG1189&gt;=Законод!$F$22,AG1189&lt;=Законод!$F$23),AG1189-Законод!$E$23,IF('01_Доходи'!AG1189&gt;=Законод!$G$22,Законод!$F$24,0)))),IF($B$1172="Лікар-педіатр",IF(AG1189&lt;Законод!$C$18,0,(IF(AND(AG1189&gt;=Законод!$F$18,AG1189&lt;=Законод!$F$19),AG1189-Законод!$E$19,IF('01_Доходи'!AG1189&gt;=Законод!$G$18,Законод!$F$20,0)))),IF($B$1172="Лікар-терапевт",IF(AG1189&lt;Законод!$C$26,0,(IF(AND(AG1189&gt;=Законод!$F$26,AG1189&lt;=Законод!$F$27),AG1189-Законод!$E$27,IF('01_Доходи'!AG1189&gt;=Законод!$G$26,Законод!$F$28,0)))),0)))</f>
        <v>0</v>
      </c>
      <c r="AH1192" s="942"/>
      <c r="AI1192" s="201"/>
      <c r="AJ1192" s="945"/>
      <c r="AK1192" s="960"/>
      <c r="AL1192" s="960"/>
      <c r="AM1192" s="927"/>
      <c r="AN1192" s="210">
        <f ca="1">IF(B1185="Лікар загальної практики - сімейний лікар",L1192*Законод!$C$9/4*Законод!$F$16,IF(B1185="Лікар-педіатр",L1192*Законод!$C$9/4*Законод!$F$16,IF(B1185="Лікар-терапевт",L1192*Законод!$C$9/4*Законод!$F$16,0)))</f>
        <v>0</v>
      </c>
      <c r="AO1192" s="210">
        <f ca="1">IF(B1185="Лікар загальної практики - сімейний лікар",S1192*Законод!$C$9/4*Законод!$F$16,IF(B1185="Лікар-педіатр",S1192*Законод!$C$9/4*Законод!$F$16,IF(B1185="Лікар-терапевт",S1192*Законод!$C$9/4*Законод!$F$16,0)))</f>
        <v>0</v>
      </c>
      <c r="AP1192" s="210">
        <f ca="1">IF(B1185="Лікар загальної практики - сімейний лікар",Z1192*Законод!$C$9/4*Законод!$F$16,IF(B1185="Лікар-педіатр",Z1192*Законод!$C$9/4*Законод!$F$16,IF(B1185="Лікар-терапевт",Z1192*Законод!$C$9/4*Законод!$F$16,0)))</f>
        <v>0</v>
      </c>
      <c r="AQ1192" s="210">
        <f ca="1">IF(B1185="Лікар загальної практики - сімейний лікар",AG1192*Законод!$C$9/4*Законод!$F$16,IF(B1185="Лікар-педіатр",AG1192*Законод!$C$9/4*Законод!$F$16,IF(B1185="Лікар-терапевт",AG1192*Законод!$C$9/4*Законод!$F$16,0)))</f>
        <v>0</v>
      </c>
      <c r="AR1192" s="211">
        <f t="shared" si="131"/>
        <v>0</v>
      </c>
    </row>
    <row r="1193" spans="1:44" s="50" customFormat="1" ht="31.9" hidden="1" customHeight="1">
      <c r="A1193" s="197"/>
      <c r="B1193" s="951"/>
      <c r="C1193" s="954"/>
      <c r="D1193" s="957"/>
      <c r="E1193" s="939"/>
      <c r="F1193" s="238" t="str">
        <f ca="1">IF(B1185="Лікар-педіатр",Законод!$G$17,IF(B1185="Лікар загальної практики - сімейний лікар",Законод!$G$21,IF(B1185="Лікар-терапевт",Законод!$G$25,"х")))</f>
        <v>х</v>
      </c>
      <c r="G1193" s="935" t="s">
        <v>423</v>
      </c>
      <c r="H1193" s="936"/>
      <c r="I1193" s="936"/>
      <c r="J1193" s="936"/>
      <c r="K1193" s="937"/>
      <c r="L1193" s="196">
        <f ca="1">IF($B$1185="Лікар загальної практики - сімейний лікар",IF(L1189&lt;Законод!$C$22,0,(IF(AND(L1189&gt;=Законод!$G$22,L1189&lt;=Законод!$G$23),L1189-Законод!$F$23,IF('01_Доходи'!L1189&gt;=Законод!$H$22,Законод!$G$24,0)))),IF($B$1185="Лікар-педіатр",IF(L1189&lt;Законод!$C$18,0,(IF(AND(L1189&gt;=Законод!$G$18,L1189&lt;=Законод!$G$19),L1189-Законод!$F$19,IF('01_Доходи'!L1189&gt;=Законод!$H$18,Законод!$G$20,0)))),IF($B$1185="Лікар-терапевт",IF(L1189&lt;Законод!$C$26,0,(IF(AND(L1189&gt;=Законод!$G$26,L1189&lt;=Законод!$G$27),L1189-Законод!$F$27,IF('01_Доходи'!L1189&gt;=Законод!$H$26,Законод!$G$28,0)))),0)))</f>
        <v>0</v>
      </c>
      <c r="M1193" s="942"/>
      <c r="N1193" s="935" t="s">
        <v>423</v>
      </c>
      <c r="O1193" s="936"/>
      <c r="P1193" s="936"/>
      <c r="Q1193" s="936"/>
      <c r="R1193" s="937"/>
      <c r="S1193" s="196">
        <f ca="1">IF($B$1172="Лікар загальної практики - сімейний лікар",IF(S1189&lt;Законод!$C$22,0,(IF(AND(S1189&gt;=Законод!$G$22,S1189&lt;=Законод!$G$23),S1189-Законод!$F$23,IF('01_Доходи'!S1189&gt;=Законод!$H$22,Законод!$G$24,0)))),IF($B$1172="Лікар-педіатр",IF(S1189&lt;Законод!$C$18,0,(IF(AND(S1189&gt;=Законод!$G$18,S1189&lt;=Законод!$G$19),S1189-Законод!$F$19,IF('01_Доходи'!S1189&gt;=Законод!$H$18,Законод!$G$20,0)))),IF($B$1172="Лікар-терапевт",IF(S1189&lt;Законод!$C$26,0,(IF(AND(S1189&gt;=Законод!$G$26,S1189&lt;=Законод!$G$27),S1189-Законод!$F$27,IF('01_Доходи'!S1189&gt;=Законод!$H$26,Законод!$G$28,0)))),0)))</f>
        <v>0</v>
      </c>
      <c r="T1193" s="942"/>
      <c r="U1193" s="935" t="s">
        <v>423</v>
      </c>
      <c r="V1193" s="936"/>
      <c r="W1193" s="936"/>
      <c r="X1193" s="936"/>
      <c r="Y1193" s="937"/>
      <c r="Z1193" s="196">
        <f ca="1">IF($B$1172="Лікар загальної практики - сімейний лікар",IF(Z1189&lt;Законод!$C$22,0,(IF(AND(Z1189&gt;=Законод!$G$22,Z1189&lt;=Законод!$G$23),Z1189-Законод!$F$23,IF('01_Доходи'!Z1189&gt;=Законод!$H$22,Законод!$G$24,0)))),IF($B$1172="Лікар-педіатр",IF(Z1189&lt;Законод!$C$18,0,(IF(AND(Z1189&gt;=Законод!$G$18,Z1189&lt;=Законод!$G$19),Z1189-Законод!$F$19,IF('01_Доходи'!Z1189&gt;=Законод!$H$18,Законод!$G$20,0)))),IF($B$1172="Лікар-терапевт",IF(Z1189&lt;Законод!$C$26,0,(IF(AND(Z1189&gt;=Законод!$G$26,Z1189&lt;=Законод!$G$27),Z1189-Законод!$F$27,IF('01_Доходи'!Z1189&gt;=Законод!$H$26,Законод!$G$28,0)))),0)))</f>
        <v>0</v>
      </c>
      <c r="AA1193" s="942"/>
      <c r="AB1193" s="935" t="s">
        <v>423</v>
      </c>
      <c r="AC1193" s="936"/>
      <c r="AD1193" s="936"/>
      <c r="AE1193" s="936"/>
      <c r="AF1193" s="937"/>
      <c r="AG1193" s="196">
        <f ca="1">IF($B$1172="Лікар загальної практики - сімейний лікар",IF(AG1189&lt;Законод!$C$22,0,(IF(AND(AG1189&gt;=Законод!$G$22,AG1189&lt;=Законод!$G$23),AG1189-Законод!$F$23,IF('01_Доходи'!AG1189&gt;=Законод!$H$22,Законод!$G$24,0)))),IF($B$1172="Лікар-педіатр",IF(AG1189&lt;Законод!$C$18,0,(IF(AND(AG1189&gt;=Законод!$G$18,AG1189&lt;=Законод!$G$19),AG1189-Законод!$F$19,IF('01_Доходи'!AG1189&gt;=Законод!$H$18,Законод!$G$20,0)))),IF($B$1172="Лікар-терапевт",IF(AG1189&lt;Законод!$C$26,0,(IF(AND(AG1189&gt;=Законод!$G$26,AG1189&lt;=Законод!$G$27),AG1189-Законод!$F$27,IF('01_Доходи'!AG1189&gt;=Законод!$H$26,Законод!$G$28,0)))),0)))</f>
        <v>0</v>
      </c>
      <c r="AH1193" s="942"/>
      <c r="AI1193" s="201"/>
      <c r="AJ1193" s="945"/>
      <c r="AK1193" s="960"/>
      <c r="AL1193" s="960"/>
      <c r="AM1193" s="927"/>
      <c r="AN1193" s="210">
        <f ca="1">IF(B1185="Лікар загальної практики - сімейний лікар",L1193*Законод!$C$9/4*Законод!$G$16,IF(B1185="Лікар-педіатр",L1193*Законод!$C$9/4*Законод!$G$16,IF(B1185="Лікар-терапевт",L1193*Законод!$C$9/4*Законод!$G$16,0)))</f>
        <v>0</v>
      </c>
      <c r="AO1193" s="210">
        <f ca="1">IF(B1185="Лікар загальної практики - сімейний лікар",S1193*Законод!$C$9/4*Законод!$G$16,IF(B1185="Лікар-педіатр",S1193*Законод!$C$9/4*Законод!$G$16,IF(B1185="Лікар-терапевт",S1193*Законод!$C$9/4*Законод!$G$16,0)))</f>
        <v>0</v>
      </c>
      <c r="AP1193" s="210">
        <f ca="1">IF(B1185="Лікар загальної практики - сімейний лікар",Z1193*Законод!$C$9/4*Законод!$G$16,IF(B1185="Лікар-педіатр",Z1193*Законод!$C$9/4*Законод!$G$16,IF(B1185="Лікар-терапевт",Z1193*Законод!$C$9/4*Законод!$G$16,0)))</f>
        <v>0</v>
      </c>
      <c r="AQ1193" s="210">
        <f ca="1">IF(B1185="Лікар загальної практики - сімейний лікар",AG1193*Законод!$C$9/4*Законод!$G$16,IF(B1185="Лікар-педіатр",AG1193*Законод!$C$9/4*Законод!$G$16,IF(B1185="Лікар-терапевт",AG1193*Законод!$C$9/4*Законод!$G$16,0)))</f>
        <v>0</v>
      </c>
      <c r="AR1193" s="211">
        <f t="shared" si="131"/>
        <v>0</v>
      </c>
    </row>
    <row r="1194" spans="1:44" s="50" customFormat="1" ht="31.9" hidden="1" customHeight="1">
      <c r="A1194" s="197"/>
      <c r="B1194" s="951"/>
      <c r="C1194" s="954"/>
      <c r="D1194" s="957"/>
      <c r="E1194" s="939"/>
      <c r="F1194" s="238" t="str">
        <f ca="1">IF(B1185="Лікар-педіатр",Законод!$H$17,IF(B1185="Лікар загальної практики - сімейний лікар",Законод!$H$21,IF(B1185="Лікар-терапевт",Законод!$H$25,"х")))</f>
        <v>х</v>
      </c>
      <c r="G1194" s="935" t="s">
        <v>423</v>
      </c>
      <c r="H1194" s="936"/>
      <c r="I1194" s="936"/>
      <c r="J1194" s="936"/>
      <c r="K1194" s="937"/>
      <c r="L1194" s="196">
        <f ca="1">IF($B$1185="Лікар загальної практики - сімейний лікар",IF(L1189&lt;Законод!$C$22,0,(IF(AND(L1189&gt;=Законод!$H$22,L1189&lt;=Законод!$H$23),L1189-Законод!$G$23,IF('01_Доходи'!L1189&gt;=Законод!$I$22,Законод!$H$24,0)))),IF($B$1185="Лікар-педіатр",IF(L1189&lt;Законод!$C$18,0,(IF(AND(L1189&gt;=Законод!$H$18,L1189&lt;=Законод!$H$19),L1189-Законод!$G$19,IF('01_Доходи'!L1189&gt;=Законод!$I$18,Законод!$H$20,0)))),IF($B$1185="Лікар-терапевт",IF(L1189&lt;Законод!$C$26,0,(IF(AND(L1189&gt;=Законод!$H$26,L1189&lt;=Законод!$H$27),L1189-Законод!$G$27,IF(L1189&gt;=Законод!$I$26,Законод!$H$28,0)))),0)))</f>
        <v>0</v>
      </c>
      <c r="M1194" s="942"/>
      <c r="N1194" s="935" t="s">
        <v>423</v>
      </c>
      <c r="O1194" s="936"/>
      <c r="P1194" s="936"/>
      <c r="Q1194" s="936"/>
      <c r="R1194" s="937"/>
      <c r="S1194" s="196">
        <f ca="1">IF($B$1172="Лікар загальної практики - сімейний лікар",IF(S1189&lt;Законод!$C$22,0,(IF(AND(S1189&gt;=Законод!$H$22,S1189&lt;=Законод!$H$23),S1189-Законод!$G$23,IF('01_Доходи'!S1189&gt;=Законод!$I$22,Законод!$H$24,0)))),IF($B$1172="Лікар-педіатр",IF(S1189&lt;Законод!$C$18,0,(IF(AND(S1189&gt;=Законод!$H$18,S1189&lt;=Законод!$H$19),S1189-Законод!$G$19,IF('01_Доходи'!S1189&gt;=Законод!$I$18,Законод!$H$20,0)))),IF($B$1172="Лікар-терапевт",IF(S1189&lt;Законод!$C$26,0,(IF(AND(S1189&gt;=Законод!$H$26,S1189&lt;=Законод!$H$27),S1189-Законод!$G$27,IF(S1189&gt;=Законод!$I$26,Законод!$H$28,0)))),0)))</f>
        <v>0</v>
      </c>
      <c r="T1194" s="942"/>
      <c r="U1194" s="935" t="s">
        <v>423</v>
      </c>
      <c r="V1194" s="936"/>
      <c r="W1194" s="936"/>
      <c r="X1194" s="936"/>
      <c r="Y1194" s="937"/>
      <c r="Z1194" s="196">
        <f ca="1">IF($B$1172="Лікар загальної практики - сімейний лікар",IF(Z1189&lt;Законод!$C$22,0,(IF(AND(Z1189&gt;=Законод!$H$22,Z1189&lt;=Законод!$H$23),Z1189-Законод!$G$23,IF('01_Доходи'!Z1189&gt;=Законод!$I$22,Законод!$H$24,0)))),IF($B$1172="Лікар-педіатр",IF(Z1189&lt;Законод!$C$18,0,(IF(AND(Z1189&gt;=Законод!$H$18,Z1189&lt;=Законод!$H$19),Z1189-Законод!$G$19,IF('01_Доходи'!Z1189&gt;=Законод!$I$18,Законод!$H$20,0)))),IF($B$1172="Лікар-терапевт",IF(Z1189&lt;Законод!$C$26,0,(IF(AND(Z1189&gt;=Законод!$H$26,Z1189&lt;=Законод!$H$27),Z1189-Законод!$G$27,IF(Z1189&gt;=Законод!$I$26,Законод!$H$28,0)))),0)))</f>
        <v>0</v>
      </c>
      <c r="AA1194" s="942"/>
      <c r="AB1194" s="935" t="s">
        <v>423</v>
      </c>
      <c r="AC1194" s="936"/>
      <c r="AD1194" s="936"/>
      <c r="AE1194" s="936"/>
      <c r="AF1194" s="937"/>
      <c r="AG1194" s="196">
        <f ca="1">IF($B$1172="Лікар загальної практики - сімейний лікар",IF(AG1189&lt;Законод!$C$22,0,(IF(AND(AG1189&gt;=Законод!$H$22,AG1189&lt;=Законод!$H$23),AG1189-Законод!$G$23,IF('01_Доходи'!AG1189&gt;=Законод!$I$22,Законод!$H$24,0)))),IF($B$1172="Лікар-педіатр",IF(AG1189&lt;Законод!$C$18,0,(IF(AND(AG1189&gt;=Законод!$H$18,AG1189&lt;=Законод!$H$19),AG1189-Законод!$G$19,IF('01_Доходи'!AG1189&gt;=Законод!$I$18,Законод!$H$20,0)))),IF($B$1172="Лікар-терапевт",IF(AG1189&lt;Законод!$C$26,0,(IF(AND(AG1189&gt;=Законод!$H$26,AG1189&lt;=Законод!$H$27),AG1189-Законод!$G$27,IF(AG1189&gt;=Законод!$I$26,Законод!$H$28,0)))),0)))</f>
        <v>0</v>
      </c>
      <c r="AH1194" s="942"/>
      <c r="AI1194" s="201"/>
      <c r="AJ1194" s="945"/>
      <c r="AK1194" s="960"/>
      <c r="AL1194" s="960"/>
      <c r="AM1194" s="927"/>
      <c r="AN1194" s="210">
        <f ca="1">IF(B1185="Лікар загальної практики - сімейний лікар",L1194*Законод!$C$9/4*Законод!$H$16,IF(B1185="Лікар-педіатр",L1194*Законод!$C$9/4*Законод!$H$16,IF(B1185="Лікар-терапевт",L1194*Законод!$C$9/4*Законод!$H$16,0)))</f>
        <v>0</v>
      </c>
      <c r="AO1194" s="210">
        <f ca="1">IF(B1185="Лікар загальної практики - сімейний лікар",S1194*Законод!$C$9/4*Законод!$H$16,IF(B1185="Лікар-педіатр",S1194*Законод!$C$9/4*Законод!$H$16,IF(B1185="Лікар-терапевт",S1194*Законод!$C$9/4*Законод!$H$16,0)))</f>
        <v>0</v>
      </c>
      <c r="AP1194" s="210">
        <f ca="1">IF(B1185="Лікар загальної практики - сімейний лікар",Z1194*Законод!$C$9/4*Законод!$H$16,IF(B1185="Лікар-педіатр",Z1194*Законод!$C$9/4*Законод!$H$16,IF(B1185="Лікар-терапевт",Z1194*Законод!$C$9/4*Законод!$H$16,0)))</f>
        <v>0</v>
      </c>
      <c r="AQ1194" s="210">
        <f ca="1">IF(B1185="Лікар загальної практики - сімейний лікар",AG1194*Законод!$C$9/4*Законод!$H$16,IF(B1185="Лікар-педіатр",AG1194*Законод!$C$9/4*Законод!$H$16,IF(B1185="Лікар-терапевт",AG1194*Законод!$C$9/4*Законод!$H$16,0)))</f>
        <v>0</v>
      </c>
      <c r="AR1194" s="211">
        <f t="shared" si="131"/>
        <v>0</v>
      </c>
    </row>
    <row r="1195" spans="1:44" s="50" customFormat="1" ht="31.9" hidden="1" customHeight="1">
      <c r="A1195" s="197"/>
      <c r="B1195" s="951"/>
      <c r="C1195" s="954"/>
      <c r="D1195" s="957"/>
      <c r="E1195" s="939"/>
      <c r="F1195" s="238" t="str">
        <f ca="1">IF(B1185="Лікар-педіатр",Законод!$I$17,IF(B1185="Лікар загальної практики - сімейний лікар",Законод!$I$21,IF(B1185="Лікар-терапевт",Законод!$I$25,"х")))</f>
        <v>х</v>
      </c>
      <c r="G1195" s="935" t="s">
        <v>423</v>
      </c>
      <c r="H1195" s="936"/>
      <c r="I1195" s="936"/>
      <c r="J1195" s="936"/>
      <c r="K1195" s="937"/>
      <c r="L1195" s="196">
        <f ca="1">IF($B$1185="Лікар загальної практики - сімейний лікар",IF(L1189&lt;Законод!$C$22,0,(IF(AND(L1189&gt;=Законод!$I$22,L1189&lt;=Законод!$I$23),L1189-Законод!$H$23,IF('01_Доходи'!L1189&gt;=Законод!$I$22,Законод!$I$24,0)))),IF($B$1185="Лікар-педіатр",IF(L1189&lt;Законод!$C$18,0,(IF(AND(L1189&gt;=Законод!$I$18,L1189&lt;=Законод!$I$19),L1189-Законод!$H$19,IF('01_Доходи'!L1189&gt;=Законод!$I$18,Законод!$H$20,0)))),IF($B$1185="Лікар-терапевт",IF(L1189&lt;Законод!$C$26,0,(IF(AND(L1189&gt;=Законод!$I$26,L1189&lt;=Законод!$I$27),L1189-Законод!$H$27,IF('01_Доходи'!L1189&gt;=Законод!$I$26,Законод!$H$28,0)))),0)))</f>
        <v>0</v>
      </c>
      <c r="M1195" s="942"/>
      <c r="N1195" s="935" t="s">
        <v>423</v>
      </c>
      <c r="O1195" s="936"/>
      <c r="P1195" s="936"/>
      <c r="Q1195" s="936"/>
      <c r="R1195" s="937"/>
      <c r="S1195" s="196">
        <f ca="1">IF($B$1172="Лікар загальної практики - сімейний лікар",IF(S1189&lt;Законод!$C$22,0,(IF(AND(S1189&gt;=Законод!$I$22,S1189&lt;=Законод!$I$23),S1189-Законод!$H$23,IF('01_Доходи'!S1189&gt;=Законод!$I$22,Законод!$I$24,0)))),IF($B$1172="Лікар-педіатр",IF(S1189&lt;Законод!$C$18,0,(IF(AND(S1189&gt;=Законод!$I$18,S1189&lt;=Законод!$I$19),S1189-Законод!$H$19,IF('01_Доходи'!S1189&gt;=Законод!$I$18,Законод!$H$20,0)))),IF($B$1172="Лікар-терапевт",IF(S1189&lt;Законод!$C$26,0,(IF(AND(S1189&gt;=Законод!$I$26,S1189&lt;=Законод!$I$27),S1189-Законод!$H$27,IF('01_Доходи'!S1189&gt;=Законод!$I$26,Законод!$H$28,0)))),0)))</f>
        <v>0</v>
      </c>
      <c r="T1195" s="942"/>
      <c r="U1195" s="935" t="s">
        <v>423</v>
      </c>
      <c r="V1195" s="936"/>
      <c r="W1195" s="936"/>
      <c r="X1195" s="936"/>
      <c r="Y1195" s="937"/>
      <c r="Z1195" s="196">
        <f ca="1">IF($B$1172="Лікар загальної практики - сімейний лікар",IF(Z1189&lt;Законод!$C$22,0,(IF(AND(Z1189&gt;=Законод!$I$22,Z1189&lt;=Законод!$I$23),Z1189-Законод!$H$23,IF('01_Доходи'!Z1189&gt;=Законод!$I$22,Законод!$I$24,0)))),IF($B$1172="Лікар-педіатр",IF(Z1189&lt;Законод!$C$18,0,(IF(AND(Z1189&gt;=Законод!$I$18,Z1189&lt;=Законод!$I$19),Z1189-Законод!$H$19,IF('01_Доходи'!Z1189&gt;=Законод!$I$18,Законод!$H$20,0)))),IF($B$1172="Лікар-терапевт",IF(Z1189&lt;Законод!$C$26,0,(IF(AND(Z1189&gt;=Законод!$I$26,Z1189&lt;=Законод!$I$27),Z1189-Законод!$H$27,IF('01_Доходи'!Z1189&gt;=Законод!$I$26,Законод!$H$28,0)))),0)))</f>
        <v>0</v>
      </c>
      <c r="AA1195" s="942"/>
      <c r="AB1195" s="935" t="s">
        <v>423</v>
      </c>
      <c r="AC1195" s="936"/>
      <c r="AD1195" s="936"/>
      <c r="AE1195" s="936"/>
      <c r="AF1195" s="937"/>
      <c r="AG1195" s="196">
        <f ca="1">IF($B$1172="Лікар загальної практики - сімейний лікар",IF(AG1189&lt;Законод!$C$22,0,(IF(AND(AG1189&gt;=Законод!$I$22,AG1189&lt;=Законод!$I$23),AG1189-Законод!$H$23,IF('01_Доходи'!AG1189&gt;=Законод!$I$22,Законод!$I$24,0)))),IF($B$1172="Лікар-педіатр",IF(AG1189&lt;Законод!$C$18,0,(IF(AND(AG1189&gt;=Законод!$I$18,AG1189&lt;=Законод!$I$19),AG1189-Законод!$H$19,IF('01_Доходи'!AG1189&gt;=Законод!$I$18,Законод!$H$20,0)))),IF($B$1172="Лікар-терапевт",IF(AG1189&lt;Законод!$C$26,0,(IF(AND(AG1189&gt;=Законод!$I$26,AG1189&lt;=Законод!$I$27),AG1189-Законод!$H$27,IF('01_Доходи'!AG1189&gt;=Законод!$I$26,Законод!$H$28,0)))),0)))</f>
        <v>0</v>
      </c>
      <c r="AH1195" s="942"/>
      <c r="AI1195" s="201"/>
      <c r="AJ1195" s="945"/>
      <c r="AK1195" s="960"/>
      <c r="AL1195" s="960"/>
      <c r="AM1195" s="927"/>
      <c r="AN1195" s="210">
        <f ca="1">IF(B1185="Лікар загальної практики - сімейний лікар",L1195*Законод!$C$9/4*Законод!$I$16,IF(B1185="Лікар-педіатр",L1195*Законод!$C$9/4*Законод!$I$16,IF(B1185="Лікар-терапевт",L1195*Законод!$C$9/4*Законод!$I$16,0)))</f>
        <v>0</v>
      </c>
      <c r="AO1195" s="210">
        <f ca="1">IF(B1185="Лікар загальної практики - сімейний лікар",S1195*Законод!$C$9/4*Законод!$I$16,IF(B1185="Лікар-педіатр",S1195*Законод!$C$9/4*Законод!$I$16,IF(B1185="Лікар-терапевт",S1195*Законод!$C$9/4*Законод!$I$16,0)))</f>
        <v>0</v>
      </c>
      <c r="AP1195" s="210">
        <f ca="1">IF(B1185="Лікар загальної практики - сімейний лікар",Z1195*Законод!$C$9/4*Законод!$I$16,IF(B1185="Лікар-педіатр",Z1195*Законод!$C$9/4*Законод!$I$16,IF(B1185="Лікар-терапевт",Z1195*Законод!$C$9/4*Законод!$I$16,0)))</f>
        <v>0</v>
      </c>
      <c r="AQ1195" s="210">
        <f ca="1">IF(B1185="Лікар загальної практики - сімейний лікар",AG1195*Законод!$C$9/4*Законод!$I$16,IF(B1185="Лікар-педіатр",AG1195*Законод!$C$9/4*Законод!$I$16,IF(B1185="Лікар-терапевт",AG1195*Законод!$C$9/4*Законод!$I$16,0)))</f>
        <v>0</v>
      </c>
      <c r="AR1195" s="211">
        <f t="shared" si="131"/>
        <v>0</v>
      </c>
    </row>
    <row r="1196" spans="1:44" s="218" customFormat="1" ht="31.9" hidden="1" customHeight="1" thickBot="1">
      <c r="A1196" s="213"/>
      <c r="B1196" s="952"/>
      <c r="C1196" s="955"/>
      <c r="D1196" s="958"/>
      <c r="E1196" s="940"/>
      <c r="F1196" s="239" t="str">
        <f ca="1">IF(B1185="Лікар-педіатр",Законод!$J$17,IF(B1185="Лікар загальної практики - сімейний лікар",Законод!$J$21,IF(B1185="Лікар-терапевт",Законод!$J$25,"х")))</f>
        <v>х</v>
      </c>
      <c r="G1196" s="932" t="s">
        <v>423</v>
      </c>
      <c r="H1196" s="933"/>
      <c r="I1196" s="933"/>
      <c r="J1196" s="933"/>
      <c r="K1196" s="934"/>
      <c r="L1196" s="196">
        <f ca="1">IF($B$1185="Лікар загальної практики - сімейний лікар",IF(L1189&gt;=Законод!$J$22,'01_Доходи'!L1189-('01_Доходи'!L1190+'01_Доходи'!L1191+'01_Доходи'!L1192+'01_Доходи'!L1193+'01_Доходи'!L1194+'01_Доходи'!L1195),0),IF($B$1185="Лікар-педіатр",IF(L1189&gt;=Законод!$J$18,'01_Доходи'!L1189-('01_Доходи'!L1190+'01_Доходи'!L1191+'01_Доходи'!L1192+'01_Доходи'!L1193+'01_Доходи'!L1194+'01_Доходи'!L1195),0),IF($B$1185="Лікар-терапевт",IF('01_Доходи'!L1189&gt;=Законод!$J$26,L1189-Законод!$I$27,0),0)))</f>
        <v>0</v>
      </c>
      <c r="M1196" s="943"/>
      <c r="N1196" s="932" t="s">
        <v>423</v>
      </c>
      <c r="O1196" s="933"/>
      <c r="P1196" s="933"/>
      <c r="Q1196" s="933"/>
      <c r="R1196" s="934"/>
      <c r="S1196" s="196">
        <f ca="1">IF($B$1172="Лікар загальної практики - сімейний лікар",IF(S1189&gt;=Законод!$J$22,'01_Доходи'!S1189-('01_Доходи'!S1190+'01_Доходи'!S1191+'01_Доходи'!S1192+'01_Доходи'!S1193+'01_Доходи'!S1194+'01_Доходи'!S1195),0),IF($B$1172="Лікар-педіатр",IF(S1189&gt;=Законод!$J$18,'01_Доходи'!S1189-('01_Доходи'!S1190+'01_Доходи'!S1191+'01_Доходи'!S1192+'01_Доходи'!S1193+'01_Доходи'!S1194+'01_Доходи'!S1195),0),IF($B$1172="Лікар-терапевт",IF('01_Доходи'!S1189&gt;=Законод!$J$26,S1189-Законод!$I$27,0),0)))</f>
        <v>0</v>
      </c>
      <c r="T1196" s="943"/>
      <c r="U1196" s="932" t="s">
        <v>423</v>
      </c>
      <c r="V1196" s="933"/>
      <c r="W1196" s="933"/>
      <c r="X1196" s="933"/>
      <c r="Y1196" s="934"/>
      <c r="Z1196" s="196">
        <f ca="1">IF($B$1172="Лікар загальної практики - сімейний лікар",IF(Z1189&gt;=Законод!$J$22,'01_Доходи'!Z1189-('01_Доходи'!Z1190+'01_Доходи'!Z1191+'01_Доходи'!Z1192+'01_Доходи'!Z1193+'01_Доходи'!Z1194+'01_Доходи'!Z1195),0),IF($B$1172="Лікар-педіатр",IF(Z1189&gt;=Законод!$J$18,'01_Доходи'!Z1189-('01_Доходи'!Z1190+'01_Доходи'!Z1191+'01_Доходи'!Z1192+'01_Доходи'!Z1193+'01_Доходи'!Z1194+'01_Доходи'!Z1195),0),IF($B$1172="Лікар-терапевт",IF('01_Доходи'!Z1189&gt;=Законод!$J$26,Z1189-Законод!$I$27,0),0)))</f>
        <v>0</v>
      </c>
      <c r="AA1196" s="943"/>
      <c r="AB1196" s="932" t="s">
        <v>423</v>
      </c>
      <c r="AC1196" s="933"/>
      <c r="AD1196" s="933"/>
      <c r="AE1196" s="933"/>
      <c r="AF1196" s="934"/>
      <c r="AG1196" s="196">
        <f ca="1">IF($B$1172="Лікар загальної практики - сімейний лікар",IF(AG1189&gt;=Законод!$J$22,'01_Доходи'!AG1189-('01_Доходи'!AG1190+'01_Доходи'!AG1191+'01_Доходи'!AG1192+'01_Доходи'!AG1193+'01_Доходи'!AG1194+'01_Доходи'!AG1195),0),IF($B$1172="Лікар-педіатр",IF(AG1189&gt;=Законод!$J$18,'01_Доходи'!AG1189-('01_Доходи'!AG1190+'01_Доходи'!AG1191+'01_Доходи'!AG1192+'01_Доходи'!AG1193+'01_Доходи'!AG1194+'01_Доходи'!AG1195),0),IF($B$1172="Лікар-терапевт",IF('01_Доходи'!AG1189&gt;=Законод!$J$26,AG1189-Законод!$I$27,0),0)))</f>
        <v>0</v>
      </c>
      <c r="AH1196" s="943"/>
      <c r="AI1196" s="215"/>
      <c r="AJ1196" s="946"/>
      <c r="AK1196" s="961"/>
      <c r="AL1196" s="961"/>
      <c r="AM1196" s="928"/>
      <c r="AN1196" s="216">
        <f ca="1">IF(B1185="Лікар загальної практики - сімейний лікар",L1196*Законод!$C$9/4*Законод!$J$16,IF(B1185="Лікар-педіатр",L1196*Законод!$C$9/4*Законод!$J$16,IF(B1185="Лікар-терапевт",L1196*Законод!$C$9/4*Законод!$J$16,0)))</f>
        <v>0</v>
      </c>
      <c r="AO1196" s="216">
        <f ca="1">IF(B1185="Лікар загальної практики - сімейний лікар",S1196*Законод!$C$9/4*Законод!$J$16,IF(B1185="Лікар-педіатр",S1196*Законод!$C$9/4*Законод!$J$16,IF(B1185="Лікар-терапевт",S1196*Законод!$C$9/4*Законод!$J$16,0)))</f>
        <v>0</v>
      </c>
      <c r="AP1196" s="216">
        <f ca="1">IF(B1185="Лікар загальної практики - сімейний лікар",S1196*Законод!$C$9/4*Законод!$J$16,IF(B1185="Лікар-педіатр",S1196*Законод!$C$9/4*Законод!$J$16,IF(B1185="Лікар-терапевт",S1196*Законод!$C$9/4*Законод!$J$16,0)))</f>
        <v>0</v>
      </c>
      <c r="AQ1196" s="216">
        <f ca="1">IF(B1185="Лікар загальної практики - сімейний лікар",AG1196*Законод!$C$9/4*Законод!$J$16,IF(B1185="Лікар-педіатр",AG1196*Законод!$C$9/4*Законод!$J$16,IF(B1185="Лікар-терапевт",AG1196*Законод!$C$9/4*Законод!$J$16,0)))</f>
        <v>0</v>
      </c>
      <c r="AR1196" s="217">
        <f t="shared" si="131"/>
        <v>0</v>
      </c>
    </row>
    <row r="1197" spans="1:44" s="247" customFormat="1" ht="23.45" hidden="1" customHeight="1" thickBot="1">
      <c r="A1197" s="243"/>
      <c r="B1197" s="244"/>
      <c r="C1197" s="244"/>
      <c r="D1197" s="244"/>
      <c r="E1197" s="244"/>
      <c r="F1197" s="245"/>
      <c r="G1197" s="246"/>
      <c r="H1197" s="246"/>
      <c r="L1197" s="248"/>
      <c r="S1197" s="248"/>
      <c r="Z1197" s="248"/>
      <c r="AG1197" s="248"/>
      <c r="AM1197" s="249"/>
      <c r="AR1197" s="250"/>
    </row>
    <row r="1198" spans="1:44" s="191" customFormat="1" ht="24.6" hidden="1" customHeight="1">
      <c r="A1198" s="194">
        <f>A1185+1</f>
        <v>90</v>
      </c>
      <c r="B1198" s="950"/>
      <c r="C1198" s="953"/>
      <c r="D1198" s="956"/>
      <c r="E1198" s="938"/>
      <c r="F1198" s="234" t="s">
        <v>659</v>
      </c>
      <c r="G1198" s="196">
        <f>IF($B$1198="Лікар-педіатр",G1201*L1198,IF($B$1198="Лікар-терапевт","х",IF($B$1198="Лікар загальної практики - сімейний лікар",G1201*L1198,0)))</f>
        <v>0</v>
      </c>
      <c r="H1198" s="196">
        <f>IF($B$1198="Лікар-педіатр",H1201*L1198,IF($B$1198="Лікар-терапевт","х",IF($B$1198="Лікар загальної практики - сімейний лікар",H1201*L1198,0)))</f>
        <v>0</v>
      </c>
      <c r="I1198" s="196">
        <f>IF($B$1198="Лікар-педіатр","x",IF($B$1198="Лікар-терапевт",I1201*L1198,IF($B$1198="Лікар загальної практики - сімейний лікар",I1201*L1198,0)))</f>
        <v>0</v>
      </c>
      <c r="J1198" s="196">
        <f>IF($B$1198="Лікар-педіатр","x",IF($B$1198="Лікар-терапевт",J1201*L1198,IF($B$1198="Лікар загальної практики - сімейний лікар",J1201*L1198,0)))</f>
        <v>0</v>
      </c>
      <c r="K1198" s="196">
        <f>IF($B$1198="Лікар-педіатр","x",IF($B$1198="Лікар-терапевт",K1201*L1198,IF($B$1198="Лікар загальної практики - сімейний лікар",K1201*L1198,0)))</f>
        <v>0</v>
      </c>
      <c r="L1198" s="557"/>
      <c r="M1198" s="941"/>
      <c r="N1198" s="196">
        <f>IF($B$1198="Лікар-педіатр",N1201*S1198,IF($B$1198="Лікар-терапевт","х",IF($B$1198="Лікар загальної практики - сімейний лікар",N1201*S1198,0)))</f>
        <v>0</v>
      </c>
      <c r="O1198" s="196">
        <f>IF($B$1198="Лікар-педіатр",O1201*S1198,IF($B$1198="Лікар-терапевт","х",IF($B$1198="Лікар загальної практики - сімейний лікар",O1201*S1198,0)))</f>
        <v>0</v>
      </c>
      <c r="P1198" s="196">
        <f>IF($B$1198="Лікар-педіатр","x",IF($B$1198="Лікар-терапевт",P1201*S1198,IF($B$1198="Лікар загальної практики - сімейний лікар",P1201*S1198,0)))</f>
        <v>0</v>
      </c>
      <c r="Q1198" s="196">
        <f>IF($B$1198="Лікар-педіатр","x",IF($B$1198="Лікар-терапевт",Q1201*S1198,IF($B$1198="Лікар загальної практики - сімейний лікар",Q1201*S1198,0)))</f>
        <v>0</v>
      </c>
      <c r="R1198" s="196">
        <f>IF($B$1198="Лікар-педіатр","x",IF($B$1198="Лікар-терапевт",R1201*S1198,IF($B$1198="Лікар загальної практики - сімейний лікар",R1201*S1198,0)))</f>
        <v>0</v>
      </c>
      <c r="S1198" s="557"/>
      <c r="T1198" s="941"/>
      <c r="U1198" s="196">
        <f>IF($B$1198="Лікар-педіатр",U1201*Z1198,IF($B$1198="Лікар-терапевт","х",IF($B$1198="Лікар загальної практики - сімейний лікар",U1201*Z1198,0)))</f>
        <v>0</v>
      </c>
      <c r="V1198" s="196">
        <f>IF($B$1198="Лікар-педіатр",V1201*Z1198,IF($B$1198="Лікар-терапевт","х",IF($B$1198="Лікар загальної практики - сімейний лікар",V1201*Z1198,0)))</f>
        <v>0</v>
      </c>
      <c r="W1198" s="196">
        <f>IF($B$1198="Лікар-педіатр","x",IF($B$1198="Лікар-терапевт",W1201*Z1198,IF($B$1198="Лікар загальної практики - сімейний лікар",W1201*Z1198,0)))</f>
        <v>0</v>
      </c>
      <c r="X1198" s="196">
        <f>IF($B$1198="Лікар-педіатр","x",IF($B$1198="Лікар-терапевт",X1201*Z1198,IF($B$1198="Лікар загальної практики - сімейний лікар",X1201*Z1198,0)))</f>
        <v>0</v>
      </c>
      <c r="Y1198" s="196">
        <f>IF($B$1198="Лікар-педіатр","x",IF($B$1198="Лікар-терапевт",Y1201*Z1198,IF($B$1198="Лікар загальної практики - сімейний лікар",Y1201*Z1198,0)))</f>
        <v>0</v>
      </c>
      <c r="Z1198" s="557"/>
      <c r="AA1198" s="941"/>
      <c r="AB1198" s="196">
        <f>IF($B$1198="Лікар-педіатр",AB1201*AG1198,IF($B$1198="Лікар-терапевт","х",IF($B$1198="Лікар загальної практики - сімейний лікар",AB1201*AG1198,0)))</f>
        <v>0</v>
      </c>
      <c r="AC1198" s="196">
        <f>IF($B$1198="Лікар-педіатр",AC1201*AG1198,IF($B$1198="Лікар-терапевт","х",IF($B$1198="Лікар загальної практики - сімейний лікар",AC1201*AG1198,0)))</f>
        <v>0</v>
      </c>
      <c r="AD1198" s="196">
        <f>IF($B$1198="Лікар-педіатр","x",IF($B$1198="Лікар-терапевт",AD1201*AG1198,IF($B$1198="Лікар загальної практики - сімейний лікар",AD1201*AG1198,0)))</f>
        <v>0</v>
      </c>
      <c r="AE1198" s="196">
        <f>IF($B$1198="Лікар-педіатр","x",IF($B$1198="Лікар-терапевт",AE1201*AG1198,IF($B$1198="Лікар загальної практики - сімейний лікар",AE1201*AG1198,0)))</f>
        <v>0</v>
      </c>
      <c r="AF1198" s="196">
        <f>IF($B$1198="Лікар-педіатр","x",IF($B$1198="Лікар-терапевт",AF1201*AG1198,IF($B$1198="Лікар загальної практики - сімейний лікар",AF1201*AG1198,0)))</f>
        <v>0</v>
      </c>
      <c r="AG1198" s="557"/>
      <c r="AH1198" s="941"/>
      <c r="AI1198" s="540">
        <f>A1198</f>
        <v>90</v>
      </c>
      <c r="AJ1198" s="944">
        <f>B1198</f>
        <v>0</v>
      </c>
      <c r="AK1198" s="959">
        <f>C1198</f>
        <v>0</v>
      </c>
      <c r="AL1198" s="959">
        <f>D1198</f>
        <v>0</v>
      </c>
      <c r="AM1198" s="929" t="s">
        <v>79</v>
      </c>
      <c r="AN1198" s="947">
        <f>SUM(AN1203:AN1209)</f>
        <v>0</v>
      </c>
      <c r="AO1198" s="947">
        <f>SUM(AO1203:AO1209)</f>
        <v>0</v>
      </c>
      <c r="AP1198" s="947">
        <f>SUM(AP1203:AP1209)</f>
        <v>0</v>
      </c>
      <c r="AQ1198" s="947">
        <f>SUM(AQ1203:AQ1209)</f>
        <v>0</v>
      </c>
      <c r="AR1198" s="962">
        <f>SUM(AN1198:AQ1202)</f>
        <v>0</v>
      </c>
    </row>
    <row r="1199" spans="1:44" s="50" customFormat="1" ht="28.15" hidden="1" customHeight="1">
      <c r="A1199" s="197"/>
      <c r="B1199" s="951"/>
      <c r="C1199" s="954"/>
      <c r="D1199" s="957"/>
      <c r="E1199" s="939"/>
      <c r="F1199" s="234" t="s">
        <v>660</v>
      </c>
      <c r="G1199" s="196">
        <f>IF($B$1198="Лікар-педіатр",G1201*L1199,IF($B$1198="Лікар-терапевт","х",IF($B$1198="Лікар загальної практики - сімейний лікар",G1201*L1199,0)))</f>
        <v>0</v>
      </c>
      <c r="H1199" s="196">
        <f>IF($B$1198="Лікар-педіатр",H1201*L1199,IF($B$1198="Лікар-терапевт","х",IF($B$1198="Лікар загальної практики - сімейний лікар",H1201*L1199,0)))</f>
        <v>0</v>
      </c>
      <c r="I1199" s="196">
        <f>IF($B$1198="Лікар-педіатр","x",IF($B$1198="Лікар-терапевт",I1201*L1199,IF($B$1198="Лікар загальної практики - сімейний лікар",I1201*L1199,0)))</f>
        <v>0</v>
      </c>
      <c r="J1199" s="196">
        <f>IF($B$1198="Лікар-педіатр","x",IF($B$1198="Лікар-терапевт",J1201*L1199,IF($B$1198="Лікар загальної практики - сімейний лікар",J1201*L1199,0)))</f>
        <v>0</v>
      </c>
      <c r="K1199" s="196">
        <f>IF($B$1198="Лікар-педіатр","x",IF($B$1198="Лікар-терапевт",K1201*L1199,IF($B$1198="Лікар загальної практики - сімейний лікар",K1201*L1199,0)))</f>
        <v>0</v>
      </c>
      <c r="L1199" s="557"/>
      <c r="M1199" s="942"/>
      <c r="N1199" s="196">
        <f>IF($B$1198="Лікар-педіатр",N1201*S1199,IF($B$1198="Лікар-терапевт","х",IF($B$1198="Лікар загальної практики - сімейний лікар",N1201*S1199,0)))</f>
        <v>0</v>
      </c>
      <c r="O1199" s="196">
        <f>IF($B$1198="Лікар-педіатр",O1201*S1199,IF($B$1198="Лікар-терапевт","х",IF($B$1198="Лікар загальної практики - сімейний лікар",O1201*S1199,0)))</f>
        <v>0</v>
      </c>
      <c r="P1199" s="196">
        <f>IF($B$1198="Лікар-педіатр","x",IF($B$1198="Лікар-терапевт",P1201*S1199,IF($B$1198="Лікар загальної практики - сімейний лікар",P1201*S1199,0)))</f>
        <v>0</v>
      </c>
      <c r="Q1199" s="196">
        <f>IF($B$1198="Лікар-педіатр","x",IF($B$1198="Лікар-терапевт",Q1201*S1199,IF($B$1198="Лікар загальної практики - сімейний лікар",Q1201*S1199,0)))</f>
        <v>0</v>
      </c>
      <c r="R1199" s="196">
        <f>IF($B$1198="Лікар-педіатр","x",IF($B$1198="Лікар-терапевт",R1201*S1199,IF($B$1198="Лікар загальної практики - сімейний лікар",R1201*S1199,0)))</f>
        <v>0</v>
      </c>
      <c r="S1199" s="557"/>
      <c r="T1199" s="942"/>
      <c r="U1199" s="196">
        <f>IF($B$1198="Лікар-педіатр",U1201*Z1199,IF($B$1198="Лікар-терапевт","х",IF($B$1198="Лікар загальної практики - сімейний лікар",U1201*Z1199,0)))</f>
        <v>0</v>
      </c>
      <c r="V1199" s="196">
        <f>IF($B$1198="Лікар-педіатр",V1201*Z1199,IF($B$1198="Лікар-терапевт","х",IF($B$1198="Лікар загальної практики - сімейний лікар",V1201*Z1199,0)))</f>
        <v>0</v>
      </c>
      <c r="W1199" s="196">
        <f>IF($B$1198="Лікар-педіатр","x",IF($B$1198="Лікар-терапевт",W1201*Z1199,IF($B$1198="Лікар загальної практики - сімейний лікар",W1201*Z1199,0)))</f>
        <v>0</v>
      </c>
      <c r="X1199" s="196">
        <f>IF($B$1198="Лікар-педіатр","x",IF($B$1198="Лікар-терапевт",X1201*Z1199,IF($B$1198="Лікар загальної практики - сімейний лікар",X1201*Z1199,0)))</f>
        <v>0</v>
      </c>
      <c r="Y1199" s="196">
        <f>IF($B$1198="Лікар-педіатр","x",IF($B$1198="Лікар-терапевт",Y1201*Z1199,IF($B$1198="Лікар загальної практики - сімейний лікар",Y1201*Z1199,0)))</f>
        <v>0</v>
      </c>
      <c r="Z1199" s="557"/>
      <c r="AA1199" s="942"/>
      <c r="AB1199" s="196">
        <f>IF($B$1198="Лікар-педіатр",AB1201*AG1199,IF($B$1198="Лікар-терапевт","х",IF($B$1198="Лікар загальної практики - сімейний лікар",AB1201*AG1199,0)))</f>
        <v>0</v>
      </c>
      <c r="AC1199" s="196">
        <f>IF($B$1198="Лікар-педіатр",AC1201*AG1199,IF($B$1198="Лікар-терапевт","х",IF($B$1198="Лікар загальної практики - сімейний лікар",AC1201*AG1199,0)))</f>
        <v>0</v>
      </c>
      <c r="AD1199" s="196">
        <f>IF($B$1198="Лікар-педіатр","x",IF($B$1198="Лікар-терапевт",AD1201*AG1199,IF($B$1198="Лікар загальної практики - сімейний лікар",AD1201*AG1199,0)))</f>
        <v>0</v>
      </c>
      <c r="AE1199" s="196">
        <f>IF($B$1198="Лікар-педіатр","x",IF($B$1198="Лікар-терапевт",AE1201*AG1199,IF($B$1198="Лікар загальної практики - сімейний лікар",AE1201*AG1199,0)))</f>
        <v>0</v>
      </c>
      <c r="AF1199" s="196">
        <f>IF($B$1198="Лікар-педіатр","x",IF($B$1198="Лікар-терапевт",AF1201*AG1199,IF($B$1198="Лікар загальної практики - сімейний лікар",AF1201*AG1199,0)))</f>
        <v>0</v>
      </c>
      <c r="AG1199" s="557"/>
      <c r="AH1199" s="942"/>
      <c r="AI1199" s="198"/>
      <c r="AJ1199" s="945"/>
      <c r="AK1199" s="960"/>
      <c r="AL1199" s="960"/>
      <c r="AM1199" s="930"/>
      <c r="AN1199" s="948"/>
      <c r="AO1199" s="948"/>
      <c r="AP1199" s="948"/>
      <c r="AQ1199" s="948"/>
      <c r="AR1199" s="963"/>
    </row>
    <row r="1200" spans="1:44" s="90" customFormat="1" ht="31.15" hidden="1" customHeight="1">
      <c r="A1200" s="240"/>
      <c r="B1200" s="951"/>
      <c r="C1200" s="954"/>
      <c r="D1200" s="957"/>
      <c r="E1200" s="939"/>
      <c r="F1200" s="241" t="s">
        <v>661</v>
      </c>
      <c r="G1200" s="199">
        <f>IF(B1198="Лікар загальної практики - сімейний лікар"," ",IF(B1198="Лікар-педіатр"," ",IF(B1198="Лікар-терапевт","х",0)))</f>
        <v>0</v>
      </c>
      <c r="H1200" s="199">
        <f>IF(B1198="Лікар загальної практики - сімейний лікар"," ",IF(B1198="Лікар-педіатр"," ",IF(B1198="Лікар-терапевт","х",0)))</f>
        <v>0</v>
      </c>
      <c r="I1200" s="199">
        <f>IF(B1198="Лікар загальної практики - сімейний лікар"," ",IF(B1198="Лікар-педіатр","х",IF(B1198="Лікар-терапевт"," ",0)))</f>
        <v>0</v>
      </c>
      <c r="J1200" s="199">
        <f>IF(B1198="Лікар загальної практики - сімейний лікар"," ",IF(B1198="Лікар-педіатр","х",IF(B1198="Лікар-терапевт"," ",0)))</f>
        <v>0</v>
      </c>
      <c r="K1200" s="199">
        <f>IF(B1198="Лікар загальної практики - сімейний лікар"," ",IF(B1198="Лікар-педіатр","х",IF(B1198="Лікар-терапевт"," ",0)))</f>
        <v>0</v>
      </c>
      <c r="L1200" s="200">
        <f>SUM(G1200:K1200)</f>
        <v>0</v>
      </c>
      <c r="M1200" s="942"/>
      <c r="N1200" s="199">
        <f>IF(B1198="Лікар загальної практики - сімейний лікар"," ",IF(B1198="Лікар-педіатр"," ",IF(B1198="Лікар-терапевт","х",0)))</f>
        <v>0</v>
      </c>
      <c r="O1200" s="199">
        <f>IF(B1198="Лікар загальної практики - сімейний лікар"," ",IF(B1198="Лікар-педіатр"," ",IF(B1198="Лікар-терапевт","х",0)))</f>
        <v>0</v>
      </c>
      <c r="P1200" s="199">
        <f>IF(B1198="Лікар загальної практики - сімейний лікар"," ",IF(B1198="Лікар-педіатр","х",IF(B1198="Лікар-терапевт"," ",0)))</f>
        <v>0</v>
      </c>
      <c r="Q1200" s="199">
        <f>IF(B1198="Лікар загальної практики - сімейний лікар"," ",IF(B1198="Лікар-педіатр","х",IF(B1198="Лікар-терапевт"," ",0)))</f>
        <v>0</v>
      </c>
      <c r="R1200" s="199">
        <f>IF(B1198="Лікар загальної практики - сімейний лікар"," ",IF(B1198="Лікар-педіатр","х",IF(B1198="Лікар-терапевт"," ",0)))</f>
        <v>0</v>
      </c>
      <c r="S1200" s="200">
        <f>SUM(N1200:R1200)</f>
        <v>0</v>
      </c>
      <c r="T1200" s="942"/>
      <c r="U1200" s="199">
        <f>IF(B1198="Лікар загальної практики - сімейний лікар"," ",IF(B1198="Лікар-педіатр"," ",IF(B1198="Лікар-терапевт","х",0)))</f>
        <v>0</v>
      </c>
      <c r="V1200" s="199">
        <f>IF(B1198="Лікар загальної практики - сімейний лікар"," ",IF(B1198="Лікар-педіатр"," ",IF(B1198="Лікар-терапевт","х",0)))</f>
        <v>0</v>
      </c>
      <c r="W1200" s="199">
        <f>IF(B1198="Лікар загальної практики - сімейний лікар"," ",IF(B1198="Лікар-педіатр","х",IF(B1198="Лікар-терапевт"," ",0)))</f>
        <v>0</v>
      </c>
      <c r="X1200" s="199">
        <f>IF(B1198="Лікар загальної практики - сімейний лікар"," ",IF(B1198="Лікар-педіатр","х",IF(B1198="Лікар-терапевт"," ",0)))</f>
        <v>0</v>
      </c>
      <c r="Y1200" s="199">
        <f>IF(B1198="Лікар загальної практики - сімейний лікар"," ",IF(B1198="Лікар-педіатр","х",IF(B1198="Лікар-терапевт"," ",0)))</f>
        <v>0</v>
      </c>
      <c r="Z1200" s="200">
        <f>SUM(U1200:Y1200)</f>
        <v>0</v>
      </c>
      <c r="AA1200" s="942"/>
      <c r="AB1200" s="199">
        <f>IF(B1198="Лікар загальної практики - сімейний лікар"," ",IF(B1198="Лікар-педіатр"," ",IF(B1198="Лікар-терапевт","х",0)))</f>
        <v>0</v>
      </c>
      <c r="AC1200" s="199">
        <f>IF(B1198="Лікар загальної практики - сімейний лікар"," ",IF(B1198="Лікар-педіатр"," ",IF(B1198="Лікар-терапевт","х",0)))</f>
        <v>0</v>
      </c>
      <c r="AD1200" s="199">
        <f>IF(B1198="Лікар загальної практики - сімейний лікар"," ",IF(B1198="Лікар-педіатр","х",IF(B1198="Лікар-терапевт"," ",0)))</f>
        <v>0</v>
      </c>
      <c r="AE1200" s="199">
        <f>IF(B1198="Лікар загальної практики - сімейний лікар"," ",IF(B1198="Лікар-педіатр","х",IF(B1198="Лікар-терапевт"," ",0)))</f>
        <v>0</v>
      </c>
      <c r="AF1200" s="199">
        <f>IF(B1198="Лікар загальної практики - сімейний лікар"," ",IF(B1198="Лікар-педіатр","х",IF(B1198="Лікар-терапевт"," ",0)))</f>
        <v>0</v>
      </c>
      <c r="AG1200" s="200">
        <f>SUM(AB1200:AF1200)</f>
        <v>0</v>
      </c>
      <c r="AH1200" s="942"/>
      <c r="AI1200" s="242"/>
      <c r="AJ1200" s="945"/>
      <c r="AK1200" s="960"/>
      <c r="AL1200" s="960"/>
      <c r="AM1200" s="930"/>
      <c r="AN1200" s="948"/>
      <c r="AO1200" s="948"/>
      <c r="AP1200" s="948"/>
      <c r="AQ1200" s="948"/>
      <c r="AR1200" s="963"/>
    </row>
    <row r="1201" spans="1:44" s="50" customFormat="1" ht="31.9" hidden="1" customHeight="1" thickBot="1">
      <c r="A1201" s="197"/>
      <c r="B1201" s="951"/>
      <c r="C1201" s="954"/>
      <c r="D1201" s="957"/>
      <c r="E1201" s="939"/>
      <c r="F1201" s="236" t="s">
        <v>426</v>
      </c>
      <c r="G1201" s="203">
        <f>IF($B$1198="Лікар-педіатр",G1200/L1200,IF($B$1198="Лікар-терапевт","х",IF($B$1198="Лікар загальної практики - сімейний лікар",G1200/L1200,0)))</f>
        <v>0</v>
      </c>
      <c r="H1201" s="203">
        <f>IF($B$1198="Лікар-педіатр",H1200/L1200,IF($B$1198="Лікар-терапевт","х",IF($B$1198="Лікар загальної практики - сімейний лікар",H1200/L1200,0)))</f>
        <v>0</v>
      </c>
      <c r="I1201" s="203">
        <f>IF($B$1198="Лікар-педіатр","x",IF($B$1198="Лікар-терапевт",I1200/L1200,IF($B$1198="Лікар загальної практики - сімейний лікар",I1200/L1200,0)))</f>
        <v>0</v>
      </c>
      <c r="J1201" s="203">
        <f>IF($B$1198="Лікар-педіатр","x",IF($B$1198="Лікар-терапевт",J1200/L1200,IF($B$1198="Лікар загальної практики - сімейний лікар",J1200/L1200,0)))</f>
        <v>0</v>
      </c>
      <c r="K1201" s="203">
        <f>IF($B$1198="Лікар-педіатр","x",IF($B$1198="Лікар-терапевт",K1200/L1200,IF($B$1198="Лікар загальної практики - сімейний лікар",K1200/L1200,0)))</f>
        <v>0</v>
      </c>
      <c r="L1201" s="203">
        <f>SUM(G1201:K1201)</f>
        <v>0</v>
      </c>
      <c r="M1201" s="942"/>
      <c r="N1201" s="203">
        <f>IF($B$1198="Лікар-педіатр",N1200/S1200,IF($B$1198="Лікар-терапевт","х",IF($B$1198="Лікар загальної практики - сімейний лікар",N1200/S1200,0)))</f>
        <v>0</v>
      </c>
      <c r="O1201" s="203">
        <f>IF($B$1198="Лікар-педіатр",O1200/S1200,IF($B$1198="Лікар-терапевт","х",IF($B$1198="Лікар загальної практики - сімейний лікар",O1200/S1200,0)))</f>
        <v>0</v>
      </c>
      <c r="P1201" s="203">
        <f>IF($B$1198="Лікар-педіатр","x",IF($B$1198="Лікар-терапевт",P1200/S1200,IF($B$1198="Лікар загальної практики - сімейний лікар",P1200/S1200,0)))</f>
        <v>0</v>
      </c>
      <c r="Q1201" s="203">
        <f>IF($B$1198="Лікар-педіатр","x",IF($B$1198="Лікар-терапевт",Q1200/S1200,IF($B$1198="Лікар загальної практики - сімейний лікар",Q1200/S1200,0)))</f>
        <v>0</v>
      </c>
      <c r="R1201" s="203">
        <f>IF($B$1198="Лікар-педіатр","x",IF($B$1198="Лікар-терапевт",R1200/S1200,IF($B$1198="Лікар загальної практики - сімейний лікар",R1200/S1200,0)))</f>
        <v>0</v>
      </c>
      <c r="S1201" s="203">
        <f>SUM(N1201:R1201)</f>
        <v>0</v>
      </c>
      <c r="T1201" s="942"/>
      <c r="U1201" s="203">
        <f>IF($B$1198="Лікар-педіатр",U1200/Z1200,IF($B$1198="Лікар-терапевт","х",IF($B$1198="Лікар загальної практики - сімейний лікар",U1200/Z1200,0)))</f>
        <v>0</v>
      </c>
      <c r="V1201" s="203">
        <f>IF($B$1198="Лікар-педіатр",V1200/Z1200,IF($B$1198="Лікар-терапевт","х",IF($B$1198="Лікар загальної практики - сімейний лікар",V1200/Z1200,0)))</f>
        <v>0</v>
      </c>
      <c r="W1201" s="203">
        <f>IF($B$1198="Лікар-педіатр","x",IF($B$1198="Лікар-терапевт",W1200/Z1200,IF($B$1198="Лікар загальної практики - сімейний лікар",W1200/Z1200,0)))</f>
        <v>0</v>
      </c>
      <c r="X1201" s="203">
        <f>IF($B$1198="Лікар-педіатр","x",IF($B$1198="Лікар-терапевт",X1200/Z1200,IF($B$1198="Лікар загальної практики - сімейний лікар",X1200/Z1200,0)))</f>
        <v>0</v>
      </c>
      <c r="Y1201" s="203">
        <f>IF($B$1198="Лікар-педіатр","x",IF($B$1198="Лікар-терапевт",Y1200/Z1200,IF($B$1198="Лікар загальної практики - сімейний лікар",Y1200/Z1200,0)))</f>
        <v>0</v>
      </c>
      <c r="Z1201" s="203">
        <f>SUM(U1201:Y1201)</f>
        <v>0</v>
      </c>
      <c r="AA1201" s="942"/>
      <c r="AB1201" s="203">
        <f>IF($B$1198="Лікар-педіатр",AB1200/AG1200,IF($B$1198="Лікар-терапевт","х",IF($B$1198="Лікар загальної практики - сімейний лікар",AB1200/AG1200,0)))</f>
        <v>0</v>
      </c>
      <c r="AC1201" s="203">
        <f>IF($B$1198="Лікар-педіатр",AC1200/AG1200,IF($B$1198="Лікар-терапевт","х",IF($B$1198="Лікар загальної практики - сімейний лікар",AC1200/AG1200,0)))</f>
        <v>0</v>
      </c>
      <c r="AD1201" s="203">
        <f>IF($B$1198="Лікар-педіатр","x",IF($B$1198="Лікар-терапевт",AD1200/AG1200,IF($B$1198="Лікар загальної практики - сімейний лікар",AD1200/AG1200,0)))</f>
        <v>0</v>
      </c>
      <c r="AE1201" s="203">
        <f>IF($B$1198="Лікар-педіатр","x",IF($B$1198="Лікар-терапевт",AE1200/AG1200,IF($B$1198="Лікар загальної практики - сімейний лікар",AE1200/AG1200,0)))</f>
        <v>0</v>
      </c>
      <c r="AF1201" s="203">
        <f>IF($B$1198="Лікар-педіатр","x",IF($B$1198="Лікар-терапевт",AF1200/AG1200,IF($B$1198="Лікар загальної практики - сімейний лікар",AF1200/AG1200,0)))</f>
        <v>0</v>
      </c>
      <c r="AG1201" s="203">
        <f>SUM(AB1201:AF1201)</f>
        <v>0</v>
      </c>
      <c r="AH1201" s="942"/>
      <c r="AI1201" s="201"/>
      <c r="AJ1201" s="945"/>
      <c r="AK1201" s="960"/>
      <c r="AL1201" s="960"/>
      <c r="AM1201" s="930"/>
      <c r="AN1201" s="948"/>
      <c r="AO1201" s="948"/>
      <c r="AP1201" s="948"/>
      <c r="AQ1201" s="948"/>
      <c r="AR1201" s="963"/>
    </row>
    <row r="1202" spans="1:44" s="50" customFormat="1" ht="45" hidden="1" customHeight="1" thickBot="1">
      <c r="A1202" s="197"/>
      <c r="B1202" s="951"/>
      <c r="C1202" s="954"/>
      <c r="D1202" s="957"/>
      <c r="E1202" s="939"/>
      <c r="F1202" s="204" t="s">
        <v>662</v>
      </c>
      <c r="G1202" s="205">
        <f>IF($B$1198="Лікар загальної практики - сімейний лікар",AVERAGE(G1198:G1200),IF($B$1198="Лікар-педіатр",AVERAGE(G1198:G1200),IF($B$1198="Лікар-терапевт","х",0)))</f>
        <v>0</v>
      </c>
      <c r="H1202" s="205">
        <f>IF($B$1198="Лікар загальної практики - сімейний лікар",AVERAGE(H1198:H1200),IF($B$1198="Лікар-педіатр",AVERAGE(H1198:H1200),IF($B$1198="Лікар-терапевт","х",0)))</f>
        <v>0</v>
      </c>
      <c r="I1202" s="205">
        <f>IF($B$1198="Лікар загальної практики - сімейний лікар",AVERAGE(I1198:I1200),IF($B$1198="Лікар-педіатр","x",IF($B$1198="Лікар-терапевт",AVERAGE(I1198:I1200),0)))</f>
        <v>0</v>
      </c>
      <c r="J1202" s="205">
        <f>IF($B$1198="Лікар загальної практики - сімейний лікар",AVERAGE(J1198:J1200),IF($B$1198="Лікар-педіатр","x",IF($B$1198="Лікар-терапевт",AVERAGE(J1198:J1200),0)))</f>
        <v>0</v>
      </c>
      <c r="K1202" s="205">
        <f>IF($B$1198="Лікар загальної практики - сімейний лікар",AVERAGE(K1198:K1200),IF($B$1198="Лікар-педіатр","x",IF($B$1198="Лікар-терапевт",AVERAGE(K1198:K1200),0)))</f>
        <v>0</v>
      </c>
      <c r="L1202" s="206">
        <f>SUM(G1202:K1202)</f>
        <v>0</v>
      </c>
      <c r="M1202" s="942"/>
      <c r="N1202" s="205">
        <f>IF($B$1198="Лікар загальної практики - сімейний лікар",AVERAGE(N1198:N1200),IF($B$1198="Лікар-педіатр",AVERAGE(N1198:N1200),IF($B$1198="Лікар-терапевт","х",0)))</f>
        <v>0</v>
      </c>
      <c r="O1202" s="205">
        <f>IF($B$1198="Лікар загальної практики - сімейний лікар",AVERAGE(O1198:O1200),IF($B$1198="Лікар-педіатр",AVERAGE(O1198:O1200),IF($B$1198="Лікар-терапевт","х",0)))</f>
        <v>0</v>
      </c>
      <c r="P1202" s="205">
        <f>IF($B$1198="Лікар загальної практики - сімейний лікар",AVERAGE(P1198:P1200),IF($B$1198="Лікар-педіатр","x",IF($B$1198="Лікар-терапевт",AVERAGE(P1198:P1200),0)))</f>
        <v>0</v>
      </c>
      <c r="Q1202" s="205">
        <f>IF($B$1198="Лікар загальної практики - сімейний лікар",AVERAGE(Q1198:Q1200),IF($B$1198="Лікар-педіатр","x",IF($B$1198="Лікар-терапевт",AVERAGE(Q1198:Q1200),0)))</f>
        <v>0</v>
      </c>
      <c r="R1202" s="205">
        <f>IF($B$1198="Лікар загальної практики - сімейний лікар",AVERAGE(R1198:R1200),IF($B$1198="Лікар-педіатр","x",IF($B$1198="Лікар-терапевт",AVERAGE(R1198:R1200),0)))</f>
        <v>0</v>
      </c>
      <c r="S1202" s="206">
        <f>SUM(N1202:R1202)</f>
        <v>0</v>
      </c>
      <c r="T1202" s="942"/>
      <c r="U1202" s="205">
        <f>IF($B$1198="Лікар загальної практики - сімейний лікар",AVERAGE(U1198:U1200),IF($B$1198="Лікар-педіатр",AVERAGE(U1198:U1200),IF($B$1198="Лікар-терапевт","х",0)))</f>
        <v>0</v>
      </c>
      <c r="V1202" s="205">
        <f>IF($B$1198="Лікар загальної практики - сімейний лікар",AVERAGE(V1198:V1200),IF($B$1198="Лікар-педіатр",AVERAGE(V1198:V1200),IF($B$1198="Лікар-терапевт","х",0)))</f>
        <v>0</v>
      </c>
      <c r="W1202" s="205">
        <f>IF($B$1198="Лікар загальної практики - сімейний лікар",AVERAGE(W1198:W1200),IF($B$1198="Лікар-педіатр","x",IF($B$1198="Лікар-терапевт",AVERAGE(W1198:W1200),0)))</f>
        <v>0</v>
      </c>
      <c r="X1202" s="205">
        <f>IF($B$1198="Лікар загальної практики - сімейний лікар",AVERAGE(X1198:X1200),IF($B$1198="Лікар-педіатр","x",IF($B$1198="Лікар-терапевт",AVERAGE(X1198:X1200),0)))</f>
        <v>0</v>
      </c>
      <c r="Y1202" s="205">
        <f>IF($B$1198="Лікар загальної практики - сімейний лікар",AVERAGE(Y1198:Y1200),IF($B$1198="Лікар-педіатр","x",IF($B$1198="Лікар-терапевт",AVERAGE(Y1198:Y1200),0)))</f>
        <v>0</v>
      </c>
      <c r="Z1202" s="206">
        <f>SUM(U1202:Y1202)</f>
        <v>0</v>
      </c>
      <c r="AA1202" s="942"/>
      <c r="AB1202" s="205">
        <f>IF($B$1198="Лікар загальної практики - сімейний лікар",AVERAGE(AB1198:AB1200),IF($B$1198="Лікар-педіатр",AVERAGE(AB1198:AB1200),IF($B$1198="Лікар-терапевт","х",0)))</f>
        <v>0</v>
      </c>
      <c r="AC1202" s="205">
        <f>IF($B$1198="Лікар загальної практики - сімейний лікар",AVERAGE(AC1198:AC1200),IF($B$1198="Лікар-педіатр",AVERAGE(AC1198:AC1200),IF($B$1198="Лікар-терапевт","х",0)))</f>
        <v>0</v>
      </c>
      <c r="AD1202" s="205">
        <f>IF($B$1198="Лікар загальної практики - сімейний лікар",AVERAGE(AD1198:AD1200),IF($B$1198="Лікар-педіатр","x",IF($B$1198="Лікар-терапевт",AVERAGE(AD1198:AD1200),0)))</f>
        <v>0</v>
      </c>
      <c r="AE1202" s="205">
        <f>IF($B$1198="Лікар загальної практики - сімейний лікар",AVERAGE(AE1198:AE1200),IF($B$1198="Лікар-педіатр","x",IF($B$1198="Лікар-терапевт",AVERAGE(AE1198:AE1200),0)))</f>
        <v>0</v>
      </c>
      <c r="AF1202" s="205">
        <f>IF($B$1198="Лікар загальної практики - сімейний лікар",AVERAGE(AF1198:AF1200),IF($B$1198="Лікар-педіатр","x",IF($B$1198="Лікар-терапевт",AVERAGE(AF1198:AF1200),0)))</f>
        <v>0</v>
      </c>
      <c r="AG1202" s="206">
        <f>SUM(AB1202:AF1202)</f>
        <v>0</v>
      </c>
      <c r="AH1202" s="942"/>
      <c r="AI1202" s="201"/>
      <c r="AJ1202" s="945"/>
      <c r="AK1202" s="960"/>
      <c r="AL1202" s="960"/>
      <c r="AM1202" s="931"/>
      <c r="AN1202" s="949"/>
      <c r="AO1202" s="949"/>
      <c r="AP1202" s="949"/>
      <c r="AQ1202" s="949"/>
      <c r="AR1202" s="964"/>
    </row>
    <row r="1203" spans="1:44" s="50" customFormat="1" ht="49.9" hidden="1" customHeight="1">
      <c r="A1203" s="197"/>
      <c r="B1203" s="951"/>
      <c r="C1203" s="954"/>
      <c r="D1203" s="957"/>
      <c r="E1203" s="939"/>
      <c r="F1203" s="237" t="str">
        <f ca="1">IF(B1198="Лікар-педіатр",Законод!$C$17,IF(B1198="Лікар загальної практики - сімейний лікар",Законод!$C$21,IF(B1198="Лікар-терапевт",Законод!$C$25,"х")))</f>
        <v>х</v>
      </c>
      <c r="G1203" s="208">
        <f ca="1">IF($B$1198="Лікар загальної практики - сімейний лікар",IF(L1202&lt;=Законод!$C$22,G1202,Законод!$C$22*'01_Доходи'!G1201),IF($B$1198="Лікар-педіатр",IF(L1202&lt;=Законод!$C$18,G1202,Законод!$C$18*'01_Доходи'!G1201),IF($B$1198="Лікар-терапевт","x",0)))</f>
        <v>0</v>
      </c>
      <c r="H1203" s="208">
        <f ca="1">IF($B$1198="Лікар загальної практики - сімейний лікар",IF(L1202&lt;=Законод!$C$22,H1202,Законод!$C$22*'01_Доходи'!H1201),IF($B$1198="Лікар-педіатр",IF(L1202&lt;=Законод!$C$18,H1202,Законод!$C$18*'01_Доходи'!H1201),IF($B$1198="Лікар-терапевт","x",0)))</f>
        <v>0</v>
      </c>
      <c r="I1203" s="208">
        <f ca="1">IF($B$1198="Лікар загальної практики - сімейний лікар",IF(L1202&lt;=Законод!$C$22,I1202,Законод!$C$22*'01_Доходи'!I1201),IF($B$1198="Лікар-педіатр","x",IF($B$1198="Лікар-терапевт",IF(L1202&lt;=Законод!$C$26,I1202,Законод!$C$26*'01_Доходи'!I1201),0)))</f>
        <v>0</v>
      </c>
      <c r="J1203" s="208">
        <f ca="1">IF($B$1198="Лікар загальної практики - сімейний лікар",IF(L1202&lt;=Законод!$C$22,J1202,Законод!$C$22*'01_Доходи'!J1201),IF($B$1198="Лікар-педіатр","x",IF($B$1198="Лікар-терапевт",IF(L1202&lt;=Законод!$C$26,J1202,Законод!$C$26*'01_Доходи'!J1201),0)))</f>
        <v>0</v>
      </c>
      <c r="K1203" s="208">
        <f ca="1">IF($B$1198="Лікар загальної практики - сімейний лікар",IF(L1202&lt;=Законод!$C$22,K1202,Законод!$C$22*'01_Доходи'!K1201),IF($B$1198="Лікар-педіатр","x",IF($B$1198="Лікар-терапевт",IF(L1202&lt;=Законод!$C$26,K1202,Законод!$C$26*'01_Доходи'!K1201),0)))</f>
        <v>0</v>
      </c>
      <c r="L1203" s="209">
        <f ca="1">SUM(G1203:K1203)</f>
        <v>0</v>
      </c>
      <c r="M1203" s="942"/>
      <c r="N1203" s="208">
        <f ca="1">IF($B$1198="Лікар загальної практики - сімейний лікар",IF(S1202&lt;=Законод!$C$22,N1202,Законод!$C$22*'01_Доходи'!N1201),IF($B$1198="Лікар-педіатр",IF(S1202&lt;=Законод!$C$18,N1202,Законод!$C$18*'01_Доходи'!N1201),IF($B$1198="Лікар-терапевт","x",0)))</f>
        <v>0</v>
      </c>
      <c r="O1203" s="208">
        <f ca="1">IF($B$1198="Лікар загальної практики - сімейний лікар",IF(S1202&lt;=Законод!$C$22,O1202,Законод!$C$22*'01_Доходи'!O1201),IF($B$1198="Лікар-педіатр",IF(S1202&lt;=Законод!$C$18,O1202,Законод!$C$18*'01_Доходи'!O1201),IF($B$1198="Лікар-терапевт","x",0)))</f>
        <v>0</v>
      </c>
      <c r="P1203" s="208">
        <f ca="1">IF($B$1198="Лікар загальної практики - сімейний лікар",IF(S1202&lt;=Законод!$C$22,P1202,Законод!$C$22*'01_Доходи'!P1201),IF($B$1198="Лікар-педіатр","x",IF($B$1198="Лікар-терапевт",IF(S1202&lt;=Законод!$C$26,P1202,Законод!$C$26*'01_Доходи'!P1201),0)))</f>
        <v>0</v>
      </c>
      <c r="Q1203" s="208">
        <f ca="1">IF($B$1198="Лікар загальної практики - сімейний лікар",IF(S1202&lt;=Законод!$C$22,Q1202,Законод!$C$22*'01_Доходи'!Q1201),IF($B$1198="Лікар-педіатр","x",IF($B$1198="Лікар-терапевт",IF(S1202&lt;=Законод!$C$26,Q1202,Законод!$C$26*'01_Доходи'!Q1201),0)))</f>
        <v>0</v>
      </c>
      <c r="R1203" s="208">
        <f ca="1">IF($B$1198="Лікар загальної практики - сімейний лікар",IF(S1202&lt;=Законод!$C$22,R1202,Законод!$C$22*'01_Доходи'!R1201),IF($B$1198="Лікар-педіатр","x",IF($B$1198="Лікар-терапевт",IF(S1202&lt;=Законод!$C$26,R1202,Законод!$C$26*'01_Доходи'!R1201),0)))</f>
        <v>0</v>
      </c>
      <c r="S1203" s="209">
        <f ca="1">SUM(N1203:R1203)</f>
        <v>0</v>
      </c>
      <c r="T1203" s="942"/>
      <c r="U1203" s="208">
        <f ca="1">IF($B$1198="Лікар загальної практики - сімейний лікар",IF(Z1202&lt;=Законод!$C$22,U1202,Законод!$C$22*'01_Доходи'!U1201),IF($B$1198="Лікар-педіатр",IF(Z1202&lt;=Законод!$C$18,U1202,Законод!$C$18*'01_Доходи'!U1201),IF($B$1198="Лікар-терапевт","x",0)))</f>
        <v>0</v>
      </c>
      <c r="V1203" s="208">
        <f ca="1">IF($B$1198="Лікар загальної практики - сімейний лікар",IF(Z1202&lt;=Законод!$C$22,V1202,Законод!$C$22*'01_Доходи'!V1201),IF($B$1198="Лікар-педіатр",IF(Z1202&lt;=Законод!$C$18,V1202,Законод!$C$18*'01_Доходи'!V1201),IF($B$1198="Лікар-терапевт","x",0)))</f>
        <v>0</v>
      </c>
      <c r="W1203" s="208">
        <f ca="1">IF($B$1198="Лікар загальної практики - сімейний лікар",IF(Z1202&lt;=Законод!$C$22,W1202,Законод!$C$22*'01_Доходи'!W1201),IF($B$1198="Лікар-педіатр","x",IF($B$1198="Лікар-терапевт",IF(Z1202&lt;=Законод!$C$26,W1202,Законод!$C$26*'01_Доходи'!W1201),0)))</f>
        <v>0</v>
      </c>
      <c r="X1203" s="208">
        <f ca="1">IF($B$1198="Лікар загальної практики - сімейний лікар",IF(Z1202&lt;=Законод!$C$22,X1202,Законод!$C$22*'01_Доходи'!X1201),IF($B$1198="Лікар-педіатр","x",IF($B$1198="Лікар-терапевт",IF(Z1202&lt;=Законод!$C$26,X1202,Законод!$C$26*'01_Доходи'!X1201),0)))</f>
        <v>0</v>
      </c>
      <c r="Y1203" s="208">
        <f ca="1">IF($B$1198="Лікар загальної практики - сімейний лікар",IF(Z1202&lt;=Законод!$C$22,Y1202,Законод!$C$22*'01_Доходи'!Y1201),IF($B$1198="Лікар-педіатр","x",IF($B$1198="Лікар-терапевт",IF(Z1202&lt;=Законод!$C$26,Y1202,Законод!$C$26*'01_Доходи'!Y1201),0)))</f>
        <v>0</v>
      </c>
      <c r="Z1203" s="209">
        <f ca="1">SUM(U1203:Y1203)</f>
        <v>0</v>
      </c>
      <c r="AA1203" s="942"/>
      <c r="AB1203" s="208">
        <f ca="1">IF($B$1198="Лікар загальної практики - сімейний лікар",IF(AG1202&lt;=Законод!$C$22,AB1202,Законод!$C$22*'01_Доходи'!AB1201),IF($B$1198="Лікар-педіатр",IF(AG1202&lt;=Законод!$C$18,AB1202,Законод!$C$18*'01_Доходи'!AB1201),IF($B$1198="Лікар-терапевт","x",0)))</f>
        <v>0</v>
      </c>
      <c r="AC1203" s="208">
        <f ca="1">IF($B$1198="Лікар загальної практики - сімейний лікар",IF(AG1202&lt;=Законод!$C$22,AC1202,Законод!$C$22*'01_Доходи'!AC1201),IF($B$1198="Лікар-педіатр",IF(AG1202&lt;=Законод!$C$18,AC1202,Законод!$C$18*'01_Доходи'!AC1201),IF($B$1198="Лікар-терапевт","x",0)))</f>
        <v>0</v>
      </c>
      <c r="AD1203" s="208">
        <f ca="1">IF($B$1198="Лікар загальної практики - сімейний лікар",IF(AG1202&lt;=Законод!$C$22,AD1202,Законод!$C$22*'01_Доходи'!AD1201),IF($B$1198="Лікар-педіатр","x",IF($B$1198="Лікар-терапевт",IF(AG1202&lt;=Законод!$C$26,AD1202,Законод!$C$26*'01_Доходи'!AD1201),0)))</f>
        <v>0</v>
      </c>
      <c r="AE1203" s="208">
        <f ca="1">IF($B$1198="Лікар загальної практики - сімейний лікар",IF(AG1202&lt;=Законод!$C$22,AE1202,Законод!$C$22*'01_Доходи'!AE1201),IF($B$1198="Лікар-педіатр","x",IF($B$1198="Лікар-терапевт",IF(AG1202&lt;=Законод!$C$26,AE1202,Законод!$C$26*'01_Доходи'!AE1201),0)))</f>
        <v>0</v>
      </c>
      <c r="AF1203" s="208">
        <f ca="1">IF($B$1198="Лікар загальної практики - сімейний лікар",IF(AG1202&lt;=Законод!$C$22,AF1202,Законод!$C$22*'01_Доходи'!AF1201),IF($B$1198="Лікар-педіатр","x",IF($B$1198="Лікар-терапевт",IF(AG1202&lt;=Законод!$C$26,AF1202,Законод!$C$26*'01_Доходи'!AF1201),0)))</f>
        <v>0</v>
      </c>
      <c r="AG1203" s="209">
        <f ca="1">SUM(AB1203:AF1203)</f>
        <v>0</v>
      </c>
      <c r="AH1203" s="942"/>
      <c r="AI1203" s="201"/>
      <c r="AJ1203" s="945"/>
      <c r="AK1203" s="960"/>
      <c r="AL1203" s="960"/>
      <c r="AM1203" s="348" t="s">
        <v>451</v>
      </c>
      <c r="AN1203" s="210">
        <f ca="1">IF(B1198="Лікар загальної практики - сімейний лікар",G1203*Законод!$C$11+'01_Доходи'!H1203*Законод!$D$11+'01_Доходи'!I1203*Законод!$E$11+'01_Доходи'!J1203*Законод!$F$11+'01_Доходи'!K1203*Законод!$G$11,IF(B1198="Лікар-педіатр",G1203*Законод!$C$11+'01_Доходи'!H1203*Законод!$D$11,IF(B1198="Лікар-терапевт",'01_Доходи'!I1203*Законод!$E$11+'01_Доходи'!J1203*Законод!$F$11+'01_Доходи'!K1203*Законод!$G$11,0)))</f>
        <v>0</v>
      </c>
      <c r="AO1203" s="210">
        <f ca="1">IF(B1198="Лікар загальної практики - сімейний лікар",N1203*Законод!$C$11+'01_Доходи'!O1203*Законод!$D$11+'01_Доходи'!P1203*Законод!$E$11+'01_Доходи'!Q1203*Законод!$F$11+'01_Доходи'!R1203*Законод!$G$11,IF(B1198="Лікар-педіатр",N1203*Законод!$C$11+'01_Доходи'!O1203*Законод!$D$11,IF(B1198="Лікар-терапевт",'01_Доходи'!P1203*Законод!$E$11+'01_Доходи'!Q1203*Законод!$F$11+'01_Доходи'!R1203*Законод!$G$11,0)))</f>
        <v>0</v>
      </c>
      <c r="AP1203" s="210">
        <f ca="1">IF(B1198="Лікар загальної практики - сімейний лікар",U1203*Законод!$C$11+'01_Доходи'!V1203*Законод!$D$11+'01_Доходи'!W1203*Законод!$E$11+'01_Доходи'!X1203*Законод!$F$11+'01_Доходи'!Y1203*Законод!$G$11,IF(B1198="Лікар-педіатр",U1203*Законод!$C$11+'01_Доходи'!V1203*Законод!$D$11,IF(B1198="Лікар-терапевт",'01_Доходи'!W1203*Законод!$E$11+'01_Доходи'!X1203*Законод!$F$11+'01_Доходи'!Y1203*Законод!$G$11,0)))</f>
        <v>0</v>
      </c>
      <c r="AQ1203" s="210">
        <f ca="1">IF(B1198="Лікар загальної практики - сімейний лікар",AB1203*Законод!$C$11+'01_Доходи'!AC1203*Законод!$D$11+'01_Доходи'!AD1203*Законод!$E$11+'01_Доходи'!AE1203*Законод!$F$11+'01_Доходи'!AF1203*Законод!$G$11,IF(B1198="Лікар-педіатр",AB1203*Законод!$C$11+'01_Доходи'!AC1203*Законод!$D$11,IF(B1198="Лікар-терапевт",'01_Доходи'!AD1203*Законод!$E$11+'01_Доходи'!AE1203*Законод!$F$11+'01_Доходи'!AF1203*Законод!$G$11,0)))</f>
        <v>0</v>
      </c>
      <c r="AR1203" s="211">
        <f t="shared" ref="AR1203:AR1209" si="132">SUM(AN1203:AQ1203)</f>
        <v>0</v>
      </c>
    </row>
    <row r="1204" spans="1:44" s="50" customFormat="1" ht="31.9" hidden="1" customHeight="1">
      <c r="A1204" s="197"/>
      <c r="B1204" s="951"/>
      <c r="C1204" s="954"/>
      <c r="D1204" s="957"/>
      <c r="E1204" s="939"/>
      <c r="F1204" s="238" t="str">
        <f ca="1">IF(B1198="Лікар-педіатр",Законод!$E$17,IF(B1198="Лікар загальної практики - сімейний лікар",Законод!$E$21,IF(B1198="Лікар-терапевт",Законод!$E$25,"х")))</f>
        <v>х</v>
      </c>
      <c r="G1204" s="935" t="s">
        <v>423</v>
      </c>
      <c r="H1204" s="936"/>
      <c r="I1204" s="936"/>
      <c r="J1204" s="936"/>
      <c r="K1204" s="937"/>
      <c r="L1204" s="196">
        <f ca="1">IF($B$1198="Лікар загальної практики - сімейний лікар",IF(L1202&lt;Законод!$C$22,0,(IF(AND(L1202&gt;=Законод!$E$22,L1202&lt;=Законод!$E$23),L1202-Законод!$C$22,IF('01_Доходи'!L1202&gt;=Законод!$F$22,Законод!$E$24,0)))),IF($B$1198="Лікар-педіатр",IF(L1202&lt;Законод!$C$18,0,(IF(AND(L1202&gt;=Законод!$E$18,L1202&lt;=Законод!$E$19),L1202-Законод!$C$18,IF('01_Доходи'!L1202&gt;=Законод!$F$18,Законод!$E$20,0)))),IF($B$1198="Лікар-терапевт",IF(L1202&lt;Законод!$C$26,0,(IF(AND(L1202&gt;=Законод!$E$26,L1202&lt;=Законод!$E$27),L1202-Законод!$C$26,IF('01_Доходи'!L1202&gt;=Законод!$F$26,Законод!$E$28,0)))),0)))</f>
        <v>0</v>
      </c>
      <c r="M1204" s="942"/>
      <c r="N1204" s="935" t="s">
        <v>423</v>
      </c>
      <c r="O1204" s="936"/>
      <c r="P1204" s="936"/>
      <c r="Q1204" s="936"/>
      <c r="R1204" s="937"/>
      <c r="S1204" s="196">
        <f ca="1">IF($B$1198="Лікар загальної практики - сімейний лікар",IF(S1202&lt;Законод!$C$22,0,(IF(AND(S1202&gt;=Законод!$E$22,S1202&lt;=Законод!$E$23),S1202-Законод!$C$22,IF('01_Доходи'!S1202&gt;=Законод!$F$22,Законод!$E$24,0)))),IF($B$1198="Лікар-педіатр",IF(S1202&lt;Законод!$C$18,0,(IF(AND(S1202&gt;=Законод!$E$18,S1202&lt;=Законод!$E$19),S1202-Законод!$C$18,IF('01_Доходи'!S1202&gt;=Законод!$F$18,Законод!$E$20,0)))),IF($B$1198="Лікар-терапевт",IF(S1202&lt;Законод!$C$26,0,(IF(AND(S1202&gt;=Законод!$E$26,S1202&lt;=Законод!$E$27),S1202-Законод!$C$26,IF('01_Доходи'!S1202&gt;=Законод!$F$26,Законод!$E$28,0)))),0)))</f>
        <v>0</v>
      </c>
      <c r="T1204" s="942"/>
      <c r="U1204" s="935" t="s">
        <v>423</v>
      </c>
      <c r="V1204" s="936"/>
      <c r="W1204" s="936"/>
      <c r="X1204" s="936"/>
      <c r="Y1204" s="937"/>
      <c r="Z1204" s="196">
        <f ca="1">IF($B$1198="Лікар загальної практики - сімейний лікар",IF(Z1202&lt;Законод!$C$22,0,(IF(AND(Z1202&gt;=Законод!$E$22,Z1202&lt;=Законод!$E$23),Z1202-Законод!$C$22,IF('01_Доходи'!Z1202&gt;=Законод!$F$22,Законод!$E$24,0)))),IF($B$1198="Лікар-педіатр",IF(Z1202&lt;Законод!$C$18,0,(IF(AND(Z1202&gt;=Законод!$E$18,Z1202&lt;=Законод!$E$19),Z1202-Законод!$C$18,IF('01_Доходи'!Z1202&gt;=Законод!$F$18,Законод!$E$20,0)))),IF($B$1198="Лікар-терапевт",IF(Z1202&lt;Законод!$C$26,0,(IF(AND(Z1202&gt;=Законод!$E$26,Z1202&lt;=Законод!$E$27),Z1202-Законод!$C$26,IF('01_Доходи'!Z1202&gt;=Законод!$F$26,Законод!$E$28,0)))),0)))</f>
        <v>0</v>
      </c>
      <c r="AA1204" s="942"/>
      <c r="AB1204" s="935" t="s">
        <v>423</v>
      </c>
      <c r="AC1204" s="936"/>
      <c r="AD1204" s="936"/>
      <c r="AE1204" s="936"/>
      <c r="AF1204" s="937"/>
      <c r="AG1204" s="196">
        <f ca="1">IF($B$1198="Лікар загальної практики - сімейний лікар",IF(AG1202&lt;Законод!$C$22,0,(IF(AND(AG1202&gt;=Законод!$E$22,AG1202&lt;=Законод!$E$23),AG1202-Законод!$C$22,IF('01_Доходи'!AG1202&gt;=Законод!$F$22,Законод!$E$24,0)))),IF($B$1198="Лікар-педіатр",IF(AG1202&lt;Законод!$C$18,0,(IF(AND(AG1202&gt;=Законод!$E$18,AG1202&lt;=Законод!$E$19),AG1202-Законод!$C$18,IF('01_Доходи'!AG1202&gt;=Законод!$F$18,Законод!$E$20,0)))),IF($B$1198="Лікар-терапевт",IF(AG1202&lt;Законод!$C$26,0,(IF(AND(AG1202&gt;=Законод!$E$26,AG1202&lt;=Законод!$E$27),AG1202-Законод!$C$26,IF('01_Доходи'!AG1202&gt;=Законод!$F$26,Законод!$E$28,0)))),0)))</f>
        <v>0</v>
      </c>
      <c r="AH1204" s="942"/>
      <c r="AI1204" s="201"/>
      <c r="AJ1204" s="945"/>
      <c r="AK1204" s="960"/>
      <c r="AL1204" s="960"/>
      <c r="AM1204" s="926" t="s">
        <v>452</v>
      </c>
      <c r="AN1204" s="210">
        <f ca="1">IF(B1198="Лікар загальної практики - сімейний лікар",L1204*Законод!$C$9/4*Законод!$E$16,IF(B1198="Лікар-педіатр",L1204*Законод!$C$9/4*Законод!$E$16,IF(B1198="Лікар-терапевт",L1204*Законод!$C$9/4*Законод!$E$16,0)))</f>
        <v>0</v>
      </c>
      <c r="AO1204" s="210">
        <f ca="1">IF(B1198="Лікар загальної практики - сімейний лікар",S1204*Законод!$C$9/4*Законод!$E$16,IF(B1198="Лікар-педіатр",S1204*Законод!$C$9/4*Законод!$E$16,IF(B1198="Лікар-терапевт",S1204*Законод!$C$9/4*Законод!$E$16,0)))</f>
        <v>0</v>
      </c>
      <c r="AP1204" s="210">
        <f ca="1">IF(B1198="Лікар загальної практики - сімейний лікар",Z1204*Законод!$C$9/4*Законод!$E$16,IF(B1198="Лікар-педіатр",Z1204*Законод!$C$9/4*Законод!$E$16,IF(B1198="Лікар-терапевт",Z1204*Законод!$C$9/4*Законод!$E$16,0)))</f>
        <v>0</v>
      </c>
      <c r="AQ1204" s="210">
        <f ca="1">IF(B1198="Лікар загальної практики - сімейний лікар",AG1204*Законод!$C$9/4*Законод!$E$16,IF(B1198="Лікар-педіатр",AG1204*Законод!$C$9/4*Законод!$E$16,IF(B1198="Лікар-терапевт",AG1204*Законод!$C$9/4*Законод!$E$16,0)))</f>
        <v>0</v>
      </c>
      <c r="AR1204" s="211">
        <f t="shared" si="132"/>
        <v>0</v>
      </c>
    </row>
    <row r="1205" spans="1:44" s="50" customFormat="1" ht="31.9" hidden="1" customHeight="1">
      <c r="A1205" s="197"/>
      <c r="B1205" s="951"/>
      <c r="C1205" s="954"/>
      <c r="D1205" s="957"/>
      <c r="E1205" s="939"/>
      <c r="F1205" s="238" t="str">
        <f ca="1">IF(B1198="Лікар-педіатр",Законод!$F$17,IF(B1198="Лікар загальної практики - сімейний лікар",Законод!$F$21,IF(B1198="Лікар-терапевт",Законод!$F$25,"х")))</f>
        <v>х</v>
      </c>
      <c r="G1205" s="935" t="s">
        <v>423</v>
      </c>
      <c r="H1205" s="936"/>
      <c r="I1205" s="936"/>
      <c r="J1205" s="936"/>
      <c r="K1205" s="937"/>
      <c r="L1205" s="196">
        <f ca="1">IF($B$1198="Лікар загальної практики - сімейний лікар",IF(L1202&lt;Законод!$C$22,0,(IF(AND(L1202&gt;=Законод!$F$22,L1202&lt;=Законод!$F$23),L1202-Законод!$E$23,IF('01_Доходи'!L1202&gt;=Законод!$G$22,Законод!$F$24,0)))),IF($B$1198="Лікар-педіатр",IF(L1202&lt;Законод!$C$18,0,(IF(AND(L1202&gt;=Законод!$F$18,L1202&lt;=Законод!$F$19),L1202-Законод!$E$19,IF('01_Доходи'!L1202&gt;=Законод!$G$18,Законод!$F$20,0)))),IF($B$1198="Лікар-терапевт",IF(L1202&lt;Законод!$C$26,0,(IF(AND(L1202&gt;=Законод!$F$26,L1202&lt;=Законод!$F$27),L1202-Законод!$E$27,IF('01_Доходи'!L1202&gt;=Законод!$G$26,Законод!$F$28,0)))),0)))</f>
        <v>0</v>
      </c>
      <c r="M1205" s="942"/>
      <c r="N1205" s="935" t="s">
        <v>423</v>
      </c>
      <c r="O1205" s="936"/>
      <c r="P1205" s="936"/>
      <c r="Q1205" s="936"/>
      <c r="R1205" s="937"/>
      <c r="S1205" s="196">
        <f ca="1">IF($B$1198="Лікар загальної практики - сімейний лікар",IF(S1202&lt;Законод!$C$22,0,(IF(AND(S1202&gt;=Законод!$F$22,S1202&lt;=Законод!$F$23),S1202-Законод!$E$23,IF('01_Доходи'!S1202&gt;=Законод!$G$22,Законод!$F$24,0)))),IF($B$1198="Лікар-педіатр",IF(S1202&lt;Законод!$C$18,0,(IF(AND(S1202&gt;=Законод!$F$18,S1202&lt;=Законод!$F$19),S1202-Законод!$E$19,IF('01_Доходи'!S1202&gt;=Законод!$G$18,Законод!$F$20,0)))),IF($B$1198="Лікар-терапевт",IF(S1202&lt;Законод!$C$26,0,(IF(AND(S1202&gt;=Законод!$F$26,S1202&lt;=Законод!$F$27),S1202-Законод!$E$27,IF('01_Доходи'!S1202&gt;=Законод!$G$26,Законод!$F$28,0)))),0)))</f>
        <v>0</v>
      </c>
      <c r="T1205" s="942"/>
      <c r="U1205" s="935" t="s">
        <v>423</v>
      </c>
      <c r="V1205" s="936"/>
      <c r="W1205" s="936"/>
      <c r="X1205" s="936"/>
      <c r="Y1205" s="937"/>
      <c r="Z1205" s="196">
        <f ca="1">IF($B$1198="Лікар загальної практики - сімейний лікар",IF(Z1202&lt;Законод!$C$22,0,(IF(AND(Z1202&gt;=Законод!$F$22,Z1202&lt;=Законод!$F$23),Z1202-Законод!$E$23,IF('01_Доходи'!Z1202&gt;=Законод!$G$22,Законод!$F$24,0)))),IF($B$1198="Лікар-педіатр",IF(Z1202&lt;Законод!$C$18,0,(IF(AND(Z1202&gt;=Законод!$F$18,Z1202&lt;=Законод!$F$19),Z1202-Законод!$E$19,IF('01_Доходи'!Z1202&gt;=Законод!$G$18,Законод!$F$20,0)))),IF($B$1198="Лікар-терапевт",IF(Z1202&lt;Законод!$C$26,0,(IF(AND(Z1202&gt;=Законод!$F$26,Z1202&lt;=Законод!$F$27),Z1202-Законод!$E$27,IF('01_Доходи'!Z1202&gt;=Законод!$G$26,Законод!$F$28,0)))),0)))</f>
        <v>0</v>
      </c>
      <c r="AA1205" s="942"/>
      <c r="AB1205" s="935" t="s">
        <v>423</v>
      </c>
      <c r="AC1205" s="936"/>
      <c r="AD1205" s="936"/>
      <c r="AE1205" s="936"/>
      <c r="AF1205" s="937"/>
      <c r="AG1205" s="196">
        <f ca="1">IF($B$1198="Лікар загальної практики - сімейний лікар",IF(AG1202&lt;Законод!$C$22,0,(IF(AND(AG1202&gt;=Законод!$F$22,AG1202&lt;=Законод!$F$23),AG1202-Законод!$E$23,IF('01_Доходи'!AG1202&gt;=Законод!$G$22,Законод!$F$24,0)))),IF($B$1198="Лікар-педіатр",IF(AG1202&lt;Законод!$C$18,0,(IF(AND(AG1202&gt;=Законод!$F$18,AG1202&lt;=Законод!$F$19),AG1202-Законод!$E$19,IF('01_Доходи'!AG1202&gt;=Законод!$G$18,Законод!$F$20,0)))),IF($B$1198="Лікар-терапевт",IF(AG1202&lt;Законод!$C$26,0,(IF(AND(AG1202&gt;=Законод!$F$26,AG1202&lt;=Законод!$F$27),AG1202-Законод!$E$27,IF('01_Доходи'!AG1202&gt;=Законод!$G$26,Законод!$F$28,0)))),0)))</f>
        <v>0</v>
      </c>
      <c r="AH1205" s="942"/>
      <c r="AI1205" s="201"/>
      <c r="AJ1205" s="945"/>
      <c r="AK1205" s="960"/>
      <c r="AL1205" s="960"/>
      <c r="AM1205" s="927"/>
      <c r="AN1205" s="210">
        <f ca="1">IF(B1198="Лікар загальної практики - сімейний лікар",L1205*Законод!$C$9/4*Законод!$F$16,IF(B1198="Лікар-педіатр",L1205*Законод!$C$9/4*Законод!$F$16,IF(B1198="Лікар-терапевт",L1205*Законод!$C$9/4*Законод!$F$16,0)))</f>
        <v>0</v>
      </c>
      <c r="AO1205" s="210">
        <f ca="1">IF(B1198="Лікар загальної практики - сімейний лікар",S1205*Законод!$C$9/4*Законод!$F$16,IF(B1198="Лікар-педіатр",S1205*Законод!$C$9/4*Законод!$F$16,IF(B1198="Лікар-терапевт",S1205*Законод!$C$9/4*Законод!$F$16,0)))</f>
        <v>0</v>
      </c>
      <c r="AP1205" s="210">
        <f ca="1">IF(B1198="Лікар загальної практики - сімейний лікар",Z1205*Законод!$C$9/4*Законод!$F$16,IF(B1198="Лікар-педіатр",Z1205*Законод!$C$9/4*Законод!$F$16,IF(B1198="Лікар-терапевт",Z1205*Законод!$C$9/4*Законод!$F$16,0)))</f>
        <v>0</v>
      </c>
      <c r="AQ1205" s="210">
        <f ca="1">IF(B1198="Лікар загальної практики - сімейний лікар",AG1205*Законод!$C$9/4*Законод!$F$16,IF(B1198="Лікар-педіатр",AG1205*Законод!$C$9/4*Законод!$F$16,IF(B1198="Лікар-терапевт",AG1205*Законод!$C$9/4*Законод!$F$16,0)))</f>
        <v>0</v>
      </c>
      <c r="AR1205" s="211">
        <f t="shared" si="132"/>
        <v>0</v>
      </c>
    </row>
    <row r="1206" spans="1:44" s="50" customFormat="1" ht="31.9" hidden="1" customHeight="1">
      <c r="A1206" s="197"/>
      <c r="B1206" s="951"/>
      <c r="C1206" s="954"/>
      <c r="D1206" s="957"/>
      <c r="E1206" s="939"/>
      <c r="F1206" s="238" t="str">
        <f ca="1">IF(B1198="Лікар-педіатр",Законод!$G$17,IF(B1198="Лікар загальної практики - сімейний лікар",Законод!$G$21,IF(B1198="Лікар-терапевт",Законод!$G$25,"х")))</f>
        <v>х</v>
      </c>
      <c r="G1206" s="935" t="s">
        <v>423</v>
      </c>
      <c r="H1206" s="936"/>
      <c r="I1206" s="936"/>
      <c r="J1206" s="936"/>
      <c r="K1206" s="937"/>
      <c r="L1206" s="196">
        <f ca="1">IF($B$1198="Лікар загальної практики - сімейний лікар",IF(L1202&lt;Законод!$C$22,0,(IF(AND(L1202&gt;=Законод!$G$22,L1202&lt;=Законод!$G$23),L1202-Законод!$F$23,IF('01_Доходи'!L1202&gt;=Законод!$H$22,Законод!$G$24,0)))),IF($B$1198="Лікар-педіатр",IF(L1202&lt;Законод!$C$18,0,(IF(AND(L1202&gt;=Законод!$G$18,L1202&lt;=Законод!$G$19),L1202-Законод!$F$19,IF('01_Доходи'!L1202&gt;=Законод!$H$18,Законод!$G$20,0)))),IF($B$1198="Лікар-терапевт",IF(L1202&lt;Законод!$C$26,0,(IF(AND(L1202&gt;=Законод!$G$26,L1202&lt;=Законод!$G$27),L1202-Законод!$F$27,IF('01_Доходи'!L1202&gt;=Законод!$H$26,Законод!$G$28,0)))),0)))</f>
        <v>0</v>
      </c>
      <c r="M1206" s="942"/>
      <c r="N1206" s="935" t="s">
        <v>423</v>
      </c>
      <c r="O1206" s="936"/>
      <c r="P1206" s="936"/>
      <c r="Q1206" s="936"/>
      <c r="R1206" s="937"/>
      <c r="S1206" s="196">
        <f ca="1">IF($B$1198="Лікар загальної практики - сімейний лікар",IF(S1202&lt;Законод!$C$22,0,(IF(AND(S1202&gt;=Законод!$G$22,S1202&lt;=Законод!$G$23),S1202-Законод!$F$23,IF('01_Доходи'!S1202&gt;=Законод!$H$22,Законод!$G$24,0)))),IF($B$1198="Лікар-педіатр",IF(S1202&lt;Законод!$C$18,0,(IF(AND(S1202&gt;=Законод!$G$18,S1202&lt;=Законод!$G$19),S1202-Законод!$F$19,IF('01_Доходи'!S1202&gt;=Законод!$H$18,Законод!$G$20,0)))),IF($B$1198="Лікар-терапевт",IF(S1202&lt;Законод!$C$26,0,(IF(AND(S1202&gt;=Законод!$G$26,S1202&lt;=Законод!$G$27),S1202-Законод!$F$27,IF('01_Доходи'!S1202&gt;=Законод!$H$26,Законод!$G$28,0)))),0)))</f>
        <v>0</v>
      </c>
      <c r="T1206" s="942"/>
      <c r="U1206" s="935" t="s">
        <v>423</v>
      </c>
      <c r="V1206" s="936"/>
      <c r="W1206" s="936"/>
      <c r="X1206" s="936"/>
      <c r="Y1206" s="937"/>
      <c r="Z1206" s="196">
        <f ca="1">IF($B$1198="Лікар загальної практики - сімейний лікар",IF(Z1202&lt;Законод!$C$22,0,(IF(AND(Z1202&gt;=Законод!$G$22,Z1202&lt;=Законод!$G$23),Z1202-Законод!$F$23,IF('01_Доходи'!Z1202&gt;=Законод!$H$22,Законод!$G$24,0)))),IF($B$1198="Лікар-педіатр",IF(Z1202&lt;Законод!$C$18,0,(IF(AND(Z1202&gt;=Законод!$G$18,Z1202&lt;=Законод!$G$19),Z1202-Законод!$F$19,IF('01_Доходи'!Z1202&gt;=Законод!$H$18,Законод!$G$20,0)))),IF($B$1198="Лікар-терапевт",IF(Z1202&lt;Законод!$C$26,0,(IF(AND(Z1202&gt;=Законод!$G$26,Z1202&lt;=Законод!$G$27),Z1202-Законод!$F$27,IF('01_Доходи'!Z1202&gt;=Законод!$H$26,Законод!$G$28,0)))),0)))</f>
        <v>0</v>
      </c>
      <c r="AA1206" s="942"/>
      <c r="AB1206" s="935" t="s">
        <v>423</v>
      </c>
      <c r="AC1206" s="936"/>
      <c r="AD1206" s="936"/>
      <c r="AE1206" s="936"/>
      <c r="AF1206" s="937"/>
      <c r="AG1206" s="196">
        <f ca="1">IF($B$1198="Лікар загальної практики - сімейний лікар",IF(AG1202&lt;Законод!$C$22,0,(IF(AND(AG1202&gt;=Законод!$G$22,AG1202&lt;=Законод!$G$23),AG1202-Законод!$F$23,IF('01_Доходи'!AG1202&gt;=Законод!$H$22,Законод!$G$24,0)))),IF($B$1198="Лікар-педіатр",IF(AG1202&lt;Законод!$C$18,0,(IF(AND(AG1202&gt;=Законод!$G$18,AG1202&lt;=Законод!$G$19),AG1202-Законод!$F$19,IF('01_Доходи'!AG1202&gt;=Законод!$H$18,Законод!$G$20,0)))),IF($B$1198="Лікар-терапевт",IF(AG1202&lt;Законод!$C$26,0,(IF(AND(AG1202&gt;=Законод!$G$26,AG1202&lt;=Законод!$G$27),AG1202-Законод!$F$27,IF('01_Доходи'!AG1202&gt;=Законод!$H$26,Законод!$G$28,0)))),0)))</f>
        <v>0</v>
      </c>
      <c r="AH1206" s="942"/>
      <c r="AI1206" s="201"/>
      <c r="AJ1206" s="945"/>
      <c r="AK1206" s="960"/>
      <c r="AL1206" s="960"/>
      <c r="AM1206" s="927"/>
      <c r="AN1206" s="210">
        <f ca="1">IF(B1198="Лікар загальної практики - сімейний лікар",L1206*Законод!$C$9/4*Законод!$G$16,IF(B1198="Лікар-педіатр",L1206*Законод!$C$9/4*Законод!$G$16,IF(B1198="Лікар-терапевт",L1206*Законод!$C$9/4*Законод!$G$16,0)))</f>
        <v>0</v>
      </c>
      <c r="AO1206" s="210">
        <f ca="1">IF(B1198="Лікар загальної практики - сімейний лікар",S1206*Законод!$C$9/4*Законод!$G$16,IF(B1198="Лікар-педіатр",S1206*Законод!$C$9/4*Законод!$G$16,IF(B1198="Лікар-терапевт",S1206*Законод!$C$9/4*Законод!$G$16,0)))</f>
        <v>0</v>
      </c>
      <c r="AP1206" s="210">
        <f ca="1">IF(B1198="Лікар загальної практики - сімейний лікар",Z1206*Законод!$C$9/4*Законод!$G$16,IF(B1198="Лікар-педіатр",Z1206*Законод!$C$9/4*Законод!$G$16,IF(B1198="Лікар-терапевт",Z1206*Законод!$C$9/4*Законод!$G$16,0)))</f>
        <v>0</v>
      </c>
      <c r="AQ1206" s="210">
        <f ca="1">IF(B1198="Лікар загальної практики - сімейний лікар",AG1206*Законод!$C$9/4*Законод!$G$16,IF(B1198="Лікар-педіатр",AG1206*Законод!$C$9/4*Законод!$G$16,IF(B1198="Лікар-терапевт",AG1206*Законод!$C$9/4*Законод!$G$16,0)))</f>
        <v>0</v>
      </c>
      <c r="AR1206" s="211">
        <f t="shared" si="132"/>
        <v>0</v>
      </c>
    </row>
    <row r="1207" spans="1:44" s="50" customFormat="1" ht="31.9" hidden="1" customHeight="1">
      <c r="A1207" s="197"/>
      <c r="B1207" s="951"/>
      <c r="C1207" s="954"/>
      <c r="D1207" s="957"/>
      <c r="E1207" s="939"/>
      <c r="F1207" s="238" t="str">
        <f ca="1">IF(B1198="Лікар-педіатр",Законод!$H$17,IF(B1198="Лікар загальної практики - сімейний лікар",Законод!$H$21,IF(B1198="Лікар-терапевт",Законод!$H$25,"х")))</f>
        <v>х</v>
      </c>
      <c r="G1207" s="935" t="s">
        <v>423</v>
      </c>
      <c r="H1207" s="936"/>
      <c r="I1207" s="936"/>
      <c r="J1207" s="936"/>
      <c r="K1207" s="937"/>
      <c r="L1207" s="196">
        <f ca="1">IF($B$1198="Лікар загальної практики - сімейний лікар",IF(L1202&lt;Законод!$C$22,0,(IF(AND(L1202&gt;=Законод!$H$22,L1202&lt;=Законод!$H$23),L1202-Законод!$G$23,IF('01_Доходи'!L1202&gt;=Законод!$I$22,Законод!$H$24,0)))),IF($B$1198="Лікар-педіатр",IF(L1202&lt;Законод!$C$18,0,(IF(AND(L1202&gt;=Законод!$H$18,L1202&lt;=Законод!$H$19),L1202-Законод!$G$19,IF('01_Доходи'!L1202&gt;=Законод!$I$18,Законод!$H$20,0)))),IF($B$1198="Лікар-терапевт",IF(L1202&lt;Законод!$C$26,0,(IF(AND(L1202&gt;=Законод!$H$26,L1202&lt;=Законод!$H$27),L1202-Законод!$G$27,IF(L1202&gt;=Законод!$I$26,Законод!$H$28,0)))),0)))</f>
        <v>0</v>
      </c>
      <c r="M1207" s="942"/>
      <c r="N1207" s="935" t="s">
        <v>423</v>
      </c>
      <c r="O1207" s="936"/>
      <c r="P1207" s="936"/>
      <c r="Q1207" s="936"/>
      <c r="R1207" s="937"/>
      <c r="S1207" s="196">
        <f ca="1">IF($B$1198="Лікар загальної практики - сімейний лікар",IF(S1202&lt;Законод!$C$22,0,(IF(AND(S1202&gt;=Законод!$H$22,S1202&lt;=Законод!$H$23),S1202-Законод!$G$23,IF('01_Доходи'!S1202&gt;=Законод!$I$22,Законод!$H$24,0)))),IF($B$1198="Лікар-педіатр",IF(S1202&lt;Законод!$C$18,0,(IF(AND(S1202&gt;=Законод!$H$18,S1202&lt;=Законод!$H$19),S1202-Законод!$G$19,IF('01_Доходи'!S1202&gt;=Законод!$I$18,Законод!$H$20,0)))),IF($B$1198="Лікар-терапевт",IF(S1202&lt;Законод!$C$26,0,(IF(AND(S1202&gt;=Законод!$H$26,S1202&lt;=Законод!$H$27),S1202-Законод!$G$27,IF(S1202&gt;=Законод!$I$26,Законод!$H$28,0)))),0)))</f>
        <v>0</v>
      </c>
      <c r="T1207" s="942"/>
      <c r="U1207" s="935" t="s">
        <v>423</v>
      </c>
      <c r="V1207" s="936"/>
      <c r="W1207" s="936"/>
      <c r="X1207" s="936"/>
      <c r="Y1207" s="937"/>
      <c r="Z1207" s="196">
        <f ca="1">IF($B$1198="Лікар загальної практики - сімейний лікар",IF(Z1202&lt;Законод!$C$22,0,(IF(AND(Z1202&gt;=Законод!$H$22,Z1202&lt;=Законод!$H$23),Z1202-Законод!$G$23,IF('01_Доходи'!Z1202&gt;=Законод!$I$22,Законод!$H$24,0)))),IF($B$1198="Лікар-педіатр",IF(Z1202&lt;Законод!$C$18,0,(IF(AND(Z1202&gt;=Законод!$H$18,Z1202&lt;=Законод!$H$19),Z1202-Законод!$G$19,IF('01_Доходи'!Z1202&gt;=Законод!$I$18,Законод!$H$20,0)))),IF($B$1198="Лікар-терапевт",IF(Z1202&lt;Законод!$C$26,0,(IF(AND(Z1202&gt;=Законод!$H$26,Z1202&lt;=Законод!$H$27),Z1202-Законод!$G$27,IF(Z1202&gt;=Законод!$I$26,Законод!$H$28,0)))),0)))</f>
        <v>0</v>
      </c>
      <c r="AA1207" s="942"/>
      <c r="AB1207" s="935" t="s">
        <v>423</v>
      </c>
      <c r="AC1207" s="936"/>
      <c r="AD1207" s="936"/>
      <c r="AE1207" s="936"/>
      <c r="AF1207" s="937"/>
      <c r="AG1207" s="196">
        <f ca="1">IF($B$1198="Лікар загальної практики - сімейний лікар",IF(AG1202&lt;Законод!$C$22,0,(IF(AND(AG1202&gt;=Законод!$H$22,AG1202&lt;=Законод!$H$23),AG1202-Законод!$G$23,IF('01_Доходи'!AG1202&gt;=Законод!$I$22,Законод!$H$24,0)))),IF($B$1198="Лікар-педіатр",IF(AG1202&lt;Законод!$C$18,0,(IF(AND(AG1202&gt;=Законод!$H$18,AG1202&lt;=Законод!$H$19),AG1202-Законод!$G$19,IF('01_Доходи'!AG1202&gt;=Законод!$I$18,Законод!$H$20,0)))),IF($B$1198="Лікар-терапевт",IF(AG1202&lt;Законод!$C$26,0,(IF(AND(AG1202&gt;=Законод!$H$26,AG1202&lt;=Законод!$H$27),AG1202-Законод!$G$27,IF(AG1202&gt;=Законод!$I$26,Законод!$H$28,0)))),0)))</f>
        <v>0</v>
      </c>
      <c r="AH1207" s="942"/>
      <c r="AI1207" s="201"/>
      <c r="AJ1207" s="945"/>
      <c r="AK1207" s="960"/>
      <c r="AL1207" s="960"/>
      <c r="AM1207" s="927"/>
      <c r="AN1207" s="210">
        <f ca="1">IF(B1198="Лікар загальної практики - сімейний лікар",L1207*Законод!$C$9/4*Законод!$H$16,IF(B1198="Лікар-педіатр",L1207*Законод!$C$9/4*Законод!$H$16,IF(B1198="Лікар-терапевт",L1207*Законод!$C$9/4*Законод!$H$16,0)))</f>
        <v>0</v>
      </c>
      <c r="AO1207" s="210">
        <f ca="1">IF(B1198="Лікар загальної практики - сімейний лікар",S1207*Законод!$C$9/4*Законод!$H$16,IF(B1198="Лікар-педіатр",S1207*Законод!$C$9/4*Законод!$H$16,IF(B1198="Лікар-терапевт",S1207*Законод!$C$9/4*Законод!$H$16,0)))</f>
        <v>0</v>
      </c>
      <c r="AP1207" s="210">
        <f ca="1">IF(B1198="Лікар загальної практики - сімейний лікар",Z1207*Законод!$C$9/4*Законод!$H$16,IF(B1198="Лікар-педіатр",Z1207*Законод!$C$9/4*Законод!$H$16,IF(B1198="Лікар-терапевт",Z1207*Законод!$C$9/4*Законод!$H$16,0)))</f>
        <v>0</v>
      </c>
      <c r="AQ1207" s="210">
        <f ca="1">IF(B1198="Лікар загальної практики - сімейний лікар",AG1207*Законод!$C$9/4*Законод!$H$16,IF(B1198="Лікар-педіатр",AG1207*Законод!$C$9/4*Законод!$H$16,IF(B1198="Лікар-терапевт",AG1207*Законод!$C$9/4*Законод!$H$16,0)))</f>
        <v>0</v>
      </c>
      <c r="AR1207" s="211">
        <f t="shared" si="132"/>
        <v>0</v>
      </c>
    </row>
    <row r="1208" spans="1:44" s="50" customFormat="1" ht="31.9" hidden="1" customHeight="1">
      <c r="A1208" s="197"/>
      <c r="B1208" s="951"/>
      <c r="C1208" s="954"/>
      <c r="D1208" s="957"/>
      <c r="E1208" s="939"/>
      <c r="F1208" s="238" t="str">
        <f ca="1">IF(B1198="Лікар-педіатр",Законод!$I$17,IF(B1198="Лікар загальної практики - сімейний лікар",Законод!$I$21,IF(B1198="Лікар-терапевт",Законод!$I$25,"х")))</f>
        <v>х</v>
      </c>
      <c r="G1208" s="935" t="s">
        <v>423</v>
      </c>
      <c r="H1208" s="936"/>
      <c r="I1208" s="936"/>
      <c r="J1208" s="936"/>
      <c r="K1208" s="937"/>
      <c r="L1208" s="196">
        <f ca="1">IF($B$1198="Лікар загальної практики - сімейний лікар",IF(L1202&lt;Законод!$C$22,0,(IF(AND(L1202&gt;=Законод!$I$22,L1202&lt;=Законод!$I$23),L1202-Законод!$H$23,IF('01_Доходи'!L1202&gt;=Законод!$I$22,Законод!$I$24,0)))),IF($B$1198="Лікар-педіатр",IF(L1202&lt;Законод!$C$18,0,(IF(AND(L1202&gt;=Законод!$I$18,L1202&lt;=Законод!$I$19),L1202-Законод!$H$19,IF('01_Доходи'!L1202&gt;=Законод!$I$18,Законод!$H$20,0)))),IF($B$1198="Лікар-терапевт",IF(L1202&lt;Законод!$C$26,0,(IF(AND(L1202&gt;=Законод!$I$26,L1202&lt;=Законод!$I$27),L1202-Законод!$H$27,IF('01_Доходи'!L1202&gt;=Законод!$I$26,Законод!$H$28,0)))),0)))</f>
        <v>0</v>
      </c>
      <c r="M1208" s="942"/>
      <c r="N1208" s="935" t="s">
        <v>423</v>
      </c>
      <c r="O1208" s="936"/>
      <c r="P1208" s="936"/>
      <c r="Q1208" s="936"/>
      <c r="R1208" s="937"/>
      <c r="S1208" s="196">
        <f ca="1">IF($B$1198="Лікар загальної практики - сімейний лікар",IF(S1202&lt;Законод!$C$22,0,(IF(AND(S1202&gt;=Законод!$I$22,S1202&lt;=Законод!$I$23),S1202-Законод!$H$23,IF('01_Доходи'!S1202&gt;=Законод!$I$22,Законод!$I$24,0)))),IF($B$1198="Лікар-педіатр",IF(S1202&lt;Законод!$C$18,0,(IF(AND(S1202&gt;=Законод!$I$18,S1202&lt;=Законод!$I$19),S1202-Законод!$H$19,IF('01_Доходи'!S1202&gt;=Законод!$I$18,Законод!$H$20,0)))),IF($B$1198="Лікар-терапевт",IF(S1202&lt;Законод!$C$26,0,(IF(AND(S1202&gt;=Законод!$I$26,S1202&lt;=Законод!$I$27),S1202-Законод!$H$27,IF('01_Доходи'!S1202&gt;=Законод!$I$26,Законод!$H$28,0)))),0)))</f>
        <v>0</v>
      </c>
      <c r="T1208" s="942"/>
      <c r="U1208" s="935" t="s">
        <v>423</v>
      </c>
      <c r="V1208" s="936"/>
      <c r="W1208" s="936"/>
      <c r="X1208" s="936"/>
      <c r="Y1208" s="937"/>
      <c r="Z1208" s="196">
        <f ca="1">IF($B$1198="Лікар загальної практики - сімейний лікар",IF(Z1202&lt;Законод!$C$22,0,(IF(AND(Z1202&gt;=Законод!$I$22,Z1202&lt;=Законод!$I$23),Z1202-Законод!$H$23,IF('01_Доходи'!Z1202&gt;=Законод!$I$22,Законод!$I$24,0)))),IF($B$1198="Лікар-педіатр",IF(Z1202&lt;Законод!$C$18,0,(IF(AND(Z1202&gt;=Законод!$I$18,Z1202&lt;=Законод!$I$19),Z1202-Законод!$H$19,IF('01_Доходи'!Z1202&gt;=Законод!$I$18,Законод!$H$20,0)))),IF($B$1198="Лікар-терапевт",IF(Z1202&lt;Законод!$C$26,0,(IF(AND(Z1202&gt;=Законод!$I$26,Z1202&lt;=Законод!$I$27),Z1202-Законод!$H$27,IF('01_Доходи'!Z1202&gt;=Законод!$I$26,Законод!$H$28,0)))),0)))</f>
        <v>0</v>
      </c>
      <c r="AA1208" s="942"/>
      <c r="AB1208" s="935" t="s">
        <v>423</v>
      </c>
      <c r="AC1208" s="936"/>
      <c r="AD1208" s="936"/>
      <c r="AE1208" s="936"/>
      <c r="AF1208" s="937"/>
      <c r="AG1208" s="196">
        <f ca="1">IF($B$1198="Лікар загальної практики - сімейний лікар",IF(AG1202&lt;Законод!$C$22,0,(IF(AND(AG1202&gt;=Законод!$I$22,AG1202&lt;=Законод!$I$23),AG1202-Законод!$H$23,IF('01_Доходи'!AG1202&gt;=Законод!$I$22,Законод!$I$24,0)))),IF($B$1198="Лікар-педіатр",IF(AG1202&lt;Законод!$C$18,0,(IF(AND(AG1202&gt;=Законод!$I$18,AG1202&lt;=Законод!$I$19),AG1202-Законод!$H$19,IF('01_Доходи'!AG1202&gt;=Законод!$I$18,Законод!$H$20,0)))),IF($B$1198="Лікар-терапевт",IF(AG1202&lt;Законод!$C$26,0,(IF(AND(AG1202&gt;=Законод!$I$26,AG1202&lt;=Законод!$I$27),AG1202-Законод!$H$27,IF('01_Доходи'!AG1202&gt;=Законод!$I$26,Законод!$H$28,0)))),0)))</f>
        <v>0</v>
      </c>
      <c r="AH1208" s="942"/>
      <c r="AI1208" s="201"/>
      <c r="AJ1208" s="945"/>
      <c r="AK1208" s="960"/>
      <c r="AL1208" s="960"/>
      <c r="AM1208" s="927"/>
      <c r="AN1208" s="210">
        <f ca="1">IF(B1198="Лікар загальної практики - сімейний лікар",L1208*Законод!$C$9/4*Законод!$I$16,IF(B1198="Лікар-педіатр",L1208*Законод!$C$9/4*Законод!$I$16,IF(B1198="Лікар-терапевт",L1208*Законод!$C$9/4*Законод!$I$16,0)))</f>
        <v>0</v>
      </c>
      <c r="AO1208" s="210">
        <f ca="1">IF(B1198="Лікар загальної практики - сімейний лікар",S1208*Законод!$C$9/4*Законод!$I$16,IF(B1198="Лікар-педіатр",S1208*Законод!$C$9/4*Законод!$I$16,IF(B1198="Лікар-терапевт",S1208*Законод!$C$9/4*Законод!$I$16,0)))</f>
        <v>0</v>
      </c>
      <c r="AP1208" s="210">
        <f ca="1">IF(B1198="Лікар загальної практики - сімейний лікар",Z1208*Законод!$C$9/4*Законод!$I$16,IF(B1198="Лікар-педіатр",Z1208*Законод!$C$9/4*Законод!$I$16,IF(B1198="Лікар-терапевт",Z1208*Законод!$C$9/4*Законод!$I$16,0)))</f>
        <v>0</v>
      </c>
      <c r="AQ1208" s="210">
        <f ca="1">IF(B1198="Лікар загальної практики - сімейний лікар",AG1208*Законод!$C$9/4*Законод!$I$16,IF(B1198="Лікар-педіатр",AG1208*Законод!$C$9/4*Законод!$I$16,IF(B1198="Лікар-терапевт",AG1208*Законод!$C$9/4*Законод!$I$16,0)))</f>
        <v>0</v>
      </c>
      <c r="AR1208" s="211">
        <f t="shared" si="132"/>
        <v>0</v>
      </c>
    </row>
    <row r="1209" spans="1:44" s="218" customFormat="1" ht="31.9" hidden="1" customHeight="1" thickBot="1">
      <c r="A1209" s="213"/>
      <c r="B1209" s="952"/>
      <c r="C1209" s="955"/>
      <c r="D1209" s="958"/>
      <c r="E1209" s="940"/>
      <c r="F1209" s="239" t="str">
        <f ca="1">IF(B1198="Лікар-педіатр",Законод!$J$17,IF(B1198="Лікар загальної практики - сімейний лікар",Законод!$J$21,IF(B1198="Лікар-терапевт",Законод!$J$25,"х")))</f>
        <v>х</v>
      </c>
      <c r="G1209" s="932" t="s">
        <v>423</v>
      </c>
      <c r="H1209" s="933"/>
      <c r="I1209" s="933"/>
      <c r="J1209" s="933"/>
      <c r="K1209" s="934"/>
      <c r="L1209" s="196">
        <f ca="1">IF($B$1198="Лікар загальної практики - сімейний лікар",IF(L1202&gt;=Законод!$J$22,'01_Доходи'!L1202-('01_Доходи'!L1203+'01_Доходи'!L1204+'01_Доходи'!L1205+'01_Доходи'!L1206+'01_Доходи'!L1207+'01_Доходи'!L1208),0),IF($B$1198="Лікар-педіатр",IF(L1202&gt;=Законод!$J$18,'01_Доходи'!L1202-('01_Доходи'!L1203+'01_Доходи'!L1204+'01_Доходи'!L1205+'01_Доходи'!L1206+'01_Доходи'!L1207+'01_Доходи'!L1208),0),IF($B$1198="Лікар-терапевт",IF('01_Доходи'!L1202&gt;=Законод!$J$26,L1202-Законод!$I$27,0),0)))</f>
        <v>0</v>
      </c>
      <c r="M1209" s="943"/>
      <c r="N1209" s="932" t="s">
        <v>423</v>
      </c>
      <c r="O1209" s="933"/>
      <c r="P1209" s="933"/>
      <c r="Q1209" s="933"/>
      <c r="R1209" s="934"/>
      <c r="S1209" s="196">
        <f ca="1">IF($B$1198="Лікар загальної практики - сімейний лікар",IF(S1202&gt;=Законод!$J$22,'01_Доходи'!S1202-('01_Доходи'!S1203+'01_Доходи'!S1204+'01_Доходи'!S1205+'01_Доходи'!S1206+'01_Доходи'!S1207+'01_Доходи'!S1208),0),IF($B$1198="Лікар-педіатр",IF(S1202&gt;=Законод!$J$18,'01_Доходи'!S1202-('01_Доходи'!S1203+'01_Доходи'!S1204+'01_Доходи'!S1205+'01_Доходи'!S1206+'01_Доходи'!S1207+'01_Доходи'!S1208),0),IF($B$1198="Лікар-терапевт",IF('01_Доходи'!S1202&gt;=Законод!$J$26,S1202-Законод!$I$27,0),0)))</f>
        <v>0</v>
      </c>
      <c r="T1209" s="943"/>
      <c r="U1209" s="932" t="s">
        <v>423</v>
      </c>
      <c r="V1209" s="933"/>
      <c r="W1209" s="933"/>
      <c r="X1209" s="933"/>
      <c r="Y1209" s="934"/>
      <c r="Z1209" s="196">
        <f ca="1">IF($B$1198="Лікар загальної практики - сімейний лікар",IF(Z1202&gt;=Законод!$J$22,'01_Доходи'!Z1202-('01_Доходи'!Z1203+'01_Доходи'!Z1204+'01_Доходи'!Z1205+'01_Доходи'!Z1206+'01_Доходи'!Z1207+'01_Доходи'!Z1208),0),IF($B$1198="Лікар-педіатр",IF(Z1202&gt;=Законод!$J$18,'01_Доходи'!Z1202-('01_Доходи'!Z1203+'01_Доходи'!Z1204+'01_Доходи'!Z1205+'01_Доходи'!Z1206+'01_Доходи'!Z1207+'01_Доходи'!Z1208),0),IF($B$1198="Лікар-терапевт",IF('01_Доходи'!Z1202&gt;=Законод!$J$26,Z1202-Законод!$I$27,0),0)))</f>
        <v>0</v>
      </c>
      <c r="AA1209" s="943"/>
      <c r="AB1209" s="932" t="s">
        <v>423</v>
      </c>
      <c r="AC1209" s="933"/>
      <c r="AD1209" s="933"/>
      <c r="AE1209" s="933"/>
      <c r="AF1209" s="934"/>
      <c r="AG1209" s="196">
        <f ca="1">IF($B$1198="Лікар загальної практики - сімейний лікар",IF(AG1202&gt;=Законод!$J$22,'01_Доходи'!AG1202-('01_Доходи'!AG1203+'01_Доходи'!AG1204+'01_Доходи'!AG1205+'01_Доходи'!AG1206+'01_Доходи'!AG1207+'01_Доходи'!AG1208),0),IF($B$1198="Лікар-педіатр",IF(AG1202&gt;=Законод!$J$18,'01_Доходи'!AG1202-('01_Доходи'!AG1203+'01_Доходи'!AG1204+'01_Доходи'!AG1205+'01_Доходи'!AG1206+'01_Доходи'!AG1207+'01_Доходи'!AG1208),0),IF($B$1198="Лікар-терапевт",IF('01_Доходи'!AG1202&gt;=Законод!$J$26,AG1202-Законод!$I$27,0),0)))</f>
        <v>0</v>
      </c>
      <c r="AH1209" s="943"/>
      <c r="AI1209" s="215"/>
      <c r="AJ1209" s="946"/>
      <c r="AK1209" s="961"/>
      <c r="AL1209" s="961"/>
      <c r="AM1209" s="928"/>
      <c r="AN1209" s="216">
        <f ca="1">IF(B1198="Лікар загальної практики - сімейний лікар",L1209*Законод!$C$9/4*Законод!$J$16,IF(B1198="Лікар-педіатр",L1209*Законод!$C$9/4*Законод!$J$16,IF(B1198="Лікар-терапевт",L1209*Законод!$C$9/4*Законод!$J$16,0)))</f>
        <v>0</v>
      </c>
      <c r="AO1209" s="216">
        <f ca="1">IF(B1198="Лікар загальної практики - сімейний лікар",S1209*Законод!$C$9/4*Законод!$J$16,IF(B1198="Лікар-педіатр",S1209*Законод!$C$9/4*Законод!$J$16,IF(B1198="Лікар-терапевт",S1209*Законод!$C$9/4*Законод!$J$16,0)))</f>
        <v>0</v>
      </c>
      <c r="AP1209" s="216">
        <f ca="1">IF(B1198="Лікар загальної практики - сімейний лікар",S1209*Законод!$C$9/4*Законод!$J$16,IF(B1198="Лікар-педіатр",S1209*Законод!$C$9/4*Законод!$J$16,IF(B1198="Лікар-терапевт",S1209*Законод!$C$9/4*Законод!$J$16,0)))</f>
        <v>0</v>
      </c>
      <c r="AQ1209" s="216">
        <f ca="1">IF(B1198="Лікар загальної практики - сімейний лікар",AG1209*Законод!$C$9/4*Законод!$J$16,IF(B1198="Лікар-педіатр",AG1209*Законод!$C$9/4*Законод!$J$16,IF(B1198="Лікар-терапевт",AG1209*Законод!$C$9/4*Законод!$J$16,0)))</f>
        <v>0</v>
      </c>
      <c r="AR1209" s="217">
        <f t="shared" si="132"/>
        <v>0</v>
      </c>
    </row>
    <row r="1210" spans="1:44" s="247" customFormat="1" ht="23.45" hidden="1" customHeight="1" thickBot="1">
      <c r="A1210" s="243"/>
      <c r="B1210" s="244"/>
      <c r="C1210" s="244"/>
      <c r="D1210" s="244"/>
      <c r="E1210" s="244"/>
      <c r="F1210" s="245"/>
      <c r="G1210" s="246"/>
      <c r="H1210" s="246"/>
      <c r="L1210" s="248"/>
      <c r="S1210" s="248"/>
      <c r="Z1210" s="248"/>
      <c r="AG1210" s="248"/>
      <c r="AM1210" s="249"/>
      <c r="AR1210" s="250"/>
    </row>
    <row r="1211" spans="1:44" s="191" customFormat="1" ht="24.6" hidden="1" customHeight="1">
      <c r="A1211" s="194">
        <f>A1198+1</f>
        <v>91</v>
      </c>
      <c r="B1211" s="950"/>
      <c r="C1211" s="953"/>
      <c r="D1211" s="956"/>
      <c r="E1211" s="938"/>
      <c r="F1211" s="234" t="s">
        <v>659</v>
      </c>
      <c r="G1211" s="196">
        <f>IF($B$1211="Лікар-педіатр",G1214*L1211,IF($B$1211="Лікар-терапевт","х",IF($B$1211="Лікар загальної практики - сімейний лікар",G1214*L1211,0)))</f>
        <v>0</v>
      </c>
      <c r="H1211" s="196">
        <f>IF($B$1211="Лікар-педіатр",H1214*L1211,IF($B$1211="Лікар-терапевт","х",IF($B$1211="Лікар загальної практики - сімейний лікар",H1214*L1211,0)))</f>
        <v>0</v>
      </c>
      <c r="I1211" s="196">
        <f>IF($B$1211="Лікар-педіатр","x",IF($B$1211="Лікар-терапевт",I1214*L1211,IF($B$1211="Лікар загальної практики - сімейний лікар",I1214*L1211,0)))</f>
        <v>0</v>
      </c>
      <c r="J1211" s="196">
        <f>IF($B$1211="Лікар-педіатр","x",IF($B$1211="Лікар-терапевт",J1214*L1211,IF($B$1211="Лікар загальної практики - сімейний лікар",J1214*L1211,0)))</f>
        <v>0</v>
      </c>
      <c r="K1211" s="196">
        <f>IF($B$1211="Лікар-педіатр","x",IF($B$1211="Лікар-терапевт",K1214*L1211,IF($B$1211="Лікар загальної практики - сімейний лікар",K1214*L1211,0)))</f>
        <v>0</v>
      </c>
      <c r="L1211" s="557"/>
      <c r="M1211" s="941"/>
      <c r="N1211" s="196">
        <f>IF($B$1211="Лікар-педіатр",N1214*S1211,IF($B$1211="Лікар-терапевт","х",IF($B$1211="Лікар загальної практики - сімейний лікар",N1214*S1211,0)))</f>
        <v>0</v>
      </c>
      <c r="O1211" s="196">
        <f>IF($B$1211="Лікар-педіатр",O1214*S1211,IF($B$1211="Лікар-терапевт","х",IF($B$1211="Лікар загальної практики - сімейний лікар",O1214*S1211,0)))</f>
        <v>0</v>
      </c>
      <c r="P1211" s="196">
        <f>IF($B$1211="Лікар-педіатр","x",IF($B$1211="Лікар-терапевт",P1214*S1211,IF($B$1211="Лікар загальної практики - сімейний лікар",P1214*S1211,0)))</f>
        <v>0</v>
      </c>
      <c r="Q1211" s="196">
        <f>IF($B$1211="Лікар-педіатр","x",IF($B$1211="Лікар-терапевт",Q1214*S1211,IF($B$1211="Лікар загальної практики - сімейний лікар",Q1214*S1211,0)))</f>
        <v>0</v>
      </c>
      <c r="R1211" s="196">
        <f>IF($B$1211="Лікар-педіатр","x",IF($B$1211="Лікар-терапевт",R1214*S1211,IF($B$1211="Лікар загальної практики - сімейний лікар",R1214*S1211,0)))</f>
        <v>0</v>
      </c>
      <c r="S1211" s="557"/>
      <c r="T1211" s="941"/>
      <c r="U1211" s="196">
        <f>IF($B$1211="Лікар-педіатр",U1214*Z1211,IF($B$1211="Лікар-терапевт","х",IF($B$1211="Лікар загальної практики - сімейний лікар",U1214*Z1211,0)))</f>
        <v>0</v>
      </c>
      <c r="V1211" s="196">
        <f>IF($B$1211="Лікар-педіатр",V1214*Z1211,IF($B$1211="Лікар-терапевт","х",IF($B$1211="Лікар загальної практики - сімейний лікар",V1214*Z1211,0)))</f>
        <v>0</v>
      </c>
      <c r="W1211" s="196">
        <f>IF($B$1211="Лікар-педіатр","x",IF($B$1211="Лікар-терапевт",W1214*Z1211,IF($B$1211="Лікар загальної практики - сімейний лікар",W1214*Z1211,0)))</f>
        <v>0</v>
      </c>
      <c r="X1211" s="196">
        <f>IF($B$1211="Лікар-педіатр","x",IF($B$1211="Лікар-терапевт",X1214*Z1211,IF($B$1211="Лікар загальної практики - сімейний лікар",X1214*Z1211,0)))</f>
        <v>0</v>
      </c>
      <c r="Y1211" s="196">
        <f>IF($B$1211="Лікар-педіатр","x",IF($B$1211="Лікар-терапевт",Y1214*Z1211,IF($B$1211="Лікар загальної практики - сімейний лікар",Y1214*Z1211,0)))</f>
        <v>0</v>
      </c>
      <c r="Z1211" s="557"/>
      <c r="AA1211" s="941"/>
      <c r="AB1211" s="196">
        <f>IF($B$1211="Лікар-педіатр",AB1214*AG1211,IF($B$1211="Лікар-терапевт","х",IF($B$1211="Лікар загальної практики - сімейний лікар",AB1214*AG1211,0)))</f>
        <v>0</v>
      </c>
      <c r="AC1211" s="196">
        <f>IF($B$1211="Лікар-педіатр",AC1214*AG1211,IF($B$1211="Лікар-терапевт","х",IF($B$1211="Лікар загальної практики - сімейний лікар",AC1214*AG1211,0)))</f>
        <v>0</v>
      </c>
      <c r="AD1211" s="196">
        <f>IF($B$1211="Лікар-педіатр","x",IF($B$1211="Лікар-терапевт",AD1214*AG1211,IF($B$1211="Лікар загальної практики - сімейний лікар",AD1214*AG1211,0)))</f>
        <v>0</v>
      </c>
      <c r="AE1211" s="196">
        <f>IF($B$1211="Лікар-педіатр","x",IF($B$1211="Лікар-терапевт",AE1214*AG1211,IF($B$1211="Лікар загальної практики - сімейний лікар",AE1214*AG1211,0)))</f>
        <v>0</v>
      </c>
      <c r="AF1211" s="196">
        <f>IF($B$1211="Лікар-педіатр","x",IF($B$1211="Лікар-терапевт",AF1214*AG1211,IF($B$1211="Лікар загальної практики - сімейний лікар",AF1214*AG1211,0)))</f>
        <v>0</v>
      </c>
      <c r="AG1211" s="557"/>
      <c r="AH1211" s="941"/>
      <c r="AI1211" s="540">
        <f>A1211</f>
        <v>91</v>
      </c>
      <c r="AJ1211" s="944">
        <f>B1211</f>
        <v>0</v>
      </c>
      <c r="AK1211" s="959">
        <f>C1211</f>
        <v>0</v>
      </c>
      <c r="AL1211" s="959">
        <f>D1211</f>
        <v>0</v>
      </c>
      <c r="AM1211" s="929" t="s">
        <v>79</v>
      </c>
      <c r="AN1211" s="947">
        <f>SUM(AN1216:AN1222)</f>
        <v>0</v>
      </c>
      <c r="AO1211" s="947">
        <f>SUM(AO1216:AO1222)</f>
        <v>0</v>
      </c>
      <c r="AP1211" s="947">
        <f>SUM(AP1216:AP1222)</f>
        <v>0</v>
      </c>
      <c r="AQ1211" s="947">
        <f>SUM(AQ1216:AQ1222)</f>
        <v>0</v>
      </c>
      <c r="AR1211" s="962">
        <f>SUM(AN1211:AQ1215)</f>
        <v>0</v>
      </c>
    </row>
    <row r="1212" spans="1:44" s="50" customFormat="1" ht="28.15" hidden="1" customHeight="1">
      <c r="A1212" s="197"/>
      <c r="B1212" s="951"/>
      <c r="C1212" s="954"/>
      <c r="D1212" s="957"/>
      <c r="E1212" s="939"/>
      <c r="F1212" s="234" t="s">
        <v>660</v>
      </c>
      <c r="G1212" s="196">
        <f>IF($B$1211="Лікар-педіатр",G1214*L1212,IF($B$1211="Лікар-терапевт","х",IF($B$1211="Лікар загальної практики - сімейний лікар",G1214*L1212,0)))</f>
        <v>0</v>
      </c>
      <c r="H1212" s="196">
        <f>IF($B$1211="Лікар-педіатр",H1214*L1212,IF($B$1211="Лікар-терапевт","х",IF($B$1211="Лікар загальної практики - сімейний лікар",H1214*L1212,0)))</f>
        <v>0</v>
      </c>
      <c r="I1212" s="196">
        <f>IF($B$1211="Лікар-педіатр","x",IF($B$1211="Лікар-терапевт",I1214*L1212,IF($B$1211="Лікар загальної практики - сімейний лікар",I1214*L1212,0)))</f>
        <v>0</v>
      </c>
      <c r="J1212" s="196">
        <f>IF($B$1211="Лікар-педіатр","x",IF($B$1211="Лікар-терапевт",J1214*L1212,IF($B$1211="Лікар загальної практики - сімейний лікар",J1214*L1212,0)))</f>
        <v>0</v>
      </c>
      <c r="K1212" s="196">
        <f>IF($B$1211="Лікар-педіатр","x",IF($B$1211="Лікар-терапевт",K1214*L1212,IF($B$1211="Лікар загальної практики - сімейний лікар",K1214*L1212,0)))</f>
        <v>0</v>
      </c>
      <c r="L1212" s="557"/>
      <c r="M1212" s="942"/>
      <c r="N1212" s="196">
        <f>IF($B$1211="Лікар-педіатр",N1214*S1212,IF($B$1211="Лікар-терапевт","х",IF($B$1211="Лікар загальної практики - сімейний лікар",N1214*S1212,0)))</f>
        <v>0</v>
      </c>
      <c r="O1212" s="196">
        <f>IF($B$1211="Лікар-педіатр",O1214*S1212,IF($B$1211="Лікар-терапевт","х",IF($B$1211="Лікар загальної практики - сімейний лікар",O1214*S1212,0)))</f>
        <v>0</v>
      </c>
      <c r="P1212" s="196">
        <f>IF($B$1211="Лікар-педіатр","x",IF($B$1211="Лікар-терапевт",P1214*S1212,IF($B$1211="Лікар загальної практики - сімейний лікар",P1214*S1212,0)))</f>
        <v>0</v>
      </c>
      <c r="Q1212" s="196">
        <f>IF($B$1211="Лікар-педіатр","x",IF($B$1211="Лікар-терапевт",Q1214*S1212,IF($B$1211="Лікар загальної практики - сімейний лікар",Q1214*S1212,0)))</f>
        <v>0</v>
      </c>
      <c r="R1212" s="196">
        <f>IF($B$1211="Лікар-педіатр","x",IF($B$1211="Лікар-терапевт",R1214*S1212,IF($B$1211="Лікар загальної практики - сімейний лікар",R1214*S1212,0)))</f>
        <v>0</v>
      </c>
      <c r="S1212" s="557"/>
      <c r="T1212" s="942"/>
      <c r="U1212" s="196">
        <f>IF($B$1211="Лікар-педіатр",U1214*Z1212,IF($B$1211="Лікар-терапевт","х",IF($B$1211="Лікар загальної практики - сімейний лікар",U1214*Z1212,0)))</f>
        <v>0</v>
      </c>
      <c r="V1212" s="196">
        <f>IF($B$1211="Лікар-педіатр",V1214*Z1212,IF($B$1211="Лікар-терапевт","х",IF($B$1211="Лікар загальної практики - сімейний лікар",V1214*Z1212,0)))</f>
        <v>0</v>
      </c>
      <c r="W1212" s="196">
        <f>IF($B$1211="Лікар-педіатр","x",IF($B$1211="Лікар-терапевт",W1214*Z1212,IF($B$1211="Лікар загальної практики - сімейний лікар",W1214*Z1212,0)))</f>
        <v>0</v>
      </c>
      <c r="X1212" s="196">
        <f>IF($B$1211="Лікар-педіатр","x",IF($B$1211="Лікар-терапевт",X1214*Z1212,IF($B$1211="Лікар загальної практики - сімейний лікар",X1214*Z1212,0)))</f>
        <v>0</v>
      </c>
      <c r="Y1212" s="196">
        <f>IF($B$1211="Лікар-педіатр","x",IF($B$1211="Лікар-терапевт",Y1214*Z1212,IF($B$1211="Лікар загальної практики - сімейний лікар",Y1214*Z1212,0)))</f>
        <v>0</v>
      </c>
      <c r="Z1212" s="557"/>
      <c r="AA1212" s="942"/>
      <c r="AB1212" s="196">
        <f>IF($B$1211="Лікар-педіатр",AB1214*AG1212,IF($B$1211="Лікар-терапевт","х",IF($B$1211="Лікар загальної практики - сімейний лікар",AB1214*AG1212,0)))</f>
        <v>0</v>
      </c>
      <c r="AC1212" s="196">
        <f>IF($B$1211="Лікар-педіатр",AC1214*AG1212,IF($B$1211="Лікар-терапевт","х",IF($B$1211="Лікар загальної практики - сімейний лікар",AC1214*AG1212,0)))</f>
        <v>0</v>
      </c>
      <c r="AD1212" s="196">
        <f>IF($B$1211="Лікар-педіатр","x",IF($B$1211="Лікар-терапевт",AD1214*AG1212,IF($B$1211="Лікар загальної практики - сімейний лікар",AD1214*AG1212,0)))</f>
        <v>0</v>
      </c>
      <c r="AE1212" s="196">
        <f>IF($B$1211="Лікар-педіатр","x",IF($B$1211="Лікар-терапевт",AE1214*AG1212,IF($B$1211="Лікар загальної практики - сімейний лікар",AE1214*AG1212,0)))</f>
        <v>0</v>
      </c>
      <c r="AF1212" s="196">
        <f>IF($B$1211="Лікар-педіатр","x",IF($B$1211="Лікар-терапевт",AF1214*AG1212,IF($B$1211="Лікар загальної практики - сімейний лікар",AF1214*AG1212,0)))</f>
        <v>0</v>
      </c>
      <c r="AG1212" s="557"/>
      <c r="AH1212" s="942"/>
      <c r="AI1212" s="198"/>
      <c r="AJ1212" s="945"/>
      <c r="AK1212" s="960"/>
      <c r="AL1212" s="960"/>
      <c r="AM1212" s="930"/>
      <c r="AN1212" s="948"/>
      <c r="AO1212" s="948"/>
      <c r="AP1212" s="948"/>
      <c r="AQ1212" s="948"/>
      <c r="AR1212" s="963"/>
    </row>
    <row r="1213" spans="1:44" s="90" customFormat="1" ht="31.15" hidden="1" customHeight="1">
      <c r="A1213" s="240"/>
      <c r="B1213" s="951"/>
      <c r="C1213" s="954"/>
      <c r="D1213" s="957"/>
      <c r="E1213" s="939"/>
      <c r="F1213" s="241" t="s">
        <v>661</v>
      </c>
      <c r="G1213" s="199">
        <f>IF(B1211="Лікар загальної практики - сімейний лікар"," ",IF(B1211="Лікар-педіатр"," ",IF(B1211="Лікар-терапевт","х",0)))</f>
        <v>0</v>
      </c>
      <c r="H1213" s="199">
        <f>IF(B1211="Лікар загальної практики - сімейний лікар"," ",IF(B1211="Лікар-педіатр"," ",IF(B1211="Лікар-терапевт","х",0)))</f>
        <v>0</v>
      </c>
      <c r="I1213" s="199">
        <f>IF(B1211="Лікар загальної практики - сімейний лікар"," ",IF(B1211="Лікар-педіатр","х",IF(B1211="Лікар-терапевт"," ",0)))</f>
        <v>0</v>
      </c>
      <c r="J1213" s="199">
        <f>IF(B1211="Лікар загальної практики - сімейний лікар"," ",IF(B1211="Лікар-педіатр","х",IF(B1211="Лікар-терапевт"," ",0)))</f>
        <v>0</v>
      </c>
      <c r="K1213" s="199">
        <f>IF(B1211="Лікар загальної практики - сімейний лікар"," ",IF(B1211="Лікар-педіатр","х",IF(B1211="Лікар-терапевт"," ",0)))</f>
        <v>0</v>
      </c>
      <c r="L1213" s="200">
        <f>SUM(G1213:K1213)</f>
        <v>0</v>
      </c>
      <c r="M1213" s="942"/>
      <c r="N1213" s="199">
        <f>IF(B1211="Лікар загальної практики - сімейний лікар"," ",IF(B1211="Лікар-педіатр"," ",IF(B1211="Лікар-терапевт","х",0)))</f>
        <v>0</v>
      </c>
      <c r="O1213" s="199">
        <f>IF(B1211="Лікар загальної практики - сімейний лікар"," ",IF(B1211="Лікар-педіатр"," ",IF(B1211="Лікар-терапевт","х",0)))</f>
        <v>0</v>
      </c>
      <c r="P1213" s="199">
        <f>IF(B1211="Лікар загальної практики - сімейний лікар"," ",IF(B1211="Лікар-педіатр","х",IF(B1211="Лікар-терапевт"," ",0)))</f>
        <v>0</v>
      </c>
      <c r="Q1213" s="199">
        <f>IF(B1211="Лікар загальної практики - сімейний лікар"," ",IF(B1211="Лікар-педіатр","х",IF(B1211="Лікар-терапевт"," ",0)))</f>
        <v>0</v>
      </c>
      <c r="R1213" s="199">
        <f>IF(B1211="Лікар загальної практики - сімейний лікар"," ",IF(B1211="Лікар-педіатр","х",IF(B1211="Лікар-терапевт"," ",0)))</f>
        <v>0</v>
      </c>
      <c r="S1213" s="200">
        <f>SUM(N1213:R1213)</f>
        <v>0</v>
      </c>
      <c r="T1213" s="942"/>
      <c r="U1213" s="199">
        <f>IF(B1211="Лікар загальної практики - сімейний лікар"," ",IF(B1211="Лікар-педіатр"," ",IF(B1211="Лікар-терапевт","х",0)))</f>
        <v>0</v>
      </c>
      <c r="V1213" s="199">
        <f>IF(B1211="Лікар загальної практики - сімейний лікар"," ",IF(B1211="Лікар-педіатр"," ",IF(B1211="Лікар-терапевт","х",0)))</f>
        <v>0</v>
      </c>
      <c r="W1213" s="199">
        <f>IF(B1211="Лікар загальної практики - сімейний лікар"," ",IF(B1211="Лікар-педіатр","х",IF(B1211="Лікар-терапевт"," ",0)))</f>
        <v>0</v>
      </c>
      <c r="X1213" s="199">
        <f>IF(B1211="Лікар загальної практики - сімейний лікар"," ",IF(B1211="Лікар-педіатр","х",IF(B1211="Лікар-терапевт"," ",0)))</f>
        <v>0</v>
      </c>
      <c r="Y1213" s="199">
        <f>IF(B1211="Лікар загальної практики - сімейний лікар"," ",IF(B1211="Лікар-педіатр","х",IF(B1211="Лікар-терапевт"," ",0)))</f>
        <v>0</v>
      </c>
      <c r="Z1213" s="200">
        <f>SUM(U1213:Y1213)</f>
        <v>0</v>
      </c>
      <c r="AA1213" s="942"/>
      <c r="AB1213" s="199">
        <f>IF(B1211="Лікар загальної практики - сімейний лікар"," ",IF(B1211="Лікар-педіатр"," ",IF(B1211="Лікар-терапевт","х",0)))</f>
        <v>0</v>
      </c>
      <c r="AC1213" s="199">
        <f>IF(B1211="Лікар загальної практики - сімейний лікар"," ",IF(B1211="Лікар-педіатр"," ",IF(B1211="Лікар-терапевт","х",0)))</f>
        <v>0</v>
      </c>
      <c r="AD1213" s="199">
        <f>IF(B1211="Лікар загальної практики - сімейний лікар"," ",IF(B1211="Лікар-педіатр","х",IF(B1211="Лікар-терапевт"," ",0)))</f>
        <v>0</v>
      </c>
      <c r="AE1213" s="199">
        <f>IF(B1211="Лікар загальної практики - сімейний лікар"," ",IF(B1211="Лікар-педіатр","х",IF(B1211="Лікар-терапевт"," ",0)))</f>
        <v>0</v>
      </c>
      <c r="AF1213" s="199">
        <f>IF(B1211="Лікар загальної практики - сімейний лікар"," ",IF(B1211="Лікар-педіатр","х",IF(B1211="Лікар-терапевт"," ",0)))</f>
        <v>0</v>
      </c>
      <c r="AG1213" s="200">
        <f>SUM(AB1213:AF1213)</f>
        <v>0</v>
      </c>
      <c r="AH1213" s="942"/>
      <c r="AI1213" s="242"/>
      <c r="AJ1213" s="945"/>
      <c r="AK1213" s="960"/>
      <c r="AL1213" s="960"/>
      <c r="AM1213" s="930"/>
      <c r="AN1213" s="948"/>
      <c r="AO1213" s="948"/>
      <c r="AP1213" s="948"/>
      <c r="AQ1213" s="948"/>
      <c r="AR1213" s="963"/>
    </row>
    <row r="1214" spans="1:44" s="50" customFormat="1" ht="31.9" hidden="1" customHeight="1" thickBot="1">
      <c r="A1214" s="197"/>
      <c r="B1214" s="951"/>
      <c r="C1214" s="954"/>
      <c r="D1214" s="957"/>
      <c r="E1214" s="939"/>
      <c r="F1214" s="236" t="s">
        <v>426</v>
      </c>
      <c r="G1214" s="203">
        <f>IF($B$1211="Лікар-педіатр",G1213/L1213,IF($B$1211="Лікар-терапевт","х",IF($B$1211="Лікар загальної практики - сімейний лікар",G1213/L1213,0)))</f>
        <v>0</v>
      </c>
      <c r="H1214" s="203">
        <f>IF($B$1211="Лікар-педіатр",H1213/L1213,IF($B$1211="Лікар-терапевт","х",IF($B$1211="Лікар загальної практики - сімейний лікар",H1213/L1213,0)))</f>
        <v>0</v>
      </c>
      <c r="I1214" s="203">
        <f>IF($B$1211="Лікар-педіатр","x",IF($B$1211="Лікар-терапевт",I1213/L1213,IF($B$1211="Лікар загальної практики - сімейний лікар",I1213/L1213,0)))</f>
        <v>0</v>
      </c>
      <c r="J1214" s="203">
        <f>IF($B$1211="Лікар-педіатр","x",IF($B$1211="Лікар-терапевт",J1213/L1213,IF($B$1211="Лікар загальної практики - сімейний лікар",J1213/L1213,0)))</f>
        <v>0</v>
      </c>
      <c r="K1214" s="203">
        <f>IF($B$1211="Лікар-педіатр","x",IF($B$1211="Лікар-терапевт",K1213/L1213,IF($B$1211="Лікар загальної практики - сімейний лікар",K1213/L1213,0)))</f>
        <v>0</v>
      </c>
      <c r="L1214" s="203">
        <f>SUM(G1214:K1214)</f>
        <v>0</v>
      </c>
      <c r="M1214" s="942"/>
      <c r="N1214" s="203">
        <f>IF($B$1211="Лікар-педіатр",N1213/S1213,IF($B$1211="Лікар-терапевт","х",IF($B$1211="Лікар загальної практики - сімейний лікар",N1213/S1213,0)))</f>
        <v>0</v>
      </c>
      <c r="O1214" s="203">
        <f>IF($B$1211="Лікар-педіатр",O1213/S1213,IF($B$1211="Лікар-терапевт","х",IF($B$1211="Лікар загальної практики - сімейний лікар",O1213/S1213,0)))</f>
        <v>0</v>
      </c>
      <c r="P1214" s="203">
        <f>IF($B$1211="Лікар-педіатр","x",IF($B$1211="Лікар-терапевт",P1213/S1213,IF($B$1211="Лікар загальної практики - сімейний лікар",P1213/S1213,0)))</f>
        <v>0</v>
      </c>
      <c r="Q1214" s="203">
        <f>IF($B$1211="Лікар-педіатр","x",IF($B$1211="Лікар-терапевт",Q1213/S1213,IF($B$1211="Лікар загальної практики - сімейний лікар",Q1213/S1213,0)))</f>
        <v>0</v>
      </c>
      <c r="R1214" s="203">
        <f>IF($B$1211="Лікар-педіатр","x",IF($B$1211="Лікар-терапевт",R1213/S1213,IF($B$1211="Лікар загальної практики - сімейний лікар",R1213/S1213,0)))</f>
        <v>0</v>
      </c>
      <c r="S1214" s="203">
        <f>SUM(N1214:R1214)</f>
        <v>0</v>
      </c>
      <c r="T1214" s="942"/>
      <c r="U1214" s="203">
        <f>IF($B$1211="Лікар-педіатр",U1213/Z1213,IF($B$1211="Лікар-терапевт","х",IF($B$1211="Лікар загальної практики - сімейний лікар",U1213/Z1213,0)))</f>
        <v>0</v>
      </c>
      <c r="V1214" s="203">
        <f>IF($B$1211="Лікар-педіатр",V1213/Z1213,IF($B$1211="Лікар-терапевт","х",IF($B$1211="Лікар загальної практики - сімейний лікар",V1213/Z1213,0)))</f>
        <v>0</v>
      </c>
      <c r="W1214" s="203">
        <f>IF($B$1211="Лікар-педіатр","x",IF($B$1211="Лікар-терапевт",W1213/Z1213,IF($B$1211="Лікар загальної практики - сімейний лікар",W1213/Z1213,0)))</f>
        <v>0</v>
      </c>
      <c r="X1214" s="203">
        <f>IF($B$1211="Лікар-педіатр","x",IF($B$1211="Лікар-терапевт",X1213/Z1213,IF($B$1211="Лікар загальної практики - сімейний лікар",X1213/Z1213,0)))</f>
        <v>0</v>
      </c>
      <c r="Y1214" s="203">
        <f>IF($B$1211="Лікар-педіатр","x",IF($B$1211="Лікар-терапевт",Y1213/Z1213,IF($B$1211="Лікар загальної практики - сімейний лікар",Y1213/Z1213,0)))</f>
        <v>0</v>
      </c>
      <c r="Z1214" s="203">
        <f>SUM(U1214:Y1214)</f>
        <v>0</v>
      </c>
      <c r="AA1214" s="942"/>
      <c r="AB1214" s="203">
        <f>IF($B$1211="Лікар-педіатр",AB1213/AG1213,IF($B$1211="Лікар-терапевт","х",IF($B$1211="Лікар загальної практики - сімейний лікар",AB1213/AG1213,0)))</f>
        <v>0</v>
      </c>
      <c r="AC1214" s="203">
        <f>IF($B$1211="Лікар-педіатр",AC1213/AG1213,IF($B$1211="Лікар-терапевт","х",IF($B$1211="Лікар загальної практики - сімейний лікар",AC1213/AG1213,0)))</f>
        <v>0</v>
      </c>
      <c r="AD1214" s="203">
        <f>IF($B$1211="Лікар-педіатр","x",IF($B$1211="Лікар-терапевт",AD1213/AG1213,IF($B$1211="Лікар загальної практики - сімейний лікар",AD1213/AG1213,0)))</f>
        <v>0</v>
      </c>
      <c r="AE1214" s="203">
        <f>IF($B$1211="Лікар-педіатр","x",IF($B$1211="Лікар-терапевт",AE1213/AG1213,IF($B$1211="Лікар загальної практики - сімейний лікар",AE1213/AG1213,0)))</f>
        <v>0</v>
      </c>
      <c r="AF1214" s="203">
        <f>IF($B$1211="Лікар-педіатр","x",IF($B$1211="Лікар-терапевт",AF1213/AG1213,IF($B$1211="Лікар загальної практики - сімейний лікар",AF1213/AG1213,0)))</f>
        <v>0</v>
      </c>
      <c r="AG1214" s="203">
        <f>SUM(AB1214:AF1214)</f>
        <v>0</v>
      </c>
      <c r="AH1214" s="942"/>
      <c r="AI1214" s="201"/>
      <c r="AJ1214" s="945"/>
      <c r="AK1214" s="960"/>
      <c r="AL1214" s="960"/>
      <c r="AM1214" s="930"/>
      <c r="AN1214" s="948"/>
      <c r="AO1214" s="948"/>
      <c r="AP1214" s="948"/>
      <c r="AQ1214" s="948"/>
      <c r="AR1214" s="963"/>
    </row>
    <row r="1215" spans="1:44" s="50" customFormat="1" ht="45" hidden="1" customHeight="1" thickBot="1">
      <c r="A1215" s="197"/>
      <c r="B1215" s="951"/>
      <c r="C1215" s="954"/>
      <c r="D1215" s="957"/>
      <c r="E1215" s="939"/>
      <c r="F1215" s="204" t="s">
        <v>662</v>
      </c>
      <c r="G1215" s="205">
        <f>IF($B$1211="Лікар загальної практики - сімейний лікар",AVERAGE(G1211:G1213),IF($B$1211="Лікар-педіатр",AVERAGE(G1211:G1213),IF($B$1211="Лікар-терапевт","х",0)))</f>
        <v>0</v>
      </c>
      <c r="H1215" s="205">
        <f>IF($B$1211="Лікар загальної практики - сімейний лікар",AVERAGE(H1211:H1213),IF($B$1211="Лікар-педіатр",AVERAGE(H1211:H1213),IF($B$1211="Лікар-терапевт","х",0)))</f>
        <v>0</v>
      </c>
      <c r="I1215" s="205">
        <f>IF($B$1211="Лікар загальної практики - сімейний лікар",AVERAGE(I1211:I1213),IF($B$1211="Лікар-педіатр","x",IF($B$1211="Лікар-терапевт",AVERAGE(I1211:I1213),0)))</f>
        <v>0</v>
      </c>
      <c r="J1215" s="205">
        <f>IF($B$1211="Лікар загальної практики - сімейний лікар",AVERAGE(J1211:J1213),IF($B$1211="Лікар-педіатр","x",IF($B$1211="Лікар-терапевт",AVERAGE(J1211:J1213),0)))</f>
        <v>0</v>
      </c>
      <c r="K1215" s="205">
        <f>IF($B$1211="Лікар загальної практики - сімейний лікар",AVERAGE(K1211:K1213),IF($B$1211="Лікар-педіатр","x",IF($B$1211="Лікар-терапевт",AVERAGE(K1211:K1213),0)))</f>
        <v>0</v>
      </c>
      <c r="L1215" s="206">
        <f>SUM(G1215:K1215)</f>
        <v>0</v>
      </c>
      <c r="M1215" s="942"/>
      <c r="N1215" s="205">
        <f>IF($B$1211="Лікар загальної практики - сімейний лікар",AVERAGE(N1211:N1213),IF($B$1211="Лікар-педіатр",AVERAGE(N1211:N1213),IF($B$1211="Лікар-терапевт","х",0)))</f>
        <v>0</v>
      </c>
      <c r="O1215" s="205">
        <f>IF($B$1211="Лікар загальної практики - сімейний лікар",AVERAGE(O1211:O1213),IF($B$1211="Лікар-педіатр",AVERAGE(O1211:O1213),IF($B$1211="Лікар-терапевт","х",0)))</f>
        <v>0</v>
      </c>
      <c r="P1215" s="205">
        <f>IF($B$1211="Лікар загальної практики - сімейний лікар",AVERAGE(P1211:P1213),IF($B$1211="Лікар-педіатр","x",IF($B$1211="Лікар-терапевт",AVERAGE(P1211:P1213),0)))</f>
        <v>0</v>
      </c>
      <c r="Q1215" s="205">
        <f>IF($B$1211="Лікар загальної практики - сімейний лікар",AVERAGE(Q1211:Q1213),IF($B$1211="Лікар-педіатр","x",IF($B$1211="Лікар-терапевт",AVERAGE(Q1211:Q1213),0)))</f>
        <v>0</v>
      </c>
      <c r="R1215" s="205">
        <f>IF($B$1211="Лікар загальної практики - сімейний лікар",AVERAGE(R1211:R1213),IF($B$1211="Лікар-педіатр","x",IF($B$1211="Лікар-терапевт",AVERAGE(R1211:R1213),0)))</f>
        <v>0</v>
      </c>
      <c r="S1215" s="206">
        <f>SUM(N1215:R1215)</f>
        <v>0</v>
      </c>
      <c r="T1215" s="942"/>
      <c r="U1215" s="205">
        <f>IF($B$1211="Лікар загальної практики - сімейний лікар",AVERAGE(U1211:U1213),IF($B$1211="Лікар-педіатр",AVERAGE(U1211:U1213),IF($B$1211="Лікар-терапевт","х",0)))</f>
        <v>0</v>
      </c>
      <c r="V1215" s="205">
        <f>IF($B$1211="Лікар загальної практики - сімейний лікар",AVERAGE(V1211:V1213),IF($B$1211="Лікар-педіатр",AVERAGE(V1211:V1213),IF($B$1211="Лікар-терапевт","х",0)))</f>
        <v>0</v>
      </c>
      <c r="W1215" s="205">
        <f>IF($B$1211="Лікар загальної практики - сімейний лікар",AVERAGE(W1211:W1213),IF($B$1211="Лікар-педіатр","x",IF($B$1211="Лікар-терапевт",AVERAGE(W1211:W1213),0)))</f>
        <v>0</v>
      </c>
      <c r="X1215" s="205">
        <f>IF($B$1211="Лікар загальної практики - сімейний лікар",AVERAGE(X1211:X1213),IF($B$1211="Лікар-педіатр","x",IF($B$1211="Лікар-терапевт",AVERAGE(X1211:X1213),0)))</f>
        <v>0</v>
      </c>
      <c r="Y1215" s="205">
        <f>IF($B$1211="Лікар загальної практики - сімейний лікар",AVERAGE(Y1211:Y1213),IF($B$1211="Лікар-педіатр","x",IF($B$1211="Лікар-терапевт",AVERAGE(Y1211:Y1213),0)))</f>
        <v>0</v>
      </c>
      <c r="Z1215" s="206">
        <f>SUM(U1215:Y1215)</f>
        <v>0</v>
      </c>
      <c r="AA1215" s="942"/>
      <c r="AB1215" s="205">
        <f>IF($B$1211="Лікар загальної практики - сімейний лікар",AVERAGE(AB1211:AB1213),IF($B$1211="Лікар-педіатр",AVERAGE(AB1211:AB1213),IF($B$1211="Лікар-терапевт","х",0)))</f>
        <v>0</v>
      </c>
      <c r="AC1215" s="205">
        <f>IF($B$1211="Лікар загальної практики - сімейний лікар",AVERAGE(AC1211:AC1213),IF($B$1211="Лікар-педіатр",AVERAGE(AC1211:AC1213),IF($B$1211="Лікар-терапевт","х",0)))</f>
        <v>0</v>
      </c>
      <c r="AD1215" s="205">
        <f>IF($B$1211="Лікар загальної практики - сімейний лікар",AVERAGE(AD1211:AD1213),IF($B$1211="Лікар-педіатр","x",IF($B$1211="Лікар-терапевт",AVERAGE(AD1211:AD1213),0)))</f>
        <v>0</v>
      </c>
      <c r="AE1215" s="205">
        <f>IF($B$1211="Лікар загальної практики - сімейний лікар",AVERAGE(AE1211:AE1213),IF($B$1211="Лікар-педіатр","x",IF($B$1211="Лікар-терапевт",AVERAGE(AE1211:AE1213),0)))</f>
        <v>0</v>
      </c>
      <c r="AF1215" s="205">
        <f>IF($B$1211="Лікар загальної практики - сімейний лікар",AVERAGE(AF1211:AF1213),IF($B$1211="Лікар-педіатр","x",IF($B$1211="Лікар-терапевт",AVERAGE(AF1211:AF1213),0)))</f>
        <v>0</v>
      </c>
      <c r="AG1215" s="206">
        <f>SUM(AB1215:AF1215)</f>
        <v>0</v>
      </c>
      <c r="AH1215" s="942"/>
      <c r="AI1215" s="201"/>
      <c r="AJ1215" s="945"/>
      <c r="AK1215" s="960"/>
      <c r="AL1215" s="960"/>
      <c r="AM1215" s="931"/>
      <c r="AN1215" s="949"/>
      <c r="AO1215" s="949"/>
      <c r="AP1215" s="949"/>
      <c r="AQ1215" s="949"/>
      <c r="AR1215" s="964"/>
    </row>
    <row r="1216" spans="1:44" s="50" customFormat="1" ht="40.5" hidden="1">
      <c r="A1216" s="197"/>
      <c r="B1216" s="951"/>
      <c r="C1216" s="954"/>
      <c r="D1216" s="957"/>
      <c r="E1216" s="939"/>
      <c r="F1216" s="237" t="str">
        <f ca="1">IF(B1211="Лікар-педіатр",Законод!$C$17,IF(B1211="Лікар загальної практики - сімейний лікар",Законод!$C$21,IF(B1211="Лікар-терапевт",Законод!$C$25,"х")))</f>
        <v>х</v>
      </c>
      <c r="G1216" s="208">
        <f ca="1">IF($B$1211="Лікар загальної практики - сімейний лікар",IF(L1215&lt;=Законод!$C$22,G1215,Законод!$C$22*'01_Доходи'!G1214),IF($B$1211="Лікар-педіатр",IF(L1215&lt;=Законод!$C$18,G1215,Законод!$C$18*'01_Доходи'!G1214),IF($B$1211="Лікар-терапевт","x",0)))</f>
        <v>0</v>
      </c>
      <c r="H1216" s="208">
        <f ca="1">IF($B$1211="Лікар загальної практики - сімейний лікар",IF(L1215&lt;=Законод!$C$22,H1215,Законод!$C$22*'01_Доходи'!H1214),IF($B$1211="Лікар-педіатр",IF(L1215&lt;=Законод!$C$18,H1215,Законод!$C$18*'01_Доходи'!H1214),IF($B$1211="Лікар-терапевт","x",0)))</f>
        <v>0</v>
      </c>
      <c r="I1216" s="208">
        <f ca="1">IF($B$1211="Лікар загальної практики - сімейний лікар",IF(L1215&lt;=Законод!$C$22,I1215,Законод!$C$22*'01_Доходи'!I1214),IF($B$1211="Лікар-педіатр","x",IF($B$1211="Лікар-терапевт",IF(L1215&lt;=Законод!$C$26,I1215,Законод!$C$26*'01_Доходи'!I1214),0)))</f>
        <v>0</v>
      </c>
      <c r="J1216" s="208">
        <f ca="1">IF($B$1211="Лікар загальної практики - сімейний лікар",IF(L1215&lt;=Законод!$C$22,J1215,Законод!$C$22*'01_Доходи'!J1214),IF($B$1211="Лікар-педіатр","x",IF($B$1211="Лікар-терапевт",IF(L1215&lt;=Законод!$C$26,J1215,Законод!$C$26*'01_Доходи'!J1214),0)))</f>
        <v>0</v>
      </c>
      <c r="K1216" s="208">
        <f ca="1">IF($B$1211="Лікар загальної практики - сімейний лікар",IF(L1215&lt;=Законод!$C$22,K1215,Законод!$C$22*'01_Доходи'!K1214),IF($B$1211="Лікар-педіатр","x",IF($B$1211="Лікар-терапевт",IF(L1215&lt;=Законод!$C$26,K1215,Законод!$C$26*'01_Доходи'!K1214),0)))</f>
        <v>0</v>
      </c>
      <c r="L1216" s="209">
        <f ca="1">SUM(G1216:K1216)</f>
        <v>0</v>
      </c>
      <c r="M1216" s="942"/>
      <c r="N1216" s="208">
        <f ca="1">IF($B$1211="Лікар загальної практики - сімейний лікар",IF(S1215&lt;=Законод!$C$22,N1215,Законод!$C$22*'01_Доходи'!N1214),IF($B$1211="Лікар-педіатр",IF(S1215&lt;=Законод!$C$18,N1215,Законод!$C$18*'01_Доходи'!N1214),IF($B$1211="Лікар-терапевт","x",0)))</f>
        <v>0</v>
      </c>
      <c r="O1216" s="208">
        <f ca="1">IF($B$1211="Лікар загальної практики - сімейний лікар",IF(S1215&lt;=Законод!$C$22,O1215,Законод!$C$22*'01_Доходи'!O1214),IF($B$1211="Лікар-педіатр",IF(S1215&lt;=Законод!$C$18,O1215,Законод!$C$18*'01_Доходи'!O1214),IF($B$1211="Лікар-терапевт","x",0)))</f>
        <v>0</v>
      </c>
      <c r="P1216" s="208">
        <f ca="1">IF($B$1211="Лікар загальної практики - сімейний лікар",IF(S1215&lt;=Законод!$C$22,P1215,Законод!$C$22*'01_Доходи'!P1214),IF($B$1211="Лікар-педіатр","x",IF($B$1211="Лікар-терапевт",IF(S1215&lt;=Законод!$C$26,P1215,Законод!$C$26*'01_Доходи'!P1214),0)))</f>
        <v>0</v>
      </c>
      <c r="Q1216" s="208">
        <f ca="1">IF($B$1211="Лікар загальної практики - сімейний лікар",IF(S1215&lt;=Законод!$C$22,Q1215,Законод!$C$22*'01_Доходи'!Q1214),IF($B$1211="Лікар-педіатр","x",IF($B$1211="Лікар-терапевт",IF(S1215&lt;=Законод!$C$26,Q1215,Законод!$C$26*'01_Доходи'!Q1214),0)))</f>
        <v>0</v>
      </c>
      <c r="R1216" s="208">
        <f ca="1">IF($B$1211="Лікар загальної практики - сімейний лікар",IF(S1215&lt;=Законод!$C$22,R1215,Законод!$C$22*'01_Доходи'!R1214),IF($B$1211="Лікар-педіатр","x",IF($B$1211="Лікар-терапевт",IF(S1215&lt;=Законод!$C$26,R1215,Законод!$C$26*'01_Доходи'!R1214),0)))</f>
        <v>0</v>
      </c>
      <c r="S1216" s="209">
        <f ca="1">SUM(N1216:R1216)</f>
        <v>0</v>
      </c>
      <c r="T1216" s="942"/>
      <c r="U1216" s="208">
        <f ca="1">IF($B$1211="Лікар загальної практики - сімейний лікар",IF(Z1215&lt;=Законод!$C$22,U1215,Законод!$C$22*'01_Доходи'!U1214),IF($B$1211="Лікар-педіатр",IF(Z1215&lt;=Законод!$C$18,U1215,Законод!$C$18*'01_Доходи'!U1214),IF($B$1211="Лікар-терапевт","x",0)))</f>
        <v>0</v>
      </c>
      <c r="V1216" s="208">
        <f ca="1">IF($B$1211="Лікар загальної практики - сімейний лікар",IF(Z1215&lt;=Законод!$C$22,V1215,Законод!$C$22*'01_Доходи'!V1214),IF($B$1211="Лікар-педіатр",IF(Z1215&lt;=Законод!$C$18,V1215,Законод!$C$18*'01_Доходи'!V1214),IF($B$1211="Лікар-терапевт","x",0)))</f>
        <v>0</v>
      </c>
      <c r="W1216" s="208">
        <f ca="1">IF($B$1211="Лікар загальної практики - сімейний лікар",IF(Z1215&lt;=Законод!$C$22,W1215,Законод!$C$22*'01_Доходи'!W1214),IF($B$1211="Лікар-педіатр","x",IF($B$1211="Лікар-терапевт",IF(Z1215&lt;=Законод!$C$26,W1215,Законод!$C$26*'01_Доходи'!W1214),0)))</f>
        <v>0</v>
      </c>
      <c r="X1216" s="208">
        <f ca="1">IF($B$1211="Лікар загальної практики - сімейний лікар",IF(Z1215&lt;=Законод!$C$22,X1215,Законод!$C$22*'01_Доходи'!X1214),IF($B$1211="Лікар-педіатр","x",IF($B$1211="Лікар-терапевт",IF(Z1215&lt;=Законод!$C$26,X1215,Законод!$C$26*'01_Доходи'!X1214),0)))</f>
        <v>0</v>
      </c>
      <c r="Y1216" s="208">
        <f ca="1">IF($B$1211="Лікар загальної практики - сімейний лікар",IF(Z1215&lt;=Законод!$C$22,Y1215,Законод!$C$22*'01_Доходи'!Y1214),IF($B$1211="Лікар-педіатр","x",IF($B$1211="Лікар-терапевт",IF(Z1215&lt;=Законод!$C$26,Y1215,Законод!$C$26*'01_Доходи'!Y1214),0)))</f>
        <v>0</v>
      </c>
      <c r="Z1216" s="209">
        <f ca="1">SUM(U1216:Y1216)</f>
        <v>0</v>
      </c>
      <c r="AA1216" s="942"/>
      <c r="AB1216" s="208">
        <f ca="1">IF($B$1211="Лікар загальної практики - сімейний лікар",IF(AG1215&lt;=Законод!$C$22,AB1215,Законод!$C$22*'01_Доходи'!AB1214),IF($B$1211="Лікар-педіатр",IF(AG1215&lt;=Законод!$C$18,AB1215,Законод!$C$18*'01_Доходи'!AB1214),IF($B$1211="Лікар-терапевт","x",0)))</f>
        <v>0</v>
      </c>
      <c r="AC1216" s="208">
        <f ca="1">IF($B$1211="Лікар загальної практики - сімейний лікар",IF(AG1215&lt;=Законод!$C$22,AC1215,Законод!$C$22*'01_Доходи'!AC1214),IF($B$1211="Лікар-педіатр",IF(AG1215&lt;=Законод!$C$18,AC1215,Законод!$C$18*'01_Доходи'!AC1214),IF($B$1211="Лікар-терапевт","x",0)))</f>
        <v>0</v>
      </c>
      <c r="AD1216" s="208">
        <f ca="1">IF($B$1211="Лікар загальної практики - сімейний лікар",IF(AG1215&lt;=Законод!$C$22,AD1215,Законод!$C$22*'01_Доходи'!AD1214),IF($B$1211="Лікар-педіатр","x",IF($B$1211="Лікар-терапевт",IF(AG1215&lt;=Законод!$C$26,AD1215,Законод!$C$26*'01_Доходи'!AD1214),0)))</f>
        <v>0</v>
      </c>
      <c r="AE1216" s="208">
        <f ca="1">IF($B$1211="Лікар загальної практики - сімейний лікар",IF(AG1215&lt;=Законод!$C$22,AE1215,Законод!$C$22*'01_Доходи'!AE1214),IF($B$1211="Лікар-педіатр","x",IF($B$1211="Лікар-терапевт",IF(AG1215&lt;=Законод!$C$26,AE1215,Законод!$C$26*'01_Доходи'!AE1214),0)))</f>
        <v>0</v>
      </c>
      <c r="AF1216" s="208">
        <f ca="1">IF($B$1211="Лікар загальної практики - сімейний лікар",IF(AG1215&lt;=Законод!$C$22,AF1215,Законод!$C$22*'01_Доходи'!AF1214),IF($B$1211="Лікар-педіатр","x",IF($B$1211="Лікар-терапевт",IF(AG1215&lt;=Законод!$C$26,AF1215,Законод!$C$26*'01_Доходи'!AF1214),0)))</f>
        <v>0</v>
      </c>
      <c r="AG1216" s="209">
        <f ca="1">SUM(AB1216:AF1216)</f>
        <v>0</v>
      </c>
      <c r="AH1216" s="942"/>
      <c r="AI1216" s="201"/>
      <c r="AJ1216" s="945"/>
      <c r="AK1216" s="960"/>
      <c r="AL1216" s="960"/>
      <c r="AM1216" s="348" t="s">
        <v>451</v>
      </c>
      <c r="AN1216" s="210">
        <f ca="1">IF(B1211="Лікар загальної практики - сімейний лікар",G1216*Законод!$C$11+'01_Доходи'!H1216*Законод!$D$11+'01_Доходи'!I1216*Законод!$E$11+'01_Доходи'!J1216*Законод!$F$11+'01_Доходи'!K1216*Законод!$G$11,IF(B1211="Лікар-педіатр",G1216*Законод!$C$11+'01_Доходи'!H1216*Законод!$D$11,IF(B1211="Лікар-терапевт",'01_Доходи'!I1216*Законод!$E$11+'01_Доходи'!J1216*Законод!$F$11+'01_Доходи'!K1216*Законод!$G$11,0)))</f>
        <v>0</v>
      </c>
      <c r="AO1216" s="210">
        <f ca="1">IF(B1211="Лікар загальної практики - сімейний лікар",N1216*Законод!$C$11+'01_Доходи'!O1216*Законод!$D$11+'01_Доходи'!P1216*Законод!$E$11+'01_Доходи'!Q1216*Законод!$F$11+'01_Доходи'!R1216*Законод!$G$11,IF(B1211="Лікар-педіатр",N1216*Законод!$C$11+'01_Доходи'!O1216*Законод!$D$11,IF(B1211="Лікар-терапевт",'01_Доходи'!P1216*Законод!$E$11+'01_Доходи'!Q1216*Законод!$F$11+'01_Доходи'!R1216*Законод!$G$11,0)))</f>
        <v>0</v>
      </c>
      <c r="AP1216" s="210">
        <f ca="1">IF(B1211="Лікар загальної практики - сімейний лікар",U1216*Законод!$C$11+'01_Доходи'!V1216*Законод!$D$11+'01_Доходи'!W1216*Законод!$E$11+'01_Доходи'!X1216*Законод!$F$11+'01_Доходи'!Y1216*Законод!$G$11,IF(B1211="Лікар-педіатр",U1216*Законод!$C$11+'01_Доходи'!V1216*Законод!$D$11,IF(B1211="Лікар-терапевт",'01_Доходи'!W1216*Законод!$E$11+'01_Доходи'!X1216*Законод!$F$11+'01_Доходи'!Y1216*Законод!$G$11,0)))</f>
        <v>0</v>
      </c>
      <c r="AQ1216" s="210">
        <f ca="1">IF(B1211="Лікар загальної практики - сімейний лікар",AB1216*Законод!$C$11+'01_Доходи'!AC1216*Законод!$D$11+'01_Доходи'!AD1216*Законод!$E$11+'01_Доходи'!AE1216*Законод!$F$11+'01_Доходи'!AF1216*Законод!$G$11,IF(B1211="Лікар-педіатр",AB1216*Законод!$C$11+'01_Доходи'!AC1216*Законод!$D$11,IF(B1211="Лікар-терапевт",'01_Доходи'!AD1216*Законод!$E$11+'01_Доходи'!AE1216*Законод!$F$11+'01_Доходи'!AF1216*Законод!$G$11,0)))</f>
        <v>0</v>
      </c>
      <c r="AR1216" s="211">
        <f t="shared" ref="AR1216:AR1222" si="133">SUM(AN1216:AQ1216)</f>
        <v>0</v>
      </c>
    </row>
    <row r="1217" spans="1:44" s="50" customFormat="1" ht="31.9" hidden="1" customHeight="1">
      <c r="A1217" s="197"/>
      <c r="B1217" s="951"/>
      <c r="C1217" s="954"/>
      <c r="D1217" s="957"/>
      <c r="E1217" s="939"/>
      <c r="F1217" s="238" t="str">
        <f ca="1">IF(B1211="Лікар-педіатр",Законод!$E$17,IF(B1211="Лікар загальної практики - сімейний лікар",Законод!$E$21,IF(B1211="Лікар-терапевт",Законод!$E$25,"х")))</f>
        <v>х</v>
      </c>
      <c r="G1217" s="935" t="s">
        <v>423</v>
      </c>
      <c r="H1217" s="936"/>
      <c r="I1217" s="936"/>
      <c r="J1217" s="936"/>
      <c r="K1217" s="937"/>
      <c r="L1217" s="196">
        <f ca="1">IF($B$1211="Лікар загальної практики - сімейний лікар",IF(L1215&lt;Законод!$C$22,0,(IF(AND(L1215&gt;=Законод!$E$22,L1215&lt;=Законод!$E$23),L1215-Законод!$C$22,IF('01_Доходи'!L1215&gt;=Законод!$F$22,Законод!$E$24,0)))),IF($B$1211="Лікар-педіатр",IF(L1215&lt;Законод!$C$18,0,(IF(AND(L1215&gt;=Законод!$E$18,L1215&lt;=Законод!$E$19),L1215-Законод!$C$18,IF('01_Доходи'!L1215&gt;=Законод!$F$18,Законод!$E$20,0)))),IF($B$1211="Лікар-терапевт",IF(L1215&lt;Законод!$C$26,0,(IF(AND(L1215&gt;=Законод!$E$26,L1215&lt;=Законод!$E$27),L1215-Законод!$C$26,IF('01_Доходи'!L1215&gt;=Законод!$F$26,Законод!$E$28,0)))),0)))</f>
        <v>0</v>
      </c>
      <c r="M1217" s="942"/>
      <c r="N1217" s="935" t="s">
        <v>423</v>
      </c>
      <c r="O1217" s="936"/>
      <c r="P1217" s="936"/>
      <c r="Q1217" s="936"/>
      <c r="R1217" s="937"/>
      <c r="S1217" s="196">
        <f ca="1">IF($B$1211="Лікар загальної практики - сімейний лікар",IF(S1215&lt;Законод!$C$22,0,(IF(AND(S1215&gt;=Законод!$E$22,S1215&lt;=Законод!$E$23),S1215-Законод!$C$22,IF('01_Доходи'!S1215&gt;=Законод!$F$22,Законод!$E$24,0)))),IF($B$1211="Лікар-педіатр",IF(S1215&lt;Законод!$C$18,0,(IF(AND(S1215&gt;=Законод!$E$18,S1215&lt;=Законод!$E$19),S1215-Законод!$C$18,IF('01_Доходи'!S1215&gt;=Законод!$F$18,Законод!$E$20,0)))),IF($B$1211="Лікар-терапевт",IF(S1215&lt;Законод!$C$26,0,(IF(AND(S1215&gt;=Законод!$E$26,S1215&lt;=Законод!$E$27),S1215-Законод!$C$26,IF('01_Доходи'!S1215&gt;=Законод!$F$26,Законод!$E$28,0)))),0)))</f>
        <v>0</v>
      </c>
      <c r="T1217" s="942"/>
      <c r="U1217" s="935" t="s">
        <v>423</v>
      </c>
      <c r="V1217" s="936"/>
      <c r="W1217" s="936"/>
      <c r="X1217" s="936"/>
      <c r="Y1217" s="937"/>
      <c r="Z1217" s="196">
        <f ca="1">IF($B$1211="Лікар загальної практики - сімейний лікар",IF(Z1215&lt;Законод!$C$22,0,(IF(AND(Z1215&gt;=Законод!$E$22,Z1215&lt;=Законод!$E$23),Z1215-Законод!$C$22,IF('01_Доходи'!Z1215&gt;=Законод!$F$22,Законод!$E$24,0)))),IF($B$1211="Лікар-педіатр",IF(Z1215&lt;Законод!$C$18,0,(IF(AND(Z1215&gt;=Законод!$E$18,Z1215&lt;=Законод!$E$19),Z1215-Законод!$C$18,IF('01_Доходи'!Z1215&gt;=Законод!$F$18,Законод!$E$20,0)))),IF($B$1211="Лікар-терапевт",IF(Z1215&lt;Законод!$C$26,0,(IF(AND(Z1215&gt;=Законод!$E$26,Z1215&lt;=Законод!$E$27),Z1215-Законод!$C$26,IF('01_Доходи'!Z1215&gt;=Законод!$F$26,Законод!$E$28,0)))),0)))</f>
        <v>0</v>
      </c>
      <c r="AA1217" s="942"/>
      <c r="AB1217" s="935" t="s">
        <v>423</v>
      </c>
      <c r="AC1217" s="936"/>
      <c r="AD1217" s="936"/>
      <c r="AE1217" s="936"/>
      <c r="AF1217" s="937"/>
      <c r="AG1217" s="196">
        <f ca="1">IF($B$1211="Лікар загальної практики - сімейний лікар",IF(AG1215&lt;Законод!$C$22,0,(IF(AND(AG1215&gt;=Законод!$E$22,AG1215&lt;=Законод!$E$23),AG1215-Законод!$C$22,IF('01_Доходи'!AG1215&gt;=Законод!$F$22,Законод!$E$24,0)))),IF($B$1211="Лікар-педіатр",IF(AG1215&lt;Законод!$C$18,0,(IF(AND(AG1215&gt;=Законод!$E$18,AG1215&lt;=Законод!$E$19),AG1215-Законод!$C$18,IF('01_Доходи'!AG1215&gt;=Законод!$F$18,Законод!$E$20,0)))),IF($B$1211="Лікар-терапевт",IF(AG1215&lt;Законод!$C$26,0,(IF(AND(AG1215&gt;=Законод!$E$26,AG1215&lt;=Законод!$E$27),AG1215-Законод!$C$26,IF('01_Доходи'!AG1215&gt;=Законод!$F$26,Законод!$E$28,0)))),0)))</f>
        <v>0</v>
      </c>
      <c r="AH1217" s="942"/>
      <c r="AI1217" s="201"/>
      <c r="AJ1217" s="945"/>
      <c r="AK1217" s="960"/>
      <c r="AL1217" s="960"/>
      <c r="AM1217" s="926" t="s">
        <v>452</v>
      </c>
      <c r="AN1217" s="210">
        <f ca="1">IF(B1211="Лікар загальної практики - сімейний лікар",L1217*Законод!$C$9/4*Законод!$E$16,IF(B1211="Лікар-педіатр",L1217*Законод!$C$9/4*Законод!$E$16,IF(B1211="Лікар-терапевт",L1217*Законод!$C$9/4*Законод!$E$16,0)))</f>
        <v>0</v>
      </c>
      <c r="AO1217" s="210">
        <f ca="1">IF(B1211="Лікар загальної практики - сімейний лікар",S1217*Законод!$C$9/4*Законод!$E$16,IF(B1211="Лікар-педіатр",S1217*Законод!$C$9/4*Законод!$E$16,IF(B1211="Лікар-терапевт",S1217*Законод!$C$9/4*Законод!$E$16,0)))</f>
        <v>0</v>
      </c>
      <c r="AP1217" s="210">
        <f ca="1">IF(B1211="Лікар загальної практики - сімейний лікар",Z1217*Законод!$C$9/4*Законод!$E$16,IF(B1211="Лікар-педіатр",Z1217*Законод!$C$9/4*Законод!$E$16,IF(B1211="Лікар-терапевт",Z1217*Законод!$C$9/4*Законод!$E$16,0)))</f>
        <v>0</v>
      </c>
      <c r="AQ1217" s="210">
        <f ca="1">IF(B1211="Лікар загальної практики - сімейний лікар",AG1217*Законод!$C$9/4*Законод!$E$16,IF(B1211="Лікар-педіатр",AG1217*Законод!$C$9/4*Законод!$E$16,IF(B1211="Лікар-терапевт",AG1217*Законод!$C$9/4*Законод!$E$16,0)))</f>
        <v>0</v>
      </c>
      <c r="AR1217" s="211">
        <f t="shared" si="133"/>
        <v>0</v>
      </c>
    </row>
    <row r="1218" spans="1:44" s="50" customFormat="1" ht="31.9" hidden="1" customHeight="1">
      <c r="A1218" s="197"/>
      <c r="B1218" s="951"/>
      <c r="C1218" s="954"/>
      <c r="D1218" s="957"/>
      <c r="E1218" s="939"/>
      <c r="F1218" s="238" t="str">
        <f ca="1">IF(B1211="Лікар-педіатр",Законод!$F$17,IF(B1211="Лікар загальної практики - сімейний лікар",Законод!$F$21,IF(B1211="Лікар-терапевт",Законод!$F$25,"х")))</f>
        <v>х</v>
      </c>
      <c r="G1218" s="935" t="s">
        <v>423</v>
      </c>
      <c r="H1218" s="936"/>
      <c r="I1218" s="936"/>
      <c r="J1218" s="936"/>
      <c r="K1218" s="937"/>
      <c r="L1218" s="196">
        <f ca="1">IF($B$1211="Лікар загальної практики - сімейний лікар",IF(L1215&lt;Законод!$C$22,0,(IF(AND(L1215&gt;=Законод!$F$22,L1215&lt;=Законод!$F$23),L1215-Законод!$E$23,IF('01_Доходи'!L1215&gt;=Законод!$G$22,Законод!$F$24,0)))),IF($B$1211="Лікар-педіатр",IF(L1215&lt;Законод!$C$18,0,(IF(AND(L1215&gt;=Законод!$F$18,L1215&lt;=Законод!$F$19),L1215-Законод!$E$19,IF('01_Доходи'!L1215&gt;=Законод!$G$18,Законод!$F$20,0)))),IF($B$1211="Лікар-терапевт",IF(L1215&lt;Законод!$C$26,0,(IF(AND(L1215&gt;=Законод!$F$26,L1215&lt;=Законод!$F$27),L1215-Законод!$E$27,IF('01_Доходи'!L1215&gt;=Законод!$G$26,Законод!$F$28,0)))),0)))</f>
        <v>0</v>
      </c>
      <c r="M1218" s="942"/>
      <c r="N1218" s="935" t="s">
        <v>423</v>
      </c>
      <c r="O1218" s="936"/>
      <c r="P1218" s="936"/>
      <c r="Q1218" s="936"/>
      <c r="R1218" s="937"/>
      <c r="S1218" s="196">
        <f ca="1">IF($B$1211="Лікар загальної практики - сімейний лікар",IF(S1215&lt;Законод!$C$22,0,(IF(AND(S1215&gt;=Законод!$F$22,S1215&lt;=Законод!$F$23),S1215-Законод!$E$23,IF('01_Доходи'!S1215&gt;=Законод!$G$22,Законод!$F$24,0)))),IF($B$1211="Лікар-педіатр",IF(S1215&lt;Законод!$C$18,0,(IF(AND(S1215&gt;=Законод!$F$18,S1215&lt;=Законод!$F$19),S1215-Законод!$E$19,IF('01_Доходи'!S1215&gt;=Законод!$G$18,Законод!$F$20,0)))),IF($B$1211="Лікар-терапевт",IF(S1215&lt;Законод!$C$26,0,(IF(AND(S1215&gt;=Законод!$F$26,S1215&lt;=Законод!$F$27),S1215-Законод!$E$27,IF('01_Доходи'!S1215&gt;=Законод!$G$26,Законод!$F$28,0)))),0)))</f>
        <v>0</v>
      </c>
      <c r="T1218" s="942"/>
      <c r="U1218" s="935" t="s">
        <v>423</v>
      </c>
      <c r="V1218" s="936"/>
      <c r="W1218" s="936"/>
      <c r="X1218" s="936"/>
      <c r="Y1218" s="937"/>
      <c r="Z1218" s="196">
        <f ca="1">IF($B$1211="Лікар загальної практики - сімейний лікар",IF(Z1215&lt;Законод!$C$22,0,(IF(AND(Z1215&gt;=Законод!$F$22,Z1215&lt;=Законод!$F$23),Z1215-Законод!$E$23,IF('01_Доходи'!Z1215&gt;=Законод!$G$22,Законод!$F$24,0)))),IF($B$1211="Лікар-педіатр",IF(Z1215&lt;Законод!$C$18,0,(IF(AND(Z1215&gt;=Законод!$F$18,Z1215&lt;=Законод!$F$19),Z1215-Законод!$E$19,IF('01_Доходи'!Z1215&gt;=Законод!$G$18,Законод!$F$20,0)))),IF($B$1211="Лікар-терапевт",IF(Z1215&lt;Законод!$C$26,0,(IF(AND(Z1215&gt;=Законод!$F$26,Z1215&lt;=Законод!$F$27),Z1215-Законод!$E$27,IF('01_Доходи'!Z1215&gt;=Законод!$G$26,Законод!$F$28,0)))),0)))</f>
        <v>0</v>
      </c>
      <c r="AA1218" s="942"/>
      <c r="AB1218" s="935" t="s">
        <v>423</v>
      </c>
      <c r="AC1218" s="936"/>
      <c r="AD1218" s="936"/>
      <c r="AE1218" s="936"/>
      <c r="AF1218" s="937"/>
      <c r="AG1218" s="196">
        <f ca="1">IF($B$1211="Лікар загальної практики - сімейний лікар",IF(AG1215&lt;Законод!$C$22,0,(IF(AND(AG1215&gt;=Законод!$F$22,AG1215&lt;=Законод!$F$23),AG1215-Законод!$E$23,IF('01_Доходи'!AG1215&gt;=Законод!$G$22,Законод!$F$24,0)))),IF($B$1211="Лікар-педіатр",IF(AG1215&lt;Законод!$C$18,0,(IF(AND(AG1215&gt;=Законод!$F$18,AG1215&lt;=Законод!$F$19),AG1215-Законод!$E$19,IF('01_Доходи'!AG1215&gt;=Законод!$G$18,Законод!$F$20,0)))),IF($B$1211="Лікар-терапевт",IF(AG1215&lt;Законод!$C$26,0,(IF(AND(AG1215&gt;=Законод!$F$26,AG1215&lt;=Законод!$F$27),AG1215-Законод!$E$27,IF('01_Доходи'!AG1215&gt;=Законод!$G$26,Законод!$F$28,0)))),0)))</f>
        <v>0</v>
      </c>
      <c r="AH1218" s="942"/>
      <c r="AI1218" s="201"/>
      <c r="AJ1218" s="945"/>
      <c r="AK1218" s="960"/>
      <c r="AL1218" s="960"/>
      <c r="AM1218" s="927"/>
      <c r="AN1218" s="210">
        <f ca="1">IF(B1211="Лікар загальної практики - сімейний лікар",L1218*Законод!$C$9/4*Законод!$F$16,IF(B1211="Лікар-педіатр",L1218*Законод!$C$9/4*Законод!$F$16,IF(B1211="Лікар-терапевт",L1218*Законод!$C$9/4*Законод!$F$16,0)))</f>
        <v>0</v>
      </c>
      <c r="AO1218" s="210">
        <f ca="1">IF(B1211="Лікар загальної практики - сімейний лікар",S1218*Законод!$C$9/4*Законод!$F$16,IF(B1211="Лікар-педіатр",S1218*Законод!$C$9/4*Законод!$F$16,IF(B1211="Лікар-терапевт",S1218*Законод!$C$9/4*Законод!$F$16,0)))</f>
        <v>0</v>
      </c>
      <c r="AP1218" s="210">
        <f ca="1">IF(B1211="Лікар загальної практики - сімейний лікар",Z1218*Законод!$C$9/4*Законод!$F$16,IF(B1211="Лікар-педіатр",Z1218*Законод!$C$9/4*Законод!$F$16,IF(B1211="Лікар-терапевт",Z1218*Законод!$C$9/4*Законод!$F$16,0)))</f>
        <v>0</v>
      </c>
      <c r="AQ1218" s="210">
        <f ca="1">IF(B1211="Лікар загальної практики - сімейний лікар",AG1218*Законод!$C$9/4*Законод!$F$16,IF(B1211="Лікар-педіатр",AG1218*Законод!$C$9/4*Законод!$F$16,IF(B1211="Лікар-терапевт",AG1218*Законод!$C$9/4*Законод!$F$16,0)))</f>
        <v>0</v>
      </c>
      <c r="AR1218" s="211">
        <f t="shared" si="133"/>
        <v>0</v>
      </c>
    </row>
    <row r="1219" spans="1:44" s="50" customFormat="1" ht="31.9" hidden="1" customHeight="1">
      <c r="A1219" s="197"/>
      <c r="B1219" s="951"/>
      <c r="C1219" s="954"/>
      <c r="D1219" s="957"/>
      <c r="E1219" s="939"/>
      <c r="F1219" s="238" t="str">
        <f ca="1">IF(B1211="Лікар-педіатр",Законод!$G$17,IF(B1211="Лікар загальної практики - сімейний лікар",Законод!$G$21,IF(B1211="Лікар-терапевт",Законод!$G$25,"х")))</f>
        <v>х</v>
      </c>
      <c r="G1219" s="935" t="s">
        <v>423</v>
      </c>
      <c r="H1219" s="936"/>
      <c r="I1219" s="936"/>
      <c r="J1219" s="936"/>
      <c r="K1219" s="937"/>
      <c r="L1219" s="196">
        <f ca="1">IF($B$1211="Лікар загальної практики - сімейний лікар",IF(L1215&lt;Законод!$C$22,0,(IF(AND(L1215&gt;=Законод!$G$22,L1215&lt;=Законод!$G$23),L1215-Законод!$F$23,IF('01_Доходи'!L1215&gt;=Законод!$H$22,Законод!$G$24,0)))),IF($B$1211="Лікар-педіатр",IF(L1215&lt;Законод!$C$18,0,(IF(AND(L1215&gt;=Законод!$G$18,L1215&lt;=Законод!$G$19),L1215-Законод!$F$19,IF('01_Доходи'!L1215&gt;=Законод!$H$18,Законод!$G$20,0)))),IF($B$1211="Лікар-терапевт",IF(L1215&lt;Законод!$C$26,0,(IF(AND(L1215&gt;=Законод!$G$26,L1215&lt;=Законод!$G$27),L1215-Законод!$F$27,IF('01_Доходи'!L1215&gt;=Законод!$H$26,Законод!$G$28,0)))),0)))</f>
        <v>0</v>
      </c>
      <c r="M1219" s="942"/>
      <c r="N1219" s="935" t="s">
        <v>423</v>
      </c>
      <c r="O1219" s="936"/>
      <c r="P1219" s="936"/>
      <c r="Q1219" s="936"/>
      <c r="R1219" s="937"/>
      <c r="S1219" s="196">
        <f ca="1">IF($B$1211="Лікар загальної практики - сімейний лікар",IF(S1215&lt;Законод!$C$22,0,(IF(AND(S1215&gt;=Законод!$G$22,S1215&lt;=Законод!$G$23),S1215-Законод!$F$23,IF('01_Доходи'!S1215&gt;=Законод!$H$22,Законод!$G$24,0)))),IF($B$1211="Лікар-педіатр",IF(S1215&lt;Законод!$C$18,0,(IF(AND(S1215&gt;=Законод!$G$18,S1215&lt;=Законод!$G$19),S1215-Законод!$F$19,IF('01_Доходи'!S1215&gt;=Законод!$H$18,Законод!$G$20,0)))),IF($B$1211="Лікар-терапевт",IF(S1215&lt;Законод!$C$26,0,(IF(AND(S1215&gt;=Законод!$G$26,S1215&lt;=Законод!$G$27),S1215-Законод!$F$27,IF('01_Доходи'!S1215&gt;=Законод!$H$26,Законод!$G$28,0)))),0)))</f>
        <v>0</v>
      </c>
      <c r="T1219" s="942"/>
      <c r="U1219" s="935" t="s">
        <v>423</v>
      </c>
      <c r="V1219" s="936"/>
      <c r="W1219" s="936"/>
      <c r="X1219" s="936"/>
      <c r="Y1219" s="937"/>
      <c r="Z1219" s="196">
        <f ca="1">IF($B$1211="Лікар загальної практики - сімейний лікар",IF(Z1215&lt;Законод!$C$22,0,(IF(AND(Z1215&gt;=Законод!$G$22,Z1215&lt;=Законод!$G$23),Z1215-Законод!$F$23,IF('01_Доходи'!Z1215&gt;=Законод!$H$22,Законод!$G$24,0)))),IF($B$1211="Лікар-педіатр",IF(Z1215&lt;Законод!$C$18,0,(IF(AND(Z1215&gt;=Законод!$G$18,Z1215&lt;=Законод!$G$19),Z1215-Законод!$F$19,IF('01_Доходи'!Z1215&gt;=Законод!$H$18,Законод!$G$20,0)))),IF($B$1211="Лікар-терапевт",IF(Z1215&lt;Законод!$C$26,0,(IF(AND(Z1215&gt;=Законод!$G$26,Z1215&lt;=Законод!$G$27),Z1215-Законод!$F$27,IF('01_Доходи'!Z1215&gt;=Законод!$H$26,Законод!$G$28,0)))),0)))</f>
        <v>0</v>
      </c>
      <c r="AA1219" s="942"/>
      <c r="AB1219" s="935" t="s">
        <v>423</v>
      </c>
      <c r="AC1219" s="936"/>
      <c r="AD1219" s="936"/>
      <c r="AE1219" s="936"/>
      <c r="AF1219" s="937"/>
      <c r="AG1219" s="196">
        <f ca="1">IF($B$1211="Лікар загальної практики - сімейний лікар",IF(AG1215&lt;Законод!$C$22,0,(IF(AND(AG1215&gt;=Законод!$G$22,AG1215&lt;=Законод!$G$23),AG1215-Законод!$F$23,IF('01_Доходи'!AG1215&gt;=Законод!$H$22,Законод!$G$24,0)))),IF($B$1211="Лікар-педіатр",IF(AG1215&lt;Законод!$C$18,0,(IF(AND(AG1215&gt;=Законод!$G$18,AG1215&lt;=Законод!$G$19),AG1215-Законод!$F$19,IF('01_Доходи'!AG1215&gt;=Законод!$H$18,Законод!$G$20,0)))),IF($B$1211="Лікар-терапевт",IF(AG1215&lt;Законод!$C$26,0,(IF(AND(AG1215&gt;=Законод!$G$26,AG1215&lt;=Законод!$G$27),AG1215-Законод!$F$27,IF('01_Доходи'!AG1215&gt;=Законод!$H$26,Законод!$G$28,0)))),0)))</f>
        <v>0</v>
      </c>
      <c r="AH1219" s="942"/>
      <c r="AI1219" s="201"/>
      <c r="AJ1219" s="945"/>
      <c r="AK1219" s="960"/>
      <c r="AL1219" s="960"/>
      <c r="AM1219" s="927"/>
      <c r="AN1219" s="210">
        <f ca="1">IF(B1211="Лікар загальної практики - сімейний лікар",L1219*Законод!$C$9/4*Законод!$G$16,IF(B1211="Лікар-педіатр",L1219*Законод!$C$9/4*Законод!$G$16,IF(B1211="Лікар-терапевт",L1219*Законод!$C$9/4*Законод!$G$16,0)))</f>
        <v>0</v>
      </c>
      <c r="AO1219" s="210">
        <f ca="1">IF(B1211="Лікар загальної практики - сімейний лікар",S1219*Законод!$C$9/4*Законод!$G$16,IF(B1211="Лікар-педіатр",S1219*Законод!$C$9/4*Законод!$G$16,IF(B1211="Лікар-терапевт",S1219*Законод!$C$9/4*Законод!$G$16,0)))</f>
        <v>0</v>
      </c>
      <c r="AP1219" s="210">
        <f ca="1">IF(B1211="Лікар загальної практики - сімейний лікар",Z1219*Законод!$C$9/4*Законод!$G$16,IF(B1211="Лікар-педіатр",Z1219*Законод!$C$9/4*Законод!$G$16,IF(B1211="Лікар-терапевт",Z1219*Законод!$C$9/4*Законод!$G$16,0)))</f>
        <v>0</v>
      </c>
      <c r="AQ1219" s="210">
        <f ca="1">IF(B1211="Лікар загальної практики - сімейний лікар",AG1219*Законод!$C$9/4*Законод!$G$16,IF(B1211="Лікар-педіатр",AG1219*Законод!$C$9/4*Законод!$G$16,IF(B1211="Лікар-терапевт",AG1219*Законод!$C$9/4*Законод!$G$16,0)))</f>
        <v>0</v>
      </c>
      <c r="AR1219" s="211">
        <f t="shared" si="133"/>
        <v>0</v>
      </c>
    </row>
    <row r="1220" spans="1:44" s="50" customFormat="1" ht="31.9" hidden="1" customHeight="1">
      <c r="A1220" s="197"/>
      <c r="B1220" s="951"/>
      <c r="C1220" s="954"/>
      <c r="D1220" s="957"/>
      <c r="E1220" s="939"/>
      <c r="F1220" s="238" t="str">
        <f ca="1">IF(B1211="Лікар-педіатр",Законод!$H$17,IF(B1211="Лікар загальної практики - сімейний лікар",Законод!$H$21,IF(B1211="Лікар-терапевт",Законод!$H$25,"х")))</f>
        <v>х</v>
      </c>
      <c r="G1220" s="935" t="s">
        <v>423</v>
      </c>
      <c r="H1220" s="936"/>
      <c r="I1220" s="936"/>
      <c r="J1220" s="936"/>
      <c r="K1220" s="937"/>
      <c r="L1220" s="196">
        <f ca="1">IF($B$1211="Лікар загальної практики - сімейний лікар",IF(L1215&lt;Законод!$C$22,0,(IF(AND(L1215&gt;=Законод!$H$22,L1215&lt;=Законод!$H$23),L1215-Законод!$G$23,IF('01_Доходи'!L1215&gt;=Законод!$I$22,Законод!$H$24,0)))),IF($B$1211="Лікар-педіатр",IF(L1215&lt;Законод!$C$18,0,(IF(AND(L1215&gt;=Законод!$H$18,L1215&lt;=Законод!$H$19),L1215-Законод!$G$19,IF('01_Доходи'!L1215&gt;=Законод!$I$18,Законод!$H$20,0)))),IF($B$1211="Лікар-терапевт",IF(L1215&lt;Законод!$C$26,0,(IF(AND(L1215&gt;=Законод!$H$26,L1215&lt;=Законод!$H$27),L1215-Законод!$G$27,IF(L1215&gt;=Законод!$I$26,Законод!$H$28,0)))),0)))</f>
        <v>0</v>
      </c>
      <c r="M1220" s="942"/>
      <c r="N1220" s="935" t="s">
        <v>423</v>
      </c>
      <c r="O1220" s="936"/>
      <c r="P1220" s="936"/>
      <c r="Q1220" s="936"/>
      <c r="R1220" s="937"/>
      <c r="S1220" s="196">
        <f ca="1">IF($B$1211="Лікар загальної практики - сімейний лікар",IF(S1215&lt;Законод!$C$22,0,(IF(AND(S1215&gt;=Законод!$H$22,S1215&lt;=Законод!$H$23),S1215-Законод!$G$23,IF('01_Доходи'!S1215&gt;=Законод!$I$22,Законод!$H$24,0)))),IF($B$1211="Лікар-педіатр",IF(S1215&lt;Законод!$C$18,0,(IF(AND(S1215&gt;=Законод!$H$18,S1215&lt;=Законод!$H$19),S1215-Законод!$G$19,IF('01_Доходи'!S1215&gt;=Законод!$I$18,Законод!$H$20,0)))),IF($B$1211="Лікар-терапевт",IF(S1215&lt;Законод!$C$26,0,(IF(AND(S1215&gt;=Законод!$H$26,S1215&lt;=Законод!$H$27),S1215-Законод!$G$27,IF(S1215&gt;=Законод!$I$26,Законод!$H$28,0)))),0)))</f>
        <v>0</v>
      </c>
      <c r="T1220" s="942"/>
      <c r="U1220" s="935" t="s">
        <v>423</v>
      </c>
      <c r="V1220" s="936"/>
      <c r="W1220" s="936"/>
      <c r="X1220" s="936"/>
      <c r="Y1220" s="937"/>
      <c r="Z1220" s="196">
        <f ca="1">IF($B$1211="Лікар загальної практики - сімейний лікар",IF(Z1215&lt;Законод!$C$22,0,(IF(AND(Z1215&gt;=Законод!$H$22,Z1215&lt;=Законод!$H$23),Z1215-Законод!$G$23,IF('01_Доходи'!Z1215&gt;=Законод!$I$22,Законод!$H$24,0)))),IF($B$1211="Лікар-педіатр",IF(Z1215&lt;Законод!$C$18,0,(IF(AND(Z1215&gt;=Законод!$H$18,Z1215&lt;=Законод!$H$19),Z1215-Законод!$G$19,IF('01_Доходи'!Z1215&gt;=Законод!$I$18,Законод!$H$20,0)))),IF($B$1211="Лікар-терапевт",IF(Z1215&lt;Законод!$C$26,0,(IF(AND(Z1215&gt;=Законод!$H$26,Z1215&lt;=Законод!$H$27),Z1215-Законод!$G$27,IF(Z1215&gt;=Законод!$I$26,Законод!$H$28,0)))),0)))</f>
        <v>0</v>
      </c>
      <c r="AA1220" s="942"/>
      <c r="AB1220" s="935" t="s">
        <v>423</v>
      </c>
      <c r="AC1220" s="936"/>
      <c r="AD1220" s="936"/>
      <c r="AE1220" s="936"/>
      <c r="AF1220" s="937"/>
      <c r="AG1220" s="196">
        <f ca="1">IF($B$1211="Лікар загальної практики - сімейний лікар",IF(AG1215&lt;Законод!$C$22,0,(IF(AND(AG1215&gt;=Законод!$H$22,AG1215&lt;=Законод!$H$23),AG1215-Законод!$G$23,IF('01_Доходи'!AG1215&gt;=Законод!$I$22,Законод!$H$24,0)))),IF($B$1211="Лікар-педіатр",IF(AG1215&lt;Законод!$C$18,0,(IF(AND(AG1215&gt;=Законод!$H$18,AG1215&lt;=Законод!$H$19),AG1215-Законод!$G$19,IF('01_Доходи'!AG1215&gt;=Законод!$I$18,Законод!$H$20,0)))),IF($B$1211="Лікар-терапевт",IF(AG1215&lt;Законод!$C$26,0,(IF(AND(AG1215&gt;=Законод!$H$26,AG1215&lt;=Законод!$H$27),AG1215-Законод!$G$27,IF(AG1215&gt;=Законод!$I$26,Законод!$H$28,0)))),0)))</f>
        <v>0</v>
      </c>
      <c r="AH1220" s="942"/>
      <c r="AI1220" s="201"/>
      <c r="AJ1220" s="945"/>
      <c r="AK1220" s="960"/>
      <c r="AL1220" s="960"/>
      <c r="AM1220" s="927"/>
      <c r="AN1220" s="210">
        <f ca="1">IF(B1211="Лікар загальної практики - сімейний лікар",L1220*Законод!$C$9/4*Законод!$H$16,IF(B1211="Лікар-педіатр",L1220*Законод!$C$9/4*Законод!$H$16,IF(B1211="Лікар-терапевт",L1220*Законод!$C$9/4*Законод!$H$16,0)))</f>
        <v>0</v>
      </c>
      <c r="AO1220" s="210">
        <f ca="1">IF(B1211="Лікар загальної практики - сімейний лікар",S1220*Законод!$C$9/4*Законод!$H$16,IF(B1211="Лікар-педіатр",S1220*Законод!$C$9/4*Законод!$H$16,IF(B1211="Лікар-терапевт",S1220*Законод!$C$9/4*Законод!$H$16,0)))</f>
        <v>0</v>
      </c>
      <c r="AP1220" s="210">
        <f ca="1">IF(B1211="Лікар загальної практики - сімейний лікар",Z1220*Законод!$C$9/4*Законод!$H$16,IF(B1211="Лікар-педіатр",Z1220*Законод!$C$9/4*Законод!$H$16,IF(B1211="Лікар-терапевт",Z1220*Законод!$C$9/4*Законод!$H$16,0)))</f>
        <v>0</v>
      </c>
      <c r="AQ1220" s="210">
        <f ca="1">IF(B1211="Лікар загальної практики - сімейний лікар",AG1220*Законод!$C$9/4*Законод!$H$16,IF(B1211="Лікар-педіатр",AG1220*Законод!$C$9/4*Законод!$H$16,IF(B1211="Лікар-терапевт",AG1220*Законод!$C$9/4*Законод!$H$16,0)))</f>
        <v>0</v>
      </c>
      <c r="AR1220" s="211">
        <f t="shared" si="133"/>
        <v>0</v>
      </c>
    </row>
    <row r="1221" spans="1:44" s="50" customFormat="1" ht="31.9" hidden="1" customHeight="1">
      <c r="A1221" s="197"/>
      <c r="B1221" s="951"/>
      <c r="C1221" s="954"/>
      <c r="D1221" s="957"/>
      <c r="E1221" s="939"/>
      <c r="F1221" s="238" t="str">
        <f ca="1">IF(B1211="Лікар-педіатр",Законод!$I$17,IF(B1211="Лікар загальної практики - сімейний лікар",Законод!$I$21,IF(B1211="Лікар-терапевт",Законод!$I$25,"х")))</f>
        <v>х</v>
      </c>
      <c r="G1221" s="935" t="s">
        <v>423</v>
      </c>
      <c r="H1221" s="936"/>
      <c r="I1221" s="936"/>
      <c r="J1221" s="936"/>
      <c r="K1221" s="937"/>
      <c r="L1221" s="196">
        <f ca="1">IF($B$1211="Лікар загальної практики - сімейний лікар",IF(L1215&lt;Законод!$C$22,0,(IF(AND(L1215&gt;=Законод!$I$22,L1215&lt;=Законод!$I$23),L1215-Законод!$H$23,IF('01_Доходи'!L1215&gt;=Законод!$I$22,Законод!$I$24,0)))),IF($B$1211="Лікар-педіатр",IF(L1215&lt;Законод!$C$18,0,(IF(AND(L1215&gt;=Законод!$I$18,L1215&lt;=Законод!$I$19),L1215-Законод!$H$19,IF('01_Доходи'!L1215&gt;=Законод!$I$18,Законод!$H$20,0)))),IF($B$1211="Лікар-терапевт",IF(L1215&lt;Законод!$C$26,0,(IF(AND(L1215&gt;=Законод!$I$26,L1215&lt;=Законод!$I$27),L1215-Законод!$H$27,IF('01_Доходи'!L1215&gt;=Законод!$I$26,Законод!$H$28,0)))),0)))</f>
        <v>0</v>
      </c>
      <c r="M1221" s="942"/>
      <c r="N1221" s="935" t="s">
        <v>423</v>
      </c>
      <c r="O1221" s="936"/>
      <c r="P1221" s="936"/>
      <c r="Q1221" s="936"/>
      <c r="R1221" s="937"/>
      <c r="S1221" s="196">
        <f ca="1">IF($B$1211="Лікар загальної практики - сімейний лікар",IF(S1215&lt;Законод!$C$22,0,(IF(AND(S1215&gt;=Законод!$I$22,S1215&lt;=Законод!$I$23),S1215-Законод!$H$23,IF('01_Доходи'!S1215&gt;=Законод!$I$22,Законод!$I$24,0)))),IF($B$1211="Лікар-педіатр",IF(S1215&lt;Законод!$C$18,0,(IF(AND(S1215&gt;=Законод!$I$18,S1215&lt;=Законод!$I$19),S1215-Законод!$H$19,IF('01_Доходи'!S1215&gt;=Законод!$I$18,Законод!$H$20,0)))),IF($B$1211="Лікар-терапевт",IF(S1215&lt;Законод!$C$26,0,(IF(AND(S1215&gt;=Законод!$I$26,S1215&lt;=Законод!$I$27),S1215-Законод!$H$27,IF('01_Доходи'!S1215&gt;=Законод!$I$26,Законод!$H$28,0)))),0)))</f>
        <v>0</v>
      </c>
      <c r="T1221" s="942"/>
      <c r="U1221" s="935" t="s">
        <v>423</v>
      </c>
      <c r="V1221" s="936"/>
      <c r="W1221" s="936"/>
      <c r="X1221" s="936"/>
      <c r="Y1221" s="937"/>
      <c r="Z1221" s="196">
        <f ca="1">IF($B$1211="Лікар загальної практики - сімейний лікар",IF(Z1215&lt;Законод!$C$22,0,(IF(AND(Z1215&gt;=Законод!$I$22,Z1215&lt;=Законод!$I$23),Z1215-Законод!$H$23,IF('01_Доходи'!Z1215&gt;=Законод!$I$22,Законод!$I$24,0)))),IF($B$1211="Лікар-педіатр",IF(Z1215&lt;Законод!$C$18,0,(IF(AND(Z1215&gt;=Законод!$I$18,Z1215&lt;=Законод!$I$19),Z1215-Законод!$H$19,IF('01_Доходи'!Z1215&gt;=Законод!$I$18,Законод!$H$20,0)))),IF($B$1211="Лікар-терапевт",IF(Z1215&lt;Законод!$C$26,0,(IF(AND(Z1215&gt;=Законод!$I$26,Z1215&lt;=Законод!$I$27),Z1215-Законод!$H$27,IF('01_Доходи'!Z1215&gt;=Законод!$I$26,Законод!$H$28,0)))),0)))</f>
        <v>0</v>
      </c>
      <c r="AA1221" s="942"/>
      <c r="AB1221" s="935" t="s">
        <v>423</v>
      </c>
      <c r="AC1221" s="936"/>
      <c r="AD1221" s="936"/>
      <c r="AE1221" s="936"/>
      <c r="AF1221" s="937"/>
      <c r="AG1221" s="196">
        <f ca="1">IF($B$1211="Лікар загальної практики - сімейний лікар",IF(AG1215&lt;Законод!$C$22,0,(IF(AND(AG1215&gt;=Законод!$I$22,AG1215&lt;=Законод!$I$23),AG1215-Законод!$H$23,IF('01_Доходи'!AG1215&gt;=Законод!$I$22,Законод!$I$24,0)))),IF($B$1211="Лікар-педіатр",IF(AG1215&lt;Законод!$C$18,0,(IF(AND(AG1215&gt;=Законод!$I$18,AG1215&lt;=Законод!$I$19),AG1215-Законод!$H$19,IF('01_Доходи'!AG1215&gt;=Законод!$I$18,Законод!$H$20,0)))),IF($B$1211="Лікар-терапевт",IF(AG1215&lt;Законод!$C$26,0,(IF(AND(AG1215&gt;=Законод!$I$26,AG1215&lt;=Законод!$I$27),AG1215-Законод!$H$27,IF('01_Доходи'!AG1215&gt;=Законод!$I$26,Законод!$H$28,0)))),0)))</f>
        <v>0</v>
      </c>
      <c r="AH1221" s="942"/>
      <c r="AI1221" s="201"/>
      <c r="AJ1221" s="945"/>
      <c r="AK1221" s="960"/>
      <c r="AL1221" s="960"/>
      <c r="AM1221" s="927"/>
      <c r="AN1221" s="210">
        <f ca="1">IF(B1211="Лікар загальної практики - сімейний лікар",L1221*Законод!$C$9/4*Законод!$I$16,IF(B1211="Лікар-педіатр",L1221*Законод!$C$9/4*Законод!$I$16,IF(B1211="Лікар-терапевт",L1221*Законод!$C$9/4*Законод!$I$16,0)))</f>
        <v>0</v>
      </c>
      <c r="AO1221" s="210">
        <f ca="1">IF(B1211="Лікар загальної практики - сімейний лікар",S1221*Законод!$C$9/4*Законод!$I$16,IF(B1211="Лікар-педіатр",S1221*Законод!$C$9/4*Законод!$I$16,IF(B1211="Лікар-терапевт",S1221*Законод!$C$9/4*Законод!$I$16,0)))</f>
        <v>0</v>
      </c>
      <c r="AP1221" s="210">
        <f ca="1">IF(B1211="Лікар загальної практики - сімейний лікар",Z1221*Законод!$C$9/4*Законод!$I$16,IF(B1211="Лікар-педіатр",Z1221*Законод!$C$9/4*Законод!$I$16,IF(B1211="Лікар-терапевт",Z1221*Законод!$C$9/4*Законод!$I$16,0)))</f>
        <v>0</v>
      </c>
      <c r="AQ1221" s="210">
        <f ca="1">IF(B1211="Лікар загальної практики - сімейний лікар",AG1221*Законод!$C$9/4*Законод!$I$16,IF(B1211="Лікар-педіатр",AG1221*Законод!$C$9/4*Законод!$I$16,IF(B1211="Лікар-терапевт",AG1221*Законод!$C$9/4*Законод!$I$16,0)))</f>
        <v>0</v>
      </c>
      <c r="AR1221" s="211">
        <f t="shared" si="133"/>
        <v>0</v>
      </c>
    </row>
    <row r="1222" spans="1:44" s="218" customFormat="1" ht="31.9" hidden="1" customHeight="1" thickBot="1">
      <c r="A1222" s="213"/>
      <c r="B1222" s="952"/>
      <c r="C1222" s="955"/>
      <c r="D1222" s="958"/>
      <c r="E1222" s="940"/>
      <c r="F1222" s="239" t="str">
        <f ca="1">IF(B1211="Лікар-педіатр",Законод!$J$17,IF(B1211="Лікар загальної практики - сімейний лікар",Законод!$J$21,IF(B1211="Лікар-терапевт",Законод!$J$25,"х")))</f>
        <v>х</v>
      </c>
      <c r="G1222" s="932" t="s">
        <v>423</v>
      </c>
      <c r="H1222" s="933"/>
      <c r="I1222" s="933"/>
      <c r="J1222" s="933"/>
      <c r="K1222" s="934"/>
      <c r="L1222" s="196">
        <f ca="1">IF($B$1211="Лікар загальної практики - сімейний лікар",IF(L1215&gt;=Законод!$J$22,'01_Доходи'!L1215-('01_Доходи'!L1216+'01_Доходи'!L1217+'01_Доходи'!L1218+'01_Доходи'!L1219+'01_Доходи'!L1220+'01_Доходи'!L1221),0),IF($B$1211="Лікар-педіатр",IF(L1215&gt;=Законод!$J$18,'01_Доходи'!L1215-('01_Доходи'!L1216+'01_Доходи'!L1217+'01_Доходи'!L1218+'01_Доходи'!L1219+'01_Доходи'!L1220+'01_Доходи'!L1221),0),IF($B$1211="Лікар-терапевт",IF('01_Доходи'!L1215&gt;=Законод!$J$26,L1215-Законод!$I$27,0),0)))</f>
        <v>0</v>
      </c>
      <c r="M1222" s="943"/>
      <c r="N1222" s="932" t="s">
        <v>423</v>
      </c>
      <c r="O1222" s="933"/>
      <c r="P1222" s="933"/>
      <c r="Q1222" s="933"/>
      <c r="R1222" s="934"/>
      <c r="S1222" s="196">
        <f ca="1">IF($B$1211="Лікар загальної практики - сімейний лікар",IF(S1215&gt;=Законод!$J$22,'01_Доходи'!S1215-('01_Доходи'!S1216+'01_Доходи'!S1217+'01_Доходи'!S1218+'01_Доходи'!S1219+'01_Доходи'!S1220+'01_Доходи'!S1221),0),IF($B$1211="Лікар-педіатр",IF(S1215&gt;=Законод!$J$18,'01_Доходи'!S1215-('01_Доходи'!S1216+'01_Доходи'!S1217+'01_Доходи'!S1218+'01_Доходи'!S1219+'01_Доходи'!S1220+'01_Доходи'!S1221),0),IF($B$1211="Лікар-терапевт",IF('01_Доходи'!S1215&gt;=Законод!$J$26,S1215-Законод!$I$27,0),0)))</f>
        <v>0</v>
      </c>
      <c r="T1222" s="943"/>
      <c r="U1222" s="932" t="s">
        <v>423</v>
      </c>
      <c r="V1222" s="933"/>
      <c r="W1222" s="933"/>
      <c r="X1222" s="933"/>
      <c r="Y1222" s="934"/>
      <c r="Z1222" s="196">
        <f ca="1">IF($B$1211="Лікар загальної практики - сімейний лікар",IF(Z1215&gt;=Законод!$J$22,'01_Доходи'!Z1215-('01_Доходи'!Z1216+'01_Доходи'!Z1217+'01_Доходи'!Z1218+'01_Доходи'!Z1219+'01_Доходи'!Z1220+'01_Доходи'!Z1221),0),IF($B$1211="Лікар-педіатр",IF(Z1215&gt;=Законод!$J$18,'01_Доходи'!Z1215-('01_Доходи'!Z1216+'01_Доходи'!Z1217+'01_Доходи'!Z1218+'01_Доходи'!Z1219+'01_Доходи'!Z1220+'01_Доходи'!Z1221),0),IF($B$1211="Лікар-терапевт",IF('01_Доходи'!Z1215&gt;=Законод!$J$26,Z1215-Законод!$I$27,0),0)))</f>
        <v>0</v>
      </c>
      <c r="AA1222" s="943"/>
      <c r="AB1222" s="932" t="s">
        <v>423</v>
      </c>
      <c r="AC1222" s="933"/>
      <c r="AD1222" s="933"/>
      <c r="AE1222" s="933"/>
      <c r="AF1222" s="934"/>
      <c r="AG1222" s="196">
        <f ca="1">IF($B$1211="Лікар загальної практики - сімейний лікар",IF(AG1215&gt;=Законод!$J$22,'01_Доходи'!AG1215-('01_Доходи'!AG1216+'01_Доходи'!AG1217+'01_Доходи'!AG1218+'01_Доходи'!AG1219+'01_Доходи'!AG1220+'01_Доходи'!AG1221),0),IF($B$1211="Лікар-педіатр",IF(AG1215&gt;=Законод!$J$18,'01_Доходи'!AG1215-('01_Доходи'!AG1216+'01_Доходи'!AG1217+'01_Доходи'!AG1218+'01_Доходи'!AG1219+'01_Доходи'!AG1220+'01_Доходи'!AG1221),0),IF($B$1211="Лікар-терапевт",IF('01_Доходи'!AG1215&gt;=Законод!$J$26,AG1215-Законод!$I$27,0),0)))</f>
        <v>0</v>
      </c>
      <c r="AH1222" s="943"/>
      <c r="AI1222" s="215"/>
      <c r="AJ1222" s="946"/>
      <c r="AK1222" s="961"/>
      <c r="AL1222" s="961"/>
      <c r="AM1222" s="928"/>
      <c r="AN1222" s="216">
        <f ca="1">IF(B1211="Лікар загальної практики - сімейний лікар",L1222*Законод!$C$9/4*Законод!$J$16,IF(B1211="Лікар-педіатр",L1222*Законод!$C$9/4*Законод!$J$16,IF(B1211="Лікар-терапевт",L1222*Законод!$C$9/4*Законод!$J$16,0)))</f>
        <v>0</v>
      </c>
      <c r="AO1222" s="216">
        <f ca="1">IF(B1211="Лікар загальної практики - сімейний лікар",S1222*Законод!$C$9/4*Законод!$J$16,IF(B1211="Лікар-педіатр",S1222*Законод!$C$9/4*Законод!$J$16,IF(B1211="Лікар-терапевт",S1222*Законод!$C$9/4*Законод!$J$16,0)))</f>
        <v>0</v>
      </c>
      <c r="AP1222" s="216">
        <f ca="1">IF(B1211="Лікар загальної практики - сімейний лікар",S1222*Законод!$C$9/4*Законод!$J$16,IF(B1211="Лікар-педіатр",S1222*Законод!$C$9/4*Законод!$J$16,IF(B1211="Лікар-терапевт",S1222*Законод!$C$9/4*Законод!$J$16,0)))</f>
        <v>0</v>
      </c>
      <c r="AQ1222" s="216">
        <f ca="1">IF(B1211="Лікар загальної практики - сімейний лікар",AG1222*Законод!$C$9/4*Законод!$J$16,IF(B1211="Лікар-педіатр",AG1222*Законод!$C$9/4*Законод!$J$16,IF(B1211="Лікар-терапевт",AG1222*Законод!$C$9/4*Законод!$J$16,0)))</f>
        <v>0</v>
      </c>
      <c r="AR1222" s="217">
        <f t="shared" si="133"/>
        <v>0</v>
      </c>
    </row>
    <row r="1223" spans="1:44" s="247" customFormat="1" ht="23.45" hidden="1" customHeight="1" thickBot="1">
      <c r="A1223" s="243"/>
      <c r="B1223" s="244"/>
      <c r="C1223" s="244"/>
      <c r="D1223" s="244"/>
      <c r="E1223" s="244"/>
      <c r="F1223" s="245"/>
      <c r="G1223" s="246"/>
      <c r="H1223" s="246"/>
      <c r="L1223" s="248"/>
      <c r="S1223" s="248"/>
      <c r="Z1223" s="248"/>
      <c r="AG1223" s="248"/>
      <c r="AM1223" s="249"/>
      <c r="AR1223" s="250"/>
    </row>
    <row r="1224" spans="1:44" s="191" customFormat="1" ht="24.6" hidden="1" customHeight="1">
      <c r="A1224" s="194">
        <f>A1211+1</f>
        <v>92</v>
      </c>
      <c r="B1224" s="950"/>
      <c r="C1224" s="953"/>
      <c r="D1224" s="956"/>
      <c r="E1224" s="938"/>
      <c r="F1224" s="234" t="s">
        <v>659</v>
      </c>
      <c r="G1224" s="196">
        <f>IF($B$1224="Лікар-педіатр",G1227*L1224,IF($B$1224="Лікар-терапевт","х",IF($B$1224="Лікар загальної практики - сімейний лікар",G1227*L1224,0)))</f>
        <v>0</v>
      </c>
      <c r="H1224" s="196">
        <f>IF($B$1224="Лікар-педіатр",H1227*L1224,IF($B$1224="Лікар-терапевт","х",IF($B$1224="Лікар загальної практики - сімейний лікар",H1227*L1224,0)))</f>
        <v>0</v>
      </c>
      <c r="I1224" s="196">
        <f>IF($B$1224="Лікар-педіатр","x",IF($B$1224="Лікар-терапевт",I1227*L1224,IF($B$1224="Лікар загальної практики - сімейний лікар",I1227*L1224,0)))</f>
        <v>0</v>
      </c>
      <c r="J1224" s="196">
        <f>IF($B$1224="Лікар-педіатр","x",IF($B$1224="Лікар-терапевт",J1227*L1224,IF($B$1224="Лікар загальної практики - сімейний лікар",J1227*L1224,0)))</f>
        <v>0</v>
      </c>
      <c r="K1224" s="196">
        <f>IF($B$1224="Лікар-педіатр","x",IF($B$1224="Лікар-терапевт",K1227*L1224,IF($B$1224="Лікар загальної практики - сімейний лікар",K1227*L1224,0)))</f>
        <v>0</v>
      </c>
      <c r="L1224" s="557"/>
      <c r="M1224" s="941"/>
      <c r="N1224" s="196">
        <f>IF($B$1224="Лікар-педіатр",N1227*S1224,IF($B$1224="Лікар-терапевт","х",IF($B$1224="Лікар загальної практики - сімейний лікар",N1227*S1224,0)))</f>
        <v>0</v>
      </c>
      <c r="O1224" s="196">
        <f>IF($B$1224="Лікар-педіатр",O1227*S1224,IF($B$1224="Лікар-терапевт","х",IF($B$1224="Лікар загальної практики - сімейний лікар",O1227*S1224,0)))</f>
        <v>0</v>
      </c>
      <c r="P1224" s="196">
        <f>IF($B$1224="Лікар-педіатр","x",IF($B$1224="Лікар-терапевт",P1227*S1224,IF($B$1224="Лікар загальної практики - сімейний лікар",P1227*S1224,0)))</f>
        <v>0</v>
      </c>
      <c r="Q1224" s="196">
        <f>IF($B$1224="Лікар-педіатр","x",IF($B$1224="Лікар-терапевт",Q1227*S1224,IF($B$1224="Лікар загальної практики - сімейний лікар",Q1227*S1224,0)))</f>
        <v>0</v>
      </c>
      <c r="R1224" s="196">
        <f>IF($B$1224="Лікар-педіатр","x",IF($B$1224="Лікар-терапевт",R1227*S1224,IF($B$1224="Лікар загальної практики - сімейний лікар",R1227*S1224,0)))</f>
        <v>0</v>
      </c>
      <c r="S1224" s="557"/>
      <c r="T1224" s="941"/>
      <c r="U1224" s="196">
        <f>IF($B$1224="Лікар-педіатр",U1227*Z1224,IF($B$1224="Лікар-терапевт","х",IF($B$1224="Лікар загальної практики - сімейний лікар",U1227*Z1224,0)))</f>
        <v>0</v>
      </c>
      <c r="V1224" s="196">
        <f>IF($B$1224="Лікар-педіатр",V1227*Z1224,IF($B$1224="Лікар-терапевт","х",IF($B$1224="Лікар загальної практики - сімейний лікар",V1227*Z1224,0)))</f>
        <v>0</v>
      </c>
      <c r="W1224" s="196">
        <f>IF($B$1224="Лікар-педіатр","x",IF($B$1224="Лікар-терапевт",W1227*Z1224,IF($B$1224="Лікар загальної практики - сімейний лікар",W1227*Z1224,0)))</f>
        <v>0</v>
      </c>
      <c r="X1224" s="196">
        <f>IF($B$1224="Лікар-педіатр","x",IF($B$1224="Лікар-терапевт",X1227*Z1224,IF($B$1224="Лікар загальної практики - сімейний лікар",X1227*Z1224,0)))</f>
        <v>0</v>
      </c>
      <c r="Y1224" s="196">
        <f>IF($B$1224="Лікар-педіатр","x",IF($B$1224="Лікар-терапевт",Y1227*Z1224,IF($B$1224="Лікар загальної практики - сімейний лікар",Y1227*Z1224,0)))</f>
        <v>0</v>
      </c>
      <c r="Z1224" s="557"/>
      <c r="AA1224" s="941"/>
      <c r="AB1224" s="196">
        <f>IF($B$1224="Лікар-педіатр",AB1227*AG1224,IF($B$1224="Лікар-терапевт","х",IF($B$1224="Лікар загальної практики - сімейний лікар",AB1227*AG1224,0)))</f>
        <v>0</v>
      </c>
      <c r="AC1224" s="196">
        <f>IF($B$1224="Лікар-педіатр",AC1227*AG1224,IF($B$1224="Лікар-терапевт","х",IF($B$1224="Лікар загальної практики - сімейний лікар",AC1227*AG1224,0)))</f>
        <v>0</v>
      </c>
      <c r="AD1224" s="196">
        <f>IF($B$1224="Лікар-педіатр","x",IF($B$1224="Лікар-терапевт",AD1227*AG1224,IF($B$1224="Лікар загальної практики - сімейний лікар",AD1227*AG1224,0)))</f>
        <v>0</v>
      </c>
      <c r="AE1224" s="196">
        <f>IF($B$1224="Лікар-педіатр","x",IF($B$1224="Лікар-терапевт",AE1227*AG1224,IF($B$1224="Лікар загальної практики - сімейний лікар",AE1227*AG1224,0)))</f>
        <v>0</v>
      </c>
      <c r="AF1224" s="196">
        <f>IF($B$1224="Лікар-педіатр","x",IF($B$1224="Лікар-терапевт",AF1227*AG1224,IF($B$1224="Лікар загальної практики - сімейний лікар",AF1227*AG1224,0)))</f>
        <v>0</v>
      </c>
      <c r="AG1224" s="557"/>
      <c r="AH1224" s="941"/>
      <c r="AI1224" s="540">
        <f>A1224</f>
        <v>92</v>
      </c>
      <c r="AJ1224" s="944">
        <f>B1224</f>
        <v>0</v>
      </c>
      <c r="AK1224" s="959">
        <f>C1224</f>
        <v>0</v>
      </c>
      <c r="AL1224" s="959">
        <f>D1224</f>
        <v>0</v>
      </c>
      <c r="AM1224" s="929" t="s">
        <v>79</v>
      </c>
      <c r="AN1224" s="947">
        <f>SUM(AN1229:AN1235)</f>
        <v>0</v>
      </c>
      <c r="AO1224" s="947">
        <f>SUM(AO1229:AO1235)</f>
        <v>0</v>
      </c>
      <c r="AP1224" s="947">
        <f>SUM(AP1229:AP1235)</f>
        <v>0</v>
      </c>
      <c r="AQ1224" s="947">
        <f>SUM(AQ1229:AQ1235)</f>
        <v>0</v>
      </c>
      <c r="AR1224" s="962">
        <f>SUM(AN1224:AQ1228)</f>
        <v>0</v>
      </c>
    </row>
    <row r="1225" spans="1:44" s="50" customFormat="1" ht="28.15" hidden="1" customHeight="1">
      <c r="A1225" s="197"/>
      <c r="B1225" s="951"/>
      <c r="C1225" s="954"/>
      <c r="D1225" s="957"/>
      <c r="E1225" s="939"/>
      <c r="F1225" s="234" t="s">
        <v>660</v>
      </c>
      <c r="G1225" s="196">
        <f>IF($B$1224="Лікар-педіатр",G1227*L1225,IF($B$1224="Лікар-терапевт","х",IF($B$1224="Лікар загальної практики - сімейний лікар",G1227*L1225,0)))</f>
        <v>0</v>
      </c>
      <c r="H1225" s="196">
        <f>IF($B$1224="Лікар-педіатр",H1227*L1225,IF($B$1224="Лікар-терапевт","х",IF($B$1224="Лікар загальної практики - сімейний лікар",H1227*L1225,0)))</f>
        <v>0</v>
      </c>
      <c r="I1225" s="196">
        <f>IF($B$1224="Лікар-педіатр","x",IF($B$1224="Лікар-терапевт",I1227*L1225,IF($B$1224="Лікар загальної практики - сімейний лікар",I1227*L1225,0)))</f>
        <v>0</v>
      </c>
      <c r="J1225" s="196">
        <f>IF($B$1224="Лікар-педіатр","x",IF($B$1224="Лікар-терапевт",J1227*L1225,IF($B$1224="Лікар загальної практики - сімейний лікар",J1227*L1225,0)))</f>
        <v>0</v>
      </c>
      <c r="K1225" s="196">
        <f>IF($B$1224="Лікар-педіатр","x",IF($B$1224="Лікар-терапевт",K1227*L1225,IF($B$1224="Лікар загальної практики - сімейний лікар",K1227*L1225,0)))</f>
        <v>0</v>
      </c>
      <c r="L1225" s="557"/>
      <c r="M1225" s="942"/>
      <c r="N1225" s="196">
        <f>IF($B$1224="Лікар-педіатр",N1227*S1225,IF($B$1224="Лікар-терапевт","х",IF($B$1224="Лікар загальної практики - сімейний лікар",N1227*S1225,0)))</f>
        <v>0</v>
      </c>
      <c r="O1225" s="196">
        <f>IF($B$1224="Лікар-педіатр",O1227*S1225,IF($B$1224="Лікар-терапевт","х",IF($B$1224="Лікар загальної практики - сімейний лікар",O1227*S1225,0)))</f>
        <v>0</v>
      </c>
      <c r="P1225" s="196">
        <f>IF($B$1224="Лікар-педіатр","x",IF($B$1224="Лікар-терапевт",P1227*S1225,IF($B$1224="Лікар загальної практики - сімейний лікар",P1227*S1225,0)))</f>
        <v>0</v>
      </c>
      <c r="Q1225" s="196">
        <f>IF($B$1224="Лікар-педіатр","x",IF($B$1224="Лікар-терапевт",Q1227*S1225,IF($B$1224="Лікар загальної практики - сімейний лікар",Q1227*S1225,0)))</f>
        <v>0</v>
      </c>
      <c r="R1225" s="196">
        <f>IF($B$1224="Лікар-педіатр","x",IF($B$1224="Лікар-терапевт",R1227*S1225,IF($B$1224="Лікар загальної практики - сімейний лікар",R1227*S1225,0)))</f>
        <v>0</v>
      </c>
      <c r="S1225" s="557"/>
      <c r="T1225" s="942"/>
      <c r="U1225" s="196">
        <f>IF($B$1224="Лікар-педіатр",U1227*Z1225,IF($B$1224="Лікар-терапевт","х",IF($B$1224="Лікар загальної практики - сімейний лікар",U1227*Z1225,0)))</f>
        <v>0</v>
      </c>
      <c r="V1225" s="196">
        <f>IF($B$1224="Лікар-педіатр",V1227*Z1225,IF($B$1224="Лікар-терапевт","х",IF($B$1224="Лікар загальної практики - сімейний лікар",V1227*Z1225,0)))</f>
        <v>0</v>
      </c>
      <c r="W1225" s="196">
        <f>IF($B$1224="Лікар-педіатр","x",IF($B$1224="Лікар-терапевт",W1227*Z1225,IF($B$1224="Лікар загальної практики - сімейний лікар",W1227*Z1225,0)))</f>
        <v>0</v>
      </c>
      <c r="X1225" s="196">
        <f>IF($B$1224="Лікар-педіатр","x",IF($B$1224="Лікар-терапевт",X1227*Z1225,IF($B$1224="Лікар загальної практики - сімейний лікар",X1227*Z1225,0)))</f>
        <v>0</v>
      </c>
      <c r="Y1225" s="196">
        <f>IF($B$1224="Лікар-педіатр","x",IF($B$1224="Лікар-терапевт",Y1227*Z1225,IF($B$1224="Лікар загальної практики - сімейний лікар",Y1227*Z1225,0)))</f>
        <v>0</v>
      </c>
      <c r="Z1225" s="557"/>
      <c r="AA1225" s="942"/>
      <c r="AB1225" s="196">
        <f>IF($B$1224="Лікар-педіатр",AB1227*AG1225,IF($B$1224="Лікар-терапевт","х",IF($B$1224="Лікар загальної практики - сімейний лікар",AB1227*AG1225,0)))</f>
        <v>0</v>
      </c>
      <c r="AC1225" s="196">
        <f>IF($B$1224="Лікар-педіатр",AC1227*AG1225,IF($B$1224="Лікар-терапевт","х",IF($B$1224="Лікар загальної практики - сімейний лікар",AC1227*AG1225,0)))</f>
        <v>0</v>
      </c>
      <c r="AD1225" s="196">
        <f>IF($B$1224="Лікар-педіатр","x",IF($B$1224="Лікар-терапевт",AD1227*AG1225,IF($B$1224="Лікар загальної практики - сімейний лікар",AD1227*AG1225,0)))</f>
        <v>0</v>
      </c>
      <c r="AE1225" s="196">
        <f>IF($B$1224="Лікар-педіатр","x",IF($B$1224="Лікар-терапевт",AE1227*AG1225,IF($B$1224="Лікар загальної практики - сімейний лікар",AE1227*AG1225,0)))</f>
        <v>0</v>
      </c>
      <c r="AF1225" s="196">
        <f>IF($B$1224="Лікар-педіатр","x",IF($B$1224="Лікар-терапевт",AF1227*AG1225,IF($B$1224="Лікар загальної практики - сімейний лікар",AF1227*AG1225,0)))</f>
        <v>0</v>
      </c>
      <c r="AG1225" s="557"/>
      <c r="AH1225" s="942"/>
      <c r="AI1225" s="198"/>
      <c r="AJ1225" s="945"/>
      <c r="AK1225" s="960"/>
      <c r="AL1225" s="960"/>
      <c r="AM1225" s="930"/>
      <c r="AN1225" s="948"/>
      <c r="AO1225" s="948"/>
      <c r="AP1225" s="948"/>
      <c r="AQ1225" s="948"/>
      <c r="AR1225" s="963"/>
    </row>
    <row r="1226" spans="1:44" s="90" customFormat="1" ht="31.15" hidden="1" customHeight="1">
      <c r="A1226" s="240"/>
      <c r="B1226" s="951"/>
      <c r="C1226" s="954"/>
      <c r="D1226" s="957"/>
      <c r="E1226" s="939"/>
      <c r="F1226" s="241" t="s">
        <v>661</v>
      </c>
      <c r="G1226" s="199">
        <f>IF(B1224="Лікар загальної практики - сімейний лікар"," ",IF(B1224="Лікар-педіатр"," ",IF(B1224="Лікар-терапевт","х",0)))</f>
        <v>0</v>
      </c>
      <c r="H1226" s="199">
        <f>IF(B1224="Лікар загальної практики - сімейний лікар"," ",IF(B1224="Лікар-педіатр"," ",IF(B1224="Лікар-терапевт","х",0)))</f>
        <v>0</v>
      </c>
      <c r="I1226" s="199">
        <f>IF(B1224="Лікар загальної практики - сімейний лікар"," ",IF(B1224="Лікар-педіатр","х",IF(B1224="Лікар-терапевт"," ",0)))</f>
        <v>0</v>
      </c>
      <c r="J1226" s="199">
        <f>IF(B1224="Лікар загальної практики - сімейний лікар"," ",IF(B1224="Лікар-педіатр","х",IF(B1224="Лікар-терапевт"," ",0)))</f>
        <v>0</v>
      </c>
      <c r="K1226" s="199">
        <f>IF(B1224="Лікар загальної практики - сімейний лікар"," ",IF(B1224="Лікар-педіатр","х",IF(B1224="Лікар-терапевт"," ",0)))</f>
        <v>0</v>
      </c>
      <c r="L1226" s="200">
        <f>SUM(G1226:K1226)</f>
        <v>0</v>
      </c>
      <c r="M1226" s="942"/>
      <c r="N1226" s="199">
        <f>IF(B1224="Лікар загальної практики - сімейний лікар"," ",IF(B1224="Лікар-педіатр"," ",IF(B1224="Лікар-терапевт","х",0)))</f>
        <v>0</v>
      </c>
      <c r="O1226" s="199">
        <f>IF(B1224="Лікар загальної практики - сімейний лікар"," ",IF(B1224="Лікар-педіатр"," ",IF(B1224="Лікар-терапевт","х",0)))</f>
        <v>0</v>
      </c>
      <c r="P1226" s="199">
        <f>IF(B1224="Лікар загальної практики - сімейний лікар"," ",IF(B1224="Лікар-педіатр","х",IF(B1224="Лікар-терапевт"," ",0)))</f>
        <v>0</v>
      </c>
      <c r="Q1226" s="199">
        <f>IF(B1224="Лікар загальної практики - сімейний лікар"," ",IF(B1224="Лікар-педіатр","х",IF(B1224="Лікар-терапевт"," ",0)))</f>
        <v>0</v>
      </c>
      <c r="R1226" s="199">
        <f>IF(B1224="Лікар загальної практики - сімейний лікар"," ",IF(B1224="Лікар-педіатр","х",IF(B1224="Лікар-терапевт"," ",0)))</f>
        <v>0</v>
      </c>
      <c r="S1226" s="200">
        <f>SUM(N1226:R1226)</f>
        <v>0</v>
      </c>
      <c r="T1226" s="942"/>
      <c r="U1226" s="199">
        <f>IF(B1224="Лікар загальної практики - сімейний лікар"," ",IF(B1224="Лікар-педіатр"," ",IF(B1224="Лікар-терапевт","х",0)))</f>
        <v>0</v>
      </c>
      <c r="V1226" s="199">
        <f>IF(B1224="Лікар загальної практики - сімейний лікар"," ",IF(B1224="Лікар-педіатр"," ",IF(B1224="Лікар-терапевт","х",0)))</f>
        <v>0</v>
      </c>
      <c r="W1226" s="199">
        <f>IF(B1224="Лікар загальної практики - сімейний лікар"," ",IF(B1224="Лікар-педіатр","х",IF(B1224="Лікар-терапевт"," ",0)))</f>
        <v>0</v>
      </c>
      <c r="X1226" s="199">
        <f>IF(B1224="Лікар загальної практики - сімейний лікар"," ",IF(B1224="Лікар-педіатр","х",IF(B1224="Лікар-терапевт"," ",0)))</f>
        <v>0</v>
      </c>
      <c r="Y1226" s="199">
        <f>IF(B1224="Лікар загальної практики - сімейний лікар"," ",IF(B1224="Лікар-педіатр","х",IF(B1224="Лікар-терапевт"," ",0)))</f>
        <v>0</v>
      </c>
      <c r="Z1226" s="200">
        <f>SUM(U1226:Y1226)</f>
        <v>0</v>
      </c>
      <c r="AA1226" s="942"/>
      <c r="AB1226" s="199">
        <f>IF(B1224="Лікар загальної практики - сімейний лікар"," ",IF(B1224="Лікар-педіатр"," ",IF(B1224="Лікар-терапевт","х",0)))</f>
        <v>0</v>
      </c>
      <c r="AC1226" s="199">
        <f>IF(B1224="Лікар загальної практики - сімейний лікар"," ",IF(B1224="Лікар-педіатр"," ",IF(B1224="Лікар-терапевт","х",0)))</f>
        <v>0</v>
      </c>
      <c r="AD1226" s="199">
        <f>IF(B1224="Лікар загальної практики - сімейний лікар"," ",IF(B1224="Лікар-педіатр","х",IF(B1224="Лікар-терапевт"," ",0)))</f>
        <v>0</v>
      </c>
      <c r="AE1226" s="199">
        <f>IF(B1224="Лікар загальної практики - сімейний лікар"," ",IF(B1224="Лікар-педіатр","х",IF(B1224="Лікар-терапевт"," ",0)))</f>
        <v>0</v>
      </c>
      <c r="AF1226" s="199">
        <f>IF(B1224="Лікар загальної практики - сімейний лікар"," ",IF(B1224="Лікар-педіатр","х",IF(B1224="Лікар-терапевт"," ",0)))</f>
        <v>0</v>
      </c>
      <c r="AG1226" s="200">
        <f>SUM(AB1226:AF1226)</f>
        <v>0</v>
      </c>
      <c r="AH1226" s="942"/>
      <c r="AI1226" s="242"/>
      <c r="AJ1226" s="945"/>
      <c r="AK1226" s="960"/>
      <c r="AL1226" s="960"/>
      <c r="AM1226" s="930"/>
      <c r="AN1226" s="948"/>
      <c r="AO1226" s="948"/>
      <c r="AP1226" s="948"/>
      <c r="AQ1226" s="948"/>
      <c r="AR1226" s="963"/>
    </row>
    <row r="1227" spans="1:44" s="50" customFormat="1" ht="31.9" hidden="1" customHeight="1" thickBot="1">
      <c r="A1227" s="197"/>
      <c r="B1227" s="951"/>
      <c r="C1227" s="954"/>
      <c r="D1227" s="957"/>
      <c r="E1227" s="939"/>
      <c r="F1227" s="236" t="s">
        <v>426</v>
      </c>
      <c r="G1227" s="203">
        <f>IF($B$1224="Лікар-педіатр",G1226/L1226,IF($B$1224="Лікар-терапевт","х",IF($B$1224="Лікар загальної практики - сімейний лікар",G1226/L1226,0)))</f>
        <v>0</v>
      </c>
      <c r="H1227" s="203">
        <f>IF($B$1224="Лікар-педіатр",H1226/L1226,IF($B$1224="Лікар-терапевт","х",IF($B$1224="Лікар загальної практики - сімейний лікар",H1226/L1226,0)))</f>
        <v>0</v>
      </c>
      <c r="I1227" s="203">
        <f>IF($B$1224="Лікар-педіатр","x",IF($B$1224="Лікар-терапевт",I1226/L1226,IF($B$1224="Лікар загальної практики - сімейний лікар",I1226/L1226,0)))</f>
        <v>0</v>
      </c>
      <c r="J1227" s="203">
        <f>IF($B$1224="Лікар-педіатр","x",IF($B$1224="Лікар-терапевт",J1226/L1226,IF($B$1224="Лікар загальної практики - сімейний лікар",J1226/L1226,0)))</f>
        <v>0</v>
      </c>
      <c r="K1227" s="203">
        <f>IF($B$1224="Лікар-педіатр","x",IF($B$1224="Лікар-терапевт",K1226/L1226,IF($B$1224="Лікар загальної практики - сімейний лікар",K1226/L1226,0)))</f>
        <v>0</v>
      </c>
      <c r="L1227" s="203">
        <f>SUM(G1227:K1227)</f>
        <v>0</v>
      </c>
      <c r="M1227" s="942"/>
      <c r="N1227" s="203">
        <f>IF($B$1224="Лікар-педіатр",N1226/S1226,IF($B$1224="Лікар-терапевт","х",IF($B$1224="Лікар загальної практики - сімейний лікар",N1226/S1226,0)))</f>
        <v>0</v>
      </c>
      <c r="O1227" s="203">
        <f>IF($B$1224="Лікар-педіатр",O1226/S1226,IF($B$1224="Лікар-терапевт","х",IF($B$1224="Лікар загальної практики - сімейний лікар",O1226/S1226,0)))</f>
        <v>0</v>
      </c>
      <c r="P1227" s="203">
        <f>IF($B$1224="Лікар-педіатр","x",IF($B$1224="Лікар-терапевт",P1226/S1226,IF($B$1224="Лікар загальної практики - сімейний лікар",P1226/S1226,0)))</f>
        <v>0</v>
      </c>
      <c r="Q1227" s="203">
        <f>IF($B$1224="Лікар-педіатр","x",IF($B$1224="Лікар-терапевт",Q1226/S1226,IF($B$1224="Лікар загальної практики - сімейний лікар",Q1226/S1226,0)))</f>
        <v>0</v>
      </c>
      <c r="R1227" s="203">
        <f>IF($B$1224="Лікар-педіатр","x",IF($B$1224="Лікар-терапевт",R1226/S1226,IF($B$1224="Лікар загальної практики - сімейний лікар",R1226/S1226,0)))</f>
        <v>0</v>
      </c>
      <c r="S1227" s="203">
        <f>SUM(N1227:R1227)</f>
        <v>0</v>
      </c>
      <c r="T1227" s="942"/>
      <c r="U1227" s="203">
        <f>IF($B$1224="Лікар-педіатр",U1226/Z1226,IF($B$1224="Лікар-терапевт","х",IF($B$1224="Лікар загальної практики - сімейний лікар",U1226/Z1226,0)))</f>
        <v>0</v>
      </c>
      <c r="V1227" s="203">
        <f>IF($B$1224="Лікар-педіатр",V1226/Z1226,IF($B$1224="Лікар-терапевт","х",IF($B$1224="Лікар загальної практики - сімейний лікар",V1226/Z1226,0)))</f>
        <v>0</v>
      </c>
      <c r="W1227" s="203">
        <f>IF($B$1224="Лікар-педіатр","x",IF($B$1224="Лікар-терапевт",W1226/Z1226,IF($B$1224="Лікар загальної практики - сімейний лікар",W1226/Z1226,0)))</f>
        <v>0</v>
      </c>
      <c r="X1227" s="203">
        <f>IF($B$1224="Лікар-педіатр","x",IF($B$1224="Лікар-терапевт",X1226/Z1226,IF($B$1224="Лікар загальної практики - сімейний лікар",X1226/Z1226,0)))</f>
        <v>0</v>
      </c>
      <c r="Y1227" s="203">
        <f>IF($B$1224="Лікар-педіатр","x",IF($B$1224="Лікар-терапевт",Y1226/Z1226,IF($B$1224="Лікар загальної практики - сімейний лікар",Y1226/Z1226,0)))</f>
        <v>0</v>
      </c>
      <c r="Z1227" s="203">
        <f>SUM(U1227:Y1227)</f>
        <v>0</v>
      </c>
      <c r="AA1227" s="942"/>
      <c r="AB1227" s="203">
        <f>IF($B$1224="Лікар-педіатр",AB1226/AG1226,IF($B$1224="Лікар-терапевт","х",IF($B$1224="Лікар загальної практики - сімейний лікар",AB1226/AG1226,0)))</f>
        <v>0</v>
      </c>
      <c r="AC1227" s="203">
        <f>IF($B$1224="Лікар-педіатр",AC1226/AG1226,IF($B$1224="Лікар-терапевт","х",IF($B$1224="Лікар загальної практики - сімейний лікар",AC1226/AG1226,0)))</f>
        <v>0</v>
      </c>
      <c r="AD1227" s="203">
        <f>IF($B$1224="Лікар-педіатр","x",IF($B$1224="Лікар-терапевт",AD1226/AG1226,IF($B$1224="Лікар загальної практики - сімейний лікар",AD1226/AG1226,0)))</f>
        <v>0</v>
      </c>
      <c r="AE1227" s="203">
        <f>IF($B$1224="Лікар-педіатр","x",IF($B$1224="Лікар-терапевт",AE1226/AG1226,IF($B$1224="Лікар загальної практики - сімейний лікар",AE1226/AG1226,0)))</f>
        <v>0</v>
      </c>
      <c r="AF1227" s="203">
        <f>IF($B$1224="Лікар-педіатр","x",IF($B$1224="Лікар-терапевт",AF1226/AG1226,IF($B$1224="Лікар загальної практики - сімейний лікар",AF1226/AG1226,0)))</f>
        <v>0</v>
      </c>
      <c r="AG1227" s="203">
        <f>SUM(AB1227:AF1227)</f>
        <v>0</v>
      </c>
      <c r="AH1227" s="942"/>
      <c r="AI1227" s="201"/>
      <c r="AJ1227" s="945"/>
      <c r="AK1227" s="960"/>
      <c r="AL1227" s="960"/>
      <c r="AM1227" s="930"/>
      <c r="AN1227" s="948"/>
      <c r="AO1227" s="948"/>
      <c r="AP1227" s="948"/>
      <c r="AQ1227" s="948"/>
      <c r="AR1227" s="963"/>
    </row>
    <row r="1228" spans="1:44" s="50" customFormat="1" ht="45" hidden="1" customHeight="1" thickBot="1">
      <c r="A1228" s="197"/>
      <c r="B1228" s="951"/>
      <c r="C1228" s="954"/>
      <c r="D1228" s="957"/>
      <c r="E1228" s="939"/>
      <c r="F1228" s="204" t="s">
        <v>662</v>
      </c>
      <c r="G1228" s="205">
        <f>IF($B$1224="Лікар загальної практики - сімейний лікар",AVERAGE(G1224:G1226),IF($B$1224="Лікар-педіатр",AVERAGE(G1224:G1226),IF($B$1224="Лікар-терапевт","х",0)))</f>
        <v>0</v>
      </c>
      <c r="H1228" s="205">
        <f>IF($B$1224="Лікар загальної практики - сімейний лікар",AVERAGE(H1224:H1226),IF($B$1224="Лікар-педіатр",AVERAGE(H1224:H1226),IF($B$1224="Лікар-терапевт","х",0)))</f>
        <v>0</v>
      </c>
      <c r="I1228" s="205">
        <f>IF($B$1224="Лікар загальної практики - сімейний лікар",AVERAGE(I1224:I1226),IF($B$1224="Лікар-педіатр","x",IF($B$1224="Лікар-терапевт",AVERAGE(I1224:I1226),0)))</f>
        <v>0</v>
      </c>
      <c r="J1228" s="205">
        <f>IF($B$1224="Лікар загальної практики - сімейний лікар",AVERAGE(J1224:J1226),IF($B$1224="Лікар-педіатр","x",IF($B$1224="Лікар-терапевт",AVERAGE(J1224:J1226),0)))</f>
        <v>0</v>
      </c>
      <c r="K1228" s="205">
        <f>IF($B$1224="Лікар загальної практики - сімейний лікар",AVERAGE(K1224:K1226),IF($B$1224="Лікар-педіатр","x",IF($B$1224="Лікар-терапевт",AVERAGE(K1224:K1226),0)))</f>
        <v>0</v>
      </c>
      <c r="L1228" s="206">
        <f>SUM(G1228:K1228)</f>
        <v>0</v>
      </c>
      <c r="M1228" s="942"/>
      <c r="N1228" s="205">
        <f>IF($B$1224="Лікар загальної практики - сімейний лікар",AVERAGE(N1224:N1226),IF($B$1224="Лікар-педіатр",AVERAGE(N1224:N1226),IF($B$1224="Лікар-терапевт","х",0)))</f>
        <v>0</v>
      </c>
      <c r="O1228" s="205">
        <f>IF($B$1224="Лікар загальної практики - сімейний лікар",AVERAGE(O1224:O1226),IF($B$1224="Лікар-педіатр",AVERAGE(O1224:O1226),IF($B$1224="Лікар-терапевт","х",0)))</f>
        <v>0</v>
      </c>
      <c r="P1228" s="205">
        <f>IF($B$1224="Лікар загальної практики - сімейний лікар",AVERAGE(P1224:P1226),IF($B$1224="Лікар-педіатр","x",IF($B$1224="Лікар-терапевт",AVERAGE(P1224:P1226),0)))</f>
        <v>0</v>
      </c>
      <c r="Q1228" s="205">
        <f>IF($B$1224="Лікар загальної практики - сімейний лікар",AVERAGE(Q1224:Q1226),IF($B$1224="Лікар-педіатр","x",IF($B$1224="Лікар-терапевт",AVERAGE(Q1224:Q1226),0)))</f>
        <v>0</v>
      </c>
      <c r="R1228" s="205">
        <f>IF($B$1224="Лікар загальної практики - сімейний лікар",AVERAGE(R1224:R1226),IF($B$1224="Лікар-педіатр","x",IF($B$1224="Лікар-терапевт",AVERAGE(R1224:R1226),0)))</f>
        <v>0</v>
      </c>
      <c r="S1228" s="206">
        <f>SUM(N1228:R1228)</f>
        <v>0</v>
      </c>
      <c r="T1228" s="942"/>
      <c r="U1228" s="205">
        <f>IF($B$1224="Лікар загальної практики - сімейний лікар",AVERAGE(U1224:U1226),IF($B$1224="Лікар-педіатр",AVERAGE(U1224:U1226),IF($B$1224="Лікар-терапевт","х",0)))</f>
        <v>0</v>
      </c>
      <c r="V1228" s="205">
        <f>IF($B$1224="Лікар загальної практики - сімейний лікар",AVERAGE(V1224:V1226),IF($B$1224="Лікар-педіатр",AVERAGE(V1224:V1226),IF($B$1224="Лікар-терапевт","х",0)))</f>
        <v>0</v>
      </c>
      <c r="W1228" s="205">
        <f>IF($B$1224="Лікар загальної практики - сімейний лікар",AVERAGE(W1224:W1226),IF($B$1224="Лікар-педіатр","x",IF($B$1224="Лікар-терапевт",AVERAGE(W1224:W1226),0)))</f>
        <v>0</v>
      </c>
      <c r="X1228" s="205">
        <f>IF($B$1224="Лікар загальної практики - сімейний лікар",AVERAGE(X1224:X1226),IF($B$1224="Лікар-педіатр","x",IF($B$1224="Лікар-терапевт",AVERAGE(X1224:X1226),0)))</f>
        <v>0</v>
      </c>
      <c r="Y1228" s="205">
        <f>IF($B$1224="Лікар загальної практики - сімейний лікар",AVERAGE(Y1224:Y1226),IF($B$1224="Лікар-педіатр","x",IF($B$1224="Лікар-терапевт",AVERAGE(Y1224:Y1226),0)))</f>
        <v>0</v>
      </c>
      <c r="Z1228" s="206">
        <f>SUM(U1228:Y1228)</f>
        <v>0</v>
      </c>
      <c r="AA1228" s="942"/>
      <c r="AB1228" s="205">
        <f>IF($B$1224="Лікар загальної практики - сімейний лікар",AVERAGE(AB1224:AB1226),IF($B$1224="Лікар-педіатр",AVERAGE(AB1224:AB1226),IF($B$1224="Лікар-терапевт","х",0)))</f>
        <v>0</v>
      </c>
      <c r="AC1228" s="205">
        <f>IF($B$1224="Лікар загальної практики - сімейний лікар",AVERAGE(AC1224:AC1226),IF($B$1224="Лікар-педіатр",AVERAGE(AC1224:AC1226),IF($B$1224="Лікар-терапевт","х",0)))</f>
        <v>0</v>
      </c>
      <c r="AD1228" s="205">
        <f>IF($B$1224="Лікар загальної практики - сімейний лікар",AVERAGE(AD1224:AD1226),IF($B$1224="Лікар-педіатр","x",IF($B$1224="Лікар-терапевт",AVERAGE(AD1224:AD1226),0)))</f>
        <v>0</v>
      </c>
      <c r="AE1228" s="205">
        <f>IF($B$1224="Лікар загальної практики - сімейний лікар",AVERAGE(AE1224:AE1226),IF($B$1224="Лікар-педіатр","x",IF($B$1224="Лікар-терапевт",AVERAGE(AE1224:AE1226),0)))</f>
        <v>0</v>
      </c>
      <c r="AF1228" s="205">
        <f>IF($B$1224="Лікар загальної практики - сімейний лікар",AVERAGE(AF1224:AF1226),IF($B$1224="Лікар-педіатр","x",IF($B$1224="Лікар-терапевт",AVERAGE(AF1224:AF1226),0)))</f>
        <v>0</v>
      </c>
      <c r="AG1228" s="206">
        <f>SUM(AB1228:AF1228)</f>
        <v>0</v>
      </c>
      <c r="AH1228" s="942"/>
      <c r="AI1228" s="201"/>
      <c r="AJ1228" s="945"/>
      <c r="AK1228" s="960"/>
      <c r="AL1228" s="960"/>
      <c r="AM1228" s="931"/>
      <c r="AN1228" s="949"/>
      <c r="AO1228" s="949"/>
      <c r="AP1228" s="949"/>
      <c r="AQ1228" s="949"/>
      <c r="AR1228" s="964"/>
    </row>
    <row r="1229" spans="1:44" s="50" customFormat="1" ht="40.5" hidden="1">
      <c r="A1229" s="197"/>
      <c r="B1229" s="951"/>
      <c r="C1229" s="954"/>
      <c r="D1229" s="957"/>
      <c r="E1229" s="939"/>
      <c r="F1229" s="237" t="str">
        <f ca="1">IF(B1224="Лікар-педіатр",Законод!$C$17,IF(B1224="Лікар загальної практики - сімейний лікар",Законод!$C$21,IF(B1224="Лікар-терапевт",Законод!$C$25,"х")))</f>
        <v>х</v>
      </c>
      <c r="G1229" s="208">
        <f ca="1">IF($B$1224="Лікар загальної практики - сімейний лікар",IF(L1228&lt;=Законод!$C$22,G1228,Законод!$C$22*'01_Доходи'!G1227),IF($B$1224="Лікар-педіатр",IF(L1228&lt;=Законод!$C$18,G1228,Законод!$C$18*'01_Доходи'!G1227),IF($B$1224="Лікар-терапевт","x",0)))</f>
        <v>0</v>
      </c>
      <c r="H1229" s="208">
        <f ca="1">IF($B$1224="Лікар загальної практики - сімейний лікар",IF(L1228&lt;=Законод!$C$22,H1228,Законод!$C$22*'01_Доходи'!H1227),IF($B$1224="Лікар-педіатр",IF(L1228&lt;=Законод!$C$18,H1228,Законод!$C$18*'01_Доходи'!H1227),IF($B$1224="Лікар-терапевт","x",0)))</f>
        <v>0</v>
      </c>
      <c r="I1229" s="208">
        <f ca="1">IF($B$1224="Лікар загальної практики - сімейний лікар",IF(L1228&lt;=Законод!$C$22,I1228,Законод!$C$22*'01_Доходи'!I1227),IF($B$1224="Лікар-педіатр","x",IF($B$1224="Лікар-терапевт",IF(L1228&lt;=Законод!$C$26,I1228,Законод!$C$26*'01_Доходи'!I1227),0)))</f>
        <v>0</v>
      </c>
      <c r="J1229" s="208">
        <f ca="1">IF($B$1224="Лікар загальної практики - сімейний лікар",IF(L1228&lt;=Законод!$C$22,J1228,Законод!$C$22*'01_Доходи'!J1227),IF($B$1224="Лікар-педіатр","x",IF($B$1224="Лікар-терапевт",IF(L1228&lt;=Законод!$C$26,J1228,Законод!$C$26*'01_Доходи'!J1227),0)))</f>
        <v>0</v>
      </c>
      <c r="K1229" s="208">
        <f ca="1">IF($B$1224="Лікар загальної практики - сімейний лікар",IF(L1228&lt;=Законод!$C$22,K1228,Законод!$C$22*'01_Доходи'!K1227),IF($B$1224="Лікар-педіатр","x",IF($B$1224="Лікар-терапевт",IF(L1228&lt;=Законод!$C$26,K1228,Законод!$C$26*'01_Доходи'!K1227),0)))</f>
        <v>0</v>
      </c>
      <c r="L1229" s="209">
        <f ca="1">SUM(G1229:K1229)</f>
        <v>0</v>
      </c>
      <c r="M1229" s="942"/>
      <c r="N1229" s="208">
        <f ca="1">IF($B$1224="Лікар загальної практики - сімейний лікар",IF(S1228&lt;=Законод!$C$22,N1228,Законод!$C$22*'01_Доходи'!N1227),IF($B$1224="Лікар-педіатр",IF(S1228&lt;=Законод!$C$18,N1228,Законод!$C$18*'01_Доходи'!N1227),IF($B$1224="Лікар-терапевт","x",0)))</f>
        <v>0</v>
      </c>
      <c r="O1229" s="208">
        <f ca="1">IF($B$1224="Лікар загальної практики - сімейний лікар",IF(S1228&lt;=Законод!$C$22,O1228,Законод!$C$22*'01_Доходи'!O1227),IF($B$1224="Лікар-педіатр",IF(S1228&lt;=Законод!$C$18,O1228,Законод!$C$18*'01_Доходи'!O1227),IF($B$1224="Лікар-терапевт","x",0)))</f>
        <v>0</v>
      </c>
      <c r="P1229" s="208">
        <f ca="1">IF($B$1224="Лікар загальної практики - сімейний лікар",IF(S1228&lt;=Законод!$C$22,P1228,Законод!$C$22*'01_Доходи'!P1227),IF($B$1224="Лікар-педіатр","x",IF($B$1224="Лікар-терапевт",IF(S1228&lt;=Законод!$C$26,P1228,Законод!$C$26*'01_Доходи'!P1227),0)))</f>
        <v>0</v>
      </c>
      <c r="Q1229" s="208">
        <f ca="1">IF($B$1224="Лікар загальної практики - сімейний лікар",IF(S1228&lt;=Законод!$C$22,Q1228,Законод!$C$22*'01_Доходи'!Q1227),IF($B$1224="Лікар-педіатр","x",IF($B$1224="Лікар-терапевт",IF(S1228&lt;=Законод!$C$26,Q1228,Законод!$C$26*'01_Доходи'!Q1227),0)))</f>
        <v>0</v>
      </c>
      <c r="R1229" s="208">
        <f ca="1">IF($B$1224="Лікар загальної практики - сімейний лікар",IF(S1228&lt;=Законод!$C$22,R1228,Законод!$C$22*'01_Доходи'!R1227),IF($B$1224="Лікар-педіатр","x",IF($B$1224="Лікар-терапевт",IF(S1228&lt;=Законод!$C$26,R1228,Законод!$C$26*'01_Доходи'!R1227),0)))</f>
        <v>0</v>
      </c>
      <c r="S1229" s="209">
        <f ca="1">SUM(N1229:R1229)</f>
        <v>0</v>
      </c>
      <c r="T1229" s="942"/>
      <c r="U1229" s="208">
        <f ca="1">IF($B$1224="Лікар загальної практики - сімейний лікар",IF(Z1228&lt;=Законод!$C$22,U1228,Законод!$C$22*'01_Доходи'!U1227),IF($B$1224="Лікар-педіатр",IF(Z1228&lt;=Законод!$C$18,U1228,Законод!$C$18*'01_Доходи'!U1227),IF($B$1224="Лікар-терапевт","x",0)))</f>
        <v>0</v>
      </c>
      <c r="V1229" s="208">
        <f ca="1">IF($B$1224="Лікар загальної практики - сімейний лікар",IF(Z1228&lt;=Законод!$C$22,V1228,Законод!$C$22*'01_Доходи'!V1227),IF($B$1224="Лікар-педіатр",IF(Z1228&lt;=Законод!$C$18,V1228,Законод!$C$18*'01_Доходи'!V1227),IF($B$1224="Лікар-терапевт","x",0)))</f>
        <v>0</v>
      </c>
      <c r="W1229" s="208">
        <f ca="1">IF($B$1224="Лікар загальної практики - сімейний лікар",IF(Z1228&lt;=Законод!$C$22,W1228,Законод!$C$22*'01_Доходи'!W1227),IF($B$1224="Лікар-педіатр","x",IF($B$1224="Лікар-терапевт",IF(Z1228&lt;=Законод!$C$26,W1228,Законод!$C$26*'01_Доходи'!W1227),0)))</f>
        <v>0</v>
      </c>
      <c r="X1229" s="208">
        <f ca="1">IF($B$1224="Лікар загальної практики - сімейний лікар",IF(Z1228&lt;=Законод!$C$22,X1228,Законод!$C$22*'01_Доходи'!X1227),IF($B$1224="Лікар-педіатр","x",IF($B$1224="Лікар-терапевт",IF(Z1228&lt;=Законод!$C$26,X1228,Законод!$C$26*'01_Доходи'!X1227),0)))</f>
        <v>0</v>
      </c>
      <c r="Y1229" s="208">
        <f ca="1">IF($B$1224="Лікар загальної практики - сімейний лікар",IF(Z1228&lt;=Законод!$C$22,Y1228,Законод!$C$22*'01_Доходи'!Y1227),IF($B$1224="Лікар-педіатр","x",IF($B$1224="Лікар-терапевт",IF(Z1228&lt;=Законод!$C$26,Y1228,Законод!$C$26*'01_Доходи'!Y1227),0)))</f>
        <v>0</v>
      </c>
      <c r="Z1229" s="209">
        <f ca="1">SUM(U1229:Y1229)</f>
        <v>0</v>
      </c>
      <c r="AA1229" s="942"/>
      <c r="AB1229" s="208">
        <f ca="1">IF($B$1224="Лікар загальної практики - сімейний лікар",IF(AG1228&lt;=Законод!$C$22,AB1228,Законод!$C$22*'01_Доходи'!AB1227),IF($B$1224="Лікар-педіатр",IF(AG1228&lt;=Законод!$C$18,AB1228,Законод!$C$18*'01_Доходи'!AB1227),IF($B$1224="Лікар-терапевт","x",0)))</f>
        <v>0</v>
      </c>
      <c r="AC1229" s="208">
        <f ca="1">IF($B$1224="Лікар загальної практики - сімейний лікар",IF(AG1228&lt;=Законод!$C$22,AC1228,Законод!$C$22*'01_Доходи'!AC1227),IF($B$1224="Лікар-педіатр",IF(AG1228&lt;=Законод!$C$18,AC1228,Законод!$C$18*'01_Доходи'!AC1227),IF($B$1224="Лікар-терапевт","x",0)))</f>
        <v>0</v>
      </c>
      <c r="AD1229" s="208">
        <f ca="1">IF($B$1224="Лікар загальної практики - сімейний лікар",IF(AG1228&lt;=Законод!$C$22,AD1228,Законод!$C$22*'01_Доходи'!AD1227),IF($B$1224="Лікар-педіатр","x",IF($B$1224="Лікар-терапевт",IF(AG1228&lt;=Законод!$C$26,AD1228,Законод!$C$26*'01_Доходи'!AD1227),0)))</f>
        <v>0</v>
      </c>
      <c r="AE1229" s="208">
        <f ca="1">IF($B$1224="Лікар загальної практики - сімейний лікар",IF(AG1228&lt;=Законод!$C$22,AE1228,Законод!$C$22*'01_Доходи'!AE1227),IF($B$1224="Лікар-педіатр","x",IF($B$1224="Лікар-терапевт",IF(AG1228&lt;=Законод!$C$26,AE1228,Законод!$C$26*'01_Доходи'!AE1227),0)))</f>
        <v>0</v>
      </c>
      <c r="AF1229" s="208">
        <f ca="1">IF($B$1224="Лікар загальної практики - сімейний лікар",IF(AG1228&lt;=Законод!$C$22,AF1228,Законод!$C$22*'01_Доходи'!AF1227),IF($B$1224="Лікар-педіатр","x",IF($B$1224="Лікар-терапевт",IF(AG1228&lt;=Законод!$C$26,AF1228,Законод!$C$26*'01_Доходи'!AF1227),0)))</f>
        <v>0</v>
      </c>
      <c r="AG1229" s="209">
        <f ca="1">SUM(AB1229:AF1229)</f>
        <v>0</v>
      </c>
      <c r="AH1229" s="942"/>
      <c r="AI1229" s="201"/>
      <c r="AJ1229" s="945"/>
      <c r="AK1229" s="960"/>
      <c r="AL1229" s="960"/>
      <c r="AM1229" s="348" t="s">
        <v>451</v>
      </c>
      <c r="AN1229" s="210">
        <f ca="1">IF(B1224="Лікар загальної практики - сімейний лікар",G1229*Законод!$C$11+'01_Доходи'!H1229*Законод!$D$11+'01_Доходи'!I1229*Законод!$E$11+'01_Доходи'!J1229*Законод!$F$11+'01_Доходи'!K1229*Законод!$G$11,IF(B1224="Лікар-педіатр",G1229*Законод!$C$11+'01_Доходи'!H1229*Законод!$D$11,IF(B1224="Лікар-терапевт",'01_Доходи'!I1229*Законод!$E$11+'01_Доходи'!J1229*Законод!$F$11+'01_Доходи'!K1229*Законод!$G$11,0)))</f>
        <v>0</v>
      </c>
      <c r="AO1229" s="210">
        <f ca="1">IF(B1224="Лікар загальної практики - сімейний лікар",N1229*Законод!$C$11+'01_Доходи'!O1229*Законод!$D$11+'01_Доходи'!P1229*Законод!$E$11+'01_Доходи'!Q1229*Законод!$F$11+'01_Доходи'!R1229*Законод!$G$11,IF(B1224="Лікар-педіатр",N1229*Законод!$C$11+'01_Доходи'!O1229*Законод!$D$11,IF(B1224="Лікар-терапевт",'01_Доходи'!P1229*Законод!$E$11+'01_Доходи'!Q1229*Законод!$F$11+'01_Доходи'!R1229*Законод!$G$11,0)))</f>
        <v>0</v>
      </c>
      <c r="AP1229" s="210">
        <f ca="1">IF(B1224="Лікар загальної практики - сімейний лікар",U1229*Законод!$C$11+'01_Доходи'!V1229*Законод!$D$11+'01_Доходи'!W1229*Законод!$E$11+'01_Доходи'!X1229*Законод!$F$11+'01_Доходи'!Y1229*Законод!$G$11,IF(B1224="Лікар-педіатр",U1229*Законод!$C$11+'01_Доходи'!V1229*Законод!$D$11,IF(B1224="Лікар-терапевт",'01_Доходи'!W1229*Законод!$E$11+'01_Доходи'!X1229*Законод!$F$11+'01_Доходи'!Y1229*Законод!$G$11,0)))</f>
        <v>0</v>
      </c>
      <c r="AQ1229" s="210">
        <f ca="1">IF(B1224="Лікар загальної практики - сімейний лікар",AB1229*Законод!$C$11+'01_Доходи'!AC1229*Законод!$D$11+'01_Доходи'!AD1229*Законод!$E$11+'01_Доходи'!AE1229*Законод!$F$11+'01_Доходи'!AF1229*Законод!$G$11,IF(B1224="Лікар-педіатр",AB1229*Законод!$C$11+'01_Доходи'!AC1229*Законод!$D$11,IF(B1224="Лікар-терапевт",'01_Доходи'!AD1229*Законод!$E$11+'01_Доходи'!AE1229*Законод!$F$11+'01_Доходи'!AF1229*Законод!$G$11,0)))</f>
        <v>0</v>
      </c>
      <c r="AR1229" s="211">
        <f t="shared" ref="AR1229:AR1235" si="134">SUM(AN1229:AQ1229)</f>
        <v>0</v>
      </c>
    </row>
    <row r="1230" spans="1:44" s="50" customFormat="1" ht="31.9" hidden="1" customHeight="1">
      <c r="A1230" s="197"/>
      <c r="B1230" s="951"/>
      <c r="C1230" s="954"/>
      <c r="D1230" s="957"/>
      <c r="E1230" s="939"/>
      <c r="F1230" s="238" t="str">
        <f ca="1">IF(B1224="Лікар-педіатр",Законод!$E$17,IF(B1224="Лікар загальної практики - сімейний лікар",Законод!$E$21,IF(B1224="Лікар-терапевт",Законод!$E$25,"х")))</f>
        <v>х</v>
      </c>
      <c r="G1230" s="935" t="s">
        <v>423</v>
      </c>
      <c r="H1230" s="936"/>
      <c r="I1230" s="936"/>
      <c r="J1230" s="936"/>
      <c r="K1230" s="937"/>
      <c r="L1230" s="196">
        <f ca="1">IF($B$1224="Лікар загальної практики - сімейний лікар",IF(L1228&lt;Законод!$C$22,0,(IF(AND(L1228&gt;=Законод!$E$22,L1228&lt;=Законод!$E$23),L1228-Законод!$C$22,IF('01_Доходи'!L1228&gt;=Законод!$F$22,Законод!$E$24,0)))),IF($B$1224="Лікар-педіатр",IF(L1228&lt;Законод!$C$18,0,(IF(AND(L1228&gt;=Законод!$E$18,L1228&lt;=Законод!$E$19),L1228-Законод!$C$18,IF('01_Доходи'!L1228&gt;=Законод!$F$18,Законод!$E$20,0)))),IF($B$1224="Лікар-терапевт",IF(L1228&lt;Законод!$C$26,0,(IF(AND(L1228&gt;=Законод!$E$26,L1228&lt;=Законод!$E$27),L1228-Законод!$C$26,IF('01_Доходи'!L1228&gt;=Законод!$F$26,Законод!$E$28,0)))),0)))</f>
        <v>0</v>
      </c>
      <c r="M1230" s="942"/>
      <c r="N1230" s="935" t="s">
        <v>423</v>
      </c>
      <c r="O1230" s="936"/>
      <c r="P1230" s="936"/>
      <c r="Q1230" s="936"/>
      <c r="R1230" s="937"/>
      <c r="S1230" s="196">
        <f ca="1">IF($B$1224="Лікар загальної практики - сімейний лікар",IF(S1228&lt;Законод!$C$22,0,(IF(AND(S1228&gt;=Законод!$E$22,S1228&lt;=Законод!$E$23),S1228-Законод!$C$22,IF('01_Доходи'!S1228&gt;=Законод!$F$22,Законод!$E$24,0)))),IF($B$1224="Лікар-педіатр",IF(S1228&lt;Законод!$C$18,0,(IF(AND(S1228&gt;=Законод!$E$18,S1228&lt;=Законод!$E$19),S1228-Законод!$C$18,IF('01_Доходи'!S1228&gt;=Законод!$F$18,Законод!$E$20,0)))),IF($B$1224="Лікар-терапевт",IF(S1228&lt;Законод!$C$26,0,(IF(AND(S1228&gt;=Законод!$E$26,S1228&lt;=Законод!$E$27),S1228-Законод!$C$26,IF('01_Доходи'!S1228&gt;=Законод!$F$26,Законод!$E$28,0)))),0)))</f>
        <v>0</v>
      </c>
      <c r="T1230" s="942"/>
      <c r="U1230" s="935" t="s">
        <v>423</v>
      </c>
      <c r="V1230" s="936"/>
      <c r="W1230" s="936"/>
      <c r="X1230" s="936"/>
      <c r="Y1230" s="937"/>
      <c r="Z1230" s="196">
        <f ca="1">IF($B$1224="Лікар загальної практики - сімейний лікар",IF(Z1228&lt;Законод!$C$22,0,(IF(AND(Z1228&gt;=Законод!$E$22,Z1228&lt;=Законод!$E$23),Z1228-Законод!$C$22,IF('01_Доходи'!Z1228&gt;=Законод!$F$22,Законод!$E$24,0)))),IF($B$1224="Лікар-педіатр",IF(Z1228&lt;Законод!$C$18,0,(IF(AND(Z1228&gt;=Законод!$E$18,Z1228&lt;=Законод!$E$19),Z1228-Законод!$C$18,IF('01_Доходи'!Z1228&gt;=Законод!$F$18,Законод!$E$20,0)))),IF($B$1224="Лікар-терапевт",IF(Z1228&lt;Законод!$C$26,0,(IF(AND(Z1228&gt;=Законод!$E$26,Z1228&lt;=Законод!$E$27),Z1228-Законод!$C$26,IF('01_Доходи'!Z1228&gt;=Законод!$F$26,Законод!$E$28,0)))),0)))</f>
        <v>0</v>
      </c>
      <c r="AA1230" s="942"/>
      <c r="AB1230" s="935" t="s">
        <v>423</v>
      </c>
      <c r="AC1230" s="936"/>
      <c r="AD1230" s="936"/>
      <c r="AE1230" s="936"/>
      <c r="AF1230" s="937"/>
      <c r="AG1230" s="196">
        <f ca="1">IF($B$1224="Лікар загальної практики - сімейний лікар",IF(AG1228&lt;Законод!$C$22,0,(IF(AND(AG1228&gt;=Законод!$E$22,AG1228&lt;=Законод!$E$23),AG1228-Законод!$C$22,IF('01_Доходи'!AG1228&gt;=Законод!$F$22,Законод!$E$24,0)))),IF($B$1224="Лікар-педіатр",IF(AG1228&lt;Законод!$C$18,0,(IF(AND(AG1228&gt;=Законод!$E$18,AG1228&lt;=Законод!$E$19),AG1228-Законод!$C$18,IF('01_Доходи'!AG1228&gt;=Законод!$F$18,Законод!$E$20,0)))),IF($B$1224="Лікар-терапевт",IF(AG1228&lt;Законод!$C$26,0,(IF(AND(AG1228&gt;=Законод!$E$26,AG1228&lt;=Законод!$E$27),AG1228-Законод!$C$26,IF('01_Доходи'!AG1228&gt;=Законод!$F$26,Законод!$E$28,0)))),0)))</f>
        <v>0</v>
      </c>
      <c r="AH1230" s="942"/>
      <c r="AI1230" s="201"/>
      <c r="AJ1230" s="945"/>
      <c r="AK1230" s="960"/>
      <c r="AL1230" s="960"/>
      <c r="AM1230" s="926" t="s">
        <v>452</v>
      </c>
      <c r="AN1230" s="210">
        <f ca="1">IF(B1224="Лікар загальної практики - сімейний лікар",L1230*Законод!$C$9/4*Законод!$E$16,IF(B1224="Лікар-педіатр",L1230*Законод!$C$9/4*Законод!$E$16,IF(B1224="Лікар-терапевт",L1230*Законод!$C$9/4*Законод!$E$16,0)))</f>
        <v>0</v>
      </c>
      <c r="AO1230" s="210">
        <f ca="1">IF(B1224="Лікар загальної практики - сімейний лікар",S1230*Законод!$C$9/4*Законод!$E$16,IF(B1224="Лікар-педіатр",S1230*Законод!$C$9/4*Законод!$E$16,IF(B1224="Лікар-терапевт",S1230*Законод!$C$9/4*Законод!$E$16,0)))</f>
        <v>0</v>
      </c>
      <c r="AP1230" s="210">
        <f ca="1">IF(B1224="Лікар загальної практики - сімейний лікар",Z1230*Законод!$C$9/4*Законод!$E$16,IF(B1224="Лікар-педіатр",Z1230*Законод!$C$9/4*Законод!$E$16,IF(B1224="Лікар-терапевт",Z1230*Законод!$C$9/4*Законод!$E$16,0)))</f>
        <v>0</v>
      </c>
      <c r="AQ1230" s="210">
        <f ca="1">IF(B1224="Лікар загальної практики - сімейний лікар",AG1230*Законод!$C$9/4*Законод!$E$16,IF(B1224="Лікар-педіатр",AG1230*Законод!$C$9/4*Законод!$E$16,IF(B1224="Лікар-терапевт",AG1230*Законод!$C$9/4*Законод!$E$16,0)))</f>
        <v>0</v>
      </c>
      <c r="AR1230" s="211">
        <f t="shared" si="134"/>
        <v>0</v>
      </c>
    </row>
    <row r="1231" spans="1:44" s="50" customFormat="1" ht="31.9" hidden="1" customHeight="1">
      <c r="A1231" s="197"/>
      <c r="B1231" s="951"/>
      <c r="C1231" s="954"/>
      <c r="D1231" s="957"/>
      <c r="E1231" s="939"/>
      <c r="F1231" s="238" t="str">
        <f ca="1">IF(B1224="Лікар-педіатр",Законод!$F$17,IF(B1224="Лікар загальної практики - сімейний лікар",Законод!$F$21,IF(B1224="Лікар-терапевт",Законод!$F$25,"х")))</f>
        <v>х</v>
      </c>
      <c r="G1231" s="935" t="s">
        <v>423</v>
      </c>
      <c r="H1231" s="936"/>
      <c r="I1231" s="936"/>
      <c r="J1231" s="936"/>
      <c r="K1231" s="937"/>
      <c r="L1231" s="196">
        <f ca="1">IF($B$1224="Лікар загальної практики - сімейний лікар",IF(L1228&lt;Законод!$C$22,0,(IF(AND(L1228&gt;=Законод!$F$22,L1228&lt;=Законод!$F$23),L1228-Законод!$E$23,IF('01_Доходи'!L1228&gt;=Законод!$G$22,Законод!$F$24,0)))),IF($B$1224="Лікар-педіатр",IF(L1228&lt;Законод!$C$18,0,(IF(AND(L1228&gt;=Законод!$F$18,L1228&lt;=Законод!$F$19),L1228-Законод!$E$19,IF('01_Доходи'!L1228&gt;=Законод!$G$18,Законод!$F$20,0)))),IF($B$1224="Лікар-терапевт",IF(L1228&lt;Законод!$C$26,0,(IF(AND(L1228&gt;=Законод!$F$26,L1228&lt;=Законод!$F$27),L1228-Законод!$E$27,IF('01_Доходи'!L1228&gt;=Законод!$G$26,Законод!$F$28,0)))),0)))</f>
        <v>0</v>
      </c>
      <c r="M1231" s="942"/>
      <c r="N1231" s="935" t="s">
        <v>423</v>
      </c>
      <c r="O1231" s="936"/>
      <c r="P1231" s="936"/>
      <c r="Q1231" s="936"/>
      <c r="R1231" s="937"/>
      <c r="S1231" s="196">
        <f ca="1">IF($B$1224="Лікар загальної практики - сімейний лікар",IF(S1228&lt;Законод!$C$22,0,(IF(AND(S1228&gt;=Законод!$F$22,S1228&lt;=Законод!$F$23),S1228-Законод!$E$23,IF('01_Доходи'!S1228&gt;=Законод!$G$22,Законод!$F$24,0)))),IF($B$1224="Лікар-педіатр",IF(S1228&lt;Законод!$C$18,0,(IF(AND(S1228&gt;=Законод!$F$18,S1228&lt;=Законод!$F$19),S1228-Законод!$E$19,IF('01_Доходи'!S1228&gt;=Законод!$G$18,Законод!$F$20,0)))),IF($B$1224="Лікар-терапевт",IF(S1228&lt;Законод!$C$26,0,(IF(AND(S1228&gt;=Законод!$F$26,S1228&lt;=Законод!$F$27),S1228-Законод!$E$27,IF('01_Доходи'!S1228&gt;=Законод!$G$26,Законод!$F$28,0)))),0)))</f>
        <v>0</v>
      </c>
      <c r="T1231" s="942"/>
      <c r="U1231" s="935" t="s">
        <v>423</v>
      </c>
      <c r="V1231" s="936"/>
      <c r="W1231" s="936"/>
      <c r="X1231" s="936"/>
      <c r="Y1231" s="937"/>
      <c r="Z1231" s="196">
        <f ca="1">IF($B$1224="Лікар загальної практики - сімейний лікар",IF(Z1228&lt;Законод!$C$22,0,(IF(AND(Z1228&gt;=Законод!$F$22,Z1228&lt;=Законод!$F$23),Z1228-Законод!$E$23,IF('01_Доходи'!Z1228&gt;=Законод!$G$22,Законод!$F$24,0)))),IF($B$1224="Лікар-педіатр",IF(Z1228&lt;Законод!$C$18,0,(IF(AND(Z1228&gt;=Законод!$F$18,Z1228&lt;=Законод!$F$19),Z1228-Законод!$E$19,IF('01_Доходи'!Z1228&gt;=Законод!$G$18,Законод!$F$20,0)))),IF($B$1224="Лікар-терапевт",IF(Z1228&lt;Законод!$C$26,0,(IF(AND(Z1228&gt;=Законод!$F$26,Z1228&lt;=Законод!$F$27),Z1228-Законод!$E$27,IF('01_Доходи'!Z1228&gt;=Законод!$G$26,Законод!$F$28,0)))),0)))</f>
        <v>0</v>
      </c>
      <c r="AA1231" s="942"/>
      <c r="AB1231" s="935" t="s">
        <v>423</v>
      </c>
      <c r="AC1231" s="936"/>
      <c r="AD1231" s="936"/>
      <c r="AE1231" s="936"/>
      <c r="AF1231" s="937"/>
      <c r="AG1231" s="196">
        <f ca="1">IF($B$1224="Лікар загальної практики - сімейний лікар",IF(AG1228&lt;Законод!$C$22,0,(IF(AND(AG1228&gt;=Законод!$F$22,AG1228&lt;=Законод!$F$23),AG1228-Законод!$E$23,IF('01_Доходи'!AG1228&gt;=Законод!$G$22,Законод!$F$24,0)))),IF($B$1224="Лікар-педіатр",IF(AG1228&lt;Законод!$C$18,0,(IF(AND(AG1228&gt;=Законод!$F$18,AG1228&lt;=Законод!$F$19),AG1228-Законод!$E$19,IF('01_Доходи'!AG1228&gt;=Законод!$G$18,Законод!$F$20,0)))),IF($B$1224="Лікар-терапевт",IF(AG1228&lt;Законод!$C$26,0,(IF(AND(AG1228&gt;=Законод!$F$26,AG1228&lt;=Законод!$F$27),AG1228-Законод!$E$27,IF('01_Доходи'!AG1228&gt;=Законод!$G$26,Законод!$F$28,0)))),0)))</f>
        <v>0</v>
      </c>
      <c r="AH1231" s="942"/>
      <c r="AI1231" s="201"/>
      <c r="AJ1231" s="945"/>
      <c r="AK1231" s="960"/>
      <c r="AL1231" s="960"/>
      <c r="AM1231" s="927"/>
      <c r="AN1231" s="210">
        <f ca="1">IF(B1224="Лікар загальної практики - сімейний лікар",L1231*Законод!$C$9/4*Законод!$F$16,IF(B1224="Лікар-педіатр",L1231*Законод!$C$9/4*Законод!$F$16,IF(B1224="Лікар-терапевт",L1231*Законод!$C$9/4*Законод!$F$16,0)))</f>
        <v>0</v>
      </c>
      <c r="AO1231" s="210">
        <f ca="1">IF(B1224="Лікар загальної практики - сімейний лікар",S1231*Законод!$C$9/4*Законод!$F$16,IF(B1224="Лікар-педіатр",S1231*Законод!$C$9/4*Законод!$F$16,IF(B1224="Лікар-терапевт",S1231*Законод!$C$9/4*Законод!$F$16,0)))</f>
        <v>0</v>
      </c>
      <c r="AP1231" s="210">
        <f ca="1">IF(B1224="Лікар загальної практики - сімейний лікар",Z1231*Законод!$C$9/4*Законод!$F$16,IF(B1224="Лікар-педіатр",Z1231*Законод!$C$9/4*Законод!$F$16,IF(B1224="Лікар-терапевт",Z1231*Законод!$C$9/4*Законод!$F$16,0)))</f>
        <v>0</v>
      </c>
      <c r="AQ1231" s="210">
        <f ca="1">IF(B1224="Лікар загальної практики - сімейний лікар",AG1231*Законод!$C$9/4*Законод!$F$16,IF(B1224="Лікар-педіатр",AG1231*Законод!$C$9/4*Законод!$F$16,IF(B1224="Лікар-терапевт",AG1231*Законод!$C$9/4*Законод!$F$16,0)))</f>
        <v>0</v>
      </c>
      <c r="AR1231" s="211">
        <f t="shared" si="134"/>
        <v>0</v>
      </c>
    </row>
    <row r="1232" spans="1:44" s="50" customFormat="1" ht="31.9" hidden="1" customHeight="1">
      <c r="A1232" s="197"/>
      <c r="B1232" s="951"/>
      <c r="C1232" s="954"/>
      <c r="D1232" s="957"/>
      <c r="E1232" s="939"/>
      <c r="F1232" s="238" t="str">
        <f ca="1">IF(B1224="Лікар-педіатр",Законод!$G$17,IF(B1224="Лікар загальної практики - сімейний лікар",Законод!$G$21,IF(B1224="Лікар-терапевт",Законод!$G$25,"х")))</f>
        <v>х</v>
      </c>
      <c r="G1232" s="935" t="s">
        <v>423</v>
      </c>
      <c r="H1232" s="936"/>
      <c r="I1232" s="936"/>
      <c r="J1232" s="936"/>
      <c r="K1232" s="937"/>
      <c r="L1232" s="196">
        <f ca="1">IF($B$1224="Лікар загальної практики - сімейний лікар",IF(L1228&lt;Законод!$C$22,0,(IF(AND(L1228&gt;=Законод!$G$22,L1228&lt;=Законод!$G$23),L1228-Законод!$F$23,IF('01_Доходи'!L1228&gt;=Законод!$H$22,Законод!$G$24,0)))),IF($B$1224="Лікар-педіатр",IF(L1228&lt;Законод!$C$18,0,(IF(AND(L1228&gt;=Законод!$G$18,L1228&lt;=Законод!$G$19),L1228-Законод!$F$19,IF('01_Доходи'!L1228&gt;=Законод!$H$18,Законод!$G$20,0)))),IF($B$1224="Лікар-терапевт",IF(L1228&lt;Законод!$C$26,0,(IF(AND(L1228&gt;=Законод!$G$26,L1228&lt;=Законод!$G$27),L1228-Законод!$F$27,IF('01_Доходи'!L1228&gt;=Законод!$H$26,Законод!$G$28,0)))),0)))</f>
        <v>0</v>
      </c>
      <c r="M1232" s="942"/>
      <c r="N1232" s="935" t="s">
        <v>423</v>
      </c>
      <c r="O1232" s="936"/>
      <c r="P1232" s="936"/>
      <c r="Q1232" s="936"/>
      <c r="R1232" s="937"/>
      <c r="S1232" s="196">
        <f ca="1">IF($B$1224="Лікар загальної практики - сімейний лікар",IF(S1228&lt;Законод!$C$22,0,(IF(AND(S1228&gt;=Законод!$G$22,S1228&lt;=Законод!$G$23),S1228-Законод!$F$23,IF('01_Доходи'!S1228&gt;=Законод!$H$22,Законод!$G$24,0)))),IF($B$1224="Лікар-педіатр",IF(S1228&lt;Законод!$C$18,0,(IF(AND(S1228&gt;=Законод!$G$18,S1228&lt;=Законод!$G$19),S1228-Законод!$F$19,IF('01_Доходи'!S1228&gt;=Законод!$H$18,Законод!$G$20,0)))),IF($B$1224="Лікар-терапевт",IF(S1228&lt;Законод!$C$26,0,(IF(AND(S1228&gt;=Законод!$G$26,S1228&lt;=Законод!$G$27),S1228-Законод!$F$27,IF('01_Доходи'!S1228&gt;=Законод!$H$26,Законод!$G$28,0)))),0)))</f>
        <v>0</v>
      </c>
      <c r="T1232" s="942"/>
      <c r="U1232" s="935" t="s">
        <v>423</v>
      </c>
      <c r="V1232" s="936"/>
      <c r="W1232" s="936"/>
      <c r="X1232" s="936"/>
      <c r="Y1232" s="937"/>
      <c r="Z1232" s="196">
        <f ca="1">IF($B$1224="Лікар загальної практики - сімейний лікар",IF(Z1228&lt;Законод!$C$22,0,(IF(AND(Z1228&gt;=Законод!$G$22,Z1228&lt;=Законод!$G$23),Z1228-Законод!$F$23,IF('01_Доходи'!Z1228&gt;=Законод!$H$22,Законод!$G$24,0)))),IF($B$1224="Лікар-педіатр",IF(Z1228&lt;Законод!$C$18,0,(IF(AND(Z1228&gt;=Законод!$G$18,Z1228&lt;=Законод!$G$19),Z1228-Законод!$F$19,IF('01_Доходи'!Z1228&gt;=Законод!$H$18,Законод!$G$20,0)))),IF($B$1224="Лікар-терапевт",IF(Z1228&lt;Законод!$C$26,0,(IF(AND(Z1228&gt;=Законод!$G$26,Z1228&lt;=Законод!$G$27),Z1228-Законод!$F$27,IF('01_Доходи'!Z1228&gt;=Законод!$H$26,Законод!$G$28,0)))),0)))</f>
        <v>0</v>
      </c>
      <c r="AA1232" s="942"/>
      <c r="AB1232" s="935" t="s">
        <v>423</v>
      </c>
      <c r="AC1232" s="936"/>
      <c r="AD1232" s="936"/>
      <c r="AE1232" s="936"/>
      <c r="AF1232" s="937"/>
      <c r="AG1232" s="196">
        <f ca="1">IF($B$1224="Лікар загальної практики - сімейний лікар",IF(AG1228&lt;Законод!$C$22,0,(IF(AND(AG1228&gt;=Законод!$G$22,AG1228&lt;=Законод!$G$23),AG1228-Законод!$F$23,IF('01_Доходи'!AG1228&gt;=Законод!$H$22,Законод!$G$24,0)))),IF($B$1224="Лікар-педіатр",IF(AG1228&lt;Законод!$C$18,0,(IF(AND(AG1228&gt;=Законод!$G$18,AG1228&lt;=Законод!$G$19),AG1228-Законод!$F$19,IF('01_Доходи'!AG1228&gt;=Законод!$H$18,Законод!$G$20,0)))),IF($B$1224="Лікар-терапевт",IF(AG1228&lt;Законод!$C$26,0,(IF(AND(AG1228&gt;=Законод!$G$26,AG1228&lt;=Законод!$G$27),AG1228-Законод!$F$27,IF('01_Доходи'!AG1228&gt;=Законод!$H$26,Законод!$G$28,0)))),0)))</f>
        <v>0</v>
      </c>
      <c r="AH1232" s="942"/>
      <c r="AI1232" s="201"/>
      <c r="AJ1232" s="945"/>
      <c r="AK1232" s="960"/>
      <c r="AL1232" s="960"/>
      <c r="AM1232" s="927"/>
      <c r="AN1232" s="210">
        <f ca="1">IF(B1224="Лікар загальної практики - сімейний лікар",L1232*Законод!$C$9/4*Законод!$G$16,IF(B1224="Лікар-педіатр",L1232*Законод!$C$9/4*Законод!$G$16,IF(B1224="Лікар-терапевт",L1232*Законод!$C$9/4*Законод!$G$16,0)))</f>
        <v>0</v>
      </c>
      <c r="AO1232" s="210">
        <f ca="1">IF(B1224="Лікар загальної практики - сімейний лікар",S1232*Законод!$C$9/4*Законод!$G$16,IF(B1224="Лікар-педіатр",S1232*Законод!$C$9/4*Законод!$G$16,IF(B1224="Лікар-терапевт",S1232*Законод!$C$9/4*Законод!$G$16,0)))</f>
        <v>0</v>
      </c>
      <c r="AP1232" s="210">
        <f ca="1">IF(B1224="Лікар загальної практики - сімейний лікар",Z1232*Законод!$C$9/4*Законод!$G$16,IF(B1224="Лікар-педіатр",Z1232*Законод!$C$9/4*Законод!$G$16,IF(B1224="Лікар-терапевт",Z1232*Законод!$C$9/4*Законод!$G$16,0)))</f>
        <v>0</v>
      </c>
      <c r="AQ1232" s="210">
        <f ca="1">IF(B1224="Лікар загальної практики - сімейний лікар",AG1232*Законод!$C$9/4*Законод!$G$16,IF(B1224="Лікар-педіатр",AG1232*Законод!$C$9/4*Законод!$G$16,IF(B1224="Лікар-терапевт",AG1232*Законод!$C$9/4*Законод!$G$16,0)))</f>
        <v>0</v>
      </c>
      <c r="AR1232" s="211">
        <f t="shared" si="134"/>
        <v>0</v>
      </c>
    </row>
    <row r="1233" spans="1:44" s="50" customFormat="1" ht="31.9" hidden="1" customHeight="1">
      <c r="A1233" s="197"/>
      <c r="B1233" s="951"/>
      <c r="C1233" s="954"/>
      <c r="D1233" s="957"/>
      <c r="E1233" s="939"/>
      <c r="F1233" s="238" t="str">
        <f ca="1">IF(B1224="Лікар-педіатр",Законод!$H$17,IF(B1224="Лікар загальної практики - сімейний лікар",Законод!$H$21,IF(B1224="Лікар-терапевт",Законод!$H$25,"х")))</f>
        <v>х</v>
      </c>
      <c r="G1233" s="935" t="s">
        <v>423</v>
      </c>
      <c r="H1233" s="936"/>
      <c r="I1233" s="936"/>
      <c r="J1233" s="936"/>
      <c r="K1233" s="937"/>
      <c r="L1233" s="196">
        <f ca="1">IF($B$1224="Лікар загальної практики - сімейний лікар",IF(L1228&lt;Законод!$C$22,0,(IF(AND(L1228&gt;=Законод!$H$22,L1228&lt;=Законод!$H$23),L1228-Законод!$G$23,IF('01_Доходи'!L1228&gt;=Законод!$I$22,Законод!$H$24,0)))),IF($B$1224="Лікар-педіатр",IF(L1228&lt;Законод!$C$18,0,(IF(AND(L1228&gt;=Законод!$H$18,L1228&lt;=Законод!$H$19),L1228-Законод!$G$19,IF('01_Доходи'!L1228&gt;=Законод!$I$18,Законод!$H$20,0)))),IF($B$1224="Лікар-терапевт",IF(L1228&lt;Законод!$C$26,0,(IF(AND(L1228&gt;=Законод!$H$26,L1228&lt;=Законод!$H$27),L1228-Законод!$G$27,IF(L1228&gt;=Законод!$I$26,Законод!$H$28,0)))),0)))</f>
        <v>0</v>
      </c>
      <c r="M1233" s="942"/>
      <c r="N1233" s="935" t="s">
        <v>423</v>
      </c>
      <c r="O1233" s="936"/>
      <c r="P1233" s="936"/>
      <c r="Q1233" s="936"/>
      <c r="R1233" s="937"/>
      <c r="S1233" s="196">
        <f ca="1">IF($B$1224="Лікар загальної практики - сімейний лікар",IF(S1228&lt;Законод!$C$22,0,(IF(AND(S1228&gt;=Законод!$H$22,S1228&lt;=Законод!$H$23),S1228-Законод!$G$23,IF('01_Доходи'!S1228&gt;=Законод!$I$22,Законод!$H$24,0)))),IF($B$1224="Лікар-педіатр",IF(S1228&lt;Законод!$C$18,0,(IF(AND(S1228&gt;=Законод!$H$18,S1228&lt;=Законод!$H$19),S1228-Законод!$G$19,IF('01_Доходи'!S1228&gt;=Законод!$I$18,Законод!$H$20,0)))),IF($B$1224="Лікар-терапевт",IF(S1228&lt;Законод!$C$26,0,(IF(AND(S1228&gt;=Законод!$H$26,S1228&lt;=Законод!$H$27),S1228-Законод!$G$27,IF(S1228&gt;=Законод!$I$26,Законод!$H$28,0)))),0)))</f>
        <v>0</v>
      </c>
      <c r="T1233" s="942"/>
      <c r="U1233" s="935" t="s">
        <v>423</v>
      </c>
      <c r="V1233" s="936"/>
      <c r="W1233" s="936"/>
      <c r="X1233" s="936"/>
      <c r="Y1233" s="937"/>
      <c r="Z1233" s="196">
        <f ca="1">IF($B$1224="Лікар загальної практики - сімейний лікар",IF(Z1228&lt;Законод!$C$22,0,(IF(AND(Z1228&gt;=Законод!$H$22,Z1228&lt;=Законод!$H$23),Z1228-Законод!$G$23,IF('01_Доходи'!Z1228&gt;=Законод!$I$22,Законод!$H$24,0)))),IF($B$1224="Лікар-педіатр",IF(Z1228&lt;Законод!$C$18,0,(IF(AND(Z1228&gt;=Законод!$H$18,Z1228&lt;=Законод!$H$19),Z1228-Законод!$G$19,IF('01_Доходи'!Z1228&gt;=Законод!$I$18,Законод!$H$20,0)))),IF($B$1224="Лікар-терапевт",IF(Z1228&lt;Законод!$C$26,0,(IF(AND(Z1228&gt;=Законод!$H$26,Z1228&lt;=Законод!$H$27),Z1228-Законод!$G$27,IF(Z1228&gt;=Законод!$I$26,Законод!$H$28,0)))),0)))</f>
        <v>0</v>
      </c>
      <c r="AA1233" s="942"/>
      <c r="AB1233" s="935" t="s">
        <v>423</v>
      </c>
      <c r="AC1233" s="936"/>
      <c r="AD1233" s="936"/>
      <c r="AE1233" s="936"/>
      <c r="AF1233" s="937"/>
      <c r="AG1233" s="196">
        <f ca="1">IF($B$1224="Лікар загальної практики - сімейний лікар",IF(AG1228&lt;Законод!$C$22,0,(IF(AND(AG1228&gt;=Законод!$H$22,AG1228&lt;=Законод!$H$23),AG1228-Законод!$G$23,IF('01_Доходи'!AG1228&gt;=Законод!$I$22,Законод!$H$24,0)))),IF($B$1224="Лікар-педіатр",IF(AG1228&lt;Законод!$C$18,0,(IF(AND(AG1228&gt;=Законод!$H$18,AG1228&lt;=Законод!$H$19),AG1228-Законод!$G$19,IF('01_Доходи'!AG1228&gt;=Законод!$I$18,Законод!$H$20,0)))),IF($B$1224="Лікар-терапевт",IF(AG1228&lt;Законод!$C$26,0,(IF(AND(AG1228&gt;=Законод!$H$26,AG1228&lt;=Законод!$H$27),AG1228-Законод!$G$27,IF(AG1228&gt;=Законод!$I$26,Законод!$H$28,0)))),0)))</f>
        <v>0</v>
      </c>
      <c r="AH1233" s="942"/>
      <c r="AI1233" s="201"/>
      <c r="AJ1233" s="945"/>
      <c r="AK1233" s="960"/>
      <c r="AL1233" s="960"/>
      <c r="AM1233" s="927"/>
      <c r="AN1233" s="210">
        <f ca="1">IF(B1224="Лікар загальної практики - сімейний лікар",L1233*Законод!$C$9/4*Законод!$H$16,IF(B1224="Лікар-педіатр",L1233*Законод!$C$9/4*Законод!$H$16,IF(B1224="Лікар-терапевт",L1233*Законод!$C$9/4*Законод!$H$16,0)))</f>
        <v>0</v>
      </c>
      <c r="AO1233" s="210">
        <f ca="1">IF(B1224="Лікар загальної практики - сімейний лікар",S1233*Законод!$C$9/4*Законод!$H$16,IF(B1224="Лікар-педіатр",S1233*Законод!$C$9/4*Законод!$H$16,IF(B1224="Лікар-терапевт",S1233*Законод!$C$9/4*Законод!$H$16,0)))</f>
        <v>0</v>
      </c>
      <c r="AP1233" s="210">
        <f ca="1">IF(B1224="Лікар загальної практики - сімейний лікар",Z1233*Законод!$C$9/4*Законод!$H$16,IF(B1224="Лікар-педіатр",Z1233*Законод!$C$9/4*Законод!$H$16,IF(B1224="Лікар-терапевт",Z1233*Законод!$C$9/4*Законод!$H$16,0)))</f>
        <v>0</v>
      </c>
      <c r="AQ1233" s="210">
        <f ca="1">IF(B1224="Лікар загальної практики - сімейний лікар",AG1233*Законод!$C$9/4*Законод!$H$16,IF(B1224="Лікар-педіатр",AG1233*Законод!$C$9/4*Законод!$H$16,IF(B1224="Лікар-терапевт",AG1233*Законод!$C$9/4*Законод!$H$16,0)))</f>
        <v>0</v>
      </c>
      <c r="AR1233" s="211">
        <f t="shared" si="134"/>
        <v>0</v>
      </c>
    </row>
    <row r="1234" spans="1:44" s="50" customFormat="1" ht="31.9" hidden="1" customHeight="1">
      <c r="A1234" s="197"/>
      <c r="B1234" s="951"/>
      <c r="C1234" s="954"/>
      <c r="D1234" s="957"/>
      <c r="E1234" s="939"/>
      <c r="F1234" s="238" t="str">
        <f ca="1">IF(B1224="Лікар-педіатр",Законод!$I$17,IF(B1224="Лікар загальної практики - сімейний лікар",Законод!$I$21,IF(B1224="Лікар-терапевт",Законод!$I$25,"х")))</f>
        <v>х</v>
      </c>
      <c r="G1234" s="935" t="s">
        <v>423</v>
      </c>
      <c r="H1234" s="936"/>
      <c r="I1234" s="936"/>
      <c r="J1234" s="936"/>
      <c r="K1234" s="937"/>
      <c r="L1234" s="196">
        <f ca="1">IF($B$1224="Лікар загальної практики - сімейний лікар",IF(L1228&lt;Законод!$C$22,0,(IF(AND(L1228&gt;=Законод!$I$22,L1228&lt;=Законод!$I$23),L1228-Законод!$H$23,IF('01_Доходи'!L1228&gt;=Законод!$I$22,Законод!$I$24,0)))),IF($B$1224="Лікар-педіатр",IF(L1228&lt;Законод!$C$18,0,(IF(AND(L1228&gt;=Законод!$I$18,L1228&lt;=Законод!$I$19),L1228-Законод!$H$19,IF('01_Доходи'!L1228&gt;=Законод!$I$18,Законод!$H$20,0)))),IF($B$1224="Лікар-терапевт",IF(L1228&lt;Законод!$C$26,0,(IF(AND(L1228&gt;=Законод!$I$26,L1228&lt;=Законод!$I$27),L1228-Законод!$H$27,IF('01_Доходи'!L1228&gt;=Законод!$I$26,Законод!$H$28,0)))),0)))</f>
        <v>0</v>
      </c>
      <c r="M1234" s="942"/>
      <c r="N1234" s="935" t="s">
        <v>423</v>
      </c>
      <c r="O1234" s="936"/>
      <c r="P1234" s="936"/>
      <c r="Q1234" s="936"/>
      <c r="R1234" s="937"/>
      <c r="S1234" s="196">
        <f ca="1">IF($B$1224="Лікар загальної практики - сімейний лікар",IF(S1228&lt;Законод!$C$22,0,(IF(AND(S1228&gt;=Законод!$I$22,S1228&lt;=Законод!$I$23),S1228-Законод!$H$23,IF('01_Доходи'!S1228&gt;=Законод!$I$22,Законод!$I$24,0)))),IF($B$1224="Лікар-педіатр",IF(S1228&lt;Законод!$C$18,0,(IF(AND(S1228&gt;=Законод!$I$18,S1228&lt;=Законод!$I$19),S1228-Законод!$H$19,IF('01_Доходи'!S1228&gt;=Законод!$I$18,Законод!$H$20,0)))),IF($B$1224="Лікар-терапевт",IF(S1228&lt;Законод!$C$26,0,(IF(AND(S1228&gt;=Законод!$I$26,S1228&lt;=Законод!$I$27),S1228-Законод!$H$27,IF('01_Доходи'!S1228&gt;=Законод!$I$26,Законод!$H$28,0)))),0)))</f>
        <v>0</v>
      </c>
      <c r="T1234" s="942"/>
      <c r="U1234" s="935" t="s">
        <v>423</v>
      </c>
      <c r="V1234" s="936"/>
      <c r="W1234" s="936"/>
      <c r="X1234" s="936"/>
      <c r="Y1234" s="937"/>
      <c r="Z1234" s="196">
        <f ca="1">IF($B$1224="Лікар загальної практики - сімейний лікар",IF(Z1228&lt;Законод!$C$22,0,(IF(AND(Z1228&gt;=Законод!$I$22,Z1228&lt;=Законод!$I$23),Z1228-Законод!$H$23,IF('01_Доходи'!Z1228&gt;=Законод!$I$22,Законод!$I$24,0)))),IF($B$1224="Лікар-педіатр",IF(Z1228&lt;Законод!$C$18,0,(IF(AND(Z1228&gt;=Законод!$I$18,Z1228&lt;=Законод!$I$19),Z1228-Законод!$H$19,IF('01_Доходи'!Z1228&gt;=Законод!$I$18,Законод!$H$20,0)))),IF($B$1224="Лікар-терапевт",IF(Z1228&lt;Законод!$C$26,0,(IF(AND(Z1228&gt;=Законод!$I$26,Z1228&lt;=Законод!$I$27),Z1228-Законод!$H$27,IF('01_Доходи'!Z1228&gt;=Законод!$I$26,Законод!$H$28,0)))),0)))</f>
        <v>0</v>
      </c>
      <c r="AA1234" s="942"/>
      <c r="AB1234" s="935" t="s">
        <v>423</v>
      </c>
      <c r="AC1234" s="936"/>
      <c r="AD1234" s="936"/>
      <c r="AE1234" s="936"/>
      <c r="AF1234" s="937"/>
      <c r="AG1234" s="196">
        <f ca="1">IF($B$1224="Лікар загальної практики - сімейний лікар",IF(AG1228&lt;Законод!$C$22,0,(IF(AND(AG1228&gt;=Законод!$I$22,AG1228&lt;=Законод!$I$23),AG1228-Законод!$H$23,IF('01_Доходи'!AG1228&gt;=Законод!$I$22,Законод!$I$24,0)))),IF($B$1224="Лікар-педіатр",IF(AG1228&lt;Законод!$C$18,0,(IF(AND(AG1228&gt;=Законод!$I$18,AG1228&lt;=Законод!$I$19),AG1228-Законод!$H$19,IF('01_Доходи'!AG1228&gt;=Законод!$I$18,Законод!$H$20,0)))),IF($B$1224="Лікар-терапевт",IF(AG1228&lt;Законод!$C$26,0,(IF(AND(AG1228&gt;=Законод!$I$26,AG1228&lt;=Законод!$I$27),AG1228-Законод!$H$27,IF('01_Доходи'!AG1228&gt;=Законод!$I$26,Законод!$H$28,0)))),0)))</f>
        <v>0</v>
      </c>
      <c r="AH1234" s="942"/>
      <c r="AI1234" s="201"/>
      <c r="AJ1234" s="945"/>
      <c r="AK1234" s="960"/>
      <c r="AL1234" s="960"/>
      <c r="AM1234" s="927"/>
      <c r="AN1234" s="210">
        <f ca="1">IF(B1224="Лікар загальної практики - сімейний лікар",L1234*Законод!$C$9/4*Законод!$I$16,IF(B1224="Лікар-педіатр",L1234*Законод!$C$9/4*Законод!$I$16,IF(B1224="Лікар-терапевт",L1234*Законод!$C$9/4*Законод!$I$16,0)))</f>
        <v>0</v>
      </c>
      <c r="AO1234" s="210">
        <f ca="1">IF(B1224="Лікар загальної практики - сімейний лікар",S1234*Законод!$C$9/4*Законод!$I$16,IF(B1224="Лікар-педіатр",S1234*Законод!$C$9/4*Законод!$I$16,IF(B1224="Лікар-терапевт",S1234*Законод!$C$9/4*Законод!$I$16,0)))</f>
        <v>0</v>
      </c>
      <c r="AP1234" s="210">
        <f ca="1">IF(B1224="Лікар загальної практики - сімейний лікар",Z1234*Законод!$C$9/4*Законод!$I$16,IF(B1224="Лікар-педіатр",Z1234*Законод!$C$9/4*Законод!$I$16,IF(B1224="Лікар-терапевт",Z1234*Законод!$C$9/4*Законод!$I$16,0)))</f>
        <v>0</v>
      </c>
      <c r="AQ1234" s="210">
        <f ca="1">IF(B1224="Лікар загальної практики - сімейний лікар",AG1234*Законод!$C$9/4*Законод!$I$16,IF(B1224="Лікар-педіатр",AG1234*Законод!$C$9/4*Законод!$I$16,IF(B1224="Лікар-терапевт",AG1234*Законод!$C$9/4*Законод!$I$16,0)))</f>
        <v>0</v>
      </c>
      <c r="AR1234" s="211">
        <f t="shared" si="134"/>
        <v>0</v>
      </c>
    </row>
    <row r="1235" spans="1:44" s="218" customFormat="1" ht="31.9" hidden="1" customHeight="1" thickBot="1">
      <c r="A1235" s="213"/>
      <c r="B1235" s="952"/>
      <c r="C1235" s="955"/>
      <c r="D1235" s="958"/>
      <c r="E1235" s="940"/>
      <c r="F1235" s="239" t="str">
        <f ca="1">IF(B1224="Лікар-педіатр",Законод!$J$17,IF(B1224="Лікар загальної практики - сімейний лікар",Законод!$J$21,IF(B1224="Лікар-терапевт",Законод!$J$25,"х")))</f>
        <v>х</v>
      </c>
      <c r="G1235" s="932" t="s">
        <v>423</v>
      </c>
      <c r="H1235" s="933"/>
      <c r="I1235" s="933"/>
      <c r="J1235" s="933"/>
      <c r="K1235" s="934"/>
      <c r="L1235" s="196">
        <f ca="1">IF($B$1224="Лікар загальної практики - сімейний лікар",IF(L1228&gt;=Законод!$J$22,'01_Доходи'!L1228-('01_Доходи'!L1229+'01_Доходи'!L1230+'01_Доходи'!L1231+'01_Доходи'!L1232+'01_Доходи'!L1233+'01_Доходи'!L1234),0),IF($B$1224="Лікар-педіатр",IF(L1228&gt;=Законод!$J$18,'01_Доходи'!L1228-('01_Доходи'!L1229+'01_Доходи'!L1230+'01_Доходи'!L1231+'01_Доходи'!L1232+'01_Доходи'!L1233+'01_Доходи'!L1234),0),IF($B$1224="Лікар-терапевт",IF('01_Доходи'!L1228&gt;=Законод!$J$26,L1228-Законод!$I$27,0),0)))</f>
        <v>0</v>
      </c>
      <c r="M1235" s="943"/>
      <c r="N1235" s="932" t="s">
        <v>423</v>
      </c>
      <c r="O1235" s="933"/>
      <c r="P1235" s="933"/>
      <c r="Q1235" s="933"/>
      <c r="R1235" s="934"/>
      <c r="S1235" s="196">
        <f ca="1">IF($B$1224="Лікар загальної практики - сімейний лікар",IF(S1228&gt;=Законод!$J$22,'01_Доходи'!S1228-('01_Доходи'!S1229+'01_Доходи'!S1230+'01_Доходи'!S1231+'01_Доходи'!S1232+'01_Доходи'!S1233+'01_Доходи'!S1234),0),IF($B$1224="Лікар-педіатр",IF(S1228&gt;=Законод!$J$18,'01_Доходи'!S1228-('01_Доходи'!S1229+'01_Доходи'!S1230+'01_Доходи'!S1231+'01_Доходи'!S1232+'01_Доходи'!S1233+'01_Доходи'!S1234),0),IF($B$1224="Лікар-терапевт",IF('01_Доходи'!S1228&gt;=Законод!$J$26,S1228-Законод!$I$27,0),0)))</f>
        <v>0</v>
      </c>
      <c r="T1235" s="943"/>
      <c r="U1235" s="932" t="s">
        <v>423</v>
      </c>
      <c r="V1235" s="933"/>
      <c r="W1235" s="933"/>
      <c r="X1235" s="933"/>
      <c r="Y1235" s="934"/>
      <c r="Z1235" s="196">
        <f ca="1">IF($B$1224="Лікар загальної практики - сімейний лікар",IF(Z1228&gt;=Законод!$J$22,'01_Доходи'!Z1228-('01_Доходи'!Z1229+'01_Доходи'!Z1230+'01_Доходи'!Z1231+'01_Доходи'!Z1232+'01_Доходи'!Z1233+'01_Доходи'!Z1234),0),IF($B$1224="Лікар-педіатр",IF(Z1228&gt;=Законод!$J$18,'01_Доходи'!Z1228-('01_Доходи'!Z1229+'01_Доходи'!Z1230+'01_Доходи'!Z1231+'01_Доходи'!Z1232+'01_Доходи'!Z1233+'01_Доходи'!Z1234),0),IF($B$1224="Лікар-терапевт",IF('01_Доходи'!Z1228&gt;=Законод!$J$26,Z1228-Законод!$I$27,0),0)))</f>
        <v>0</v>
      </c>
      <c r="AA1235" s="943"/>
      <c r="AB1235" s="932" t="s">
        <v>423</v>
      </c>
      <c r="AC1235" s="933"/>
      <c r="AD1235" s="933"/>
      <c r="AE1235" s="933"/>
      <c r="AF1235" s="934"/>
      <c r="AG1235" s="196">
        <f ca="1">IF($B$1224="Лікар загальної практики - сімейний лікар",IF(AG1228&gt;=Законод!$J$22,'01_Доходи'!AG1228-('01_Доходи'!AG1229+'01_Доходи'!AG1230+'01_Доходи'!AG1231+'01_Доходи'!AG1232+'01_Доходи'!AG1233+'01_Доходи'!AG1234),0),IF($B$1224="Лікар-педіатр",IF(AG1228&gt;=Законод!$J$18,'01_Доходи'!AG1228-('01_Доходи'!AG1229+'01_Доходи'!AG1230+'01_Доходи'!AG1231+'01_Доходи'!AG1232+'01_Доходи'!AG1233+'01_Доходи'!AG1234),0),IF($B$1224="Лікар-терапевт",IF('01_Доходи'!AG1228&gt;=Законод!$J$26,AG1228-Законод!$I$27,0),0)))</f>
        <v>0</v>
      </c>
      <c r="AH1235" s="943"/>
      <c r="AI1235" s="215"/>
      <c r="AJ1235" s="946"/>
      <c r="AK1235" s="961"/>
      <c r="AL1235" s="961"/>
      <c r="AM1235" s="928"/>
      <c r="AN1235" s="216">
        <f ca="1">IF(B1224="Лікар загальної практики - сімейний лікар",L1235*Законод!$C$9/4*Законод!$J$16,IF(B1224="Лікар-педіатр",L1235*Законод!$C$9/4*Законод!$J$16,IF(B1224="Лікар-терапевт",L1235*Законод!$C$9/4*Законод!$J$16,0)))</f>
        <v>0</v>
      </c>
      <c r="AO1235" s="216">
        <f ca="1">IF(B1224="Лікар загальної практики - сімейний лікар",S1235*Законод!$C$9/4*Законод!$J$16,IF(B1224="Лікар-педіатр",S1235*Законод!$C$9/4*Законод!$J$16,IF(B1224="Лікар-терапевт",S1235*Законод!$C$9/4*Законод!$J$16,0)))</f>
        <v>0</v>
      </c>
      <c r="AP1235" s="216">
        <f ca="1">IF(B1224="Лікар загальної практики - сімейний лікар",S1235*Законод!$C$9/4*Законод!$J$16,IF(B1224="Лікар-педіатр",S1235*Законод!$C$9/4*Законод!$J$16,IF(B1224="Лікар-терапевт",S1235*Законод!$C$9/4*Законод!$J$16,0)))</f>
        <v>0</v>
      </c>
      <c r="AQ1235" s="216">
        <f ca="1">IF(B1224="Лікар загальної практики - сімейний лікар",AG1235*Законод!$C$9/4*Законод!$J$16,IF(B1224="Лікар-педіатр",AG1235*Законод!$C$9/4*Законод!$J$16,IF(B1224="Лікар-терапевт",AG1235*Законод!$C$9/4*Законод!$J$16,0)))</f>
        <v>0</v>
      </c>
      <c r="AR1235" s="217">
        <f t="shared" si="134"/>
        <v>0</v>
      </c>
    </row>
    <row r="1236" spans="1:44" s="247" customFormat="1" ht="23.45" hidden="1" customHeight="1" thickBot="1">
      <c r="A1236" s="243"/>
      <c r="B1236" s="244"/>
      <c r="C1236" s="244"/>
      <c r="D1236" s="244"/>
      <c r="E1236" s="244"/>
      <c r="F1236" s="245"/>
      <c r="G1236" s="246"/>
      <c r="H1236" s="246"/>
      <c r="L1236" s="248"/>
      <c r="S1236" s="248"/>
      <c r="Z1236" s="248"/>
      <c r="AG1236" s="248"/>
      <c r="AM1236" s="249"/>
      <c r="AR1236" s="250"/>
    </row>
    <row r="1237" spans="1:44" s="191" customFormat="1" ht="24.6" hidden="1" customHeight="1">
      <c r="A1237" s="194">
        <f>A1224+1</f>
        <v>93</v>
      </c>
      <c r="B1237" s="950"/>
      <c r="C1237" s="953"/>
      <c r="D1237" s="956"/>
      <c r="E1237" s="938"/>
      <c r="F1237" s="234" t="s">
        <v>659</v>
      </c>
      <c r="G1237" s="196">
        <f>IF($B$1237="Лікар-педіатр",G1240*L1237,IF($B$1237="Лікар-терапевт","х",IF($B$1237="Лікар загальної практики - сімейний лікар",G1240*L1237,0)))</f>
        <v>0</v>
      </c>
      <c r="H1237" s="196">
        <f>IF($B$1237="Лікар-педіатр",H1240*L1237,IF($B$1237="Лікар-терапевт","х",IF($B$1237="Лікар загальної практики - сімейний лікар",H1240*L1237,0)))</f>
        <v>0</v>
      </c>
      <c r="I1237" s="196">
        <f>IF($B$1237="Лікар-педіатр","x",IF($B$1237="Лікар-терапевт",I1240*L1237,IF($B$1237="Лікар загальної практики - сімейний лікар",I1240*L1237,0)))</f>
        <v>0</v>
      </c>
      <c r="J1237" s="196">
        <f>IF($B$1237="Лікар-педіатр","x",IF($B$1237="Лікар-терапевт",J1240*L1237,IF($B$1237="Лікар загальної практики - сімейний лікар",J1240*L1237,0)))</f>
        <v>0</v>
      </c>
      <c r="K1237" s="196">
        <f>IF($B$1237="Лікар-педіатр","x",IF($B$1237="Лікар-терапевт",K1240*L1237,IF($B$1237="Лікар загальної практики - сімейний лікар",K1240*L1237,0)))</f>
        <v>0</v>
      </c>
      <c r="L1237" s="557"/>
      <c r="M1237" s="941"/>
      <c r="N1237" s="196">
        <f>IF($B$1237="Лікар-педіатр",N1240*S1237,IF($B$1237="Лікар-терапевт","х",IF($B$1237="Лікар загальної практики - сімейний лікар",N1240*S1237,0)))</f>
        <v>0</v>
      </c>
      <c r="O1237" s="196">
        <f>IF($B$1237="Лікар-педіатр",O1240*S1237,IF($B$1237="Лікар-терапевт","х",IF($B$1237="Лікар загальної практики - сімейний лікар",O1240*S1237,0)))</f>
        <v>0</v>
      </c>
      <c r="P1237" s="196">
        <f>IF($B$1237="Лікар-педіатр","x",IF($B$1237="Лікар-терапевт",P1240*S1237,IF($B$1237="Лікар загальної практики - сімейний лікар",P1240*S1237,0)))</f>
        <v>0</v>
      </c>
      <c r="Q1237" s="196">
        <f>IF($B$1237="Лікар-педіатр","x",IF($B$1237="Лікар-терапевт",Q1240*S1237,IF($B$1237="Лікар загальної практики - сімейний лікар",Q1240*S1237,0)))</f>
        <v>0</v>
      </c>
      <c r="R1237" s="196">
        <f>IF($B$1237="Лікар-педіатр","x",IF($B$1237="Лікар-терапевт",R1240*S1237,IF($B$1237="Лікар загальної практики - сімейний лікар",R1240*S1237,0)))</f>
        <v>0</v>
      </c>
      <c r="S1237" s="557"/>
      <c r="T1237" s="941"/>
      <c r="U1237" s="196">
        <f>IF($B$1237="Лікар-педіатр",U1240*Z1237,IF($B$1237="Лікар-терапевт","х",IF($B$1237="Лікар загальної практики - сімейний лікар",U1240*Z1237,0)))</f>
        <v>0</v>
      </c>
      <c r="V1237" s="196">
        <f>IF($B$1237="Лікар-педіатр",V1240*Z1237,IF($B$1237="Лікар-терапевт","х",IF($B$1237="Лікар загальної практики - сімейний лікар",V1240*Z1237,0)))</f>
        <v>0</v>
      </c>
      <c r="W1237" s="196">
        <f>IF($B$1237="Лікар-педіатр","x",IF($B$1237="Лікар-терапевт",W1240*Z1237,IF($B$1237="Лікар загальної практики - сімейний лікар",W1240*Z1237,0)))</f>
        <v>0</v>
      </c>
      <c r="X1237" s="196">
        <f>IF($B$1237="Лікар-педіатр","x",IF($B$1237="Лікар-терапевт",X1240*Z1237,IF($B$1237="Лікар загальної практики - сімейний лікар",X1240*Z1237,0)))</f>
        <v>0</v>
      </c>
      <c r="Y1237" s="196">
        <f>IF($B$1237="Лікар-педіатр","x",IF($B$1237="Лікар-терапевт",Y1240*Z1237,IF($B$1237="Лікар загальної практики - сімейний лікар",Y1240*Z1237,0)))</f>
        <v>0</v>
      </c>
      <c r="Z1237" s="557"/>
      <c r="AA1237" s="941"/>
      <c r="AB1237" s="196">
        <f>IF($B$1237="Лікар-педіатр",AB1240*AG1237,IF($B$1237="Лікар-терапевт","х",IF($B$1237="Лікар загальної практики - сімейний лікар",AB1240*AG1237,0)))</f>
        <v>0</v>
      </c>
      <c r="AC1237" s="196">
        <f>IF($B$1237="Лікар-педіатр",AC1240*AG1237,IF($B$1237="Лікар-терапевт","х",IF($B$1237="Лікар загальної практики - сімейний лікар",AC1240*AG1237,0)))</f>
        <v>0</v>
      </c>
      <c r="AD1237" s="196">
        <f>IF($B$1237="Лікар-педіатр","x",IF($B$1237="Лікар-терапевт",AD1240*AG1237,IF($B$1237="Лікар загальної практики - сімейний лікар",AD1240*AG1237,0)))</f>
        <v>0</v>
      </c>
      <c r="AE1237" s="196">
        <f>IF($B$1237="Лікар-педіатр","x",IF($B$1237="Лікар-терапевт",AE1240*AG1237,IF($B$1237="Лікар загальної практики - сімейний лікар",AE1240*AG1237,0)))</f>
        <v>0</v>
      </c>
      <c r="AF1237" s="196">
        <f>IF($B$1237="Лікар-педіатр","x",IF($B$1237="Лікар-терапевт",AF1240*AG1237,IF($B$1237="Лікар загальної практики - сімейний лікар",AF1240*AG1237,0)))</f>
        <v>0</v>
      </c>
      <c r="AG1237" s="557"/>
      <c r="AH1237" s="941"/>
      <c r="AI1237" s="540">
        <f>A1237</f>
        <v>93</v>
      </c>
      <c r="AJ1237" s="944">
        <f>B1237</f>
        <v>0</v>
      </c>
      <c r="AK1237" s="959">
        <f>C1237</f>
        <v>0</v>
      </c>
      <c r="AL1237" s="959">
        <f>D1237</f>
        <v>0</v>
      </c>
      <c r="AM1237" s="929" t="s">
        <v>79</v>
      </c>
      <c r="AN1237" s="947">
        <f>SUM(AN1242:AN1248)</f>
        <v>0</v>
      </c>
      <c r="AO1237" s="947">
        <f>SUM(AO1242:AO1248)</f>
        <v>0</v>
      </c>
      <c r="AP1237" s="947">
        <f>SUM(AP1242:AP1248)</f>
        <v>0</v>
      </c>
      <c r="AQ1237" s="947">
        <f>SUM(AQ1242:AQ1248)</f>
        <v>0</v>
      </c>
      <c r="AR1237" s="962">
        <f>SUM(AN1237:AQ1241)</f>
        <v>0</v>
      </c>
    </row>
    <row r="1238" spans="1:44" s="50" customFormat="1" ht="28.15" hidden="1" customHeight="1">
      <c r="A1238" s="197"/>
      <c r="B1238" s="951"/>
      <c r="C1238" s="954"/>
      <c r="D1238" s="957"/>
      <c r="E1238" s="939"/>
      <c r="F1238" s="234" t="s">
        <v>660</v>
      </c>
      <c r="G1238" s="196">
        <f>IF($B$1237="Лікар-педіатр",G1240*L1238,IF($B$1237="Лікар-терапевт","х",IF($B$1237="Лікар загальної практики - сімейний лікар",G1240*L1238,0)))</f>
        <v>0</v>
      </c>
      <c r="H1238" s="196">
        <f>IF($B$1237="Лікар-педіатр",H1240*L1238,IF($B$1237="Лікар-терапевт","х",IF($B$1237="Лікар загальної практики - сімейний лікар",H1240*L1238,0)))</f>
        <v>0</v>
      </c>
      <c r="I1238" s="196">
        <f>IF($B$1237="Лікар-педіатр","x",IF($B$1237="Лікар-терапевт",I1240*L1238,IF($B$1237="Лікар загальної практики - сімейний лікар",I1240*L1238,0)))</f>
        <v>0</v>
      </c>
      <c r="J1238" s="196">
        <f>IF($B$1237="Лікар-педіатр","x",IF($B$1237="Лікар-терапевт",J1240*L1238,IF($B$1237="Лікар загальної практики - сімейний лікар",J1240*L1238,0)))</f>
        <v>0</v>
      </c>
      <c r="K1238" s="196">
        <f>IF($B$1237="Лікар-педіатр","x",IF($B$1237="Лікар-терапевт",K1240*L1238,IF($B$1237="Лікар загальної практики - сімейний лікар",K1240*L1238,0)))</f>
        <v>0</v>
      </c>
      <c r="L1238" s="557"/>
      <c r="M1238" s="942"/>
      <c r="N1238" s="196">
        <f>IF($B$1237="Лікар-педіатр",N1240*S1238,IF($B$1237="Лікар-терапевт","х",IF($B$1237="Лікар загальної практики - сімейний лікар",N1240*S1238,0)))</f>
        <v>0</v>
      </c>
      <c r="O1238" s="196">
        <f>IF($B$1237="Лікар-педіатр",O1240*S1238,IF($B$1237="Лікар-терапевт","х",IF($B$1237="Лікар загальної практики - сімейний лікар",O1240*S1238,0)))</f>
        <v>0</v>
      </c>
      <c r="P1238" s="196">
        <f>IF($B$1237="Лікар-педіатр","x",IF($B$1237="Лікар-терапевт",P1240*S1238,IF($B$1237="Лікар загальної практики - сімейний лікар",P1240*S1238,0)))</f>
        <v>0</v>
      </c>
      <c r="Q1238" s="196">
        <f>IF($B$1237="Лікар-педіатр","x",IF($B$1237="Лікар-терапевт",Q1240*S1238,IF($B$1237="Лікар загальної практики - сімейний лікар",Q1240*S1238,0)))</f>
        <v>0</v>
      </c>
      <c r="R1238" s="196">
        <f>IF($B$1237="Лікар-педіатр","x",IF($B$1237="Лікар-терапевт",R1240*S1238,IF($B$1237="Лікар загальної практики - сімейний лікар",R1240*S1238,0)))</f>
        <v>0</v>
      </c>
      <c r="S1238" s="557"/>
      <c r="T1238" s="942"/>
      <c r="U1238" s="196">
        <f>IF($B$1237="Лікар-педіатр",U1240*Z1238,IF($B$1237="Лікар-терапевт","х",IF($B$1237="Лікар загальної практики - сімейний лікар",U1240*Z1238,0)))</f>
        <v>0</v>
      </c>
      <c r="V1238" s="196">
        <f>IF($B$1237="Лікар-педіатр",V1240*Z1238,IF($B$1237="Лікар-терапевт","х",IF($B$1237="Лікар загальної практики - сімейний лікар",V1240*Z1238,0)))</f>
        <v>0</v>
      </c>
      <c r="W1238" s="196">
        <f>IF($B$1237="Лікар-педіатр","x",IF($B$1237="Лікар-терапевт",W1240*Z1238,IF($B$1237="Лікар загальної практики - сімейний лікар",W1240*Z1238,0)))</f>
        <v>0</v>
      </c>
      <c r="X1238" s="196">
        <f>IF($B$1237="Лікар-педіатр","x",IF($B$1237="Лікар-терапевт",X1240*Z1238,IF($B$1237="Лікар загальної практики - сімейний лікар",X1240*Z1238,0)))</f>
        <v>0</v>
      </c>
      <c r="Y1238" s="196">
        <f>IF($B$1237="Лікар-педіатр","x",IF($B$1237="Лікар-терапевт",Y1240*Z1238,IF($B$1237="Лікар загальної практики - сімейний лікар",Y1240*Z1238,0)))</f>
        <v>0</v>
      </c>
      <c r="Z1238" s="557"/>
      <c r="AA1238" s="942"/>
      <c r="AB1238" s="196">
        <f>IF($B$1237="Лікар-педіатр",AB1240*AG1238,IF($B$1237="Лікар-терапевт","х",IF($B$1237="Лікар загальної практики - сімейний лікар",AB1240*AG1238,0)))</f>
        <v>0</v>
      </c>
      <c r="AC1238" s="196">
        <f>IF($B$1237="Лікар-педіатр",AC1240*AG1238,IF($B$1237="Лікар-терапевт","х",IF($B$1237="Лікар загальної практики - сімейний лікар",AC1240*AG1238,0)))</f>
        <v>0</v>
      </c>
      <c r="AD1238" s="196">
        <f>IF($B$1237="Лікар-педіатр","x",IF($B$1237="Лікар-терапевт",AD1240*AG1238,IF($B$1237="Лікар загальної практики - сімейний лікар",AD1240*AG1238,0)))</f>
        <v>0</v>
      </c>
      <c r="AE1238" s="196">
        <f>IF($B$1237="Лікар-педіатр","x",IF($B$1237="Лікар-терапевт",AE1240*AG1238,IF($B$1237="Лікар загальної практики - сімейний лікар",AE1240*AG1238,0)))</f>
        <v>0</v>
      </c>
      <c r="AF1238" s="196">
        <f>IF($B$1237="Лікар-педіатр","x",IF($B$1237="Лікар-терапевт",AF1240*AG1238,IF($B$1237="Лікар загальної практики - сімейний лікар",AF1240*AG1238,0)))</f>
        <v>0</v>
      </c>
      <c r="AG1238" s="557"/>
      <c r="AH1238" s="942"/>
      <c r="AI1238" s="198"/>
      <c r="AJ1238" s="945"/>
      <c r="AK1238" s="960"/>
      <c r="AL1238" s="960"/>
      <c r="AM1238" s="930"/>
      <c r="AN1238" s="948"/>
      <c r="AO1238" s="948"/>
      <c r="AP1238" s="948"/>
      <c r="AQ1238" s="948"/>
      <c r="AR1238" s="963"/>
    </row>
    <row r="1239" spans="1:44" s="90" customFormat="1" ht="31.15" hidden="1" customHeight="1">
      <c r="A1239" s="240"/>
      <c r="B1239" s="951"/>
      <c r="C1239" s="954"/>
      <c r="D1239" s="957"/>
      <c r="E1239" s="939"/>
      <c r="F1239" s="241" t="s">
        <v>661</v>
      </c>
      <c r="G1239" s="199">
        <f>IF(B1237="Лікар загальної практики - сімейний лікар"," ",IF(B1237="Лікар-педіатр"," ",IF(B1237="Лікар-терапевт","х",0)))</f>
        <v>0</v>
      </c>
      <c r="H1239" s="199">
        <f>IF(B1237="Лікар загальної практики - сімейний лікар"," ",IF(B1237="Лікар-педіатр"," ",IF(B1237="Лікар-терапевт","х",0)))</f>
        <v>0</v>
      </c>
      <c r="I1239" s="199">
        <f>IF(B1237="Лікар загальної практики - сімейний лікар"," ",IF(B1237="Лікар-педіатр","х",IF(B1237="Лікар-терапевт"," ",0)))</f>
        <v>0</v>
      </c>
      <c r="J1239" s="199">
        <f>IF(B1237="Лікар загальної практики - сімейний лікар"," ",IF(B1237="Лікар-педіатр","х",IF(B1237="Лікар-терапевт"," ",0)))</f>
        <v>0</v>
      </c>
      <c r="K1239" s="199">
        <f>IF(B1237="Лікар загальної практики - сімейний лікар"," ",IF(B1237="Лікар-педіатр","х",IF(B1237="Лікар-терапевт"," ",0)))</f>
        <v>0</v>
      </c>
      <c r="L1239" s="200">
        <f>SUM(G1239:K1239)</f>
        <v>0</v>
      </c>
      <c r="M1239" s="942"/>
      <c r="N1239" s="199">
        <f>IF(B1237="Лікар загальної практики - сімейний лікар"," ",IF(B1237="Лікар-педіатр"," ",IF(B1237="Лікар-терапевт","х",0)))</f>
        <v>0</v>
      </c>
      <c r="O1239" s="199">
        <f>IF(B1237="Лікар загальної практики - сімейний лікар"," ",IF(B1237="Лікар-педіатр"," ",IF(B1237="Лікар-терапевт","х",0)))</f>
        <v>0</v>
      </c>
      <c r="P1239" s="199">
        <f>IF(B1237="Лікар загальної практики - сімейний лікар"," ",IF(B1237="Лікар-педіатр","х",IF(B1237="Лікар-терапевт"," ",0)))</f>
        <v>0</v>
      </c>
      <c r="Q1239" s="199">
        <f>IF(B1237="Лікар загальної практики - сімейний лікар"," ",IF(B1237="Лікар-педіатр","х",IF(B1237="Лікар-терапевт"," ",0)))</f>
        <v>0</v>
      </c>
      <c r="R1239" s="199">
        <f>IF(B1237="Лікар загальної практики - сімейний лікар"," ",IF(B1237="Лікар-педіатр","х",IF(B1237="Лікар-терапевт"," ",0)))</f>
        <v>0</v>
      </c>
      <c r="S1239" s="200">
        <f>SUM(N1239:R1239)</f>
        <v>0</v>
      </c>
      <c r="T1239" s="942"/>
      <c r="U1239" s="199">
        <f>IF(B1237="Лікар загальної практики - сімейний лікар"," ",IF(B1237="Лікар-педіатр"," ",IF(B1237="Лікар-терапевт","х",0)))</f>
        <v>0</v>
      </c>
      <c r="V1239" s="199">
        <f>IF(B1237="Лікар загальної практики - сімейний лікар"," ",IF(B1237="Лікар-педіатр"," ",IF(B1237="Лікар-терапевт","х",0)))</f>
        <v>0</v>
      </c>
      <c r="W1239" s="199">
        <f>IF(B1237="Лікар загальної практики - сімейний лікар"," ",IF(B1237="Лікар-педіатр","х",IF(B1237="Лікар-терапевт"," ",0)))</f>
        <v>0</v>
      </c>
      <c r="X1239" s="199">
        <f>IF(B1237="Лікар загальної практики - сімейний лікар"," ",IF(B1237="Лікар-педіатр","х",IF(B1237="Лікар-терапевт"," ",0)))</f>
        <v>0</v>
      </c>
      <c r="Y1239" s="199">
        <f>IF(B1237="Лікар загальної практики - сімейний лікар"," ",IF(B1237="Лікар-педіатр","х",IF(B1237="Лікар-терапевт"," ",0)))</f>
        <v>0</v>
      </c>
      <c r="Z1239" s="200">
        <f>SUM(U1239:Y1239)</f>
        <v>0</v>
      </c>
      <c r="AA1239" s="942"/>
      <c r="AB1239" s="199">
        <f>IF(B1237="Лікар загальної практики - сімейний лікар"," ",IF(B1237="Лікар-педіатр"," ",IF(B1237="Лікар-терапевт","х",0)))</f>
        <v>0</v>
      </c>
      <c r="AC1239" s="199">
        <f>IF(B1237="Лікар загальної практики - сімейний лікар"," ",IF(B1237="Лікар-педіатр"," ",IF(B1237="Лікар-терапевт","х",0)))</f>
        <v>0</v>
      </c>
      <c r="AD1239" s="199">
        <f>IF(B1237="Лікар загальної практики - сімейний лікар"," ",IF(B1237="Лікар-педіатр","х",IF(B1237="Лікар-терапевт"," ",0)))</f>
        <v>0</v>
      </c>
      <c r="AE1239" s="199">
        <f>IF(B1237="Лікар загальної практики - сімейний лікар"," ",IF(B1237="Лікар-педіатр","х",IF(B1237="Лікар-терапевт"," ",0)))</f>
        <v>0</v>
      </c>
      <c r="AF1239" s="199">
        <f>IF(B1237="Лікар загальної практики - сімейний лікар"," ",IF(B1237="Лікар-педіатр","х",IF(B1237="Лікар-терапевт"," ",0)))</f>
        <v>0</v>
      </c>
      <c r="AG1239" s="200">
        <f>SUM(AB1239:AF1239)</f>
        <v>0</v>
      </c>
      <c r="AH1239" s="942"/>
      <c r="AI1239" s="242"/>
      <c r="AJ1239" s="945"/>
      <c r="AK1239" s="960"/>
      <c r="AL1239" s="960"/>
      <c r="AM1239" s="930"/>
      <c r="AN1239" s="948"/>
      <c r="AO1239" s="948"/>
      <c r="AP1239" s="948"/>
      <c r="AQ1239" s="948"/>
      <c r="AR1239" s="963"/>
    </row>
    <row r="1240" spans="1:44" s="50" customFormat="1" ht="31.9" hidden="1" customHeight="1" thickBot="1">
      <c r="A1240" s="197"/>
      <c r="B1240" s="951"/>
      <c r="C1240" s="954"/>
      <c r="D1240" s="957"/>
      <c r="E1240" s="939"/>
      <c r="F1240" s="236" t="s">
        <v>426</v>
      </c>
      <c r="G1240" s="203">
        <f>IF($B$1237="Лікар-педіатр",G1239/L1239,IF($B$1237="Лікар-терапевт","х",IF($B$1237="Лікар загальної практики - сімейний лікар",G1239/L1239,0)))</f>
        <v>0</v>
      </c>
      <c r="H1240" s="203">
        <f>IF($B$1237="Лікар-педіатр",H1239/L1239,IF($B$1237="Лікар-терапевт","х",IF($B$1237="Лікар загальної практики - сімейний лікар",H1239/L1239,0)))</f>
        <v>0</v>
      </c>
      <c r="I1240" s="203">
        <f>IF($B$1237="Лікар-педіатр","x",IF($B$1237="Лікар-терапевт",I1239/L1239,IF($B$1237="Лікар загальної практики - сімейний лікар",I1239/L1239,0)))</f>
        <v>0</v>
      </c>
      <c r="J1240" s="203">
        <f>IF($B$1237="Лікар-педіатр","x",IF($B$1237="Лікар-терапевт",J1239/L1239,IF($B$1237="Лікар загальної практики - сімейний лікар",J1239/L1239,0)))</f>
        <v>0</v>
      </c>
      <c r="K1240" s="203">
        <f>IF($B$1237="Лікар-педіатр","x",IF($B$1237="Лікар-терапевт",K1239/L1239,IF($B$1237="Лікар загальної практики - сімейний лікар",K1239/L1239,0)))</f>
        <v>0</v>
      </c>
      <c r="L1240" s="203">
        <f>SUM(G1240:K1240)</f>
        <v>0</v>
      </c>
      <c r="M1240" s="942"/>
      <c r="N1240" s="203">
        <f>IF($B$1237="Лікар-педіатр",N1239/S1239,IF($B$1237="Лікар-терапевт","х",IF($B$1237="Лікар загальної практики - сімейний лікар",N1239/S1239,0)))</f>
        <v>0</v>
      </c>
      <c r="O1240" s="203">
        <f>IF($B$1237="Лікар-педіатр",O1239/S1239,IF($B$1237="Лікар-терапевт","х",IF($B$1237="Лікар загальної практики - сімейний лікар",O1239/S1239,0)))</f>
        <v>0</v>
      </c>
      <c r="P1240" s="203">
        <f>IF($B$1237="Лікар-педіатр","x",IF($B$1237="Лікар-терапевт",P1239/S1239,IF($B$1237="Лікар загальної практики - сімейний лікар",P1239/S1239,0)))</f>
        <v>0</v>
      </c>
      <c r="Q1240" s="203">
        <f>IF($B$1237="Лікар-педіатр","x",IF($B$1237="Лікар-терапевт",Q1239/S1239,IF($B$1237="Лікар загальної практики - сімейний лікар",Q1239/S1239,0)))</f>
        <v>0</v>
      </c>
      <c r="R1240" s="203">
        <f>IF($B$1237="Лікар-педіатр","x",IF($B$1237="Лікар-терапевт",R1239/S1239,IF($B$1237="Лікар загальної практики - сімейний лікар",R1239/S1239,0)))</f>
        <v>0</v>
      </c>
      <c r="S1240" s="203">
        <f>SUM(N1240:R1240)</f>
        <v>0</v>
      </c>
      <c r="T1240" s="942"/>
      <c r="U1240" s="203">
        <f>IF($B$1237="Лікар-педіатр",U1239/Z1239,IF($B$1237="Лікар-терапевт","х",IF($B$1237="Лікар загальної практики - сімейний лікар",U1239/Z1239,0)))</f>
        <v>0</v>
      </c>
      <c r="V1240" s="203">
        <f>IF($B$1237="Лікар-педіатр",V1239/Z1239,IF($B$1237="Лікар-терапевт","х",IF($B$1237="Лікар загальної практики - сімейний лікар",V1239/Z1239,0)))</f>
        <v>0</v>
      </c>
      <c r="W1240" s="203">
        <f>IF($B$1237="Лікар-педіатр","x",IF($B$1237="Лікар-терапевт",W1239/Z1239,IF($B$1237="Лікар загальної практики - сімейний лікар",W1239/Z1239,0)))</f>
        <v>0</v>
      </c>
      <c r="X1240" s="203">
        <f>IF($B$1237="Лікар-педіатр","x",IF($B$1237="Лікар-терапевт",X1239/Z1239,IF($B$1237="Лікар загальної практики - сімейний лікар",X1239/Z1239,0)))</f>
        <v>0</v>
      </c>
      <c r="Y1240" s="203">
        <f>IF($B$1237="Лікар-педіатр","x",IF($B$1237="Лікар-терапевт",Y1239/Z1239,IF($B$1237="Лікар загальної практики - сімейний лікар",Y1239/Z1239,0)))</f>
        <v>0</v>
      </c>
      <c r="Z1240" s="203">
        <f>SUM(U1240:Y1240)</f>
        <v>0</v>
      </c>
      <c r="AA1240" s="942"/>
      <c r="AB1240" s="203">
        <f>IF($B$1237="Лікар-педіатр",AB1239/AG1239,IF($B$1237="Лікар-терапевт","х",IF($B$1237="Лікар загальної практики - сімейний лікар",AB1239/AG1239,0)))</f>
        <v>0</v>
      </c>
      <c r="AC1240" s="203">
        <f>IF($B$1237="Лікар-педіатр",AC1239/AG1239,IF($B$1237="Лікар-терапевт","х",IF($B$1237="Лікар загальної практики - сімейний лікар",AC1239/AG1239,0)))</f>
        <v>0</v>
      </c>
      <c r="AD1240" s="203">
        <f>IF($B$1237="Лікар-педіатр","x",IF($B$1237="Лікар-терапевт",AD1239/AG1239,IF($B$1237="Лікар загальної практики - сімейний лікар",AD1239/AG1239,0)))</f>
        <v>0</v>
      </c>
      <c r="AE1240" s="203">
        <f>IF($B$1237="Лікар-педіатр","x",IF($B$1237="Лікар-терапевт",AE1239/AG1239,IF($B$1237="Лікар загальної практики - сімейний лікар",AE1239/AG1239,0)))</f>
        <v>0</v>
      </c>
      <c r="AF1240" s="203">
        <f>IF($B$1237="Лікар-педіатр","x",IF($B$1237="Лікар-терапевт",AF1239/AG1239,IF($B$1237="Лікар загальної практики - сімейний лікар",AF1239/AG1239,0)))</f>
        <v>0</v>
      </c>
      <c r="AG1240" s="203">
        <f>SUM(AB1240:AF1240)</f>
        <v>0</v>
      </c>
      <c r="AH1240" s="942"/>
      <c r="AI1240" s="201"/>
      <c r="AJ1240" s="945"/>
      <c r="AK1240" s="960"/>
      <c r="AL1240" s="960"/>
      <c r="AM1240" s="930"/>
      <c r="AN1240" s="948"/>
      <c r="AO1240" s="948"/>
      <c r="AP1240" s="948"/>
      <c r="AQ1240" s="948"/>
      <c r="AR1240" s="963"/>
    </row>
    <row r="1241" spans="1:44" s="50" customFormat="1" ht="45" hidden="1" customHeight="1" thickBot="1">
      <c r="A1241" s="197"/>
      <c r="B1241" s="951"/>
      <c r="C1241" s="954"/>
      <c r="D1241" s="957"/>
      <c r="E1241" s="939"/>
      <c r="F1241" s="204" t="s">
        <v>662</v>
      </c>
      <c r="G1241" s="205">
        <f>IF($B$1237="Лікар загальної практики - сімейний лікар",AVERAGE(G1237:G1239),IF($B$1237="Лікар-педіатр",AVERAGE(G1237:G1239),IF($B$1237="Лікар-терапевт","х",0)))</f>
        <v>0</v>
      </c>
      <c r="H1241" s="205">
        <f>IF($B$1237="Лікар загальної практики - сімейний лікар",AVERAGE(H1237:H1239),IF($B$1237="Лікар-педіатр",AVERAGE(H1237:H1239),IF($B$1237="Лікар-терапевт","х",0)))</f>
        <v>0</v>
      </c>
      <c r="I1241" s="205">
        <f>IF($B$1237="Лікар загальної практики - сімейний лікар",AVERAGE(I1237:I1239),IF($B$1237="Лікар-педіатр","x",IF($B$1237="Лікар-терапевт",AVERAGE(I1237:I1239),0)))</f>
        <v>0</v>
      </c>
      <c r="J1241" s="205">
        <f>IF($B$1237="Лікар загальної практики - сімейний лікар",AVERAGE(J1237:J1239),IF($B$1237="Лікар-педіатр","x",IF($B$1237="Лікар-терапевт",AVERAGE(J1237:J1239),0)))</f>
        <v>0</v>
      </c>
      <c r="K1241" s="205">
        <f>IF($B$1237="Лікар загальної практики - сімейний лікар",AVERAGE(K1237:K1239),IF($B$1237="Лікар-педіатр","x",IF($B$1237="Лікар-терапевт",AVERAGE(K1237:K1239),0)))</f>
        <v>0</v>
      </c>
      <c r="L1241" s="206">
        <f>SUM(G1241:K1241)</f>
        <v>0</v>
      </c>
      <c r="M1241" s="942"/>
      <c r="N1241" s="205">
        <f>IF($B$1237="Лікар загальної практики - сімейний лікар",AVERAGE(N1237:N1239),IF($B$1237="Лікар-педіатр",AVERAGE(N1237:N1239),IF($B$1237="Лікар-терапевт","х",0)))</f>
        <v>0</v>
      </c>
      <c r="O1241" s="205">
        <f>IF($B$1237="Лікар загальної практики - сімейний лікар",AVERAGE(O1237:O1239),IF($B$1237="Лікар-педіатр",AVERAGE(O1237:O1239),IF($B$1237="Лікар-терапевт","х",0)))</f>
        <v>0</v>
      </c>
      <c r="P1241" s="205">
        <f>IF($B$1237="Лікар загальної практики - сімейний лікар",AVERAGE(P1237:P1239),IF($B$1237="Лікар-педіатр","x",IF($B$1237="Лікар-терапевт",AVERAGE(P1237:P1239),0)))</f>
        <v>0</v>
      </c>
      <c r="Q1241" s="205">
        <f>IF($B$1237="Лікар загальної практики - сімейний лікар",AVERAGE(Q1237:Q1239),IF($B$1237="Лікар-педіатр","x",IF($B$1237="Лікар-терапевт",AVERAGE(Q1237:Q1239),0)))</f>
        <v>0</v>
      </c>
      <c r="R1241" s="205">
        <f>IF($B$1237="Лікар загальної практики - сімейний лікар",AVERAGE(R1237:R1239),IF($B$1237="Лікар-педіатр","x",IF($B$1237="Лікар-терапевт",AVERAGE(R1237:R1239),0)))</f>
        <v>0</v>
      </c>
      <c r="S1241" s="206">
        <f>SUM(N1241:R1241)</f>
        <v>0</v>
      </c>
      <c r="T1241" s="942"/>
      <c r="U1241" s="205">
        <f>IF($B$1237="Лікар загальної практики - сімейний лікар",AVERAGE(U1237:U1239),IF($B$1237="Лікар-педіатр",AVERAGE(U1237:U1239),IF($B$1237="Лікар-терапевт","х",0)))</f>
        <v>0</v>
      </c>
      <c r="V1241" s="205">
        <f>IF($B$1237="Лікар загальної практики - сімейний лікар",AVERAGE(V1237:V1239),IF($B$1237="Лікар-педіатр",AVERAGE(V1237:V1239),IF($B$1237="Лікар-терапевт","х",0)))</f>
        <v>0</v>
      </c>
      <c r="W1241" s="205">
        <f>IF($B$1237="Лікар загальної практики - сімейний лікар",AVERAGE(W1237:W1239),IF($B$1237="Лікар-педіатр","x",IF($B$1237="Лікар-терапевт",AVERAGE(W1237:W1239),0)))</f>
        <v>0</v>
      </c>
      <c r="X1241" s="205">
        <f>IF($B$1237="Лікар загальної практики - сімейний лікар",AVERAGE(X1237:X1239),IF($B$1237="Лікар-педіатр","x",IF($B$1237="Лікар-терапевт",AVERAGE(X1237:X1239),0)))</f>
        <v>0</v>
      </c>
      <c r="Y1241" s="205">
        <f>IF($B$1237="Лікар загальної практики - сімейний лікар",AVERAGE(Y1237:Y1239),IF($B$1237="Лікар-педіатр","x",IF($B$1237="Лікар-терапевт",AVERAGE(Y1237:Y1239),0)))</f>
        <v>0</v>
      </c>
      <c r="Z1241" s="206">
        <f>SUM(U1241:Y1241)</f>
        <v>0</v>
      </c>
      <c r="AA1241" s="942"/>
      <c r="AB1241" s="205">
        <f>IF($B$1237="Лікар загальної практики - сімейний лікар",AVERAGE(AB1237:AB1239),IF($B$1237="Лікар-педіатр",AVERAGE(AB1237:AB1239),IF($B$1237="Лікар-терапевт","х",0)))</f>
        <v>0</v>
      </c>
      <c r="AC1241" s="205">
        <f>IF($B$1237="Лікар загальної практики - сімейний лікар",AVERAGE(AC1237:AC1239),IF($B$1237="Лікар-педіатр",AVERAGE(AC1237:AC1239),IF($B$1237="Лікар-терапевт","х",0)))</f>
        <v>0</v>
      </c>
      <c r="AD1241" s="205">
        <f>IF($B$1237="Лікар загальної практики - сімейний лікар",AVERAGE(AD1237:AD1239),IF($B$1237="Лікар-педіатр","x",IF($B$1237="Лікар-терапевт",AVERAGE(AD1237:AD1239),0)))</f>
        <v>0</v>
      </c>
      <c r="AE1241" s="205">
        <f>IF($B$1237="Лікар загальної практики - сімейний лікар",AVERAGE(AE1237:AE1239),IF($B$1237="Лікар-педіатр","x",IF($B$1237="Лікар-терапевт",AVERAGE(AE1237:AE1239),0)))</f>
        <v>0</v>
      </c>
      <c r="AF1241" s="205">
        <f>IF($B$1237="Лікар загальної практики - сімейний лікар",AVERAGE(AF1237:AF1239),IF($B$1237="Лікар-педіатр","x",IF($B$1237="Лікар-терапевт",AVERAGE(AF1237:AF1239),0)))</f>
        <v>0</v>
      </c>
      <c r="AG1241" s="206">
        <f>SUM(AB1241:AF1241)</f>
        <v>0</v>
      </c>
      <c r="AH1241" s="942"/>
      <c r="AI1241" s="201"/>
      <c r="AJ1241" s="945"/>
      <c r="AK1241" s="960"/>
      <c r="AL1241" s="960"/>
      <c r="AM1241" s="931"/>
      <c r="AN1241" s="949"/>
      <c r="AO1241" s="949"/>
      <c r="AP1241" s="949"/>
      <c r="AQ1241" s="949"/>
      <c r="AR1241" s="964"/>
    </row>
    <row r="1242" spans="1:44" s="50" customFormat="1" ht="40.5" hidden="1">
      <c r="A1242" s="197"/>
      <c r="B1242" s="951"/>
      <c r="C1242" s="954"/>
      <c r="D1242" s="957"/>
      <c r="E1242" s="939"/>
      <c r="F1242" s="237" t="str">
        <f ca="1">IF(B1237="Лікар-педіатр",Законод!$C$17,IF(B1237="Лікар загальної практики - сімейний лікар",Законод!$C$21,IF(B1237="Лікар-терапевт",Законод!$C$25,"х")))</f>
        <v>х</v>
      </c>
      <c r="G1242" s="208">
        <f ca="1">IF($B$1237="Лікар загальної практики - сімейний лікар",IF(L1241&lt;=Законод!$C$22,G1241,Законод!$C$22*'01_Доходи'!G1240),IF($B$1237="Лікар-педіатр",IF(L1241&lt;=Законод!$C$18,G1241,Законод!$C$18*'01_Доходи'!G1240),IF($B$1237="Лікар-терапевт","x",0)))</f>
        <v>0</v>
      </c>
      <c r="H1242" s="208">
        <f ca="1">IF($B$1237="Лікар загальної практики - сімейний лікар",IF(L1241&lt;=Законод!$C$22,H1241,Законод!$C$22*'01_Доходи'!H1240),IF($B$1237="Лікар-педіатр",IF(L1241&lt;=Законод!$C$18,H1241,Законод!$C$18*'01_Доходи'!H1240),IF($B$1237="Лікар-терапевт","x",0)))</f>
        <v>0</v>
      </c>
      <c r="I1242" s="208">
        <f ca="1">IF($B$1237="Лікар загальної практики - сімейний лікар",IF(L1241&lt;=Законод!$C$22,I1241,Законод!$C$22*'01_Доходи'!I1240),IF($B$1237="Лікар-педіатр","x",IF($B$1237="Лікар-терапевт",IF(L1241&lt;=Законод!$C$26,I1241,Законод!$C$26*'01_Доходи'!I1240),0)))</f>
        <v>0</v>
      </c>
      <c r="J1242" s="208">
        <f ca="1">IF($B$1237="Лікар загальної практики - сімейний лікар",IF(L1241&lt;=Законод!$C$22,J1241,Законод!$C$22*'01_Доходи'!J1240),IF($B$1237="Лікар-педіатр","x",IF($B$1237="Лікар-терапевт",IF(L1241&lt;=Законод!$C$26,J1241,Законод!$C$26*'01_Доходи'!J1240),0)))</f>
        <v>0</v>
      </c>
      <c r="K1242" s="208">
        <f ca="1">IF($B$1237="Лікар загальної практики - сімейний лікар",IF(L1241&lt;=Законод!$C$22,K1241,Законод!$C$22*'01_Доходи'!K1240),IF($B$1237="Лікар-педіатр","x",IF($B$1237="Лікар-терапевт",IF(L1241&lt;=Законод!$C$26,K1241,Законод!$C$26*'01_Доходи'!K1240),0)))</f>
        <v>0</v>
      </c>
      <c r="L1242" s="209">
        <f ca="1">SUM(G1242:K1242)</f>
        <v>0</v>
      </c>
      <c r="M1242" s="942"/>
      <c r="N1242" s="208">
        <f ca="1">IF($B$1237="Лікар загальної практики - сімейний лікар",IF(S1241&lt;=Законод!$C$22,N1241,Законод!$C$22*'01_Доходи'!N1240),IF($B$1237="Лікар-педіатр",IF(S1241&lt;=Законод!$C$18,N1241,Законод!$C$18*'01_Доходи'!N1240),IF($B$1237="Лікар-терапевт","x",0)))</f>
        <v>0</v>
      </c>
      <c r="O1242" s="208">
        <f ca="1">IF($B$1237="Лікар загальної практики - сімейний лікар",IF(S1241&lt;=Законод!$C$22,O1241,Законод!$C$22*'01_Доходи'!O1240),IF($B$1237="Лікар-педіатр",IF(S1241&lt;=Законод!$C$18,O1241,Законод!$C$18*'01_Доходи'!O1240),IF($B$1237="Лікар-терапевт","x",0)))</f>
        <v>0</v>
      </c>
      <c r="P1242" s="208">
        <f ca="1">IF($B$1237="Лікар загальної практики - сімейний лікар",IF(S1241&lt;=Законод!$C$22,P1241,Законод!$C$22*'01_Доходи'!P1240),IF($B$1237="Лікар-педіатр","x",IF($B$1237="Лікар-терапевт",IF(S1241&lt;=Законод!$C$26,P1241,Законод!$C$26*'01_Доходи'!P1240),0)))</f>
        <v>0</v>
      </c>
      <c r="Q1242" s="208">
        <f ca="1">IF($B$1237="Лікар загальної практики - сімейний лікар",IF(S1241&lt;=Законод!$C$22,Q1241,Законод!$C$22*'01_Доходи'!Q1240),IF($B$1237="Лікар-педіатр","x",IF($B$1237="Лікар-терапевт",IF(S1241&lt;=Законод!$C$26,Q1241,Законод!$C$26*'01_Доходи'!Q1240),0)))</f>
        <v>0</v>
      </c>
      <c r="R1242" s="208">
        <f ca="1">IF($B$1237="Лікар загальної практики - сімейний лікар",IF(S1241&lt;=Законод!$C$22,R1241,Законод!$C$22*'01_Доходи'!R1240),IF($B$1237="Лікар-педіатр","x",IF($B$1237="Лікар-терапевт",IF(S1241&lt;=Законод!$C$26,R1241,Законод!$C$26*'01_Доходи'!R1240),0)))</f>
        <v>0</v>
      </c>
      <c r="S1242" s="209">
        <f ca="1">SUM(N1242:R1242)</f>
        <v>0</v>
      </c>
      <c r="T1242" s="942"/>
      <c r="U1242" s="208">
        <f ca="1">IF($B$1237="Лікар загальної практики - сімейний лікар",IF(Z1241&lt;=Законод!$C$22,U1241,Законод!$C$22*'01_Доходи'!U1240),IF($B$1237="Лікар-педіатр",IF(Z1241&lt;=Законод!$C$18,U1241,Законод!$C$18*'01_Доходи'!U1240),IF($B$1237="Лікар-терапевт","x",0)))</f>
        <v>0</v>
      </c>
      <c r="V1242" s="208">
        <f ca="1">IF($B$1237="Лікар загальної практики - сімейний лікар",IF(Z1241&lt;=Законод!$C$22,V1241,Законод!$C$22*'01_Доходи'!V1240),IF($B$1237="Лікар-педіатр",IF(Z1241&lt;=Законод!$C$18,V1241,Законод!$C$18*'01_Доходи'!V1240),IF($B$1237="Лікар-терапевт","x",0)))</f>
        <v>0</v>
      </c>
      <c r="W1242" s="208">
        <f ca="1">IF($B$1237="Лікар загальної практики - сімейний лікар",IF(Z1241&lt;=Законод!$C$22,W1241,Законод!$C$22*'01_Доходи'!W1240),IF($B$1237="Лікар-педіатр","x",IF($B$1237="Лікар-терапевт",IF(Z1241&lt;=Законод!$C$26,W1241,Законод!$C$26*'01_Доходи'!W1240),0)))</f>
        <v>0</v>
      </c>
      <c r="X1242" s="208">
        <f ca="1">IF($B$1237="Лікар загальної практики - сімейний лікар",IF(Z1241&lt;=Законод!$C$22,X1241,Законод!$C$22*'01_Доходи'!X1240),IF($B$1237="Лікар-педіатр","x",IF($B$1237="Лікар-терапевт",IF(Z1241&lt;=Законод!$C$26,X1241,Законод!$C$26*'01_Доходи'!X1240),0)))</f>
        <v>0</v>
      </c>
      <c r="Y1242" s="208">
        <f ca="1">IF($B$1237="Лікар загальної практики - сімейний лікар",IF(Z1241&lt;=Законод!$C$22,Y1241,Законод!$C$22*'01_Доходи'!Y1240),IF($B$1237="Лікар-педіатр","x",IF($B$1237="Лікар-терапевт",IF(Z1241&lt;=Законод!$C$26,Y1241,Законод!$C$26*'01_Доходи'!Y1240),0)))</f>
        <v>0</v>
      </c>
      <c r="Z1242" s="209">
        <f ca="1">SUM(U1242:Y1242)</f>
        <v>0</v>
      </c>
      <c r="AA1242" s="942"/>
      <c r="AB1242" s="208">
        <f ca="1">IF($B$1237="Лікар загальної практики - сімейний лікар",IF(AG1241&lt;=Законод!$C$22,AB1241,Законод!$C$22*'01_Доходи'!AB1240),IF($B$1237="Лікар-педіатр",IF(AG1241&lt;=Законод!$C$18,AB1241,Законод!$C$18*'01_Доходи'!AB1240),IF($B$1237="Лікар-терапевт","x",0)))</f>
        <v>0</v>
      </c>
      <c r="AC1242" s="208">
        <f ca="1">IF($B$1237="Лікар загальної практики - сімейний лікар",IF(AG1241&lt;=Законод!$C$22,AC1241,Законод!$C$22*'01_Доходи'!AC1240),IF($B$1237="Лікар-педіатр",IF(AG1241&lt;=Законод!$C$18,AC1241,Законод!$C$18*'01_Доходи'!AC1240),IF($B$1237="Лікар-терапевт","x",0)))</f>
        <v>0</v>
      </c>
      <c r="AD1242" s="208">
        <f ca="1">IF($B$1237="Лікар загальної практики - сімейний лікар",IF(AG1241&lt;=Законод!$C$22,AD1241,Законод!$C$22*'01_Доходи'!AD1240),IF($B$1237="Лікар-педіатр","x",IF($B$1237="Лікар-терапевт",IF(AG1241&lt;=Законод!$C$26,AD1241,Законод!$C$26*'01_Доходи'!AD1240),0)))</f>
        <v>0</v>
      </c>
      <c r="AE1242" s="208">
        <f ca="1">IF($B$1237="Лікар загальної практики - сімейний лікар",IF(AG1241&lt;=Законод!$C$22,AE1241,Законод!$C$22*'01_Доходи'!AE1240),IF($B$1237="Лікар-педіатр","x",IF($B$1237="Лікар-терапевт",IF(AG1241&lt;=Законод!$C$26,AE1241,Законод!$C$26*'01_Доходи'!AE1240),0)))</f>
        <v>0</v>
      </c>
      <c r="AF1242" s="208">
        <f ca="1">IF($B$1237="Лікар загальної практики - сімейний лікар",IF(AG1241&lt;=Законод!$C$22,AF1241,Законод!$C$22*'01_Доходи'!AF1240),IF($B$1237="Лікар-педіатр","x",IF($B$1237="Лікар-терапевт",IF(AG1241&lt;=Законод!$C$26,AF1241,Законод!$C$26*'01_Доходи'!AF1240),0)))</f>
        <v>0</v>
      </c>
      <c r="AG1242" s="209">
        <f ca="1">SUM(AB1242:AF1242)</f>
        <v>0</v>
      </c>
      <c r="AH1242" s="942"/>
      <c r="AI1242" s="201"/>
      <c r="AJ1242" s="945"/>
      <c r="AK1242" s="960"/>
      <c r="AL1242" s="960"/>
      <c r="AM1242" s="348" t="s">
        <v>451</v>
      </c>
      <c r="AN1242" s="210">
        <f ca="1">IF(B1237="Лікар загальної практики - сімейний лікар",G1242*Законод!$C$11+'01_Доходи'!H1242*Законод!$D$11+'01_Доходи'!I1242*Законод!$E$11+'01_Доходи'!J1242*Законод!$F$11+'01_Доходи'!K1242*Законод!$G$11,IF(B1237="Лікар-педіатр",G1242*Законод!$C$11+'01_Доходи'!H1242*Законод!$D$11,IF(B1237="Лікар-терапевт",'01_Доходи'!I1242*Законод!$E$11+'01_Доходи'!J1242*Законод!$F$11+'01_Доходи'!K1242*Законод!$G$11,0)))</f>
        <v>0</v>
      </c>
      <c r="AO1242" s="210">
        <f ca="1">IF(B1237="Лікар загальної практики - сімейний лікар",N1242*Законод!$C$11+'01_Доходи'!O1242*Законод!$D$11+'01_Доходи'!P1242*Законод!$E$11+'01_Доходи'!Q1242*Законод!$F$11+'01_Доходи'!R1242*Законод!$G$11,IF(B1237="Лікар-педіатр",N1242*Законод!$C$11+'01_Доходи'!O1242*Законод!$D$11,IF(B1237="Лікар-терапевт",'01_Доходи'!P1242*Законод!$E$11+'01_Доходи'!Q1242*Законод!$F$11+'01_Доходи'!R1242*Законод!$G$11,0)))</f>
        <v>0</v>
      </c>
      <c r="AP1242" s="210">
        <f ca="1">IF(B1237="Лікар загальної практики - сімейний лікар",U1242*Законод!$C$11+'01_Доходи'!V1242*Законод!$D$11+'01_Доходи'!W1242*Законод!$E$11+'01_Доходи'!X1242*Законод!$F$11+'01_Доходи'!Y1242*Законод!$G$11,IF(B1237="Лікар-педіатр",U1242*Законод!$C$11+'01_Доходи'!V1242*Законод!$D$11,IF(B1237="Лікар-терапевт",'01_Доходи'!W1242*Законод!$E$11+'01_Доходи'!X1242*Законод!$F$11+'01_Доходи'!Y1242*Законод!$G$11,0)))</f>
        <v>0</v>
      </c>
      <c r="AQ1242" s="210">
        <f ca="1">IF(B1237="Лікар загальної практики - сімейний лікар",AB1242*Законод!$C$11+'01_Доходи'!AC1242*Законод!$D$11+'01_Доходи'!AD1242*Законод!$E$11+'01_Доходи'!AE1242*Законод!$F$11+'01_Доходи'!AF1242*Законод!$G$11,IF(B1237="Лікар-педіатр",AB1242*Законод!$C$11+'01_Доходи'!AC1242*Законод!$D$11,IF(B1237="Лікар-терапевт",'01_Доходи'!AD1242*Законод!$E$11+'01_Доходи'!AE1242*Законод!$F$11+'01_Доходи'!AF1242*Законод!$G$11,0)))</f>
        <v>0</v>
      </c>
      <c r="AR1242" s="211">
        <f t="shared" ref="AR1242:AR1248" si="135">SUM(AN1242:AQ1242)</f>
        <v>0</v>
      </c>
    </row>
    <row r="1243" spans="1:44" s="50" customFormat="1" ht="31.9" hidden="1" customHeight="1">
      <c r="A1243" s="197"/>
      <c r="B1243" s="951"/>
      <c r="C1243" s="954"/>
      <c r="D1243" s="957"/>
      <c r="E1243" s="939"/>
      <c r="F1243" s="238" t="str">
        <f ca="1">IF(B1237="Лікар-педіатр",Законод!$E$17,IF(B1237="Лікар загальної практики - сімейний лікар",Законод!$E$21,IF(B1237="Лікар-терапевт",Законод!$E$25,"х")))</f>
        <v>х</v>
      </c>
      <c r="G1243" s="935" t="s">
        <v>423</v>
      </c>
      <c r="H1243" s="936"/>
      <c r="I1243" s="936"/>
      <c r="J1243" s="936"/>
      <c r="K1243" s="937"/>
      <c r="L1243" s="196">
        <f ca="1">IF($B$1237="Лікар загальної практики - сімейний лікар",IF(L1241&lt;Законод!$C$22,0,(IF(AND(L1241&gt;=Законод!$E$22,L1241&lt;=Законод!$E$23),L1241-Законод!$C$22,IF('01_Доходи'!L1241&gt;=Законод!$F$22,Законод!$E$24,0)))),IF($B$1237="Лікар-педіатр",IF(L1241&lt;Законод!$C$18,0,(IF(AND(L1241&gt;=Законод!$E$18,L1241&lt;=Законод!$E$19),L1241-Законод!$C$18,IF('01_Доходи'!L1241&gt;=Законод!$F$18,Законод!$E$20,0)))),IF($B$1237="Лікар-терапевт",IF(L1241&lt;Законод!$C$26,0,(IF(AND(L1241&gt;=Законод!$E$26,L1241&lt;=Законод!$E$27),L1241-Законод!$C$26,IF('01_Доходи'!L1241&gt;=Законод!$F$26,Законод!$E$28,0)))),0)))</f>
        <v>0</v>
      </c>
      <c r="M1243" s="942"/>
      <c r="N1243" s="935" t="s">
        <v>423</v>
      </c>
      <c r="O1243" s="936"/>
      <c r="P1243" s="936"/>
      <c r="Q1243" s="936"/>
      <c r="R1243" s="937"/>
      <c r="S1243" s="196">
        <f ca="1">IF($B$1237="Лікар загальної практики - сімейний лікар",IF(S1241&lt;Законод!$C$22,0,(IF(AND(S1241&gt;=Законод!$E$22,S1241&lt;=Законод!$E$23),S1241-Законод!$C$22,IF('01_Доходи'!S1241&gt;=Законод!$F$22,Законод!$E$24,0)))),IF($B$1237="Лікар-педіатр",IF(S1241&lt;Законод!$C$18,0,(IF(AND(S1241&gt;=Законод!$E$18,S1241&lt;=Законод!$E$19),S1241-Законод!$C$18,IF('01_Доходи'!S1241&gt;=Законод!$F$18,Законод!$E$20,0)))),IF($B$1237="Лікар-терапевт",IF(S1241&lt;Законод!$C$26,0,(IF(AND(S1241&gt;=Законод!$E$26,S1241&lt;=Законод!$E$27),S1241-Законод!$C$26,IF('01_Доходи'!S1241&gt;=Законод!$F$26,Законод!$E$28,0)))),0)))</f>
        <v>0</v>
      </c>
      <c r="T1243" s="942"/>
      <c r="U1243" s="935" t="s">
        <v>423</v>
      </c>
      <c r="V1243" s="936"/>
      <c r="W1243" s="936"/>
      <c r="X1243" s="936"/>
      <c r="Y1243" s="937"/>
      <c r="Z1243" s="196">
        <f ca="1">IF($B$1237="Лікар загальної практики - сімейний лікар",IF(Z1241&lt;Законод!$C$22,0,(IF(AND(Z1241&gt;=Законод!$E$22,Z1241&lt;=Законод!$E$23),Z1241-Законод!$C$22,IF('01_Доходи'!Z1241&gt;=Законод!$F$22,Законод!$E$24,0)))),IF($B$1237="Лікар-педіатр",IF(Z1241&lt;Законод!$C$18,0,(IF(AND(Z1241&gt;=Законод!$E$18,Z1241&lt;=Законод!$E$19),Z1241-Законод!$C$18,IF('01_Доходи'!Z1241&gt;=Законод!$F$18,Законод!$E$20,0)))),IF($B$1237="Лікар-терапевт",IF(Z1241&lt;Законод!$C$26,0,(IF(AND(Z1241&gt;=Законод!$E$26,Z1241&lt;=Законод!$E$27),Z1241-Законод!$C$26,IF('01_Доходи'!Z1241&gt;=Законод!$F$26,Законод!$E$28,0)))),0)))</f>
        <v>0</v>
      </c>
      <c r="AA1243" s="942"/>
      <c r="AB1243" s="935" t="s">
        <v>423</v>
      </c>
      <c r="AC1243" s="936"/>
      <c r="AD1243" s="936"/>
      <c r="AE1243" s="936"/>
      <c r="AF1243" s="937"/>
      <c r="AG1243" s="196">
        <f ca="1">IF($B$1237="Лікар загальної практики - сімейний лікар",IF(AG1241&lt;Законод!$C$22,0,(IF(AND(AG1241&gt;=Законод!$E$22,AG1241&lt;=Законод!$E$23),AG1241-Законод!$C$22,IF('01_Доходи'!AG1241&gt;=Законод!$F$22,Законод!$E$24,0)))),IF($B$1237="Лікар-педіатр",IF(AG1241&lt;Законод!$C$18,0,(IF(AND(AG1241&gt;=Законод!$E$18,AG1241&lt;=Законод!$E$19),AG1241-Законод!$C$18,IF('01_Доходи'!AG1241&gt;=Законод!$F$18,Законод!$E$20,0)))),IF($B$1237="Лікар-терапевт",IF(AG1241&lt;Законод!$C$26,0,(IF(AND(AG1241&gt;=Законод!$E$26,AG1241&lt;=Законод!$E$27),AG1241-Законод!$C$26,IF('01_Доходи'!AG1241&gt;=Законод!$F$26,Законод!$E$28,0)))),0)))</f>
        <v>0</v>
      </c>
      <c r="AH1243" s="942"/>
      <c r="AI1243" s="201"/>
      <c r="AJ1243" s="945"/>
      <c r="AK1243" s="960"/>
      <c r="AL1243" s="960"/>
      <c r="AM1243" s="926" t="s">
        <v>452</v>
      </c>
      <c r="AN1243" s="210">
        <f ca="1">IF(B1237="Лікар загальної практики - сімейний лікар",L1243*Законод!$C$9/4*Законод!$E$16,IF(B1237="Лікар-педіатр",L1243*Законод!$C$9/4*Законод!$E$16,IF(B1237="Лікар-терапевт",L1243*Законод!$C$9/4*Законод!$E$16,0)))</f>
        <v>0</v>
      </c>
      <c r="AO1243" s="210">
        <f ca="1">IF(B1237="Лікар загальної практики - сімейний лікар",S1243*Законод!$C$9/4*Законод!$E$16,IF(B1237="Лікар-педіатр",S1243*Законод!$C$9/4*Законод!$E$16,IF(B1237="Лікар-терапевт",S1243*Законод!$C$9/4*Законод!$E$16,0)))</f>
        <v>0</v>
      </c>
      <c r="AP1243" s="210">
        <f ca="1">IF(B1237="Лікар загальної практики - сімейний лікар",Z1243*Законод!$C$9/4*Законод!$E$16,IF(B1237="Лікар-педіатр",Z1243*Законод!$C$9/4*Законод!$E$16,IF(B1237="Лікар-терапевт",Z1243*Законод!$C$9/4*Законод!$E$16,0)))</f>
        <v>0</v>
      </c>
      <c r="AQ1243" s="210">
        <f ca="1">IF(B1237="Лікар загальної практики - сімейний лікар",AG1243*Законод!$C$9/4*Законод!$E$16,IF(B1237="Лікар-педіатр",AG1243*Законод!$C$9/4*Законод!$E$16,IF(B1237="Лікар-терапевт",AG1243*Законод!$C$9/4*Законод!$E$16,0)))</f>
        <v>0</v>
      </c>
      <c r="AR1243" s="211">
        <f t="shared" si="135"/>
        <v>0</v>
      </c>
    </row>
    <row r="1244" spans="1:44" s="50" customFormat="1" ht="31.9" hidden="1" customHeight="1">
      <c r="A1244" s="197"/>
      <c r="B1244" s="951"/>
      <c r="C1244" s="954"/>
      <c r="D1244" s="957"/>
      <c r="E1244" s="939"/>
      <c r="F1244" s="238" t="str">
        <f ca="1">IF(B1237="Лікар-педіатр",Законод!$F$17,IF(B1237="Лікар загальної практики - сімейний лікар",Законод!$F$21,IF(B1237="Лікар-терапевт",Законод!$F$25,"х")))</f>
        <v>х</v>
      </c>
      <c r="G1244" s="935" t="s">
        <v>423</v>
      </c>
      <c r="H1244" s="936"/>
      <c r="I1244" s="936"/>
      <c r="J1244" s="936"/>
      <c r="K1244" s="937"/>
      <c r="L1244" s="196">
        <f ca="1">IF($B$1237="Лікар загальної практики - сімейний лікар",IF(L1241&lt;Законод!$C$22,0,(IF(AND(L1241&gt;=Законод!$F$22,L1241&lt;=Законод!$F$23),L1241-Законод!$E$23,IF('01_Доходи'!L1241&gt;=Законод!$G$22,Законод!$F$24,0)))),IF($B$1237="Лікар-педіатр",IF(L1241&lt;Законод!$C$18,0,(IF(AND(L1241&gt;=Законод!$F$18,L1241&lt;=Законод!$F$19),L1241-Законод!$E$19,IF('01_Доходи'!L1241&gt;=Законод!$G$18,Законод!$F$20,0)))),IF($B$1237="Лікар-терапевт",IF(L1241&lt;Законод!$C$26,0,(IF(AND(L1241&gt;=Законод!$F$26,L1241&lt;=Законод!$F$27),L1241-Законод!$E$27,IF('01_Доходи'!L1241&gt;=Законод!$G$26,Законод!$F$28,0)))),0)))</f>
        <v>0</v>
      </c>
      <c r="M1244" s="942"/>
      <c r="N1244" s="935" t="s">
        <v>423</v>
      </c>
      <c r="O1244" s="936"/>
      <c r="P1244" s="936"/>
      <c r="Q1244" s="936"/>
      <c r="R1244" s="937"/>
      <c r="S1244" s="196">
        <f ca="1">IF($B$1237="Лікар загальної практики - сімейний лікар",IF(S1241&lt;Законод!$C$22,0,(IF(AND(S1241&gt;=Законод!$F$22,S1241&lt;=Законод!$F$23),S1241-Законод!$E$23,IF('01_Доходи'!S1241&gt;=Законод!$G$22,Законод!$F$24,0)))),IF($B$1237="Лікар-педіатр",IF(S1241&lt;Законод!$C$18,0,(IF(AND(S1241&gt;=Законод!$F$18,S1241&lt;=Законод!$F$19),S1241-Законод!$E$19,IF('01_Доходи'!S1241&gt;=Законод!$G$18,Законод!$F$20,0)))),IF($B$1237="Лікар-терапевт",IF(S1241&lt;Законод!$C$26,0,(IF(AND(S1241&gt;=Законод!$F$26,S1241&lt;=Законод!$F$27),S1241-Законод!$E$27,IF('01_Доходи'!S1241&gt;=Законод!$G$26,Законод!$F$28,0)))),0)))</f>
        <v>0</v>
      </c>
      <c r="T1244" s="942"/>
      <c r="U1244" s="935" t="s">
        <v>423</v>
      </c>
      <c r="V1244" s="936"/>
      <c r="W1244" s="936"/>
      <c r="X1244" s="936"/>
      <c r="Y1244" s="937"/>
      <c r="Z1244" s="196">
        <f ca="1">IF($B$1237="Лікар загальної практики - сімейний лікар",IF(Z1241&lt;Законод!$C$22,0,(IF(AND(Z1241&gt;=Законод!$F$22,Z1241&lt;=Законод!$F$23),Z1241-Законод!$E$23,IF('01_Доходи'!Z1241&gt;=Законод!$G$22,Законод!$F$24,0)))),IF($B$1237="Лікар-педіатр",IF(Z1241&lt;Законод!$C$18,0,(IF(AND(Z1241&gt;=Законод!$F$18,Z1241&lt;=Законод!$F$19),Z1241-Законод!$E$19,IF('01_Доходи'!Z1241&gt;=Законод!$G$18,Законод!$F$20,0)))),IF($B$1237="Лікар-терапевт",IF(Z1241&lt;Законод!$C$26,0,(IF(AND(Z1241&gt;=Законод!$F$26,Z1241&lt;=Законод!$F$27),Z1241-Законод!$E$27,IF('01_Доходи'!Z1241&gt;=Законод!$G$26,Законод!$F$28,0)))),0)))</f>
        <v>0</v>
      </c>
      <c r="AA1244" s="942"/>
      <c r="AB1244" s="935" t="s">
        <v>423</v>
      </c>
      <c r="AC1244" s="936"/>
      <c r="AD1244" s="936"/>
      <c r="AE1244" s="936"/>
      <c r="AF1244" s="937"/>
      <c r="AG1244" s="196">
        <f ca="1">IF($B$1237="Лікар загальної практики - сімейний лікар",IF(AG1241&lt;Законод!$C$22,0,(IF(AND(AG1241&gt;=Законод!$F$22,AG1241&lt;=Законод!$F$23),AG1241-Законод!$E$23,IF('01_Доходи'!AG1241&gt;=Законод!$G$22,Законод!$F$24,0)))),IF($B$1237="Лікар-педіатр",IF(AG1241&lt;Законод!$C$18,0,(IF(AND(AG1241&gt;=Законод!$F$18,AG1241&lt;=Законод!$F$19),AG1241-Законод!$E$19,IF('01_Доходи'!AG1241&gt;=Законод!$G$18,Законод!$F$20,0)))),IF($B$1237="Лікар-терапевт",IF(AG1241&lt;Законод!$C$26,0,(IF(AND(AG1241&gt;=Законод!$F$26,AG1241&lt;=Законод!$F$27),AG1241-Законод!$E$27,IF('01_Доходи'!AG1241&gt;=Законод!$G$26,Законод!$F$28,0)))),0)))</f>
        <v>0</v>
      </c>
      <c r="AH1244" s="942"/>
      <c r="AI1244" s="201"/>
      <c r="AJ1244" s="945"/>
      <c r="AK1244" s="960"/>
      <c r="AL1244" s="960"/>
      <c r="AM1244" s="927"/>
      <c r="AN1244" s="210">
        <f ca="1">IF(B1237="Лікар загальної практики - сімейний лікар",L1244*Законод!$C$9/4*Законод!$F$16,IF(B1237="Лікар-педіатр",L1244*Законод!$C$9/4*Законод!$F$16,IF(B1237="Лікар-терапевт",L1244*Законод!$C$9/4*Законод!$F$16,0)))</f>
        <v>0</v>
      </c>
      <c r="AO1244" s="210">
        <f ca="1">IF(B1237="Лікар загальної практики - сімейний лікар",S1244*Законод!$C$9/4*Законод!$F$16,IF(B1237="Лікар-педіатр",S1244*Законод!$C$9/4*Законод!$F$16,IF(B1237="Лікар-терапевт",S1244*Законод!$C$9/4*Законод!$F$16,0)))</f>
        <v>0</v>
      </c>
      <c r="AP1244" s="210">
        <f ca="1">IF(B1237="Лікар загальної практики - сімейний лікар",Z1244*Законод!$C$9/4*Законод!$F$16,IF(B1237="Лікар-педіатр",Z1244*Законод!$C$9/4*Законод!$F$16,IF(B1237="Лікар-терапевт",Z1244*Законод!$C$9/4*Законод!$F$16,0)))</f>
        <v>0</v>
      </c>
      <c r="AQ1244" s="210">
        <f ca="1">IF(B1237="Лікар загальної практики - сімейний лікар",AG1244*Законод!$C$9/4*Законод!$F$16,IF(B1237="Лікар-педіатр",AG1244*Законод!$C$9/4*Законод!$F$16,IF(B1237="Лікар-терапевт",AG1244*Законод!$C$9/4*Законод!$F$16,0)))</f>
        <v>0</v>
      </c>
      <c r="AR1244" s="211">
        <f t="shared" si="135"/>
        <v>0</v>
      </c>
    </row>
    <row r="1245" spans="1:44" s="50" customFormat="1" ht="31.9" hidden="1" customHeight="1">
      <c r="A1245" s="197"/>
      <c r="B1245" s="951"/>
      <c r="C1245" s="954"/>
      <c r="D1245" s="957"/>
      <c r="E1245" s="939"/>
      <c r="F1245" s="238" t="str">
        <f ca="1">IF(B1237="Лікар-педіатр",Законод!$G$17,IF(B1237="Лікар загальної практики - сімейний лікар",Законод!$G$21,IF(B1237="Лікар-терапевт",Законод!$G$25,"х")))</f>
        <v>х</v>
      </c>
      <c r="G1245" s="935" t="s">
        <v>423</v>
      </c>
      <c r="H1245" s="936"/>
      <c r="I1245" s="936"/>
      <c r="J1245" s="936"/>
      <c r="K1245" s="937"/>
      <c r="L1245" s="196">
        <f ca="1">IF($B$1237="Лікар загальної практики - сімейний лікар",IF(L1241&lt;Законод!$C$22,0,(IF(AND(L1241&gt;=Законод!$G$22,L1241&lt;=Законод!$G$23),L1241-Законод!$F$23,IF('01_Доходи'!L1241&gt;=Законод!$H$22,Законод!$G$24,0)))),IF($B$1237="Лікар-педіатр",IF(L1241&lt;Законод!$C$18,0,(IF(AND(L1241&gt;=Законод!$G$18,L1241&lt;=Законод!$G$19),L1241-Законод!$F$19,IF('01_Доходи'!L1241&gt;=Законод!$H$18,Законод!$G$20,0)))),IF($B$1237="Лікар-терапевт",IF(L1241&lt;Законод!$C$26,0,(IF(AND(L1241&gt;=Законод!$G$26,L1241&lt;=Законод!$G$27),L1241-Законод!$F$27,IF('01_Доходи'!L1241&gt;=Законод!$H$26,Законод!$G$28,0)))),0)))</f>
        <v>0</v>
      </c>
      <c r="M1245" s="942"/>
      <c r="N1245" s="935" t="s">
        <v>423</v>
      </c>
      <c r="O1245" s="936"/>
      <c r="P1245" s="936"/>
      <c r="Q1245" s="936"/>
      <c r="R1245" s="937"/>
      <c r="S1245" s="196">
        <f ca="1">IF($B$1237="Лікар загальної практики - сімейний лікар",IF(S1241&lt;Законод!$C$22,0,(IF(AND(S1241&gt;=Законод!$G$22,S1241&lt;=Законод!$G$23),S1241-Законод!$F$23,IF('01_Доходи'!S1241&gt;=Законод!$H$22,Законод!$G$24,0)))),IF($B$1237="Лікар-педіатр",IF(S1241&lt;Законод!$C$18,0,(IF(AND(S1241&gt;=Законод!$G$18,S1241&lt;=Законод!$G$19),S1241-Законод!$F$19,IF('01_Доходи'!S1241&gt;=Законод!$H$18,Законод!$G$20,0)))),IF($B$1237="Лікар-терапевт",IF(S1241&lt;Законод!$C$26,0,(IF(AND(S1241&gt;=Законод!$G$26,S1241&lt;=Законод!$G$27),S1241-Законод!$F$27,IF('01_Доходи'!S1241&gt;=Законод!$H$26,Законод!$G$28,0)))),0)))</f>
        <v>0</v>
      </c>
      <c r="T1245" s="942"/>
      <c r="U1245" s="935" t="s">
        <v>423</v>
      </c>
      <c r="V1245" s="936"/>
      <c r="W1245" s="936"/>
      <c r="X1245" s="936"/>
      <c r="Y1245" s="937"/>
      <c r="Z1245" s="196">
        <f ca="1">IF($B$1237="Лікар загальної практики - сімейний лікар",IF(Z1241&lt;Законод!$C$22,0,(IF(AND(Z1241&gt;=Законод!$G$22,Z1241&lt;=Законод!$G$23),Z1241-Законод!$F$23,IF('01_Доходи'!Z1241&gt;=Законод!$H$22,Законод!$G$24,0)))),IF($B$1237="Лікар-педіатр",IF(Z1241&lt;Законод!$C$18,0,(IF(AND(Z1241&gt;=Законод!$G$18,Z1241&lt;=Законод!$G$19),Z1241-Законод!$F$19,IF('01_Доходи'!Z1241&gt;=Законод!$H$18,Законод!$G$20,0)))),IF($B$1237="Лікар-терапевт",IF(Z1241&lt;Законод!$C$26,0,(IF(AND(Z1241&gt;=Законод!$G$26,Z1241&lt;=Законод!$G$27),Z1241-Законод!$F$27,IF('01_Доходи'!Z1241&gt;=Законод!$H$26,Законод!$G$28,0)))),0)))</f>
        <v>0</v>
      </c>
      <c r="AA1245" s="942"/>
      <c r="AB1245" s="935" t="s">
        <v>423</v>
      </c>
      <c r="AC1245" s="936"/>
      <c r="AD1245" s="936"/>
      <c r="AE1245" s="936"/>
      <c r="AF1245" s="937"/>
      <c r="AG1245" s="196">
        <f ca="1">IF($B$1237="Лікар загальної практики - сімейний лікар",IF(AG1241&lt;Законод!$C$22,0,(IF(AND(AG1241&gt;=Законод!$G$22,AG1241&lt;=Законод!$G$23),AG1241-Законод!$F$23,IF('01_Доходи'!AG1241&gt;=Законод!$H$22,Законод!$G$24,0)))),IF($B$1237="Лікар-педіатр",IF(AG1241&lt;Законод!$C$18,0,(IF(AND(AG1241&gt;=Законод!$G$18,AG1241&lt;=Законод!$G$19),AG1241-Законод!$F$19,IF('01_Доходи'!AG1241&gt;=Законод!$H$18,Законод!$G$20,0)))),IF($B$1237="Лікар-терапевт",IF(AG1241&lt;Законод!$C$26,0,(IF(AND(AG1241&gt;=Законод!$G$26,AG1241&lt;=Законод!$G$27),AG1241-Законод!$F$27,IF('01_Доходи'!AG1241&gt;=Законод!$H$26,Законод!$G$28,0)))),0)))</f>
        <v>0</v>
      </c>
      <c r="AH1245" s="942"/>
      <c r="AI1245" s="201"/>
      <c r="AJ1245" s="945"/>
      <c r="AK1245" s="960"/>
      <c r="AL1245" s="960"/>
      <c r="AM1245" s="927"/>
      <c r="AN1245" s="210">
        <f ca="1">IF(B1237="Лікар загальної практики - сімейний лікар",L1245*Законод!$C$9/4*Законод!$G$16,IF(B1237="Лікар-педіатр",L1245*Законод!$C$9/4*Законод!$G$16,IF(B1237="Лікар-терапевт",L1245*Законод!$C$9/4*Законод!$G$16,0)))</f>
        <v>0</v>
      </c>
      <c r="AO1245" s="210">
        <f ca="1">IF(B1237="Лікар загальної практики - сімейний лікар",S1245*Законод!$C$9/4*Законод!$G$16,IF(B1237="Лікар-педіатр",S1245*Законод!$C$9/4*Законод!$G$16,IF(B1237="Лікар-терапевт",S1245*Законод!$C$9/4*Законод!$G$16,0)))</f>
        <v>0</v>
      </c>
      <c r="AP1245" s="210">
        <f ca="1">IF(B1237="Лікар загальної практики - сімейний лікар",Z1245*Законод!$C$9/4*Законод!$G$16,IF(B1237="Лікар-педіатр",Z1245*Законод!$C$9/4*Законод!$G$16,IF(B1237="Лікар-терапевт",Z1245*Законод!$C$9/4*Законод!$G$16,0)))</f>
        <v>0</v>
      </c>
      <c r="AQ1245" s="210">
        <f ca="1">IF(B1237="Лікар загальної практики - сімейний лікар",AG1245*Законод!$C$9/4*Законод!$G$16,IF(B1237="Лікар-педіатр",AG1245*Законод!$C$9/4*Законод!$G$16,IF(B1237="Лікар-терапевт",AG1245*Законод!$C$9/4*Законод!$G$16,0)))</f>
        <v>0</v>
      </c>
      <c r="AR1245" s="211">
        <f t="shared" si="135"/>
        <v>0</v>
      </c>
    </row>
    <row r="1246" spans="1:44" s="50" customFormat="1" ht="31.9" hidden="1" customHeight="1">
      <c r="A1246" s="197"/>
      <c r="B1246" s="951"/>
      <c r="C1246" s="954"/>
      <c r="D1246" s="957"/>
      <c r="E1246" s="939"/>
      <c r="F1246" s="238" t="str">
        <f ca="1">IF(B1237="Лікар-педіатр",Законод!$H$17,IF(B1237="Лікар загальної практики - сімейний лікар",Законод!$H$21,IF(B1237="Лікар-терапевт",Законод!$H$25,"х")))</f>
        <v>х</v>
      </c>
      <c r="G1246" s="935" t="s">
        <v>423</v>
      </c>
      <c r="H1246" s="936"/>
      <c r="I1246" s="936"/>
      <c r="J1246" s="936"/>
      <c r="K1246" s="937"/>
      <c r="L1246" s="196">
        <f ca="1">IF($B$1237="Лікар загальної практики - сімейний лікар",IF(L1241&lt;Законод!$C$22,0,(IF(AND(L1241&gt;=Законод!$H$22,L1241&lt;=Законод!$H$23),L1241-Законод!$G$23,IF('01_Доходи'!L1241&gt;=Законод!$I$22,Законод!$H$24,0)))),IF($B$1237="Лікар-педіатр",IF(L1241&lt;Законод!$C$18,0,(IF(AND(L1241&gt;=Законод!$H$18,L1241&lt;=Законод!$H$19),L1241-Законод!$G$19,IF('01_Доходи'!L1241&gt;=Законод!$I$18,Законод!$H$20,0)))),IF($B$1237="Лікар-терапевт",IF(L1241&lt;Законод!$C$26,0,(IF(AND(L1241&gt;=Законод!$H$26,L1241&lt;=Законод!$H$27),L1241-Законод!$G$27,IF(L1241&gt;=Законод!$I$26,Законод!$H$28,0)))),0)))</f>
        <v>0</v>
      </c>
      <c r="M1246" s="942"/>
      <c r="N1246" s="935" t="s">
        <v>423</v>
      </c>
      <c r="O1246" s="936"/>
      <c r="P1246" s="936"/>
      <c r="Q1246" s="936"/>
      <c r="R1246" s="937"/>
      <c r="S1246" s="196">
        <f ca="1">IF($B$1237="Лікар загальної практики - сімейний лікар",IF(S1241&lt;Законод!$C$22,0,(IF(AND(S1241&gt;=Законод!$H$22,S1241&lt;=Законод!$H$23),S1241-Законод!$G$23,IF('01_Доходи'!S1241&gt;=Законод!$I$22,Законод!$H$24,0)))),IF($B$1237="Лікар-педіатр",IF(S1241&lt;Законод!$C$18,0,(IF(AND(S1241&gt;=Законод!$H$18,S1241&lt;=Законод!$H$19),S1241-Законод!$G$19,IF('01_Доходи'!S1241&gt;=Законод!$I$18,Законод!$H$20,0)))),IF($B$1237="Лікар-терапевт",IF(S1241&lt;Законод!$C$26,0,(IF(AND(S1241&gt;=Законод!$H$26,S1241&lt;=Законод!$H$27),S1241-Законод!$G$27,IF(S1241&gt;=Законод!$I$26,Законод!$H$28,0)))),0)))</f>
        <v>0</v>
      </c>
      <c r="T1246" s="942"/>
      <c r="U1246" s="935" t="s">
        <v>423</v>
      </c>
      <c r="V1246" s="936"/>
      <c r="W1246" s="936"/>
      <c r="X1246" s="936"/>
      <c r="Y1246" s="937"/>
      <c r="Z1246" s="196">
        <f ca="1">IF($B$1237="Лікар загальної практики - сімейний лікар",IF(Z1241&lt;Законод!$C$22,0,(IF(AND(Z1241&gt;=Законод!$H$22,Z1241&lt;=Законод!$H$23),Z1241-Законод!$G$23,IF('01_Доходи'!Z1241&gt;=Законод!$I$22,Законод!$H$24,0)))),IF($B$1237="Лікар-педіатр",IF(Z1241&lt;Законод!$C$18,0,(IF(AND(Z1241&gt;=Законод!$H$18,Z1241&lt;=Законод!$H$19),Z1241-Законод!$G$19,IF('01_Доходи'!Z1241&gt;=Законод!$I$18,Законод!$H$20,0)))),IF($B$1237="Лікар-терапевт",IF(Z1241&lt;Законод!$C$26,0,(IF(AND(Z1241&gt;=Законод!$H$26,Z1241&lt;=Законод!$H$27),Z1241-Законод!$G$27,IF(Z1241&gt;=Законод!$I$26,Законод!$H$28,0)))),0)))</f>
        <v>0</v>
      </c>
      <c r="AA1246" s="942"/>
      <c r="AB1246" s="935" t="s">
        <v>423</v>
      </c>
      <c r="AC1246" s="936"/>
      <c r="AD1246" s="936"/>
      <c r="AE1246" s="936"/>
      <c r="AF1246" s="937"/>
      <c r="AG1246" s="196">
        <f ca="1">IF($B$1237="Лікар загальної практики - сімейний лікар",IF(AG1241&lt;Законод!$C$22,0,(IF(AND(AG1241&gt;=Законод!$H$22,AG1241&lt;=Законод!$H$23),AG1241-Законод!$G$23,IF('01_Доходи'!AG1241&gt;=Законод!$I$22,Законод!$H$24,0)))),IF($B$1237="Лікар-педіатр",IF(AG1241&lt;Законод!$C$18,0,(IF(AND(AG1241&gt;=Законод!$H$18,AG1241&lt;=Законод!$H$19),AG1241-Законод!$G$19,IF('01_Доходи'!AG1241&gt;=Законод!$I$18,Законод!$H$20,0)))),IF($B$1237="Лікар-терапевт",IF(AG1241&lt;Законод!$C$26,0,(IF(AND(AG1241&gt;=Законод!$H$26,AG1241&lt;=Законод!$H$27),AG1241-Законод!$G$27,IF(AG1241&gt;=Законод!$I$26,Законод!$H$28,0)))),0)))</f>
        <v>0</v>
      </c>
      <c r="AH1246" s="942"/>
      <c r="AI1246" s="201"/>
      <c r="AJ1246" s="945"/>
      <c r="AK1246" s="960"/>
      <c r="AL1246" s="960"/>
      <c r="AM1246" s="927"/>
      <c r="AN1246" s="210">
        <f ca="1">IF(B1237="Лікар загальної практики - сімейний лікар",L1246*Законод!$C$9/4*Законод!$H$16,IF(B1237="Лікар-педіатр",L1246*Законод!$C$9/4*Законод!$H$16,IF(B1237="Лікар-терапевт",L1246*Законод!$C$9/4*Законод!$H$16,0)))</f>
        <v>0</v>
      </c>
      <c r="AO1246" s="210">
        <f ca="1">IF(B1237="Лікар загальної практики - сімейний лікар",S1246*Законод!$C$9/4*Законод!$H$16,IF(B1237="Лікар-педіатр",S1246*Законод!$C$9/4*Законод!$H$16,IF(B1237="Лікар-терапевт",S1246*Законод!$C$9/4*Законод!$H$16,0)))</f>
        <v>0</v>
      </c>
      <c r="AP1246" s="210">
        <f ca="1">IF(B1237="Лікар загальної практики - сімейний лікар",Z1246*Законод!$C$9/4*Законод!$H$16,IF(B1237="Лікар-педіатр",Z1246*Законод!$C$9/4*Законод!$H$16,IF(B1237="Лікар-терапевт",Z1246*Законод!$C$9/4*Законод!$H$16,0)))</f>
        <v>0</v>
      </c>
      <c r="AQ1246" s="210">
        <f ca="1">IF(B1237="Лікар загальної практики - сімейний лікар",AG1246*Законод!$C$9/4*Законод!$H$16,IF(B1237="Лікар-педіатр",AG1246*Законод!$C$9/4*Законод!$H$16,IF(B1237="Лікар-терапевт",AG1246*Законод!$C$9/4*Законод!$H$16,0)))</f>
        <v>0</v>
      </c>
      <c r="AR1246" s="211">
        <f t="shared" si="135"/>
        <v>0</v>
      </c>
    </row>
    <row r="1247" spans="1:44" s="50" customFormat="1" ht="31.9" hidden="1" customHeight="1">
      <c r="A1247" s="197"/>
      <c r="B1247" s="951"/>
      <c r="C1247" s="954"/>
      <c r="D1247" s="957"/>
      <c r="E1247" s="939"/>
      <c r="F1247" s="238" t="str">
        <f ca="1">IF(B1237="Лікар-педіатр",Законод!$I$17,IF(B1237="Лікар загальної практики - сімейний лікар",Законод!$I$21,IF(B1237="Лікар-терапевт",Законод!$I$25,"х")))</f>
        <v>х</v>
      </c>
      <c r="G1247" s="935" t="s">
        <v>423</v>
      </c>
      <c r="H1247" s="936"/>
      <c r="I1247" s="936"/>
      <c r="J1247" s="936"/>
      <c r="K1247" s="937"/>
      <c r="L1247" s="196">
        <f ca="1">IF($B$1237="Лікар загальної практики - сімейний лікар",IF(L1241&lt;Законод!$C$22,0,(IF(AND(L1241&gt;=Законод!$I$22,L1241&lt;=Законод!$I$23),L1241-Законод!$H$23,IF('01_Доходи'!L1241&gt;=Законод!$I$22,Законод!$I$24,0)))),IF($B$1237="Лікар-педіатр",IF(L1241&lt;Законод!$C$18,0,(IF(AND(L1241&gt;=Законод!$I$18,L1241&lt;=Законод!$I$19),L1241-Законод!$H$19,IF('01_Доходи'!L1241&gt;=Законод!$I$18,Законод!$H$20,0)))),IF($B$1237="Лікар-терапевт",IF(L1241&lt;Законод!$C$26,0,(IF(AND(L1241&gt;=Законод!$I$26,L1241&lt;=Законод!$I$27),L1241-Законод!$H$27,IF('01_Доходи'!L1241&gt;=Законод!$I$26,Законод!$H$28,0)))),0)))</f>
        <v>0</v>
      </c>
      <c r="M1247" s="942"/>
      <c r="N1247" s="935" t="s">
        <v>423</v>
      </c>
      <c r="O1247" s="936"/>
      <c r="P1247" s="936"/>
      <c r="Q1247" s="936"/>
      <c r="R1247" s="937"/>
      <c r="S1247" s="196">
        <f ca="1">IF($B$1237="Лікар загальної практики - сімейний лікар",IF(S1241&lt;Законод!$C$22,0,(IF(AND(S1241&gt;=Законод!$I$22,S1241&lt;=Законод!$I$23),S1241-Законод!$H$23,IF('01_Доходи'!S1241&gt;=Законод!$I$22,Законод!$I$24,0)))),IF($B$1237="Лікар-педіатр",IF(S1241&lt;Законод!$C$18,0,(IF(AND(S1241&gt;=Законод!$I$18,S1241&lt;=Законод!$I$19),S1241-Законод!$H$19,IF('01_Доходи'!S1241&gt;=Законод!$I$18,Законод!$H$20,0)))),IF($B$1237="Лікар-терапевт",IF(S1241&lt;Законод!$C$26,0,(IF(AND(S1241&gt;=Законод!$I$26,S1241&lt;=Законод!$I$27),S1241-Законод!$H$27,IF('01_Доходи'!S1241&gt;=Законод!$I$26,Законод!$H$28,0)))),0)))</f>
        <v>0</v>
      </c>
      <c r="T1247" s="942"/>
      <c r="U1247" s="935" t="s">
        <v>423</v>
      </c>
      <c r="V1247" s="936"/>
      <c r="W1247" s="936"/>
      <c r="X1247" s="936"/>
      <c r="Y1247" s="937"/>
      <c r="Z1247" s="196">
        <f ca="1">IF($B$1237="Лікар загальної практики - сімейний лікар",IF(Z1241&lt;Законод!$C$22,0,(IF(AND(Z1241&gt;=Законод!$I$22,Z1241&lt;=Законод!$I$23),Z1241-Законод!$H$23,IF('01_Доходи'!Z1241&gt;=Законод!$I$22,Законод!$I$24,0)))),IF($B$1237="Лікар-педіатр",IF(Z1241&lt;Законод!$C$18,0,(IF(AND(Z1241&gt;=Законод!$I$18,Z1241&lt;=Законод!$I$19),Z1241-Законод!$H$19,IF('01_Доходи'!Z1241&gt;=Законод!$I$18,Законод!$H$20,0)))),IF($B$1237="Лікар-терапевт",IF(Z1241&lt;Законод!$C$26,0,(IF(AND(Z1241&gt;=Законод!$I$26,Z1241&lt;=Законод!$I$27),Z1241-Законод!$H$27,IF('01_Доходи'!Z1241&gt;=Законод!$I$26,Законод!$H$28,0)))),0)))</f>
        <v>0</v>
      </c>
      <c r="AA1247" s="942"/>
      <c r="AB1247" s="935" t="s">
        <v>423</v>
      </c>
      <c r="AC1247" s="936"/>
      <c r="AD1247" s="936"/>
      <c r="AE1247" s="936"/>
      <c r="AF1247" s="937"/>
      <c r="AG1247" s="196">
        <f ca="1">IF($B$1237="Лікар загальної практики - сімейний лікар",IF(AG1241&lt;Законод!$C$22,0,(IF(AND(AG1241&gt;=Законод!$I$22,AG1241&lt;=Законод!$I$23),AG1241-Законод!$H$23,IF('01_Доходи'!AG1241&gt;=Законод!$I$22,Законод!$I$24,0)))),IF($B$1237="Лікар-педіатр",IF(AG1241&lt;Законод!$C$18,0,(IF(AND(AG1241&gt;=Законод!$I$18,AG1241&lt;=Законод!$I$19),AG1241-Законод!$H$19,IF('01_Доходи'!AG1241&gt;=Законод!$I$18,Законод!$H$20,0)))),IF($B$1237="Лікар-терапевт",IF(AG1241&lt;Законод!$C$26,0,(IF(AND(AG1241&gt;=Законод!$I$26,AG1241&lt;=Законод!$I$27),AG1241-Законод!$H$27,IF('01_Доходи'!AG1241&gt;=Законод!$I$26,Законод!$H$28,0)))),0)))</f>
        <v>0</v>
      </c>
      <c r="AH1247" s="942"/>
      <c r="AI1247" s="201"/>
      <c r="AJ1247" s="945"/>
      <c r="AK1247" s="960"/>
      <c r="AL1247" s="960"/>
      <c r="AM1247" s="927"/>
      <c r="AN1247" s="210">
        <f ca="1">IF(B1237="Лікар загальної практики - сімейний лікар",L1247*Законод!$C$9/4*Законод!$I$16,IF(B1237="Лікар-педіатр",L1247*Законод!$C$9/4*Законод!$I$16,IF(B1237="Лікар-терапевт",L1247*Законод!$C$9/4*Законод!$I$16,0)))</f>
        <v>0</v>
      </c>
      <c r="AO1247" s="210">
        <f ca="1">IF(B1237="Лікар загальної практики - сімейний лікар",S1247*Законод!$C$9/4*Законод!$I$16,IF(B1237="Лікар-педіатр",S1247*Законод!$C$9/4*Законод!$I$16,IF(B1237="Лікар-терапевт",S1247*Законод!$C$9/4*Законод!$I$16,0)))</f>
        <v>0</v>
      </c>
      <c r="AP1247" s="210">
        <f ca="1">IF(B1237="Лікар загальної практики - сімейний лікар",Z1247*Законод!$C$9/4*Законод!$I$16,IF(B1237="Лікар-педіатр",Z1247*Законод!$C$9/4*Законод!$I$16,IF(B1237="Лікар-терапевт",Z1247*Законод!$C$9/4*Законод!$I$16,0)))</f>
        <v>0</v>
      </c>
      <c r="AQ1247" s="210">
        <f ca="1">IF(B1237="Лікар загальної практики - сімейний лікар",AG1247*Законод!$C$9/4*Законод!$I$16,IF(B1237="Лікар-педіатр",AG1247*Законод!$C$9/4*Законод!$I$16,IF(B1237="Лікар-терапевт",AG1247*Законод!$C$9/4*Законод!$I$16,0)))</f>
        <v>0</v>
      </c>
      <c r="AR1247" s="211">
        <f t="shared" si="135"/>
        <v>0</v>
      </c>
    </row>
    <row r="1248" spans="1:44" s="218" customFormat="1" ht="31.9" hidden="1" customHeight="1" thickBot="1">
      <c r="A1248" s="213"/>
      <c r="B1248" s="952"/>
      <c r="C1248" s="955"/>
      <c r="D1248" s="958"/>
      <c r="E1248" s="940"/>
      <c r="F1248" s="239" t="str">
        <f ca="1">IF(B1237="Лікар-педіатр",Законод!$J$17,IF(B1237="Лікар загальної практики - сімейний лікар",Законод!$J$21,IF(B1237="Лікар-терапевт",Законод!$J$25,"х")))</f>
        <v>х</v>
      </c>
      <c r="G1248" s="932" t="s">
        <v>423</v>
      </c>
      <c r="H1248" s="933"/>
      <c r="I1248" s="933"/>
      <c r="J1248" s="933"/>
      <c r="K1248" s="934"/>
      <c r="L1248" s="196">
        <f ca="1">IF($B$1237="Лікар загальної практики - сімейний лікар",IF(L1241&gt;=Законод!$J$22,'01_Доходи'!L1241-('01_Доходи'!L1242+'01_Доходи'!L1243+'01_Доходи'!L1244+'01_Доходи'!L1245+'01_Доходи'!L1246+'01_Доходи'!L1247),0),IF($B$1237="Лікар-педіатр",IF(L1241&gt;=Законод!$J$18,'01_Доходи'!L1241-('01_Доходи'!L1242+'01_Доходи'!L1243+'01_Доходи'!L1244+'01_Доходи'!L1245+'01_Доходи'!L1246+'01_Доходи'!L1247),0),IF($B$1237="Лікар-терапевт",IF('01_Доходи'!L1241&gt;=Законод!$J$26,L1241-Законод!$I$27,0),0)))</f>
        <v>0</v>
      </c>
      <c r="M1248" s="943"/>
      <c r="N1248" s="932" t="s">
        <v>423</v>
      </c>
      <c r="O1248" s="933"/>
      <c r="P1248" s="933"/>
      <c r="Q1248" s="933"/>
      <c r="R1248" s="934"/>
      <c r="S1248" s="196">
        <f ca="1">IF($B$1237="Лікар загальної практики - сімейний лікар",IF(S1241&gt;=Законод!$J$22,'01_Доходи'!S1241-('01_Доходи'!S1242+'01_Доходи'!S1243+'01_Доходи'!S1244+'01_Доходи'!S1245+'01_Доходи'!S1246+'01_Доходи'!S1247),0),IF($B$1237="Лікар-педіатр",IF(S1241&gt;=Законод!$J$18,'01_Доходи'!S1241-('01_Доходи'!S1242+'01_Доходи'!S1243+'01_Доходи'!S1244+'01_Доходи'!S1245+'01_Доходи'!S1246+'01_Доходи'!S1247),0),IF($B$1237="Лікар-терапевт",IF('01_Доходи'!S1241&gt;=Законод!$J$26,S1241-Законод!$I$27,0),0)))</f>
        <v>0</v>
      </c>
      <c r="T1248" s="943"/>
      <c r="U1248" s="932" t="s">
        <v>423</v>
      </c>
      <c r="V1248" s="933"/>
      <c r="W1248" s="933"/>
      <c r="X1248" s="933"/>
      <c r="Y1248" s="934"/>
      <c r="Z1248" s="196">
        <f ca="1">IF($B$1237="Лікар загальної практики - сімейний лікар",IF(Z1241&gt;=Законод!$J$22,'01_Доходи'!Z1241-('01_Доходи'!Z1242+'01_Доходи'!Z1243+'01_Доходи'!Z1244+'01_Доходи'!Z1245+'01_Доходи'!Z1246+'01_Доходи'!Z1247),0),IF($B$1237="Лікар-педіатр",IF(Z1241&gt;=Законод!$J$18,'01_Доходи'!Z1241-('01_Доходи'!Z1242+'01_Доходи'!Z1243+'01_Доходи'!Z1244+'01_Доходи'!Z1245+'01_Доходи'!Z1246+'01_Доходи'!Z1247),0),IF($B$1237="Лікар-терапевт",IF('01_Доходи'!Z1241&gt;=Законод!$J$26,Z1241-Законод!$I$27,0),0)))</f>
        <v>0</v>
      </c>
      <c r="AA1248" s="943"/>
      <c r="AB1248" s="932" t="s">
        <v>423</v>
      </c>
      <c r="AC1248" s="933"/>
      <c r="AD1248" s="933"/>
      <c r="AE1248" s="933"/>
      <c r="AF1248" s="934"/>
      <c r="AG1248" s="196">
        <f ca="1">IF($B$1237="Лікар загальної практики - сімейний лікар",IF(AG1241&gt;=Законод!$J$22,'01_Доходи'!AG1241-('01_Доходи'!AG1242+'01_Доходи'!AG1243+'01_Доходи'!AG1244+'01_Доходи'!AG1245+'01_Доходи'!AG1246+'01_Доходи'!AG1247),0),IF($B$1237="Лікар-педіатр",IF(AG1241&gt;=Законод!$J$18,'01_Доходи'!AG1241-('01_Доходи'!AG1242+'01_Доходи'!AG1243+'01_Доходи'!AG1244+'01_Доходи'!AG1245+'01_Доходи'!AG1246+'01_Доходи'!AG1247),0),IF($B$1237="Лікар-терапевт",IF('01_Доходи'!AG1241&gt;=Законод!$J$26,AG1241-Законод!$I$27,0),0)))</f>
        <v>0</v>
      </c>
      <c r="AH1248" s="943"/>
      <c r="AI1248" s="215"/>
      <c r="AJ1248" s="946"/>
      <c r="AK1248" s="961"/>
      <c r="AL1248" s="961"/>
      <c r="AM1248" s="928"/>
      <c r="AN1248" s="216">
        <f ca="1">IF(B1237="Лікар загальної практики - сімейний лікар",L1248*Законод!$C$9/4*Законод!$J$16,IF(B1237="Лікар-педіатр",L1248*Законод!$C$9/4*Законод!$J$16,IF(B1237="Лікар-терапевт",L1248*Законод!$C$9/4*Законод!$J$16,0)))</f>
        <v>0</v>
      </c>
      <c r="AO1248" s="216">
        <f ca="1">IF(B1237="Лікар загальної практики - сімейний лікар",S1248*Законод!$C$9/4*Законод!$J$16,IF(B1237="Лікар-педіатр",S1248*Законод!$C$9/4*Законод!$J$16,IF(B1237="Лікар-терапевт",S1248*Законод!$C$9/4*Законод!$J$16,0)))</f>
        <v>0</v>
      </c>
      <c r="AP1248" s="216">
        <f ca="1">IF(B1237="Лікар загальної практики - сімейний лікар",S1248*Законод!$C$9/4*Законод!$J$16,IF(B1237="Лікар-педіатр",S1248*Законод!$C$9/4*Законод!$J$16,IF(B1237="Лікар-терапевт",S1248*Законод!$C$9/4*Законод!$J$16,0)))</f>
        <v>0</v>
      </c>
      <c r="AQ1248" s="216">
        <f ca="1">IF(B1237="Лікар загальної практики - сімейний лікар",AG1248*Законод!$C$9/4*Законод!$J$16,IF(B1237="Лікар-педіатр",AG1248*Законод!$C$9/4*Законод!$J$16,IF(B1237="Лікар-терапевт",AG1248*Законод!$C$9/4*Законод!$J$16,0)))</f>
        <v>0</v>
      </c>
      <c r="AR1248" s="217">
        <f t="shared" si="135"/>
        <v>0</v>
      </c>
    </row>
    <row r="1249" spans="1:44" s="247" customFormat="1" ht="23.45" hidden="1" customHeight="1" thickBot="1">
      <c r="A1249" s="243"/>
      <c r="B1249" s="244"/>
      <c r="C1249" s="244"/>
      <c r="D1249" s="244"/>
      <c r="E1249" s="244"/>
      <c r="F1249" s="245"/>
      <c r="G1249" s="246"/>
      <c r="H1249" s="246"/>
      <c r="L1249" s="248"/>
      <c r="S1249" s="248"/>
      <c r="Z1249" s="248"/>
      <c r="AG1249" s="248"/>
      <c r="AM1249" s="249"/>
      <c r="AR1249" s="250"/>
    </row>
    <row r="1250" spans="1:44" s="191" customFormat="1" ht="24.6" hidden="1" customHeight="1">
      <c r="A1250" s="194">
        <f>A1237+1</f>
        <v>94</v>
      </c>
      <c r="B1250" s="950"/>
      <c r="C1250" s="953"/>
      <c r="D1250" s="956"/>
      <c r="E1250" s="938"/>
      <c r="F1250" s="234" t="s">
        <v>659</v>
      </c>
      <c r="G1250" s="196">
        <f>IF($B$1250="Лікар-педіатр",G1253*L1250,IF($B$1250="Лікар-терапевт","х",IF($B$1250="Лікар загальної практики - сімейний лікар",G1253*L1250,0)))</f>
        <v>0</v>
      </c>
      <c r="H1250" s="196">
        <f>IF($B$1250="Лікар-педіатр",H1253*L1250,IF($B$1250="Лікар-терапевт","х",IF($B$1250="Лікар загальної практики - сімейний лікар",H1253*L1250,0)))</f>
        <v>0</v>
      </c>
      <c r="I1250" s="196">
        <f>IF($B$1250="Лікар-педіатр","x",IF($B$1250="Лікар-терапевт",I1253*L1250,IF($B$1250="Лікар загальної практики - сімейний лікар",I1253*L1250,0)))</f>
        <v>0</v>
      </c>
      <c r="J1250" s="196">
        <f>IF($B$1250="Лікар-педіатр","x",IF($B$1250="Лікар-терапевт",J1253*L1250,IF($B$1250="Лікар загальної практики - сімейний лікар",J1253*L1250,0)))</f>
        <v>0</v>
      </c>
      <c r="K1250" s="196">
        <f>IF($B$1250="Лікар-педіатр","x",IF($B$1250="Лікар-терапевт",K1253*L1250,IF($B$1250="Лікар загальної практики - сімейний лікар",K1253*L1250,0)))</f>
        <v>0</v>
      </c>
      <c r="L1250" s="557"/>
      <c r="M1250" s="941"/>
      <c r="N1250" s="196">
        <f>IF($B$1250="Лікар-педіатр",N1253*S1250,IF($B$1250="Лікар-терапевт","х",IF($B$1250="Лікар загальної практики - сімейний лікар",N1253*S1250,0)))</f>
        <v>0</v>
      </c>
      <c r="O1250" s="196">
        <f>IF($B$1250="Лікар-педіатр",O1253*S1250,IF($B$1250="Лікар-терапевт","х",IF($B$1250="Лікар загальної практики - сімейний лікар",O1253*S1250,0)))</f>
        <v>0</v>
      </c>
      <c r="P1250" s="196">
        <f>IF($B$1250="Лікар-педіатр","x",IF($B$1250="Лікар-терапевт",P1253*S1250,IF($B$1250="Лікар загальної практики - сімейний лікар",P1253*S1250,0)))</f>
        <v>0</v>
      </c>
      <c r="Q1250" s="196">
        <f>IF($B$1250="Лікар-педіатр","x",IF($B$1250="Лікар-терапевт",Q1253*S1250,IF($B$1250="Лікар загальної практики - сімейний лікар",Q1253*S1250,0)))</f>
        <v>0</v>
      </c>
      <c r="R1250" s="196">
        <f>IF($B$1250="Лікар-педіатр","x",IF($B$1250="Лікар-терапевт",R1253*S1250,IF($B$1250="Лікар загальної практики - сімейний лікар",R1253*S1250,0)))</f>
        <v>0</v>
      </c>
      <c r="S1250" s="557"/>
      <c r="T1250" s="941"/>
      <c r="U1250" s="196">
        <f>IF($B$1250="Лікар-педіатр",U1253*Z1250,IF($B$1250="Лікар-терапевт","х",IF($B$1250="Лікар загальної практики - сімейний лікар",U1253*Z1250,0)))</f>
        <v>0</v>
      </c>
      <c r="V1250" s="196">
        <f>IF($B$1250="Лікар-педіатр",V1253*Z1250,IF($B$1250="Лікар-терапевт","х",IF($B$1250="Лікар загальної практики - сімейний лікар",V1253*Z1250,0)))</f>
        <v>0</v>
      </c>
      <c r="W1250" s="196">
        <f>IF($B$1250="Лікар-педіатр","x",IF($B$1250="Лікар-терапевт",W1253*Z1250,IF($B$1250="Лікар загальної практики - сімейний лікар",W1253*Z1250,0)))</f>
        <v>0</v>
      </c>
      <c r="X1250" s="196">
        <f>IF($B$1250="Лікар-педіатр","x",IF($B$1250="Лікар-терапевт",X1253*Z1250,IF($B$1250="Лікар загальної практики - сімейний лікар",X1253*Z1250,0)))</f>
        <v>0</v>
      </c>
      <c r="Y1250" s="196">
        <f>IF($B$1250="Лікар-педіатр","x",IF($B$1250="Лікар-терапевт",Y1253*Z1250,IF($B$1250="Лікар загальної практики - сімейний лікар",Y1253*Z1250,0)))</f>
        <v>0</v>
      </c>
      <c r="Z1250" s="557"/>
      <c r="AA1250" s="941"/>
      <c r="AB1250" s="196">
        <f>IF($B$1250="Лікар-педіатр",AB1253*AG1250,IF($B$1250="Лікар-терапевт","х",IF($B$1250="Лікар загальної практики - сімейний лікар",AB1253*AG1250,0)))</f>
        <v>0</v>
      </c>
      <c r="AC1250" s="196">
        <f>IF($B$1250="Лікар-педіатр",AC1253*AG1250,IF($B$1250="Лікар-терапевт","х",IF($B$1250="Лікар загальної практики - сімейний лікар",AC1253*AG1250,0)))</f>
        <v>0</v>
      </c>
      <c r="AD1250" s="196">
        <f>IF($B$1250="Лікар-педіатр","x",IF($B$1250="Лікар-терапевт",AD1253*AG1250,IF($B$1250="Лікар загальної практики - сімейний лікар",AD1253*AG1250,0)))</f>
        <v>0</v>
      </c>
      <c r="AE1250" s="196">
        <f>IF($B$1250="Лікар-педіатр","x",IF($B$1250="Лікар-терапевт",AE1253*AG1250,IF($B$1250="Лікар загальної практики - сімейний лікар",AE1253*AG1250,0)))</f>
        <v>0</v>
      </c>
      <c r="AF1250" s="196">
        <f>IF($B$1250="Лікар-педіатр","x",IF($B$1250="Лікар-терапевт",AF1253*AG1250,IF($B$1250="Лікар загальної практики - сімейний лікар",AF1253*AG1250,0)))</f>
        <v>0</v>
      </c>
      <c r="AG1250" s="557"/>
      <c r="AH1250" s="941"/>
      <c r="AI1250" s="540">
        <f>A1250</f>
        <v>94</v>
      </c>
      <c r="AJ1250" s="944">
        <f>B1250</f>
        <v>0</v>
      </c>
      <c r="AK1250" s="959">
        <f>C1250</f>
        <v>0</v>
      </c>
      <c r="AL1250" s="959">
        <f>D1250</f>
        <v>0</v>
      </c>
      <c r="AM1250" s="929" t="s">
        <v>79</v>
      </c>
      <c r="AN1250" s="947">
        <f>SUM(AN1255:AN1261)</f>
        <v>0</v>
      </c>
      <c r="AO1250" s="947">
        <f>SUM(AO1255:AO1261)</f>
        <v>0</v>
      </c>
      <c r="AP1250" s="947">
        <f>SUM(AP1255:AP1261)</f>
        <v>0</v>
      </c>
      <c r="AQ1250" s="947">
        <f>SUM(AQ1255:AQ1261)</f>
        <v>0</v>
      </c>
      <c r="AR1250" s="962">
        <f>SUM(AN1250:AQ1254)</f>
        <v>0</v>
      </c>
    </row>
    <row r="1251" spans="1:44" s="50" customFormat="1" ht="28.15" hidden="1" customHeight="1">
      <c r="A1251" s="197"/>
      <c r="B1251" s="951"/>
      <c r="C1251" s="954"/>
      <c r="D1251" s="957"/>
      <c r="E1251" s="939"/>
      <c r="F1251" s="234" t="s">
        <v>660</v>
      </c>
      <c r="G1251" s="196">
        <f>IF($B$1250="Лікар-педіатр",G1253*L1251,IF($B$1250="Лікар-терапевт","х",IF($B$1250="Лікар загальної практики - сімейний лікар",G1253*L1251,0)))</f>
        <v>0</v>
      </c>
      <c r="H1251" s="196">
        <f>IF($B$1250="Лікар-педіатр",H1253*L1251,IF($B$1250="Лікар-терапевт","х",IF($B$1250="Лікар загальної практики - сімейний лікар",H1253*L1251,0)))</f>
        <v>0</v>
      </c>
      <c r="I1251" s="196">
        <f>IF($B$1250="Лікар-педіатр","x",IF($B$1250="Лікар-терапевт",I1253*L1251,IF($B$1250="Лікар загальної практики - сімейний лікар",I1253*L1251,0)))</f>
        <v>0</v>
      </c>
      <c r="J1251" s="196">
        <f>IF($B$1250="Лікар-педіатр","x",IF($B$1250="Лікар-терапевт",J1253*L1251,IF($B$1250="Лікар загальної практики - сімейний лікар",J1253*L1251,0)))</f>
        <v>0</v>
      </c>
      <c r="K1251" s="196">
        <f>IF($B$1250="Лікар-педіатр","x",IF($B$1250="Лікар-терапевт",K1253*L1251,IF($B$1250="Лікар загальної практики - сімейний лікар",K1253*L1251,0)))</f>
        <v>0</v>
      </c>
      <c r="L1251" s="557"/>
      <c r="M1251" s="942"/>
      <c r="N1251" s="196">
        <f>IF($B$1250="Лікар-педіатр",N1253*S1251,IF($B$1250="Лікар-терапевт","х",IF($B$1250="Лікар загальної практики - сімейний лікар",N1253*S1251,0)))</f>
        <v>0</v>
      </c>
      <c r="O1251" s="196">
        <f>IF($B$1250="Лікар-педіатр",O1253*S1251,IF($B$1250="Лікар-терапевт","х",IF($B$1250="Лікар загальної практики - сімейний лікар",O1253*S1251,0)))</f>
        <v>0</v>
      </c>
      <c r="P1251" s="196">
        <f>IF($B$1250="Лікар-педіатр","x",IF($B$1250="Лікар-терапевт",P1253*S1251,IF($B$1250="Лікар загальної практики - сімейний лікар",P1253*S1251,0)))</f>
        <v>0</v>
      </c>
      <c r="Q1251" s="196">
        <f>IF($B$1250="Лікар-педіатр","x",IF($B$1250="Лікар-терапевт",Q1253*S1251,IF($B$1250="Лікар загальної практики - сімейний лікар",Q1253*S1251,0)))</f>
        <v>0</v>
      </c>
      <c r="R1251" s="196">
        <f>IF($B$1250="Лікар-педіатр","x",IF($B$1250="Лікар-терапевт",R1253*S1251,IF($B$1250="Лікар загальної практики - сімейний лікар",R1253*S1251,0)))</f>
        <v>0</v>
      </c>
      <c r="S1251" s="557"/>
      <c r="T1251" s="942"/>
      <c r="U1251" s="196">
        <f>IF($B$1250="Лікар-педіатр",U1253*Z1251,IF($B$1250="Лікар-терапевт","х",IF($B$1250="Лікар загальної практики - сімейний лікар",U1253*Z1251,0)))</f>
        <v>0</v>
      </c>
      <c r="V1251" s="196">
        <f>IF($B$1250="Лікар-педіатр",V1253*Z1251,IF($B$1250="Лікар-терапевт","х",IF($B$1250="Лікар загальної практики - сімейний лікар",V1253*Z1251,0)))</f>
        <v>0</v>
      </c>
      <c r="W1251" s="196">
        <f>IF($B$1250="Лікар-педіатр","x",IF($B$1250="Лікар-терапевт",W1253*Z1251,IF($B$1250="Лікар загальної практики - сімейний лікар",W1253*Z1251,0)))</f>
        <v>0</v>
      </c>
      <c r="X1251" s="196">
        <f>IF($B$1250="Лікар-педіатр","x",IF($B$1250="Лікар-терапевт",X1253*Z1251,IF($B$1250="Лікар загальної практики - сімейний лікар",X1253*Z1251,0)))</f>
        <v>0</v>
      </c>
      <c r="Y1251" s="196">
        <f>IF($B$1250="Лікар-педіатр","x",IF($B$1250="Лікар-терапевт",Y1253*Z1251,IF($B$1250="Лікар загальної практики - сімейний лікар",Y1253*Z1251,0)))</f>
        <v>0</v>
      </c>
      <c r="Z1251" s="557"/>
      <c r="AA1251" s="942"/>
      <c r="AB1251" s="196">
        <f>IF($B$1250="Лікар-педіатр",AB1253*AG1251,IF($B$1250="Лікар-терапевт","х",IF($B$1250="Лікар загальної практики - сімейний лікар",AB1253*AG1251,0)))</f>
        <v>0</v>
      </c>
      <c r="AC1251" s="196">
        <f>IF($B$1250="Лікар-педіатр",AC1253*AG1251,IF($B$1250="Лікар-терапевт","х",IF($B$1250="Лікар загальної практики - сімейний лікар",AC1253*AG1251,0)))</f>
        <v>0</v>
      </c>
      <c r="AD1251" s="196">
        <f>IF($B$1250="Лікар-педіатр","x",IF($B$1250="Лікар-терапевт",AD1253*AG1251,IF($B$1250="Лікар загальної практики - сімейний лікар",AD1253*AG1251,0)))</f>
        <v>0</v>
      </c>
      <c r="AE1251" s="196">
        <f>IF($B$1250="Лікар-педіатр","x",IF($B$1250="Лікар-терапевт",AE1253*AG1251,IF($B$1250="Лікар загальної практики - сімейний лікар",AE1253*AG1251,0)))</f>
        <v>0</v>
      </c>
      <c r="AF1251" s="196">
        <f>IF($B$1250="Лікар-педіатр","x",IF($B$1250="Лікар-терапевт",AF1253*AG1251,IF($B$1250="Лікар загальної практики - сімейний лікар",AF1253*AG1251,0)))</f>
        <v>0</v>
      </c>
      <c r="AG1251" s="557"/>
      <c r="AH1251" s="942"/>
      <c r="AI1251" s="198"/>
      <c r="AJ1251" s="945"/>
      <c r="AK1251" s="960"/>
      <c r="AL1251" s="960"/>
      <c r="AM1251" s="930"/>
      <c r="AN1251" s="948"/>
      <c r="AO1251" s="948"/>
      <c r="AP1251" s="948"/>
      <c r="AQ1251" s="948"/>
      <c r="AR1251" s="963"/>
    </row>
    <row r="1252" spans="1:44" s="90" customFormat="1" ht="31.15" hidden="1" customHeight="1">
      <c r="A1252" s="240"/>
      <c r="B1252" s="951"/>
      <c r="C1252" s="954"/>
      <c r="D1252" s="957"/>
      <c r="E1252" s="939"/>
      <c r="F1252" s="241" t="s">
        <v>661</v>
      </c>
      <c r="G1252" s="199">
        <f>IF(B1250="Лікар загальної практики - сімейний лікар"," ",IF(B1250="Лікар-педіатр"," ",IF(B1250="Лікар-терапевт","х",0)))</f>
        <v>0</v>
      </c>
      <c r="H1252" s="199">
        <f>IF(B1250="Лікар загальної практики - сімейний лікар"," ",IF(B1250="Лікар-педіатр"," ",IF(B1250="Лікар-терапевт","х",0)))</f>
        <v>0</v>
      </c>
      <c r="I1252" s="199">
        <f>IF(B1250="Лікар загальної практики - сімейний лікар"," ",IF(B1250="Лікар-педіатр","х",IF(B1250="Лікар-терапевт"," ",0)))</f>
        <v>0</v>
      </c>
      <c r="J1252" s="199">
        <f>IF(B1250="Лікар загальної практики - сімейний лікар"," ",IF(B1250="Лікар-педіатр","х",IF(B1250="Лікар-терапевт"," ",0)))</f>
        <v>0</v>
      </c>
      <c r="K1252" s="199">
        <f>IF(B1250="Лікар загальної практики - сімейний лікар"," ",IF(B1250="Лікар-педіатр","х",IF(B1250="Лікар-терапевт"," ",0)))</f>
        <v>0</v>
      </c>
      <c r="L1252" s="200">
        <f>SUM(G1252:K1252)</f>
        <v>0</v>
      </c>
      <c r="M1252" s="942"/>
      <c r="N1252" s="199">
        <f>IF(B1250="Лікар загальної практики - сімейний лікар"," ",IF(B1250="Лікар-педіатр"," ",IF(B1250="Лікар-терапевт","х",0)))</f>
        <v>0</v>
      </c>
      <c r="O1252" s="199">
        <f>IF(B1250="Лікар загальної практики - сімейний лікар"," ",IF(B1250="Лікар-педіатр"," ",IF(B1250="Лікар-терапевт","х",0)))</f>
        <v>0</v>
      </c>
      <c r="P1252" s="199">
        <f>IF(B1250="Лікар загальної практики - сімейний лікар"," ",IF(B1250="Лікар-педіатр","х",IF(B1250="Лікар-терапевт"," ",0)))</f>
        <v>0</v>
      </c>
      <c r="Q1252" s="199">
        <f>IF(B1250="Лікар загальної практики - сімейний лікар"," ",IF(B1250="Лікар-педіатр","х",IF(B1250="Лікар-терапевт"," ",0)))</f>
        <v>0</v>
      </c>
      <c r="R1252" s="199">
        <f>IF(B1250="Лікар загальної практики - сімейний лікар"," ",IF(B1250="Лікар-педіатр","х",IF(B1250="Лікар-терапевт"," ",0)))</f>
        <v>0</v>
      </c>
      <c r="S1252" s="200">
        <f>SUM(N1252:R1252)</f>
        <v>0</v>
      </c>
      <c r="T1252" s="942"/>
      <c r="U1252" s="199">
        <f>IF(B1250="Лікар загальної практики - сімейний лікар"," ",IF(B1250="Лікар-педіатр"," ",IF(B1250="Лікар-терапевт","х",0)))</f>
        <v>0</v>
      </c>
      <c r="V1252" s="199">
        <f>IF(B1250="Лікар загальної практики - сімейний лікар"," ",IF(B1250="Лікар-педіатр"," ",IF(B1250="Лікар-терапевт","х",0)))</f>
        <v>0</v>
      </c>
      <c r="W1252" s="199">
        <f>IF(B1250="Лікар загальної практики - сімейний лікар"," ",IF(B1250="Лікар-педіатр","х",IF(B1250="Лікар-терапевт"," ",0)))</f>
        <v>0</v>
      </c>
      <c r="X1252" s="199">
        <f>IF(B1250="Лікар загальної практики - сімейний лікар"," ",IF(B1250="Лікар-педіатр","х",IF(B1250="Лікар-терапевт"," ",0)))</f>
        <v>0</v>
      </c>
      <c r="Y1252" s="199">
        <f>IF(B1250="Лікар загальної практики - сімейний лікар"," ",IF(B1250="Лікар-педіатр","х",IF(B1250="Лікар-терапевт"," ",0)))</f>
        <v>0</v>
      </c>
      <c r="Z1252" s="200">
        <f>SUM(U1252:Y1252)</f>
        <v>0</v>
      </c>
      <c r="AA1252" s="942"/>
      <c r="AB1252" s="199">
        <f>IF(B1250="Лікар загальної практики - сімейний лікар"," ",IF(B1250="Лікар-педіатр"," ",IF(B1250="Лікар-терапевт","х",0)))</f>
        <v>0</v>
      </c>
      <c r="AC1252" s="199">
        <f>IF(B1250="Лікар загальної практики - сімейний лікар"," ",IF(B1250="Лікар-педіатр"," ",IF(B1250="Лікар-терапевт","х",0)))</f>
        <v>0</v>
      </c>
      <c r="AD1252" s="199">
        <f>IF(B1250="Лікар загальної практики - сімейний лікар"," ",IF(B1250="Лікар-педіатр","х",IF(B1250="Лікар-терапевт"," ",0)))</f>
        <v>0</v>
      </c>
      <c r="AE1252" s="199">
        <f>IF(B1250="Лікар загальної практики - сімейний лікар"," ",IF(B1250="Лікар-педіатр","х",IF(B1250="Лікар-терапевт"," ",0)))</f>
        <v>0</v>
      </c>
      <c r="AF1252" s="199">
        <f>IF(B1250="Лікар загальної практики - сімейний лікар"," ",IF(B1250="Лікар-педіатр","х",IF(B1250="Лікар-терапевт"," ",0)))</f>
        <v>0</v>
      </c>
      <c r="AG1252" s="200">
        <f>SUM(AB1252:AF1252)</f>
        <v>0</v>
      </c>
      <c r="AH1252" s="942"/>
      <c r="AI1252" s="242"/>
      <c r="AJ1252" s="945"/>
      <c r="AK1252" s="960"/>
      <c r="AL1252" s="960"/>
      <c r="AM1252" s="930"/>
      <c r="AN1252" s="948"/>
      <c r="AO1252" s="948"/>
      <c r="AP1252" s="948"/>
      <c r="AQ1252" s="948"/>
      <c r="AR1252" s="963"/>
    </row>
    <row r="1253" spans="1:44" s="50" customFormat="1" ht="31.9" hidden="1" customHeight="1" thickBot="1">
      <c r="A1253" s="197"/>
      <c r="B1253" s="951"/>
      <c r="C1253" s="954"/>
      <c r="D1253" s="957"/>
      <c r="E1253" s="939"/>
      <c r="F1253" s="236" t="s">
        <v>426</v>
      </c>
      <c r="G1253" s="203">
        <f>IF($B$1250="Лікар-педіатр",G1252/L1252,IF($B$1250="Лікар-терапевт","х",IF($B$1250="Лікар загальної практики - сімейний лікар",G1252/L1252,0)))</f>
        <v>0</v>
      </c>
      <c r="H1253" s="203">
        <f>IF($B$1250="Лікар-педіатр",H1252/L1252,IF($B$1250="Лікар-терапевт","х",IF($B$1250="Лікар загальної практики - сімейний лікар",H1252/L1252,0)))</f>
        <v>0</v>
      </c>
      <c r="I1253" s="203">
        <f>IF($B$1250="Лікар-педіатр","x",IF($B$1250="Лікар-терапевт",I1252/L1252,IF($B$1250="Лікар загальної практики - сімейний лікар",I1252/L1252,0)))</f>
        <v>0</v>
      </c>
      <c r="J1253" s="203">
        <f>IF($B$1250="Лікар-педіатр","x",IF($B$1250="Лікар-терапевт",J1252/L1252,IF($B$1250="Лікар загальної практики - сімейний лікар",J1252/L1252,0)))</f>
        <v>0</v>
      </c>
      <c r="K1253" s="203">
        <f>IF($B$1250="Лікар-педіатр","x",IF($B$1250="Лікар-терапевт",K1252/L1252,IF($B$1250="Лікар загальної практики - сімейний лікар",K1252/L1252,0)))</f>
        <v>0</v>
      </c>
      <c r="L1253" s="203">
        <f>SUM(G1253:K1253)</f>
        <v>0</v>
      </c>
      <c r="M1253" s="942"/>
      <c r="N1253" s="203">
        <f>IF($B$1250="Лікар-педіатр",N1252/S1252,IF($B$1250="Лікар-терапевт","х",IF($B$1250="Лікар загальної практики - сімейний лікар",N1252/S1252,0)))</f>
        <v>0</v>
      </c>
      <c r="O1253" s="203">
        <f>IF($B$1250="Лікар-педіатр",O1252/S1252,IF($B$1250="Лікар-терапевт","х",IF($B$1250="Лікар загальної практики - сімейний лікар",O1252/S1252,0)))</f>
        <v>0</v>
      </c>
      <c r="P1253" s="203">
        <f>IF($B$1250="Лікар-педіатр","x",IF($B$1250="Лікар-терапевт",P1252/S1252,IF($B$1250="Лікар загальної практики - сімейний лікар",P1252/S1252,0)))</f>
        <v>0</v>
      </c>
      <c r="Q1253" s="203">
        <f>IF($B$1250="Лікар-педіатр","x",IF($B$1250="Лікар-терапевт",Q1252/S1252,IF($B$1250="Лікар загальної практики - сімейний лікар",Q1252/S1252,0)))</f>
        <v>0</v>
      </c>
      <c r="R1253" s="203">
        <f>IF($B$1250="Лікар-педіатр","x",IF($B$1250="Лікар-терапевт",R1252/S1252,IF($B$1250="Лікар загальної практики - сімейний лікар",R1252/S1252,0)))</f>
        <v>0</v>
      </c>
      <c r="S1253" s="203">
        <f>SUM(N1253:R1253)</f>
        <v>0</v>
      </c>
      <c r="T1253" s="942"/>
      <c r="U1253" s="203">
        <f>IF($B$1250="Лікар-педіатр",U1252/Z1252,IF($B$1250="Лікар-терапевт","х",IF($B$1250="Лікар загальної практики - сімейний лікар",U1252/Z1252,0)))</f>
        <v>0</v>
      </c>
      <c r="V1253" s="203">
        <f>IF($B$1250="Лікар-педіатр",V1252/Z1252,IF($B$1250="Лікар-терапевт","х",IF($B$1250="Лікар загальної практики - сімейний лікар",V1252/Z1252,0)))</f>
        <v>0</v>
      </c>
      <c r="W1253" s="203">
        <f>IF($B$1250="Лікар-педіатр","x",IF($B$1250="Лікар-терапевт",W1252/Z1252,IF($B$1250="Лікар загальної практики - сімейний лікар",W1252/Z1252,0)))</f>
        <v>0</v>
      </c>
      <c r="X1253" s="203">
        <f>IF($B$1250="Лікар-педіатр","x",IF($B$1250="Лікар-терапевт",X1252/Z1252,IF($B$1250="Лікар загальної практики - сімейний лікар",X1252/Z1252,0)))</f>
        <v>0</v>
      </c>
      <c r="Y1253" s="203">
        <f>IF($B$1250="Лікар-педіатр","x",IF($B$1250="Лікар-терапевт",Y1252/Z1252,IF($B$1250="Лікар загальної практики - сімейний лікар",Y1252/Z1252,0)))</f>
        <v>0</v>
      </c>
      <c r="Z1253" s="203">
        <f>SUM(U1253:Y1253)</f>
        <v>0</v>
      </c>
      <c r="AA1253" s="942"/>
      <c r="AB1253" s="203">
        <f>IF($B$1250="Лікар-педіатр",AB1252/AG1252,IF($B$1250="Лікар-терапевт","х",IF($B$1250="Лікар загальної практики - сімейний лікар",AB1252/AG1252,0)))</f>
        <v>0</v>
      </c>
      <c r="AC1253" s="203">
        <f>IF($B$1250="Лікар-педіатр",AC1252/AG1252,IF($B$1250="Лікар-терапевт","х",IF($B$1250="Лікар загальної практики - сімейний лікар",AC1252/AG1252,0)))</f>
        <v>0</v>
      </c>
      <c r="AD1253" s="203">
        <f>IF($B$1250="Лікар-педіатр","x",IF($B$1250="Лікар-терапевт",AD1252/AG1252,IF($B$1250="Лікар загальної практики - сімейний лікар",AD1252/AG1252,0)))</f>
        <v>0</v>
      </c>
      <c r="AE1253" s="203">
        <f>IF($B$1250="Лікар-педіатр","x",IF($B$1250="Лікар-терапевт",AE1252/AG1252,IF($B$1250="Лікар загальної практики - сімейний лікар",AE1252/AG1252,0)))</f>
        <v>0</v>
      </c>
      <c r="AF1253" s="203">
        <f>IF($B$1250="Лікар-педіатр","x",IF($B$1250="Лікар-терапевт",AF1252/AG1252,IF($B$1250="Лікар загальної практики - сімейний лікар",AF1252/AG1252,0)))</f>
        <v>0</v>
      </c>
      <c r="AG1253" s="203">
        <f>SUM(AB1253:AF1253)</f>
        <v>0</v>
      </c>
      <c r="AH1253" s="942"/>
      <c r="AI1253" s="201"/>
      <c r="AJ1253" s="945"/>
      <c r="AK1253" s="960"/>
      <c r="AL1253" s="960"/>
      <c r="AM1253" s="930"/>
      <c r="AN1253" s="948"/>
      <c r="AO1253" s="948"/>
      <c r="AP1253" s="948"/>
      <c r="AQ1253" s="948"/>
      <c r="AR1253" s="963"/>
    </row>
    <row r="1254" spans="1:44" s="50" customFormat="1" ht="45" hidden="1" customHeight="1" thickBot="1">
      <c r="A1254" s="197"/>
      <c r="B1254" s="951"/>
      <c r="C1254" s="954"/>
      <c r="D1254" s="957"/>
      <c r="E1254" s="939"/>
      <c r="F1254" s="204" t="s">
        <v>662</v>
      </c>
      <c r="G1254" s="205">
        <f>IF($B$1250="Лікар загальної практики - сімейний лікар",AVERAGE(G1250:G1252),IF($B$1250="Лікар-педіатр",AVERAGE(G1250:G1252),IF($B$1250="Лікар-терапевт","х",0)))</f>
        <v>0</v>
      </c>
      <c r="H1254" s="205">
        <f>IF($B$1250="Лікар загальної практики - сімейний лікар",AVERAGE(H1250:H1252),IF($B$1250="Лікар-педіатр",AVERAGE(H1250:H1252),IF($B$1250="Лікар-терапевт","х",0)))</f>
        <v>0</v>
      </c>
      <c r="I1254" s="205">
        <f>IF($B$1250="Лікар загальної практики - сімейний лікар",AVERAGE(I1250:I1252),IF($B$1250="Лікар-педіатр","x",IF($B$1250="Лікар-терапевт",AVERAGE(I1250:I1252),0)))</f>
        <v>0</v>
      </c>
      <c r="J1254" s="205">
        <f>IF($B$1250="Лікар загальної практики - сімейний лікар",AVERAGE(J1250:J1252),IF($B$1250="Лікар-педіатр","x",IF($B$1250="Лікар-терапевт",AVERAGE(J1250:J1252),0)))</f>
        <v>0</v>
      </c>
      <c r="K1254" s="205">
        <f>IF($B$1250="Лікар загальної практики - сімейний лікар",AVERAGE(K1250:K1252),IF($B$1250="Лікар-педіатр","x",IF($B$1250="Лікар-терапевт",AVERAGE(K1250:K1252),0)))</f>
        <v>0</v>
      </c>
      <c r="L1254" s="206">
        <f>SUM(G1254:K1254)</f>
        <v>0</v>
      </c>
      <c r="M1254" s="942"/>
      <c r="N1254" s="205">
        <f>IF($B$1250="Лікар загальної практики - сімейний лікар",AVERAGE(N1250:N1252),IF($B$1250="Лікар-педіатр",AVERAGE(N1250:N1252),IF($B$1250="Лікар-терапевт","х",0)))</f>
        <v>0</v>
      </c>
      <c r="O1254" s="205">
        <f>IF($B$1250="Лікар загальної практики - сімейний лікар",AVERAGE(O1250:O1252),IF($B$1250="Лікар-педіатр",AVERAGE(O1250:O1252),IF($B$1250="Лікар-терапевт","х",0)))</f>
        <v>0</v>
      </c>
      <c r="P1254" s="205">
        <f>IF($B$1250="Лікар загальної практики - сімейний лікар",AVERAGE(P1250:P1252),IF($B$1250="Лікар-педіатр","x",IF($B$1250="Лікар-терапевт",AVERAGE(P1250:P1252),0)))</f>
        <v>0</v>
      </c>
      <c r="Q1254" s="205">
        <f>IF($B$1250="Лікар загальної практики - сімейний лікар",AVERAGE(Q1250:Q1252),IF($B$1250="Лікар-педіатр","x",IF($B$1250="Лікар-терапевт",AVERAGE(Q1250:Q1252),0)))</f>
        <v>0</v>
      </c>
      <c r="R1254" s="205">
        <f>IF($B$1250="Лікар загальної практики - сімейний лікар",AVERAGE(R1250:R1252),IF($B$1250="Лікар-педіатр","x",IF($B$1250="Лікар-терапевт",AVERAGE(R1250:R1252),0)))</f>
        <v>0</v>
      </c>
      <c r="S1254" s="206">
        <f>SUM(N1254:R1254)</f>
        <v>0</v>
      </c>
      <c r="T1254" s="942"/>
      <c r="U1254" s="205">
        <f>IF($B$1250="Лікар загальної практики - сімейний лікар",AVERAGE(U1250:U1252),IF($B$1250="Лікар-педіатр",AVERAGE(U1250:U1252),IF($B$1250="Лікар-терапевт","х",0)))</f>
        <v>0</v>
      </c>
      <c r="V1254" s="205">
        <f>IF($B$1250="Лікар загальної практики - сімейний лікар",AVERAGE(V1250:V1252),IF($B$1250="Лікар-педіатр",AVERAGE(V1250:V1252),IF($B$1250="Лікар-терапевт","х",0)))</f>
        <v>0</v>
      </c>
      <c r="W1254" s="205">
        <f>IF($B$1250="Лікар загальної практики - сімейний лікар",AVERAGE(W1250:W1252),IF($B$1250="Лікар-педіатр","x",IF($B$1250="Лікар-терапевт",AVERAGE(W1250:W1252),0)))</f>
        <v>0</v>
      </c>
      <c r="X1254" s="205">
        <f>IF($B$1250="Лікар загальної практики - сімейний лікар",AVERAGE(X1250:X1252),IF($B$1250="Лікар-педіатр","x",IF($B$1250="Лікар-терапевт",AVERAGE(X1250:X1252),0)))</f>
        <v>0</v>
      </c>
      <c r="Y1254" s="205">
        <f>IF($B$1250="Лікар загальної практики - сімейний лікар",AVERAGE(Y1250:Y1252),IF($B$1250="Лікар-педіатр","x",IF($B$1250="Лікар-терапевт",AVERAGE(Y1250:Y1252),0)))</f>
        <v>0</v>
      </c>
      <c r="Z1254" s="206">
        <f>SUM(U1254:Y1254)</f>
        <v>0</v>
      </c>
      <c r="AA1254" s="942"/>
      <c r="AB1254" s="205">
        <f>IF($B$1250="Лікар загальної практики - сімейний лікар",AVERAGE(AB1250:AB1252),IF($B$1250="Лікар-педіатр",AVERAGE(AB1250:AB1252),IF($B$1250="Лікар-терапевт","х",0)))</f>
        <v>0</v>
      </c>
      <c r="AC1254" s="205">
        <f>IF($B$1250="Лікар загальної практики - сімейний лікар",AVERAGE(AC1250:AC1252),IF($B$1250="Лікар-педіатр",AVERAGE(AC1250:AC1252),IF($B$1250="Лікар-терапевт","х",0)))</f>
        <v>0</v>
      </c>
      <c r="AD1254" s="205">
        <f>IF($B$1250="Лікар загальної практики - сімейний лікар",AVERAGE(AD1250:AD1252),IF($B$1250="Лікар-педіатр","x",IF($B$1250="Лікар-терапевт",AVERAGE(AD1250:AD1252),0)))</f>
        <v>0</v>
      </c>
      <c r="AE1254" s="205">
        <f>IF($B$1250="Лікар загальної практики - сімейний лікар",AVERAGE(AE1250:AE1252),IF($B$1250="Лікар-педіатр","x",IF($B$1250="Лікар-терапевт",AVERAGE(AE1250:AE1252),0)))</f>
        <v>0</v>
      </c>
      <c r="AF1254" s="205">
        <f>IF($B$1250="Лікар загальної практики - сімейний лікар",AVERAGE(AF1250:AF1252),IF($B$1250="Лікар-педіатр","x",IF($B$1250="Лікар-терапевт",AVERAGE(AF1250:AF1252),0)))</f>
        <v>0</v>
      </c>
      <c r="AG1254" s="206">
        <f>SUM(AB1254:AF1254)</f>
        <v>0</v>
      </c>
      <c r="AH1254" s="942"/>
      <c r="AI1254" s="201"/>
      <c r="AJ1254" s="945"/>
      <c r="AK1254" s="960"/>
      <c r="AL1254" s="960"/>
      <c r="AM1254" s="931"/>
      <c r="AN1254" s="949"/>
      <c r="AO1254" s="949"/>
      <c r="AP1254" s="949"/>
      <c r="AQ1254" s="949"/>
      <c r="AR1254" s="964"/>
    </row>
    <row r="1255" spans="1:44" s="50" customFormat="1" ht="40.5" hidden="1">
      <c r="A1255" s="197"/>
      <c r="B1255" s="951"/>
      <c r="C1255" s="954"/>
      <c r="D1255" s="957"/>
      <c r="E1255" s="939"/>
      <c r="F1255" s="237" t="str">
        <f ca="1">IF(B1250="Лікар-педіатр",Законод!$C$17,IF(B1250="Лікар загальної практики - сімейний лікар",Законод!$C$21,IF(B1250="Лікар-терапевт",Законод!$C$25,"х")))</f>
        <v>х</v>
      </c>
      <c r="G1255" s="208">
        <f ca="1">IF($B$1250="Лікар загальної практики - сімейний лікар",IF(L1254&lt;=Законод!$C$22,G1254,Законод!$C$22*'01_Доходи'!G1253),IF($B$1250="Лікар-педіатр",IF(L1254&lt;=Законод!$C$18,G1254,Законод!$C$18*'01_Доходи'!G1253),IF($B$1250="Лікар-терапевт","x",0)))</f>
        <v>0</v>
      </c>
      <c r="H1255" s="208">
        <f ca="1">IF($B$1250="Лікар загальної практики - сімейний лікар",IF(L1254&lt;=Законод!$C$22,H1254,Законод!$C$22*'01_Доходи'!H1253),IF($B$1250="Лікар-педіатр",IF(L1254&lt;=Законод!$C$18,H1254,Законод!$C$18*'01_Доходи'!H1253),IF($B$1250="Лікар-терапевт","x",0)))</f>
        <v>0</v>
      </c>
      <c r="I1255" s="208">
        <f ca="1">IF($B$1250="Лікар загальної практики - сімейний лікар",IF(L1254&lt;=Законод!$C$22,I1254,Законод!$C$22*'01_Доходи'!I1253),IF($B$1250="Лікар-педіатр","x",IF($B$1250="Лікар-терапевт",IF(L1254&lt;=Законод!$C$26,I1254,Законод!$C$26*'01_Доходи'!I1253),0)))</f>
        <v>0</v>
      </c>
      <c r="J1255" s="208">
        <f ca="1">IF($B$1250="Лікар загальної практики - сімейний лікар",IF(L1254&lt;=Законод!$C$22,J1254,Законод!$C$22*'01_Доходи'!J1253),IF($B$1250="Лікар-педіатр","x",IF($B$1250="Лікар-терапевт",IF(L1254&lt;=Законод!$C$26,J1254,Законод!$C$26*'01_Доходи'!J1253),0)))</f>
        <v>0</v>
      </c>
      <c r="K1255" s="208">
        <f ca="1">IF($B$1250="Лікар загальної практики - сімейний лікар",IF(L1254&lt;=Законод!$C$22,K1254,Законод!$C$22*'01_Доходи'!K1253),IF($B$1250="Лікар-педіатр","x",IF($B$1250="Лікар-терапевт",IF(L1254&lt;=Законод!$C$26,K1254,Законод!$C$26*'01_Доходи'!K1253),0)))</f>
        <v>0</v>
      </c>
      <c r="L1255" s="209">
        <f ca="1">SUM(G1255:K1255)</f>
        <v>0</v>
      </c>
      <c r="M1255" s="942"/>
      <c r="N1255" s="208">
        <f ca="1">IF($B$1250="Лікар загальної практики - сімейний лікар",IF(S1254&lt;=Законод!$C$22,N1254,Законод!$C$22*'01_Доходи'!N1253),IF($B$1250="Лікар-педіатр",IF(S1254&lt;=Законод!$C$18,N1254,Законод!$C$18*'01_Доходи'!N1253),IF($B$1250="Лікар-терапевт","x",0)))</f>
        <v>0</v>
      </c>
      <c r="O1255" s="208">
        <f ca="1">IF($B$1250="Лікар загальної практики - сімейний лікар",IF(S1254&lt;=Законод!$C$22,O1254,Законод!$C$22*'01_Доходи'!O1253),IF($B$1250="Лікар-педіатр",IF(S1254&lt;=Законод!$C$18,O1254,Законод!$C$18*'01_Доходи'!O1253),IF($B$1250="Лікар-терапевт","x",0)))</f>
        <v>0</v>
      </c>
      <c r="P1255" s="208">
        <f ca="1">IF($B$1250="Лікар загальної практики - сімейний лікар",IF(S1254&lt;=Законод!$C$22,P1254,Законод!$C$22*'01_Доходи'!P1253),IF($B$1250="Лікар-педіатр","x",IF($B$1250="Лікар-терапевт",IF(S1254&lt;=Законод!$C$26,P1254,Законод!$C$26*'01_Доходи'!P1253),0)))</f>
        <v>0</v>
      </c>
      <c r="Q1255" s="208">
        <f ca="1">IF($B$1250="Лікар загальної практики - сімейний лікар",IF(S1254&lt;=Законод!$C$22,Q1254,Законод!$C$22*'01_Доходи'!Q1253),IF($B$1250="Лікар-педіатр","x",IF($B$1250="Лікар-терапевт",IF(S1254&lt;=Законод!$C$26,Q1254,Законод!$C$26*'01_Доходи'!Q1253),0)))</f>
        <v>0</v>
      </c>
      <c r="R1255" s="208">
        <f ca="1">IF($B$1250="Лікар загальної практики - сімейний лікар",IF(S1254&lt;=Законод!$C$22,R1254,Законод!$C$22*'01_Доходи'!R1253),IF($B$1250="Лікар-педіатр","x",IF($B$1250="Лікар-терапевт",IF(S1254&lt;=Законод!$C$26,R1254,Законод!$C$26*'01_Доходи'!R1253),0)))</f>
        <v>0</v>
      </c>
      <c r="S1255" s="209">
        <f ca="1">SUM(N1255:R1255)</f>
        <v>0</v>
      </c>
      <c r="T1255" s="942"/>
      <c r="U1255" s="208">
        <f ca="1">IF($B$1250="Лікар загальної практики - сімейний лікар",IF(Z1254&lt;=Законод!$C$22,U1254,Законод!$C$22*'01_Доходи'!U1253),IF($B$1250="Лікар-педіатр",IF(Z1254&lt;=Законод!$C$18,U1254,Законод!$C$18*'01_Доходи'!U1253),IF($B$1250="Лікар-терапевт","x",0)))</f>
        <v>0</v>
      </c>
      <c r="V1255" s="208">
        <f ca="1">IF($B$1250="Лікар загальної практики - сімейний лікар",IF(Z1254&lt;=Законод!$C$22,V1254,Законод!$C$22*'01_Доходи'!V1253),IF($B$1250="Лікар-педіатр",IF(Z1254&lt;=Законод!$C$18,V1254,Законод!$C$18*'01_Доходи'!V1253),IF($B$1250="Лікар-терапевт","x",0)))</f>
        <v>0</v>
      </c>
      <c r="W1255" s="208">
        <f ca="1">IF($B$1250="Лікар загальної практики - сімейний лікар",IF(Z1254&lt;=Законод!$C$22,W1254,Законод!$C$22*'01_Доходи'!W1253),IF($B$1250="Лікар-педіатр","x",IF($B$1250="Лікар-терапевт",IF(Z1254&lt;=Законод!$C$26,W1254,Законод!$C$26*'01_Доходи'!W1253),0)))</f>
        <v>0</v>
      </c>
      <c r="X1255" s="208">
        <f ca="1">IF($B$1250="Лікар загальної практики - сімейний лікар",IF(Z1254&lt;=Законод!$C$22,X1254,Законод!$C$22*'01_Доходи'!X1253),IF($B$1250="Лікар-педіатр","x",IF($B$1250="Лікар-терапевт",IF(Z1254&lt;=Законод!$C$26,X1254,Законод!$C$26*'01_Доходи'!X1253),0)))</f>
        <v>0</v>
      </c>
      <c r="Y1255" s="208">
        <f ca="1">IF($B$1250="Лікар загальної практики - сімейний лікар",IF(Z1254&lt;=Законод!$C$22,Y1254,Законод!$C$22*'01_Доходи'!Y1253),IF($B$1250="Лікар-педіатр","x",IF($B$1250="Лікар-терапевт",IF(Z1254&lt;=Законод!$C$26,Y1254,Законод!$C$26*'01_Доходи'!Y1253),0)))</f>
        <v>0</v>
      </c>
      <c r="Z1255" s="209">
        <f ca="1">SUM(U1255:Y1255)</f>
        <v>0</v>
      </c>
      <c r="AA1255" s="942"/>
      <c r="AB1255" s="208">
        <f ca="1">IF($B$1250="Лікар загальної практики - сімейний лікар",IF(AG1254&lt;=Законод!$C$22,AB1254,Законод!$C$22*'01_Доходи'!AB1253),IF($B$1250="Лікар-педіатр",IF(AG1254&lt;=Законод!$C$18,AB1254,Законод!$C$18*'01_Доходи'!AB1253),IF($B$1250="Лікар-терапевт","x",0)))</f>
        <v>0</v>
      </c>
      <c r="AC1255" s="208">
        <f ca="1">IF($B$1250="Лікар загальної практики - сімейний лікар",IF(AG1254&lt;=Законод!$C$22,AC1254,Законод!$C$22*'01_Доходи'!AC1253),IF($B$1250="Лікар-педіатр",IF(AG1254&lt;=Законод!$C$18,AC1254,Законод!$C$18*'01_Доходи'!AC1253),IF($B$1250="Лікар-терапевт","x",0)))</f>
        <v>0</v>
      </c>
      <c r="AD1255" s="208">
        <f ca="1">IF($B$1250="Лікар загальної практики - сімейний лікар",IF(AG1254&lt;=Законод!$C$22,AD1254,Законод!$C$22*'01_Доходи'!AD1253),IF($B$1250="Лікар-педіатр","x",IF($B$1250="Лікар-терапевт",IF(AG1254&lt;=Законод!$C$26,AD1254,Законод!$C$26*'01_Доходи'!AD1253),0)))</f>
        <v>0</v>
      </c>
      <c r="AE1255" s="208">
        <f ca="1">IF($B$1250="Лікар загальної практики - сімейний лікар",IF(AG1254&lt;=Законод!$C$22,AE1254,Законод!$C$22*'01_Доходи'!AE1253),IF($B$1250="Лікар-педіатр","x",IF($B$1250="Лікар-терапевт",IF(AG1254&lt;=Законод!$C$26,AE1254,Законод!$C$26*'01_Доходи'!AE1253),0)))</f>
        <v>0</v>
      </c>
      <c r="AF1255" s="208">
        <f ca="1">IF($B$1250="Лікар загальної практики - сімейний лікар",IF(AG1254&lt;=Законод!$C$22,AF1254,Законод!$C$22*'01_Доходи'!AF1253),IF($B$1250="Лікар-педіатр","x",IF($B$1250="Лікар-терапевт",IF(AG1254&lt;=Законод!$C$26,AF1254,Законод!$C$26*'01_Доходи'!AF1253),0)))</f>
        <v>0</v>
      </c>
      <c r="AG1255" s="209">
        <f ca="1">SUM(AB1255:AF1255)</f>
        <v>0</v>
      </c>
      <c r="AH1255" s="942"/>
      <c r="AI1255" s="201"/>
      <c r="AJ1255" s="945"/>
      <c r="AK1255" s="960"/>
      <c r="AL1255" s="960"/>
      <c r="AM1255" s="348" t="s">
        <v>451</v>
      </c>
      <c r="AN1255" s="210">
        <f ca="1">IF(B1250="Лікар загальної практики - сімейний лікар",G1255*Законод!$C$11+'01_Доходи'!H1255*Законод!$D$11+'01_Доходи'!I1255*Законод!$E$11+'01_Доходи'!J1255*Законод!$F$11+'01_Доходи'!K1255*Законод!$G$11,IF(B1250="Лікар-педіатр",G1255*Законод!$C$11+'01_Доходи'!H1255*Законод!$D$11,IF(B1250="Лікар-терапевт",'01_Доходи'!I1255*Законод!$E$11+'01_Доходи'!J1255*Законод!$F$11+'01_Доходи'!K1255*Законод!$G$11,0)))</f>
        <v>0</v>
      </c>
      <c r="AO1255" s="210">
        <f ca="1">IF(B1250="Лікар загальної практики - сімейний лікар",N1255*Законод!$C$11+'01_Доходи'!O1255*Законод!$D$11+'01_Доходи'!P1255*Законод!$E$11+'01_Доходи'!Q1255*Законод!$F$11+'01_Доходи'!R1255*Законод!$G$11,IF(B1250="Лікар-педіатр",N1255*Законод!$C$11+'01_Доходи'!O1255*Законод!$D$11,IF(B1250="Лікар-терапевт",'01_Доходи'!P1255*Законод!$E$11+'01_Доходи'!Q1255*Законод!$F$11+'01_Доходи'!R1255*Законод!$G$11,0)))</f>
        <v>0</v>
      </c>
      <c r="AP1255" s="210">
        <f ca="1">IF(B1250="Лікар загальної практики - сімейний лікар",U1255*Законод!$C$11+'01_Доходи'!V1255*Законод!$D$11+'01_Доходи'!W1255*Законод!$E$11+'01_Доходи'!X1255*Законод!$F$11+'01_Доходи'!Y1255*Законод!$G$11,IF(B1250="Лікар-педіатр",U1255*Законод!$C$11+'01_Доходи'!V1255*Законод!$D$11,IF(B1250="Лікар-терапевт",'01_Доходи'!W1255*Законод!$E$11+'01_Доходи'!X1255*Законод!$F$11+'01_Доходи'!Y1255*Законод!$G$11,0)))</f>
        <v>0</v>
      </c>
      <c r="AQ1255" s="210">
        <f ca="1">IF(B1250="Лікар загальної практики - сімейний лікар",AB1255*Законод!$C$11+'01_Доходи'!AC1255*Законод!$D$11+'01_Доходи'!AD1255*Законод!$E$11+'01_Доходи'!AE1255*Законод!$F$11+'01_Доходи'!AF1255*Законод!$G$11,IF(B1250="Лікар-педіатр",AB1255*Законод!$C$11+'01_Доходи'!AC1255*Законод!$D$11,IF(B1250="Лікар-терапевт",'01_Доходи'!AD1255*Законод!$E$11+'01_Доходи'!AE1255*Законод!$F$11+'01_Доходи'!AF1255*Законод!$G$11,0)))</f>
        <v>0</v>
      </c>
      <c r="AR1255" s="211">
        <f t="shared" ref="AR1255:AR1261" si="136">SUM(AN1255:AQ1255)</f>
        <v>0</v>
      </c>
    </row>
    <row r="1256" spans="1:44" s="50" customFormat="1" ht="31.9" hidden="1" customHeight="1">
      <c r="A1256" s="197"/>
      <c r="B1256" s="951"/>
      <c r="C1256" s="954"/>
      <c r="D1256" s="957"/>
      <c r="E1256" s="939"/>
      <c r="F1256" s="238" t="str">
        <f ca="1">IF(B1250="Лікар-педіатр",Законод!$E$17,IF(B1250="Лікар загальної практики - сімейний лікар",Законод!$E$21,IF(B1250="Лікар-терапевт",Законод!$E$25,"х")))</f>
        <v>х</v>
      </c>
      <c r="G1256" s="935" t="s">
        <v>423</v>
      </c>
      <c r="H1256" s="936"/>
      <c r="I1256" s="936"/>
      <c r="J1256" s="936"/>
      <c r="K1256" s="937"/>
      <c r="L1256" s="196">
        <f ca="1">IF($B$1250="Лікар загальної практики - сімейний лікар",IF(L1254&lt;Законод!$C$22,0,(IF(AND(L1254&gt;=Законод!$E$22,L1254&lt;=Законод!$E$23),L1254-Законод!$C$22,IF('01_Доходи'!L1254&gt;=Законод!$F$22,Законод!$E$24,0)))),IF($B$1250="Лікар-педіатр",IF(L1254&lt;Законод!$C$18,0,(IF(AND(L1254&gt;=Законод!$E$18,L1254&lt;=Законод!$E$19),L1254-Законод!$C$18,IF('01_Доходи'!L1254&gt;=Законод!$F$18,Законод!$E$20,0)))),IF($B$1250="Лікар-терапевт",IF(L1254&lt;Законод!$C$26,0,(IF(AND(L1254&gt;=Законод!$E$26,L1254&lt;=Законод!$E$27),L1254-Законод!$C$26,IF('01_Доходи'!L1254&gt;=Законод!$F$26,Законод!$E$28,0)))),0)))</f>
        <v>0</v>
      </c>
      <c r="M1256" s="942"/>
      <c r="N1256" s="935" t="s">
        <v>423</v>
      </c>
      <c r="O1256" s="936"/>
      <c r="P1256" s="936"/>
      <c r="Q1256" s="936"/>
      <c r="R1256" s="937"/>
      <c r="S1256" s="196">
        <f ca="1">IF($B$1250="Лікар загальної практики - сімейний лікар",IF(S1254&lt;Законод!$C$22,0,(IF(AND(S1254&gt;=Законод!$E$22,S1254&lt;=Законод!$E$23),S1254-Законод!$C$22,IF('01_Доходи'!S1254&gt;=Законод!$F$22,Законод!$E$24,0)))),IF($B$1250="Лікар-педіатр",IF(S1254&lt;Законод!$C$18,0,(IF(AND(S1254&gt;=Законод!$E$18,S1254&lt;=Законод!$E$19),S1254-Законод!$C$18,IF('01_Доходи'!S1254&gt;=Законод!$F$18,Законод!$E$20,0)))),IF($B$1250="Лікар-терапевт",IF(S1254&lt;Законод!$C$26,0,(IF(AND(S1254&gt;=Законод!$E$26,S1254&lt;=Законод!$E$27),S1254-Законод!$C$26,IF('01_Доходи'!S1254&gt;=Законод!$F$26,Законод!$E$28,0)))),0)))</f>
        <v>0</v>
      </c>
      <c r="T1256" s="942"/>
      <c r="U1256" s="935" t="s">
        <v>423</v>
      </c>
      <c r="V1256" s="936"/>
      <c r="W1256" s="936"/>
      <c r="X1256" s="936"/>
      <c r="Y1256" s="937"/>
      <c r="Z1256" s="196">
        <f ca="1">IF($B$1250="Лікар загальної практики - сімейний лікар",IF(Z1254&lt;Законод!$C$22,0,(IF(AND(Z1254&gt;=Законод!$E$22,Z1254&lt;=Законод!$E$23),Z1254-Законод!$C$22,IF('01_Доходи'!Z1254&gt;=Законод!$F$22,Законод!$E$24,0)))),IF($B$1250="Лікар-педіатр",IF(Z1254&lt;Законод!$C$18,0,(IF(AND(Z1254&gt;=Законод!$E$18,Z1254&lt;=Законод!$E$19),Z1254-Законод!$C$18,IF('01_Доходи'!Z1254&gt;=Законод!$F$18,Законод!$E$20,0)))),IF($B$1250="Лікар-терапевт",IF(Z1254&lt;Законод!$C$26,0,(IF(AND(Z1254&gt;=Законод!$E$26,Z1254&lt;=Законод!$E$27),Z1254-Законод!$C$26,IF('01_Доходи'!Z1254&gt;=Законод!$F$26,Законод!$E$28,0)))),0)))</f>
        <v>0</v>
      </c>
      <c r="AA1256" s="942"/>
      <c r="AB1256" s="935" t="s">
        <v>423</v>
      </c>
      <c r="AC1256" s="936"/>
      <c r="AD1256" s="936"/>
      <c r="AE1256" s="936"/>
      <c r="AF1256" s="937"/>
      <c r="AG1256" s="196">
        <f ca="1">IF($B$1250="Лікар загальної практики - сімейний лікар",IF(AG1254&lt;Законод!$C$22,0,(IF(AND(AG1254&gt;=Законод!$E$22,AG1254&lt;=Законод!$E$23),AG1254-Законод!$C$22,IF('01_Доходи'!AG1254&gt;=Законод!$F$22,Законод!$E$24,0)))),IF($B$1250="Лікар-педіатр",IF(AG1254&lt;Законод!$C$18,0,(IF(AND(AG1254&gt;=Законод!$E$18,AG1254&lt;=Законод!$E$19),AG1254-Законод!$C$18,IF('01_Доходи'!AG1254&gt;=Законод!$F$18,Законод!$E$20,0)))),IF($B$1250="Лікар-терапевт",IF(AG1254&lt;Законод!$C$26,0,(IF(AND(AG1254&gt;=Законод!$E$26,AG1254&lt;=Законод!$E$27),AG1254-Законод!$C$26,IF('01_Доходи'!AG1254&gt;=Законод!$F$26,Законод!$E$28,0)))),0)))</f>
        <v>0</v>
      </c>
      <c r="AH1256" s="942"/>
      <c r="AI1256" s="201"/>
      <c r="AJ1256" s="945"/>
      <c r="AK1256" s="960"/>
      <c r="AL1256" s="960"/>
      <c r="AM1256" s="926" t="s">
        <v>452</v>
      </c>
      <c r="AN1256" s="210">
        <f ca="1">IF(B1250="Лікар загальної практики - сімейний лікар",L1256*Законод!$C$9/4*Законод!$E$16,IF(B1250="Лікар-педіатр",L1256*Законод!$C$9/4*Законод!$E$16,IF(B1250="Лікар-терапевт",L1256*Законод!$C$9/4*Законод!$E$16,0)))</f>
        <v>0</v>
      </c>
      <c r="AO1256" s="210">
        <f ca="1">IF(B1250="Лікар загальної практики - сімейний лікар",S1256*Законод!$C$9/4*Законод!$E$16,IF(B1250="Лікар-педіатр",S1256*Законод!$C$9/4*Законод!$E$16,IF(B1250="Лікар-терапевт",S1256*Законод!$C$9/4*Законод!$E$16,0)))</f>
        <v>0</v>
      </c>
      <c r="AP1256" s="210">
        <f ca="1">IF(B1250="Лікар загальної практики - сімейний лікар",Z1256*Законод!$C$9/4*Законод!$E$16,IF(B1250="Лікар-педіатр",Z1256*Законод!$C$9/4*Законод!$E$16,IF(B1250="Лікар-терапевт",Z1256*Законод!$C$9/4*Законод!$E$16,0)))</f>
        <v>0</v>
      </c>
      <c r="AQ1256" s="210">
        <f ca="1">IF(B1250="Лікар загальної практики - сімейний лікар",AG1256*Законод!$C$9/4*Законод!$E$16,IF(B1250="Лікар-педіатр",AG1256*Законод!$C$9/4*Законод!$E$16,IF(B1250="Лікар-терапевт",AG1256*Законод!$C$9/4*Законод!$E$16,0)))</f>
        <v>0</v>
      </c>
      <c r="AR1256" s="211">
        <f t="shared" si="136"/>
        <v>0</v>
      </c>
    </row>
    <row r="1257" spans="1:44" s="50" customFormat="1" ht="31.9" hidden="1" customHeight="1">
      <c r="A1257" s="197"/>
      <c r="B1257" s="951"/>
      <c r="C1257" s="954"/>
      <c r="D1257" s="957"/>
      <c r="E1257" s="939"/>
      <c r="F1257" s="238" t="str">
        <f ca="1">IF(B1250="Лікар-педіатр",Законод!$F$17,IF(B1250="Лікар загальної практики - сімейний лікар",Законод!$F$21,IF(B1250="Лікар-терапевт",Законод!$F$25,"х")))</f>
        <v>х</v>
      </c>
      <c r="G1257" s="935" t="s">
        <v>423</v>
      </c>
      <c r="H1257" s="936"/>
      <c r="I1257" s="936"/>
      <c r="J1257" s="936"/>
      <c r="K1257" s="937"/>
      <c r="L1257" s="196">
        <f ca="1">IF($B$1250="Лікар загальної практики - сімейний лікар",IF(L1254&lt;Законод!$C$22,0,(IF(AND(L1254&gt;=Законод!$F$22,L1254&lt;=Законод!$F$23),L1254-Законод!$E$23,IF('01_Доходи'!L1254&gt;=Законод!$G$22,Законод!$F$24,0)))),IF($B$1250="Лікар-педіатр",IF(L1254&lt;Законод!$C$18,0,(IF(AND(L1254&gt;=Законод!$F$18,L1254&lt;=Законод!$F$19),L1254-Законод!$E$19,IF('01_Доходи'!L1254&gt;=Законод!$G$18,Законод!$F$20,0)))),IF($B$1250="Лікар-терапевт",IF(L1254&lt;Законод!$C$26,0,(IF(AND(L1254&gt;=Законод!$F$26,L1254&lt;=Законод!$F$27),L1254-Законод!$E$27,IF('01_Доходи'!L1254&gt;=Законод!$G$26,Законод!$F$28,0)))),0)))</f>
        <v>0</v>
      </c>
      <c r="M1257" s="942"/>
      <c r="N1257" s="935" t="s">
        <v>423</v>
      </c>
      <c r="O1257" s="936"/>
      <c r="P1257" s="936"/>
      <c r="Q1257" s="936"/>
      <c r="R1257" s="937"/>
      <c r="S1257" s="196">
        <f ca="1">IF($B$1250="Лікар загальної практики - сімейний лікар",IF(S1254&lt;Законод!$C$22,0,(IF(AND(S1254&gt;=Законод!$F$22,S1254&lt;=Законод!$F$23),S1254-Законод!$E$23,IF('01_Доходи'!S1254&gt;=Законод!$G$22,Законод!$F$24,0)))),IF($B$1250="Лікар-педіатр",IF(S1254&lt;Законод!$C$18,0,(IF(AND(S1254&gt;=Законод!$F$18,S1254&lt;=Законод!$F$19),S1254-Законод!$E$19,IF('01_Доходи'!S1254&gt;=Законод!$G$18,Законод!$F$20,0)))),IF($B$1250="Лікар-терапевт",IF(S1254&lt;Законод!$C$26,0,(IF(AND(S1254&gt;=Законод!$F$26,S1254&lt;=Законод!$F$27),S1254-Законод!$E$27,IF('01_Доходи'!S1254&gt;=Законод!$G$26,Законод!$F$28,0)))),0)))</f>
        <v>0</v>
      </c>
      <c r="T1257" s="942"/>
      <c r="U1257" s="935" t="s">
        <v>423</v>
      </c>
      <c r="V1257" s="936"/>
      <c r="W1257" s="936"/>
      <c r="X1257" s="936"/>
      <c r="Y1257" s="937"/>
      <c r="Z1257" s="196">
        <f ca="1">IF($B$1250="Лікар загальної практики - сімейний лікар",IF(Z1254&lt;Законод!$C$22,0,(IF(AND(Z1254&gt;=Законод!$F$22,Z1254&lt;=Законод!$F$23),Z1254-Законод!$E$23,IF('01_Доходи'!Z1254&gt;=Законод!$G$22,Законод!$F$24,0)))),IF($B$1250="Лікар-педіатр",IF(Z1254&lt;Законод!$C$18,0,(IF(AND(Z1254&gt;=Законод!$F$18,Z1254&lt;=Законод!$F$19),Z1254-Законод!$E$19,IF('01_Доходи'!Z1254&gt;=Законод!$G$18,Законод!$F$20,0)))),IF($B$1250="Лікар-терапевт",IF(Z1254&lt;Законод!$C$26,0,(IF(AND(Z1254&gt;=Законод!$F$26,Z1254&lt;=Законод!$F$27),Z1254-Законод!$E$27,IF('01_Доходи'!Z1254&gt;=Законод!$G$26,Законод!$F$28,0)))),0)))</f>
        <v>0</v>
      </c>
      <c r="AA1257" s="942"/>
      <c r="AB1257" s="935" t="s">
        <v>423</v>
      </c>
      <c r="AC1257" s="936"/>
      <c r="AD1257" s="936"/>
      <c r="AE1257" s="936"/>
      <c r="AF1257" s="937"/>
      <c r="AG1257" s="196">
        <f ca="1">IF($B$1250="Лікар загальної практики - сімейний лікар",IF(AG1254&lt;Законод!$C$22,0,(IF(AND(AG1254&gt;=Законод!$F$22,AG1254&lt;=Законод!$F$23),AG1254-Законод!$E$23,IF('01_Доходи'!AG1254&gt;=Законод!$G$22,Законод!$F$24,0)))),IF($B$1250="Лікар-педіатр",IF(AG1254&lt;Законод!$C$18,0,(IF(AND(AG1254&gt;=Законод!$F$18,AG1254&lt;=Законод!$F$19),AG1254-Законод!$E$19,IF('01_Доходи'!AG1254&gt;=Законод!$G$18,Законод!$F$20,0)))),IF($B$1250="Лікар-терапевт",IF(AG1254&lt;Законод!$C$26,0,(IF(AND(AG1254&gt;=Законод!$F$26,AG1254&lt;=Законод!$F$27),AG1254-Законод!$E$27,IF('01_Доходи'!AG1254&gt;=Законод!$G$26,Законод!$F$28,0)))),0)))</f>
        <v>0</v>
      </c>
      <c r="AH1257" s="942"/>
      <c r="AI1257" s="201"/>
      <c r="AJ1257" s="945"/>
      <c r="AK1257" s="960"/>
      <c r="AL1257" s="960"/>
      <c r="AM1257" s="927"/>
      <c r="AN1257" s="210">
        <f ca="1">IF(B1250="Лікар загальної практики - сімейний лікар",L1257*Законод!$C$9/4*Законод!$F$16,IF(B1250="Лікар-педіатр",L1257*Законод!$C$9/4*Законод!$F$16,IF(B1250="Лікар-терапевт",L1257*Законод!$C$9/4*Законод!$F$16,0)))</f>
        <v>0</v>
      </c>
      <c r="AO1257" s="210">
        <f ca="1">IF(B1250="Лікар загальної практики - сімейний лікар",S1257*Законод!$C$9/4*Законод!$F$16,IF(B1250="Лікар-педіатр",S1257*Законод!$C$9/4*Законод!$F$16,IF(B1250="Лікар-терапевт",S1257*Законод!$C$9/4*Законод!$F$16,0)))</f>
        <v>0</v>
      </c>
      <c r="AP1257" s="210">
        <f ca="1">IF(B1250="Лікар загальної практики - сімейний лікар",Z1257*Законод!$C$9/4*Законод!$F$16,IF(B1250="Лікар-педіатр",Z1257*Законод!$C$9/4*Законод!$F$16,IF(B1250="Лікар-терапевт",Z1257*Законод!$C$9/4*Законод!$F$16,0)))</f>
        <v>0</v>
      </c>
      <c r="AQ1257" s="210">
        <f ca="1">IF(B1250="Лікар загальної практики - сімейний лікар",AG1257*Законод!$C$9/4*Законод!$F$16,IF(B1250="Лікар-педіатр",AG1257*Законод!$C$9/4*Законод!$F$16,IF(B1250="Лікар-терапевт",AG1257*Законод!$C$9/4*Законод!$F$16,0)))</f>
        <v>0</v>
      </c>
      <c r="AR1257" s="211">
        <f t="shared" si="136"/>
        <v>0</v>
      </c>
    </row>
    <row r="1258" spans="1:44" s="50" customFormat="1" ht="31.9" hidden="1" customHeight="1">
      <c r="A1258" s="197"/>
      <c r="B1258" s="951"/>
      <c r="C1258" s="954"/>
      <c r="D1258" s="957"/>
      <c r="E1258" s="939"/>
      <c r="F1258" s="238" t="str">
        <f ca="1">IF(B1250="Лікар-педіатр",Законод!$G$17,IF(B1250="Лікар загальної практики - сімейний лікар",Законод!$G$21,IF(B1250="Лікар-терапевт",Законод!$G$25,"х")))</f>
        <v>х</v>
      </c>
      <c r="G1258" s="935" t="s">
        <v>423</v>
      </c>
      <c r="H1258" s="936"/>
      <c r="I1258" s="936"/>
      <c r="J1258" s="936"/>
      <c r="K1258" s="937"/>
      <c r="L1258" s="196">
        <f ca="1">IF($B$1250="Лікар загальної практики - сімейний лікар",IF(L1254&lt;Законод!$C$22,0,(IF(AND(L1254&gt;=Законод!$G$22,L1254&lt;=Законод!$G$23),L1254-Законод!$F$23,IF('01_Доходи'!L1254&gt;=Законод!$H$22,Законод!$G$24,0)))),IF($B$1250="Лікар-педіатр",IF(L1254&lt;Законод!$C$18,0,(IF(AND(L1254&gt;=Законод!$G$18,L1254&lt;=Законод!$G$19),L1254-Законод!$F$19,IF('01_Доходи'!L1254&gt;=Законод!$H$18,Законод!$G$20,0)))),IF($B$1250="Лікар-терапевт",IF(L1254&lt;Законод!$C$26,0,(IF(AND(L1254&gt;=Законод!$G$26,L1254&lt;=Законод!$G$27),L1254-Законод!$F$27,IF('01_Доходи'!L1254&gt;=Законод!$H$26,Законод!$G$28,0)))),0)))</f>
        <v>0</v>
      </c>
      <c r="M1258" s="942"/>
      <c r="N1258" s="935" t="s">
        <v>423</v>
      </c>
      <c r="O1258" s="936"/>
      <c r="P1258" s="936"/>
      <c r="Q1258" s="936"/>
      <c r="R1258" s="937"/>
      <c r="S1258" s="196">
        <f ca="1">IF($B$1250="Лікар загальної практики - сімейний лікар",IF(S1254&lt;Законод!$C$22,0,(IF(AND(S1254&gt;=Законод!$G$22,S1254&lt;=Законод!$G$23),S1254-Законод!$F$23,IF('01_Доходи'!S1254&gt;=Законод!$H$22,Законод!$G$24,0)))),IF($B$1250="Лікар-педіатр",IF(S1254&lt;Законод!$C$18,0,(IF(AND(S1254&gt;=Законод!$G$18,S1254&lt;=Законод!$G$19),S1254-Законод!$F$19,IF('01_Доходи'!S1254&gt;=Законод!$H$18,Законод!$G$20,0)))),IF($B$1250="Лікар-терапевт",IF(S1254&lt;Законод!$C$26,0,(IF(AND(S1254&gt;=Законод!$G$26,S1254&lt;=Законод!$G$27),S1254-Законод!$F$27,IF('01_Доходи'!S1254&gt;=Законод!$H$26,Законод!$G$28,0)))),0)))</f>
        <v>0</v>
      </c>
      <c r="T1258" s="942"/>
      <c r="U1258" s="935" t="s">
        <v>423</v>
      </c>
      <c r="V1258" s="936"/>
      <c r="W1258" s="936"/>
      <c r="X1258" s="936"/>
      <c r="Y1258" s="937"/>
      <c r="Z1258" s="196">
        <f ca="1">IF($B$1250="Лікар загальної практики - сімейний лікар",IF(Z1254&lt;Законод!$C$22,0,(IF(AND(Z1254&gt;=Законод!$G$22,Z1254&lt;=Законод!$G$23),Z1254-Законод!$F$23,IF('01_Доходи'!Z1254&gt;=Законод!$H$22,Законод!$G$24,0)))),IF($B$1250="Лікар-педіатр",IF(Z1254&lt;Законод!$C$18,0,(IF(AND(Z1254&gt;=Законод!$G$18,Z1254&lt;=Законод!$G$19),Z1254-Законод!$F$19,IF('01_Доходи'!Z1254&gt;=Законод!$H$18,Законод!$G$20,0)))),IF($B$1250="Лікар-терапевт",IF(Z1254&lt;Законод!$C$26,0,(IF(AND(Z1254&gt;=Законод!$G$26,Z1254&lt;=Законод!$G$27),Z1254-Законод!$F$27,IF('01_Доходи'!Z1254&gt;=Законод!$H$26,Законод!$G$28,0)))),0)))</f>
        <v>0</v>
      </c>
      <c r="AA1258" s="942"/>
      <c r="AB1258" s="935" t="s">
        <v>423</v>
      </c>
      <c r="AC1258" s="936"/>
      <c r="AD1258" s="936"/>
      <c r="AE1258" s="936"/>
      <c r="AF1258" s="937"/>
      <c r="AG1258" s="196">
        <f ca="1">IF($B$1250="Лікар загальної практики - сімейний лікар",IF(AG1254&lt;Законод!$C$22,0,(IF(AND(AG1254&gt;=Законод!$G$22,AG1254&lt;=Законод!$G$23),AG1254-Законод!$F$23,IF('01_Доходи'!AG1254&gt;=Законод!$H$22,Законод!$G$24,0)))),IF($B$1250="Лікар-педіатр",IF(AG1254&lt;Законод!$C$18,0,(IF(AND(AG1254&gt;=Законод!$G$18,AG1254&lt;=Законод!$G$19),AG1254-Законод!$F$19,IF('01_Доходи'!AG1254&gt;=Законод!$H$18,Законод!$G$20,0)))),IF($B$1250="Лікар-терапевт",IF(AG1254&lt;Законод!$C$26,0,(IF(AND(AG1254&gt;=Законод!$G$26,AG1254&lt;=Законод!$G$27),AG1254-Законод!$F$27,IF('01_Доходи'!AG1254&gt;=Законод!$H$26,Законод!$G$28,0)))),0)))</f>
        <v>0</v>
      </c>
      <c r="AH1258" s="942"/>
      <c r="AI1258" s="201"/>
      <c r="AJ1258" s="945"/>
      <c r="AK1258" s="960"/>
      <c r="AL1258" s="960"/>
      <c r="AM1258" s="927"/>
      <c r="AN1258" s="210">
        <f ca="1">IF(B1250="Лікар загальної практики - сімейний лікар",L1258*Законод!$C$9/4*Законод!$G$16,IF(B1250="Лікар-педіатр",L1258*Законод!$C$9/4*Законод!$G$16,IF(B1250="Лікар-терапевт",L1258*Законод!$C$9/4*Законод!$G$16,0)))</f>
        <v>0</v>
      </c>
      <c r="AO1258" s="210">
        <f ca="1">IF(B1250="Лікар загальної практики - сімейний лікар",S1258*Законод!$C$9/4*Законод!$G$16,IF(B1250="Лікар-педіатр",S1258*Законод!$C$9/4*Законод!$G$16,IF(B1250="Лікар-терапевт",S1258*Законод!$C$9/4*Законод!$G$16,0)))</f>
        <v>0</v>
      </c>
      <c r="AP1258" s="210">
        <f ca="1">IF(B1250="Лікар загальної практики - сімейний лікар",Z1258*Законод!$C$9/4*Законод!$G$16,IF(B1250="Лікар-педіатр",Z1258*Законод!$C$9/4*Законод!$G$16,IF(B1250="Лікар-терапевт",Z1258*Законод!$C$9/4*Законод!$G$16,0)))</f>
        <v>0</v>
      </c>
      <c r="AQ1258" s="210">
        <f ca="1">IF(B1250="Лікар загальної практики - сімейний лікар",AG1258*Законод!$C$9/4*Законод!$G$16,IF(B1250="Лікар-педіатр",AG1258*Законод!$C$9/4*Законод!$G$16,IF(B1250="Лікар-терапевт",AG1258*Законод!$C$9/4*Законод!$G$16,0)))</f>
        <v>0</v>
      </c>
      <c r="AR1258" s="211">
        <f t="shared" si="136"/>
        <v>0</v>
      </c>
    </row>
    <row r="1259" spans="1:44" s="50" customFormat="1" ht="31.9" hidden="1" customHeight="1">
      <c r="A1259" s="197"/>
      <c r="B1259" s="951"/>
      <c r="C1259" s="954"/>
      <c r="D1259" s="957"/>
      <c r="E1259" s="939"/>
      <c r="F1259" s="238" t="str">
        <f ca="1">IF(B1250="Лікар-педіатр",Законод!$H$17,IF(B1250="Лікар загальної практики - сімейний лікар",Законод!$H$21,IF(B1250="Лікар-терапевт",Законод!$H$25,"х")))</f>
        <v>х</v>
      </c>
      <c r="G1259" s="935" t="s">
        <v>423</v>
      </c>
      <c r="H1259" s="936"/>
      <c r="I1259" s="936"/>
      <c r="J1259" s="936"/>
      <c r="K1259" s="937"/>
      <c r="L1259" s="196">
        <f ca="1">IF($B$1250="Лікар загальної практики - сімейний лікар",IF(L1254&lt;Законод!$C$22,0,(IF(AND(L1254&gt;=Законод!$H$22,L1254&lt;=Законод!$H$23),L1254-Законод!$G$23,IF('01_Доходи'!L1254&gt;=Законод!$I$22,Законод!$H$24,0)))),IF($B$1250="Лікар-педіатр",IF(L1254&lt;Законод!$C$18,0,(IF(AND(L1254&gt;=Законод!$H$18,L1254&lt;=Законод!$H$19),L1254-Законод!$G$19,IF('01_Доходи'!L1254&gt;=Законод!$I$18,Законод!$H$20,0)))),IF($B$1250="Лікар-терапевт",IF(L1254&lt;Законод!$C$26,0,(IF(AND(L1254&gt;=Законод!$H$26,L1254&lt;=Законод!$H$27),L1254-Законод!$G$27,IF(L1254&gt;=Законод!$I$26,Законод!$H$28,0)))),0)))</f>
        <v>0</v>
      </c>
      <c r="M1259" s="942"/>
      <c r="N1259" s="935" t="s">
        <v>423</v>
      </c>
      <c r="O1259" s="936"/>
      <c r="P1259" s="936"/>
      <c r="Q1259" s="936"/>
      <c r="R1259" s="937"/>
      <c r="S1259" s="196">
        <f ca="1">IF($B$1250="Лікар загальної практики - сімейний лікар",IF(S1254&lt;Законод!$C$22,0,(IF(AND(S1254&gt;=Законод!$H$22,S1254&lt;=Законод!$H$23),S1254-Законод!$G$23,IF('01_Доходи'!S1254&gt;=Законод!$I$22,Законод!$H$24,0)))),IF($B$1250="Лікар-педіатр",IF(S1254&lt;Законод!$C$18,0,(IF(AND(S1254&gt;=Законод!$H$18,S1254&lt;=Законод!$H$19),S1254-Законод!$G$19,IF('01_Доходи'!S1254&gt;=Законод!$I$18,Законод!$H$20,0)))),IF($B$1250="Лікар-терапевт",IF(S1254&lt;Законод!$C$26,0,(IF(AND(S1254&gt;=Законод!$H$26,S1254&lt;=Законод!$H$27),S1254-Законод!$G$27,IF(S1254&gt;=Законод!$I$26,Законод!$H$28,0)))),0)))</f>
        <v>0</v>
      </c>
      <c r="T1259" s="942"/>
      <c r="U1259" s="935" t="s">
        <v>423</v>
      </c>
      <c r="V1259" s="936"/>
      <c r="W1259" s="936"/>
      <c r="X1259" s="936"/>
      <c r="Y1259" s="937"/>
      <c r="Z1259" s="196">
        <f ca="1">IF($B$1250="Лікар загальної практики - сімейний лікар",IF(Z1254&lt;Законод!$C$22,0,(IF(AND(Z1254&gt;=Законод!$H$22,Z1254&lt;=Законод!$H$23),Z1254-Законод!$G$23,IF('01_Доходи'!Z1254&gt;=Законод!$I$22,Законод!$H$24,0)))),IF($B$1250="Лікар-педіатр",IF(Z1254&lt;Законод!$C$18,0,(IF(AND(Z1254&gt;=Законод!$H$18,Z1254&lt;=Законод!$H$19),Z1254-Законод!$G$19,IF('01_Доходи'!Z1254&gt;=Законод!$I$18,Законод!$H$20,0)))),IF($B$1250="Лікар-терапевт",IF(Z1254&lt;Законод!$C$26,0,(IF(AND(Z1254&gt;=Законод!$H$26,Z1254&lt;=Законод!$H$27),Z1254-Законод!$G$27,IF(Z1254&gt;=Законод!$I$26,Законод!$H$28,0)))),0)))</f>
        <v>0</v>
      </c>
      <c r="AA1259" s="942"/>
      <c r="AB1259" s="935" t="s">
        <v>423</v>
      </c>
      <c r="AC1259" s="936"/>
      <c r="AD1259" s="936"/>
      <c r="AE1259" s="936"/>
      <c r="AF1259" s="937"/>
      <c r="AG1259" s="196">
        <f ca="1">IF($B$1250="Лікар загальної практики - сімейний лікар",IF(AG1254&lt;Законод!$C$22,0,(IF(AND(AG1254&gt;=Законод!$H$22,AG1254&lt;=Законод!$H$23),AG1254-Законод!$G$23,IF('01_Доходи'!AG1254&gt;=Законод!$I$22,Законод!$H$24,0)))),IF($B$1250="Лікар-педіатр",IF(AG1254&lt;Законод!$C$18,0,(IF(AND(AG1254&gt;=Законод!$H$18,AG1254&lt;=Законод!$H$19),AG1254-Законод!$G$19,IF('01_Доходи'!AG1254&gt;=Законод!$I$18,Законод!$H$20,0)))),IF($B$1250="Лікар-терапевт",IF(AG1254&lt;Законод!$C$26,0,(IF(AND(AG1254&gt;=Законод!$H$26,AG1254&lt;=Законод!$H$27),AG1254-Законод!$G$27,IF(AG1254&gt;=Законод!$I$26,Законод!$H$28,0)))),0)))</f>
        <v>0</v>
      </c>
      <c r="AH1259" s="942"/>
      <c r="AI1259" s="201"/>
      <c r="AJ1259" s="945"/>
      <c r="AK1259" s="960"/>
      <c r="AL1259" s="960"/>
      <c r="AM1259" s="927"/>
      <c r="AN1259" s="210">
        <f ca="1">IF(B1250="Лікар загальної практики - сімейний лікар",L1259*Законод!$C$9/4*Законод!$H$16,IF(B1250="Лікар-педіатр",L1259*Законод!$C$9/4*Законод!$H$16,IF(B1250="Лікар-терапевт",L1259*Законод!$C$9/4*Законод!$H$16,0)))</f>
        <v>0</v>
      </c>
      <c r="AO1259" s="210">
        <f ca="1">IF(B1250="Лікар загальної практики - сімейний лікар",S1259*Законод!$C$9/4*Законод!$H$16,IF(B1250="Лікар-педіатр",S1259*Законод!$C$9/4*Законод!$H$16,IF(B1250="Лікар-терапевт",S1259*Законод!$C$9/4*Законод!$H$16,0)))</f>
        <v>0</v>
      </c>
      <c r="AP1259" s="210">
        <f ca="1">IF(B1250="Лікар загальної практики - сімейний лікар",Z1259*Законод!$C$9/4*Законод!$H$16,IF(B1250="Лікар-педіатр",Z1259*Законод!$C$9/4*Законод!$H$16,IF(B1250="Лікар-терапевт",Z1259*Законод!$C$9/4*Законод!$H$16,0)))</f>
        <v>0</v>
      </c>
      <c r="AQ1259" s="210">
        <f ca="1">IF(B1250="Лікар загальної практики - сімейний лікар",AG1259*Законод!$C$9/4*Законод!$H$16,IF(B1250="Лікар-педіатр",AG1259*Законод!$C$9/4*Законод!$H$16,IF(B1250="Лікар-терапевт",AG1259*Законод!$C$9/4*Законод!$H$16,0)))</f>
        <v>0</v>
      </c>
      <c r="AR1259" s="211">
        <f t="shared" si="136"/>
        <v>0</v>
      </c>
    </row>
    <row r="1260" spans="1:44" s="50" customFormat="1" ht="31.9" hidden="1" customHeight="1">
      <c r="A1260" s="197"/>
      <c r="B1260" s="951"/>
      <c r="C1260" s="954"/>
      <c r="D1260" s="957"/>
      <c r="E1260" s="939"/>
      <c r="F1260" s="238" t="str">
        <f ca="1">IF(B1250="Лікар-педіатр",Законод!$I$17,IF(B1250="Лікар загальної практики - сімейний лікар",Законод!$I$21,IF(B1250="Лікар-терапевт",Законод!$I$25,"х")))</f>
        <v>х</v>
      </c>
      <c r="G1260" s="935" t="s">
        <v>423</v>
      </c>
      <c r="H1260" s="936"/>
      <c r="I1260" s="936"/>
      <c r="J1260" s="936"/>
      <c r="K1260" s="937"/>
      <c r="L1260" s="196">
        <f ca="1">IF($B$1250="Лікар загальної практики - сімейний лікар",IF(L1254&lt;Законод!$C$22,0,(IF(AND(L1254&gt;=Законод!$I$22,L1254&lt;=Законод!$I$23),L1254-Законод!$H$23,IF('01_Доходи'!L1254&gt;=Законод!$I$22,Законод!$I$24,0)))),IF($B$1250="Лікар-педіатр",IF(L1254&lt;Законод!$C$18,0,(IF(AND(L1254&gt;=Законод!$I$18,L1254&lt;=Законод!$I$19),L1254-Законод!$H$19,IF('01_Доходи'!L1254&gt;=Законод!$I$18,Законод!$H$20,0)))),IF($B$1250="Лікар-терапевт",IF(L1254&lt;Законод!$C$26,0,(IF(AND(L1254&gt;=Законод!$I$26,L1254&lt;=Законод!$I$27),L1254-Законод!$H$27,IF('01_Доходи'!L1254&gt;=Законод!$I$26,Законод!$H$28,0)))),0)))</f>
        <v>0</v>
      </c>
      <c r="M1260" s="942"/>
      <c r="N1260" s="935" t="s">
        <v>423</v>
      </c>
      <c r="O1260" s="936"/>
      <c r="P1260" s="936"/>
      <c r="Q1260" s="936"/>
      <c r="R1260" s="937"/>
      <c r="S1260" s="196">
        <f ca="1">IF($B$1250="Лікар загальної практики - сімейний лікар",IF(S1254&lt;Законод!$C$22,0,(IF(AND(S1254&gt;=Законод!$I$22,S1254&lt;=Законод!$I$23),S1254-Законод!$H$23,IF('01_Доходи'!S1254&gt;=Законод!$I$22,Законод!$I$24,0)))),IF($B$1250="Лікар-педіатр",IF(S1254&lt;Законод!$C$18,0,(IF(AND(S1254&gt;=Законод!$I$18,S1254&lt;=Законод!$I$19),S1254-Законод!$H$19,IF('01_Доходи'!S1254&gt;=Законод!$I$18,Законод!$H$20,0)))),IF($B$1250="Лікар-терапевт",IF(S1254&lt;Законод!$C$26,0,(IF(AND(S1254&gt;=Законод!$I$26,S1254&lt;=Законод!$I$27),S1254-Законод!$H$27,IF('01_Доходи'!S1254&gt;=Законод!$I$26,Законод!$H$28,0)))),0)))</f>
        <v>0</v>
      </c>
      <c r="T1260" s="942"/>
      <c r="U1260" s="935" t="s">
        <v>423</v>
      </c>
      <c r="V1260" s="936"/>
      <c r="W1260" s="936"/>
      <c r="X1260" s="936"/>
      <c r="Y1260" s="937"/>
      <c r="Z1260" s="196">
        <f ca="1">IF($B$1250="Лікар загальної практики - сімейний лікар",IF(Z1254&lt;Законод!$C$22,0,(IF(AND(Z1254&gt;=Законод!$I$22,Z1254&lt;=Законод!$I$23),Z1254-Законод!$H$23,IF('01_Доходи'!Z1254&gt;=Законод!$I$22,Законод!$I$24,0)))),IF($B$1250="Лікар-педіатр",IF(Z1254&lt;Законод!$C$18,0,(IF(AND(Z1254&gt;=Законод!$I$18,Z1254&lt;=Законод!$I$19),Z1254-Законод!$H$19,IF('01_Доходи'!Z1254&gt;=Законод!$I$18,Законод!$H$20,0)))),IF($B$1250="Лікар-терапевт",IF(Z1254&lt;Законод!$C$26,0,(IF(AND(Z1254&gt;=Законод!$I$26,Z1254&lt;=Законод!$I$27),Z1254-Законод!$H$27,IF('01_Доходи'!Z1254&gt;=Законод!$I$26,Законод!$H$28,0)))),0)))</f>
        <v>0</v>
      </c>
      <c r="AA1260" s="942"/>
      <c r="AB1260" s="935" t="s">
        <v>423</v>
      </c>
      <c r="AC1260" s="936"/>
      <c r="AD1260" s="936"/>
      <c r="AE1260" s="936"/>
      <c r="AF1260" s="937"/>
      <c r="AG1260" s="196">
        <f ca="1">IF($B$1250="Лікар загальної практики - сімейний лікар",IF(AG1254&lt;Законод!$C$22,0,(IF(AND(AG1254&gt;=Законод!$I$22,AG1254&lt;=Законод!$I$23),AG1254-Законод!$H$23,IF('01_Доходи'!AG1254&gt;=Законод!$I$22,Законод!$I$24,0)))),IF($B$1250="Лікар-педіатр",IF(AG1254&lt;Законод!$C$18,0,(IF(AND(AG1254&gt;=Законод!$I$18,AG1254&lt;=Законод!$I$19),AG1254-Законод!$H$19,IF('01_Доходи'!AG1254&gt;=Законод!$I$18,Законод!$H$20,0)))),IF($B$1250="Лікар-терапевт",IF(AG1254&lt;Законод!$C$26,0,(IF(AND(AG1254&gt;=Законод!$I$26,AG1254&lt;=Законод!$I$27),AG1254-Законод!$H$27,IF('01_Доходи'!AG1254&gt;=Законод!$I$26,Законод!$H$28,0)))),0)))</f>
        <v>0</v>
      </c>
      <c r="AH1260" s="942"/>
      <c r="AI1260" s="201"/>
      <c r="AJ1260" s="945"/>
      <c r="AK1260" s="960"/>
      <c r="AL1260" s="960"/>
      <c r="AM1260" s="927"/>
      <c r="AN1260" s="210">
        <f ca="1">IF(B1250="Лікар загальної практики - сімейний лікар",L1260*Законод!$C$9/4*Законод!$I$16,IF(B1250="Лікар-педіатр",L1260*Законод!$C$9/4*Законод!$I$16,IF(B1250="Лікар-терапевт",L1260*Законод!$C$9/4*Законод!$I$16,0)))</f>
        <v>0</v>
      </c>
      <c r="AO1260" s="210">
        <f ca="1">IF(B1250="Лікар загальної практики - сімейний лікар",S1260*Законод!$C$9/4*Законод!$I$16,IF(B1250="Лікар-педіатр",S1260*Законод!$C$9/4*Законод!$I$16,IF(B1250="Лікар-терапевт",S1260*Законод!$C$9/4*Законод!$I$16,0)))</f>
        <v>0</v>
      </c>
      <c r="AP1260" s="210">
        <f ca="1">IF(B1250="Лікар загальної практики - сімейний лікар",Z1260*Законод!$C$9/4*Законод!$I$16,IF(B1250="Лікар-педіатр",Z1260*Законод!$C$9/4*Законод!$I$16,IF(B1250="Лікар-терапевт",Z1260*Законод!$C$9/4*Законод!$I$16,0)))</f>
        <v>0</v>
      </c>
      <c r="AQ1260" s="210">
        <f ca="1">IF(B1250="Лікар загальної практики - сімейний лікар",AG1260*Законод!$C$9/4*Законод!$I$16,IF(B1250="Лікар-педіатр",AG1260*Законод!$C$9/4*Законод!$I$16,IF(B1250="Лікар-терапевт",AG1260*Законод!$C$9/4*Законод!$I$16,0)))</f>
        <v>0</v>
      </c>
      <c r="AR1260" s="211">
        <f t="shared" si="136"/>
        <v>0</v>
      </c>
    </row>
    <row r="1261" spans="1:44" s="218" customFormat="1" ht="31.9" hidden="1" customHeight="1" thickBot="1">
      <c r="A1261" s="213"/>
      <c r="B1261" s="952"/>
      <c r="C1261" s="955"/>
      <c r="D1261" s="958"/>
      <c r="E1261" s="940"/>
      <c r="F1261" s="239" t="str">
        <f ca="1">IF(B1250="Лікар-педіатр",Законод!$J$17,IF(B1250="Лікар загальної практики - сімейний лікар",Законод!$J$21,IF(B1250="Лікар-терапевт",Законод!$J$25,"х")))</f>
        <v>х</v>
      </c>
      <c r="G1261" s="932" t="s">
        <v>423</v>
      </c>
      <c r="H1261" s="933"/>
      <c r="I1261" s="933"/>
      <c r="J1261" s="933"/>
      <c r="K1261" s="934"/>
      <c r="L1261" s="196">
        <f ca="1">IF($B$1250="Лікар загальної практики - сімейний лікар",IF(L1254&gt;=Законод!$J$22,'01_Доходи'!L1254-('01_Доходи'!L1255+'01_Доходи'!L1256+'01_Доходи'!L1257+'01_Доходи'!L1258+'01_Доходи'!L1259+'01_Доходи'!L1260),0),IF($B$1250="Лікар-педіатр",IF(L1254&gt;=Законод!$J$18,'01_Доходи'!L1254-('01_Доходи'!L1255+'01_Доходи'!L1256+'01_Доходи'!L1257+'01_Доходи'!L1258+'01_Доходи'!L1259+'01_Доходи'!L1260),0),IF($B$1250="Лікар-терапевт",IF('01_Доходи'!L1254&gt;=Законод!$J$26,L1254-Законод!$I$27,0),0)))</f>
        <v>0</v>
      </c>
      <c r="M1261" s="943"/>
      <c r="N1261" s="932" t="s">
        <v>423</v>
      </c>
      <c r="O1261" s="933"/>
      <c r="P1261" s="933"/>
      <c r="Q1261" s="933"/>
      <c r="R1261" s="934"/>
      <c r="S1261" s="196">
        <f ca="1">IF($B$1250="Лікар загальної практики - сімейний лікар",IF(S1254&gt;=Законод!$J$22,'01_Доходи'!S1254-('01_Доходи'!S1255+'01_Доходи'!S1256+'01_Доходи'!S1257+'01_Доходи'!S1258+'01_Доходи'!S1259+'01_Доходи'!S1260),0),IF($B$1250="Лікар-педіатр",IF(S1254&gt;=Законод!$J$18,'01_Доходи'!S1254-('01_Доходи'!S1255+'01_Доходи'!S1256+'01_Доходи'!S1257+'01_Доходи'!S1258+'01_Доходи'!S1259+'01_Доходи'!S1260),0),IF($B$1250="Лікар-терапевт",IF('01_Доходи'!S1254&gt;=Законод!$J$26,S1254-Законод!$I$27,0),0)))</f>
        <v>0</v>
      </c>
      <c r="T1261" s="943"/>
      <c r="U1261" s="932" t="s">
        <v>423</v>
      </c>
      <c r="V1261" s="933"/>
      <c r="W1261" s="933"/>
      <c r="X1261" s="933"/>
      <c r="Y1261" s="934"/>
      <c r="Z1261" s="196">
        <f ca="1">IF($B$1250="Лікар загальної практики - сімейний лікар",IF(Z1254&gt;=Законод!$J$22,'01_Доходи'!Z1254-('01_Доходи'!Z1255+'01_Доходи'!Z1256+'01_Доходи'!Z1257+'01_Доходи'!Z1258+'01_Доходи'!Z1259+'01_Доходи'!Z1260),0),IF($B$1250="Лікар-педіатр",IF(Z1254&gt;=Законод!$J$18,'01_Доходи'!Z1254-('01_Доходи'!Z1255+'01_Доходи'!Z1256+'01_Доходи'!Z1257+'01_Доходи'!Z1258+'01_Доходи'!Z1259+'01_Доходи'!Z1260),0),IF($B$1250="Лікар-терапевт",IF('01_Доходи'!Z1254&gt;=Законод!$J$26,Z1254-Законод!$I$27,0),0)))</f>
        <v>0</v>
      </c>
      <c r="AA1261" s="943"/>
      <c r="AB1261" s="932" t="s">
        <v>423</v>
      </c>
      <c r="AC1261" s="933"/>
      <c r="AD1261" s="933"/>
      <c r="AE1261" s="933"/>
      <c r="AF1261" s="934"/>
      <c r="AG1261" s="196">
        <f ca="1">IF($B$1250="Лікар загальної практики - сімейний лікар",IF(AG1254&gt;=Законод!$J$22,'01_Доходи'!AG1254-('01_Доходи'!AG1255+'01_Доходи'!AG1256+'01_Доходи'!AG1257+'01_Доходи'!AG1258+'01_Доходи'!AG1259+'01_Доходи'!AG1260),0),IF($B$1250="Лікар-педіатр",IF(AG1254&gt;=Законод!$J$18,'01_Доходи'!AG1254-('01_Доходи'!AG1255+'01_Доходи'!AG1256+'01_Доходи'!AG1257+'01_Доходи'!AG1258+'01_Доходи'!AG1259+'01_Доходи'!AG1260),0),IF($B$1250="Лікар-терапевт",IF('01_Доходи'!AG1254&gt;=Законод!$J$26,AG1254-Законод!$I$27,0),0)))</f>
        <v>0</v>
      </c>
      <c r="AH1261" s="943"/>
      <c r="AI1261" s="215"/>
      <c r="AJ1261" s="946"/>
      <c r="AK1261" s="961"/>
      <c r="AL1261" s="961"/>
      <c r="AM1261" s="928"/>
      <c r="AN1261" s="216">
        <f ca="1">IF(B1250="Лікар загальної практики - сімейний лікар",L1261*Законод!$C$9/4*Законод!$J$16,IF(B1250="Лікар-педіатр",L1261*Законод!$C$9/4*Законод!$J$16,IF(B1250="Лікар-терапевт",L1261*Законод!$C$9/4*Законод!$J$16,0)))</f>
        <v>0</v>
      </c>
      <c r="AO1261" s="216">
        <f ca="1">IF(B1250="Лікар загальної практики - сімейний лікар",S1261*Законод!$C$9/4*Законод!$J$16,IF(B1250="Лікар-педіатр",S1261*Законод!$C$9/4*Законод!$J$16,IF(B1250="Лікар-терапевт",S1261*Законод!$C$9/4*Законод!$J$16,0)))</f>
        <v>0</v>
      </c>
      <c r="AP1261" s="216">
        <f ca="1">IF(B1250="Лікар загальної практики - сімейний лікар",S1261*Законод!$C$9/4*Законод!$J$16,IF(B1250="Лікар-педіатр",S1261*Законод!$C$9/4*Законод!$J$16,IF(B1250="Лікар-терапевт",S1261*Законод!$C$9/4*Законод!$J$16,0)))</f>
        <v>0</v>
      </c>
      <c r="AQ1261" s="216">
        <f ca="1">IF(B1250="Лікар загальної практики - сімейний лікар",AG1261*Законод!$C$9/4*Законод!$J$16,IF(B1250="Лікар-педіатр",AG1261*Законод!$C$9/4*Законод!$J$16,IF(B1250="Лікар-терапевт",AG1261*Законод!$C$9/4*Законод!$J$16,0)))</f>
        <v>0</v>
      </c>
      <c r="AR1261" s="217">
        <f t="shared" si="136"/>
        <v>0</v>
      </c>
    </row>
    <row r="1262" spans="1:44" s="247" customFormat="1" ht="23.45" hidden="1" customHeight="1" thickBot="1">
      <c r="A1262" s="243"/>
      <c r="B1262" s="244"/>
      <c r="C1262" s="244"/>
      <c r="D1262" s="244"/>
      <c r="E1262" s="244"/>
      <c r="F1262" s="245"/>
      <c r="G1262" s="246"/>
      <c r="H1262" s="246"/>
      <c r="L1262" s="248"/>
      <c r="S1262" s="248"/>
      <c r="Z1262" s="248"/>
      <c r="AG1262" s="248"/>
      <c r="AM1262" s="249"/>
      <c r="AR1262" s="250"/>
    </row>
    <row r="1263" spans="1:44" s="191" customFormat="1" ht="24.6" hidden="1" customHeight="1">
      <c r="A1263" s="194">
        <f>A1250+1</f>
        <v>95</v>
      </c>
      <c r="B1263" s="950"/>
      <c r="C1263" s="953"/>
      <c r="D1263" s="956"/>
      <c r="E1263" s="938"/>
      <c r="F1263" s="234" t="s">
        <v>659</v>
      </c>
      <c r="G1263" s="196">
        <f>IF($B$1263="Лікар-педіатр",G1266*L1263,IF($B$1263="Лікар-терапевт","х",IF($B$1263="Лікар загальної практики - сімейний лікар",G1266*L1263,0)))</f>
        <v>0</v>
      </c>
      <c r="H1263" s="196">
        <f>IF($B$1263="Лікар-педіатр",H1266*L1263,IF($B$1263="Лікар-терапевт","х",IF($B$1263="Лікар загальної практики - сімейний лікар",H1266*L1263,0)))</f>
        <v>0</v>
      </c>
      <c r="I1263" s="196">
        <f>IF($B$1263="Лікар-педіатр","x",IF($B$1263="Лікар-терапевт",I1266*L1263,IF($B$1263="Лікар загальної практики - сімейний лікар",I1266*L1263,0)))</f>
        <v>0</v>
      </c>
      <c r="J1263" s="196">
        <f>IF($B$1263="Лікар-педіатр","x",IF($B$1263="Лікар-терапевт",J1266*L1263,IF($B$1263="Лікар загальної практики - сімейний лікар",J1266*L1263,0)))</f>
        <v>0</v>
      </c>
      <c r="K1263" s="196">
        <f>IF($B$1263="Лікар-педіатр","x",IF($B$1263="Лікар-терапевт",K1266*L1263,IF($B$1263="Лікар загальної практики - сімейний лікар",K1266*L1263,0)))</f>
        <v>0</v>
      </c>
      <c r="L1263" s="557"/>
      <c r="M1263" s="941"/>
      <c r="N1263" s="196">
        <f>IF($B$1263="Лікар-педіатр",N1266*S1263,IF($B$1263="Лікар-терапевт","х",IF($B$1263="Лікар загальної практики - сімейний лікар",N1266*S1263,0)))</f>
        <v>0</v>
      </c>
      <c r="O1263" s="196">
        <f>IF($B$1263="Лікар-педіатр",O1266*S1263,IF($B$1263="Лікар-терапевт","х",IF($B$1263="Лікар загальної практики - сімейний лікар",O1266*S1263,0)))</f>
        <v>0</v>
      </c>
      <c r="P1263" s="196">
        <f>IF($B$1263="Лікар-педіатр","x",IF($B$1263="Лікар-терапевт",P1266*S1263,IF($B$1263="Лікар загальної практики - сімейний лікар",P1266*S1263,0)))</f>
        <v>0</v>
      </c>
      <c r="Q1263" s="196">
        <f>IF($B$1263="Лікар-педіатр","x",IF($B$1263="Лікар-терапевт",Q1266*S1263,IF($B$1263="Лікар загальної практики - сімейний лікар",Q1266*S1263,0)))</f>
        <v>0</v>
      </c>
      <c r="R1263" s="196">
        <f>IF($B$1263="Лікар-педіатр","x",IF($B$1263="Лікар-терапевт",R1266*S1263,IF($B$1263="Лікар загальної практики - сімейний лікар",R1266*S1263,0)))</f>
        <v>0</v>
      </c>
      <c r="S1263" s="557"/>
      <c r="T1263" s="941"/>
      <c r="U1263" s="196">
        <f>IF($B$1263="Лікар-педіатр",U1266*Z1263,IF($B$1263="Лікар-терапевт","х",IF($B$1263="Лікар загальної практики - сімейний лікар",U1266*Z1263,0)))</f>
        <v>0</v>
      </c>
      <c r="V1263" s="196">
        <f>IF($B$1263="Лікар-педіатр",V1266*Z1263,IF($B$1263="Лікар-терапевт","х",IF($B$1263="Лікар загальної практики - сімейний лікар",V1266*Z1263,0)))</f>
        <v>0</v>
      </c>
      <c r="W1263" s="196">
        <f>IF($B$1263="Лікар-педіатр","x",IF($B$1263="Лікар-терапевт",W1266*Z1263,IF($B$1263="Лікар загальної практики - сімейний лікар",W1266*Z1263,0)))</f>
        <v>0</v>
      </c>
      <c r="X1263" s="196">
        <f>IF($B$1263="Лікар-педіатр","x",IF($B$1263="Лікар-терапевт",X1266*Z1263,IF($B$1263="Лікар загальної практики - сімейний лікар",X1266*Z1263,0)))</f>
        <v>0</v>
      </c>
      <c r="Y1263" s="196">
        <f>IF($B$1263="Лікар-педіатр","x",IF($B$1263="Лікар-терапевт",Y1266*Z1263,IF($B$1263="Лікар загальної практики - сімейний лікар",Y1266*Z1263,0)))</f>
        <v>0</v>
      </c>
      <c r="Z1263" s="557"/>
      <c r="AA1263" s="941"/>
      <c r="AB1263" s="196">
        <f>IF($B$1263="Лікар-педіатр",AB1266*AG1263,IF($B$1263="Лікар-терапевт","х",IF($B$1263="Лікар загальної практики - сімейний лікар",AB1266*AG1263,0)))</f>
        <v>0</v>
      </c>
      <c r="AC1263" s="196">
        <f>IF($B$1263="Лікар-педіатр",AC1266*AG1263,IF($B$1263="Лікар-терапевт","х",IF($B$1263="Лікар загальної практики - сімейний лікар",AC1266*AG1263,0)))</f>
        <v>0</v>
      </c>
      <c r="AD1263" s="196">
        <f>IF($B$1263="Лікар-педіатр","x",IF($B$1263="Лікар-терапевт",AD1266*AG1263,IF($B$1263="Лікар загальної практики - сімейний лікар",AD1266*AG1263,0)))</f>
        <v>0</v>
      </c>
      <c r="AE1263" s="196">
        <f>IF($B$1263="Лікар-педіатр","x",IF($B$1263="Лікар-терапевт",AE1266*AG1263,IF($B$1263="Лікар загальної практики - сімейний лікар",AE1266*AG1263,0)))</f>
        <v>0</v>
      </c>
      <c r="AF1263" s="196">
        <f>IF($B$1263="Лікар-педіатр","x",IF($B$1263="Лікар-терапевт",AF1266*AG1263,IF($B$1263="Лікар загальної практики - сімейний лікар",AF1266*AG1263,0)))</f>
        <v>0</v>
      </c>
      <c r="AG1263" s="557"/>
      <c r="AH1263" s="941"/>
      <c r="AI1263" s="540">
        <f>A1263</f>
        <v>95</v>
      </c>
      <c r="AJ1263" s="944">
        <f>B1263</f>
        <v>0</v>
      </c>
      <c r="AK1263" s="959">
        <f>C1263</f>
        <v>0</v>
      </c>
      <c r="AL1263" s="959">
        <f>D1263</f>
        <v>0</v>
      </c>
      <c r="AM1263" s="929" t="s">
        <v>79</v>
      </c>
      <c r="AN1263" s="947">
        <f>SUM(AN1268:AN1274)</f>
        <v>0</v>
      </c>
      <c r="AO1263" s="947">
        <f>SUM(AO1268:AO1274)</f>
        <v>0</v>
      </c>
      <c r="AP1263" s="947">
        <f>SUM(AP1268:AP1274)</f>
        <v>0</v>
      </c>
      <c r="AQ1263" s="947">
        <f>SUM(AQ1268:AQ1274)</f>
        <v>0</v>
      </c>
      <c r="AR1263" s="962">
        <f>SUM(AN1263:AQ1267)</f>
        <v>0</v>
      </c>
    </row>
    <row r="1264" spans="1:44" s="50" customFormat="1" ht="28.15" hidden="1" customHeight="1">
      <c r="A1264" s="197"/>
      <c r="B1264" s="951"/>
      <c r="C1264" s="954"/>
      <c r="D1264" s="957"/>
      <c r="E1264" s="939"/>
      <c r="F1264" s="234" t="s">
        <v>660</v>
      </c>
      <c r="G1264" s="196">
        <f>IF($B$1263="Лікар-педіатр",G1266*L1264,IF($B$1263="Лікар-терапевт","х",IF($B$1263="Лікар загальної практики - сімейний лікар",G1266*L1264,0)))</f>
        <v>0</v>
      </c>
      <c r="H1264" s="196">
        <f>IF($B$1263="Лікар-педіатр",H1266*L1264,IF($B$1263="Лікар-терапевт","х",IF($B$1263="Лікар загальної практики - сімейний лікар",H1266*L1264,0)))</f>
        <v>0</v>
      </c>
      <c r="I1264" s="196">
        <f>IF($B$1263="Лікар-педіатр","x",IF($B$1263="Лікар-терапевт",I1266*L1264,IF($B$1263="Лікар загальної практики - сімейний лікар",I1266*L1264,0)))</f>
        <v>0</v>
      </c>
      <c r="J1264" s="196">
        <f>IF($B$1263="Лікар-педіатр","x",IF($B$1263="Лікар-терапевт",J1266*L1264,IF($B$1263="Лікар загальної практики - сімейний лікар",J1266*L1264,0)))</f>
        <v>0</v>
      </c>
      <c r="K1264" s="196">
        <f>IF($B$1263="Лікар-педіатр","x",IF($B$1263="Лікар-терапевт",K1266*L1264,IF($B$1263="Лікар загальної практики - сімейний лікар",K1266*L1264,0)))</f>
        <v>0</v>
      </c>
      <c r="L1264" s="557"/>
      <c r="M1264" s="942"/>
      <c r="N1264" s="196">
        <f>IF($B$1263="Лікар-педіатр",N1266*S1264,IF($B$1263="Лікар-терапевт","х",IF($B$1263="Лікар загальної практики - сімейний лікар",N1266*S1264,0)))</f>
        <v>0</v>
      </c>
      <c r="O1264" s="196">
        <f>IF($B$1263="Лікар-педіатр",O1266*S1264,IF($B$1263="Лікар-терапевт","х",IF($B$1263="Лікар загальної практики - сімейний лікар",O1266*S1264,0)))</f>
        <v>0</v>
      </c>
      <c r="P1264" s="196">
        <f>IF($B$1263="Лікар-педіатр","x",IF($B$1263="Лікар-терапевт",P1266*S1264,IF($B$1263="Лікар загальної практики - сімейний лікар",P1266*S1264,0)))</f>
        <v>0</v>
      </c>
      <c r="Q1264" s="196">
        <f>IF($B$1263="Лікар-педіатр","x",IF($B$1263="Лікар-терапевт",Q1266*S1264,IF($B$1263="Лікар загальної практики - сімейний лікар",Q1266*S1264,0)))</f>
        <v>0</v>
      </c>
      <c r="R1264" s="196">
        <f>IF($B$1263="Лікар-педіатр","x",IF($B$1263="Лікар-терапевт",R1266*S1264,IF($B$1263="Лікар загальної практики - сімейний лікар",R1266*S1264,0)))</f>
        <v>0</v>
      </c>
      <c r="S1264" s="557"/>
      <c r="T1264" s="942"/>
      <c r="U1264" s="196">
        <f>IF($B$1263="Лікар-педіатр",U1266*Z1264,IF($B$1263="Лікар-терапевт","х",IF($B$1263="Лікар загальної практики - сімейний лікар",U1266*Z1264,0)))</f>
        <v>0</v>
      </c>
      <c r="V1264" s="196">
        <f>IF($B$1263="Лікар-педіатр",V1266*Z1264,IF($B$1263="Лікар-терапевт","х",IF($B$1263="Лікар загальної практики - сімейний лікар",V1266*Z1264,0)))</f>
        <v>0</v>
      </c>
      <c r="W1264" s="196">
        <f>IF($B$1263="Лікар-педіатр","x",IF($B$1263="Лікар-терапевт",W1266*Z1264,IF($B$1263="Лікар загальної практики - сімейний лікар",W1266*Z1264,0)))</f>
        <v>0</v>
      </c>
      <c r="X1264" s="196">
        <f>IF($B$1263="Лікар-педіатр","x",IF($B$1263="Лікар-терапевт",X1266*Z1264,IF($B$1263="Лікар загальної практики - сімейний лікар",X1266*Z1264,0)))</f>
        <v>0</v>
      </c>
      <c r="Y1264" s="196">
        <f>IF($B$1263="Лікар-педіатр","x",IF($B$1263="Лікар-терапевт",Y1266*Z1264,IF($B$1263="Лікар загальної практики - сімейний лікар",Y1266*Z1264,0)))</f>
        <v>0</v>
      </c>
      <c r="Z1264" s="557"/>
      <c r="AA1264" s="942"/>
      <c r="AB1264" s="196">
        <f>IF($B$1263="Лікар-педіатр",AB1266*AG1264,IF($B$1263="Лікар-терапевт","х",IF($B$1263="Лікар загальної практики - сімейний лікар",AB1266*AG1264,0)))</f>
        <v>0</v>
      </c>
      <c r="AC1264" s="196">
        <f>IF($B$1263="Лікар-педіатр",AC1266*AG1264,IF($B$1263="Лікар-терапевт","х",IF($B$1263="Лікар загальної практики - сімейний лікар",AC1266*AG1264,0)))</f>
        <v>0</v>
      </c>
      <c r="AD1264" s="196">
        <f>IF($B$1263="Лікар-педіатр","x",IF($B$1263="Лікар-терапевт",AD1266*AG1264,IF($B$1263="Лікар загальної практики - сімейний лікар",AD1266*AG1264,0)))</f>
        <v>0</v>
      </c>
      <c r="AE1264" s="196">
        <f>IF($B$1263="Лікар-педіатр","x",IF($B$1263="Лікар-терапевт",AE1266*AG1264,IF($B$1263="Лікар загальної практики - сімейний лікар",AE1266*AG1264,0)))</f>
        <v>0</v>
      </c>
      <c r="AF1264" s="196">
        <f>IF($B$1263="Лікар-педіатр","x",IF($B$1263="Лікар-терапевт",AF1266*AG1264,IF($B$1263="Лікар загальної практики - сімейний лікар",AF1266*AG1264,0)))</f>
        <v>0</v>
      </c>
      <c r="AG1264" s="557"/>
      <c r="AH1264" s="942"/>
      <c r="AI1264" s="198"/>
      <c r="AJ1264" s="945"/>
      <c r="AK1264" s="960"/>
      <c r="AL1264" s="960"/>
      <c r="AM1264" s="930"/>
      <c r="AN1264" s="948"/>
      <c r="AO1264" s="948"/>
      <c r="AP1264" s="948"/>
      <c r="AQ1264" s="948"/>
      <c r="AR1264" s="963"/>
    </row>
    <row r="1265" spans="1:44" s="90" customFormat="1" ht="31.15" hidden="1" customHeight="1">
      <c r="A1265" s="240"/>
      <c r="B1265" s="951"/>
      <c r="C1265" s="954"/>
      <c r="D1265" s="957"/>
      <c r="E1265" s="939"/>
      <c r="F1265" s="241" t="s">
        <v>661</v>
      </c>
      <c r="G1265" s="199">
        <f>IF(B1263="Лікар загальної практики - сімейний лікар"," ",IF(B1263="Лікар-педіатр"," ",IF(B1263="Лікар-терапевт","х",0)))</f>
        <v>0</v>
      </c>
      <c r="H1265" s="199">
        <f>IF(B1263="Лікар загальної практики - сімейний лікар"," ",IF(B1263="Лікар-педіатр"," ",IF(B1263="Лікар-терапевт","х",0)))</f>
        <v>0</v>
      </c>
      <c r="I1265" s="199">
        <f>IF(B1263="Лікар загальної практики - сімейний лікар"," ",IF(B1263="Лікар-педіатр","х",IF(B1263="Лікар-терапевт"," ",0)))</f>
        <v>0</v>
      </c>
      <c r="J1265" s="199">
        <f>IF(B1263="Лікар загальної практики - сімейний лікар"," ",IF(B1263="Лікар-педіатр","х",IF(B1263="Лікар-терапевт"," ",0)))</f>
        <v>0</v>
      </c>
      <c r="K1265" s="199">
        <f>IF(B1263="Лікар загальної практики - сімейний лікар"," ",IF(B1263="Лікар-педіатр","х",IF(B1263="Лікар-терапевт"," ",0)))</f>
        <v>0</v>
      </c>
      <c r="L1265" s="200">
        <f>SUM(G1265:K1265)</f>
        <v>0</v>
      </c>
      <c r="M1265" s="942"/>
      <c r="N1265" s="199">
        <f>IF(B1263="Лікар загальної практики - сімейний лікар"," ",IF(B1263="Лікар-педіатр"," ",IF(B1263="Лікар-терапевт","х",0)))</f>
        <v>0</v>
      </c>
      <c r="O1265" s="199">
        <f>IF(B1263="Лікар загальної практики - сімейний лікар"," ",IF(B1263="Лікар-педіатр"," ",IF(B1263="Лікар-терапевт","х",0)))</f>
        <v>0</v>
      </c>
      <c r="P1265" s="199">
        <f>IF(B1263="Лікар загальної практики - сімейний лікар"," ",IF(B1263="Лікар-педіатр","х",IF(B1263="Лікар-терапевт"," ",0)))</f>
        <v>0</v>
      </c>
      <c r="Q1265" s="199">
        <f>IF(B1263="Лікар загальної практики - сімейний лікар"," ",IF(B1263="Лікар-педіатр","х",IF(B1263="Лікар-терапевт"," ",0)))</f>
        <v>0</v>
      </c>
      <c r="R1265" s="199">
        <f>IF(B1263="Лікар загальної практики - сімейний лікар"," ",IF(B1263="Лікар-педіатр","х",IF(B1263="Лікар-терапевт"," ",0)))</f>
        <v>0</v>
      </c>
      <c r="S1265" s="200">
        <f>SUM(N1265:R1265)</f>
        <v>0</v>
      </c>
      <c r="T1265" s="942"/>
      <c r="U1265" s="199">
        <f>IF(B1263="Лікар загальної практики - сімейний лікар"," ",IF(B1263="Лікар-педіатр"," ",IF(B1263="Лікар-терапевт","х",0)))</f>
        <v>0</v>
      </c>
      <c r="V1265" s="199">
        <f>IF(B1263="Лікар загальної практики - сімейний лікар"," ",IF(B1263="Лікар-педіатр"," ",IF(B1263="Лікар-терапевт","х",0)))</f>
        <v>0</v>
      </c>
      <c r="W1265" s="199">
        <f>IF(B1263="Лікар загальної практики - сімейний лікар"," ",IF(B1263="Лікар-педіатр","х",IF(B1263="Лікар-терапевт"," ",0)))</f>
        <v>0</v>
      </c>
      <c r="X1265" s="199">
        <f>IF(B1263="Лікар загальної практики - сімейний лікар"," ",IF(B1263="Лікар-педіатр","х",IF(B1263="Лікар-терапевт"," ",0)))</f>
        <v>0</v>
      </c>
      <c r="Y1265" s="199">
        <f>IF(B1263="Лікар загальної практики - сімейний лікар"," ",IF(B1263="Лікар-педіатр","х",IF(B1263="Лікар-терапевт"," ",0)))</f>
        <v>0</v>
      </c>
      <c r="Z1265" s="200">
        <f>SUM(U1265:Y1265)</f>
        <v>0</v>
      </c>
      <c r="AA1265" s="942"/>
      <c r="AB1265" s="199">
        <f>IF(B1263="Лікар загальної практики - сімейний лікар"," ",IF(B1263="Лікар-педіатр"," ",IF(B1263="Лікар-терапевт","х",0)))</f>
        <v>0</v>
      </c>
      <c r="AC1265" s="199">
        <f>IF(B1263="Лікар загальної практики - сімейний лікар"," ",IF(B1263="Лікар-педіатр"," ",IF(B1263="Лікар-терапевт","х",0)))</f>
        <v>0</v>
      </c>
      <c r="AD1265" s="199">
        <f>IF(B1263="Лікар загальної практики - сімейний лікар"," ",IF(B1263="Лікар-педіатр","х",IF(B1263="Лікар-терапевт"," ",0)))</f>
        <v>0</v>
      </c>
      <c r="AE1265" s="199">
        <f>IF(B1263="Лікар загальної практики - сімейний лікар"," ",IF(B1263="Лікар-педіатр","х",IF(B1263="Лікар-терапевт"," ",0)))</f>
        <v>0</v>
      </c>
      <c r="AF1265" s="199">
        <f>IF(B1263="Лікар загальної практики - сімейний лікар"," ",IF(B1263="Лікар-педіатр","х",IF(B1263="Лікар-терапевт"," ",0)))</f>
        <v>0</v>
      </c>
      <c r="AG1265" s="200">
        <f>SUM(AB1265:AF1265)</f>
        <v>0</v>
      </c>
      <c r="AH1265" s="942"/>
      <c r="AI1265" s="242"/>
      <c r="AJ1265" s="945"/>
      <c r="AK1265" s="960"/>
      <c r="AL1265" s="960"/>
      <c r="AM1265" s="930"/>
      <c r="AN1265" s="948"/>
      <c r="AO1265" s="948"/>
      <c r="AP1265" s="948"/>
      <c r="AQ1265" s="948"/>
      <c r="AR1265" s="963"/>
    </row>
    <row r="1266" spans="1:44" s="50" customFormat="1" ht="31.9" hidden="1" customHeight="1" thickBot="1">
      <c r="A1266" s="197"/>
      <c r="B1266" s="951"/>
      <c r="C1266" s="954"/>
      <c r="D1266" s="957"/>
      <c r="E1266" s="939"/>
      <c r="F1266" s="236" t="s">
        <v>426</v>
      </c>
      <c r="G1266" s="203">
        <f>IF($B$1263="Лікар-педіатр",G1265/L1265,IF($B$1263="Лікар-терапевт","х",IF($B$1263="Лікар загальної практики - сімейний лікар",G1265/L1265,0)))</f>
        <v>0</v>
      </c>
      <c r="H1266" s="203">
        <f>IF($B$1263="Лікар-педіатр",H1265/L1265,IF($B$1263="Лікар-терапевт","х",IF($B$1263="Лікар загальної практики - сімейний лікар",H1265/L1265,0)))</f>
        <v>0</v>
      </c>
      <c r="I1266" s="203">
        <f>IF($B$1263="Лікар-педіатр","x",IF($B$1263="Лікар-терапевт",I1265/L1265,IF($B$1263="Лікар загальної практики - сімейний лікар",I1265/L1265,0)))</f>
        <v>0</v>
      </c>
      <c r="J1266" s="203">
        <f>IF($B$1263="Лікар-педіатр","x",IF($B$1263="Лікар-терапевт",J1265/L1265,IF($B$1263="Лікар загальної практики - сімейний лікар",J1265/L1265,0)))</f>
        <v>0</v>
      </c>
      <c r="K1266" s="203">
        <f>IF($B$1263="Лікар-педіатр","x",IF($B$1263="Лікар-терапевт",K1265/L1265,IF($B$1263="Лікар загальної практики - сімейний лікар",K1265/L1265,0)))</f>
        <v>0</v>
      </c>
      <c r="L1266" s="203">
        <f>SUM(G1266:K1266)</f>
        <v>0</v>
      </c>
      <c r="M1266" s="942"/>
      <c r="N1266" s="203">
        <f>IF($B$1263="Лікар-педіатр",N1265/S1265,IF($B$1263="Лікар-терапевт","х",IF($B$1263="Лікар загальної практики - сімейний лікар",N1265/S1265,0)))</f>
        <v>0</v>
      </c>
      <c r="O1266" s="203">
        <f>IF($B$1263="Лікар-педіатр",O1265/S1265,IF($B$1263="Лікар-терапевт","х",IF($B$1263="Лікар загальної практики - сімейний лікар",O1265/S1265,0)))</f>
        <v>0</v>
      </c>
      <c r="P1266" s="203">
        <f>IF($B$1263="Лікар-педіатр","x",IF($B$1263="Лікар-терапевт",P1265/S1265,IF($B$1263="Лікар загальної практики - сімейний лікар",P1265/S1265,0)))</f>
        <v>0</v>
      </c>
      <c r="Q1266" s="203">
        <f>IF($B$1263="Лікар-педіатр","x",IF($B$1263="Лікар-терапевт",Q1265/S1265,IF($B$1263="Лікар загальної практики - сімейний лікар",Q1265/S1265,0)))</f>
        <v>0</v>
      </c>
      <c r="R1266" s="203">
        <f>IF($B$1263="Лікар-педіатр","x",IF($B$1263="Лікар-терапевт",R1265/S1265,IF($B$1263="Лікар загальної практики - сімейний лікар",R1265/S1265,0)))</f>
        <v>0</v>
      </c>
      <c r="S1266" s="203">
        <f>SUM(N1266:R1266)</f>
        <v>0</v>
      </c>
      <c r="T1266" s="942"/>
      <c r="U1266" s="203">
        <f>IF($B$1263="Лікар-педіатр",U1265/Z1265,IF($B$1263="Лікар-терапевт","х",IF($B$1263="Лікар загальної практики - сімейний лікар",U1265/Z1265,0)))</f>
        <v>0</v>
      </c>
      <c r="V1266" s="203">
        <f>IF($B$1263="Лікар-педіатр",V1265/Z1265,IF($B$1263="Лікар-терапевт","х",IF($B$1263="Лікар загальної практики - сімейний лікар",V1265/Z1265,0)))</f>
        <v>0</v>
      </c>
      <c r="W1266" s="203">
        <f>IF($B$1263="Лікар-педіатр","x",IF($B$1263="Лікар-терапевт",W1265/Z1265,IF($B$1263="Лікар загальної практики - сімейний лікар",W1265/Z1265,0)))</f>
        <v>0</v>
      </c>
      <c r="X1266" s="203">
        <f>IF($B$1263="Лікар-педіатр","x",IF($B$1263="Лікар-терапевт",X1265/Z1265,IF($B$1263="Лікар загальної практики - сімейний лікар",X1265/Z1265,0)))</f>
        <v>0</v>
      </c>
      <c r="Y1266" s="203">
        <f>IF($B$1263="Лікар-педіатр","x",IF($B$1263="Лікар-терапевт",Y1265/Z1265,IF($B$1263="Лікар загальної практики - сімейний лікар",Y1265/Z1265,0)))</f>
        <v>0</v>
      </c>
      <c r="Z1266" s="203">
        <f>SUM(U1266:Y1266)</f>
        <v>0</v>
      </c>
      <c r="AA1266" s="942"/>
      <c r="AB1266" s="203">
        <f>IF($B$1263="Лікар-педіатр",AB1265/AG1265,IF($B$1263="Лікар-терапевт","х",IF($B$1263="Лікар загальної практики - сімейний лікар",AB1265/AG1265,0)))</f>
        <v>0</v>
      </c>
      <c r="AC1266" s="203">
        <f>IF($B$1263="Лікар-педіатр",AC1265/AG1265,IF($B$1263="Лікар-терапевт","х",IF($B$1263="Лікар загальної практики - сімейний лікар",AC1265/AG1265,0)))</f>
        <v>0</v>
      </c>
      <c r="AD1266" s="203">
        <f>IF($B$1263="Лікар-педіатр","x",IF($B$1263="Лікар-терапевт",AD1265/AG1265,IF($B$1263="Лікар загальної практики - сімейний лікар",AD1265/AG1265,0)))</f>
        <v>0</v>
      </c>
      <c r="AE1266" s="203">
        <f>IF($B$1263="Лікар-педіатр","x",IF($B$1263="Лікар-терапевт",AE1265/AG1265,IF($B$1263="Лікар загальної практики - сімейний лікар",AE1265/AG1265,0)))</f>
        <v>0</v>
      </c>
      <c r="AF1266" s="203">
        <f>IF($B$1263="Лікар-педіатр","x",IF($B$1263="Лікар-терапевт",AF1265/AG1265,IF($B$1263="Лікар загальної практики - сімейний лікар",AF1265/AG1265,0)))</f>
        <v>0</v>
      </c>
      <c r="AG1266" s="203">
        <f>SUM(AB1266:AF1266)</f>
        <v>0</v>
      </c>
      <c r="AH1266" s="942"/>
      <c r="AI1266" s="201"/>
      <c r="AJ1266" s="945"/>
      <c r="AK1266" s="960"/>
      <c r="AL1266" s="960"/>
      <c r="AM1266" s="930"/>
      <c r="AN1266" s="948"/>
      <c r="AO1266" s="948"/>
      <c r="AP1266" s="948"/>
      <c r="AQ1266" s="948"/>
      <c r="AR1266" s="963"/>
    </row>
    <row r="1267" spans="1:44" s="50" customFormat="1" ht="45" hidden="1" customHeight="1" thickBot="1">
      <c r="A1267" s="197"/>
      <c r="B1267" s="951"/>
      <c r="C1267" s="954"/>
      <c r="D1267" s="957"/>
      <c r="E1267" s="939"/>
      <c r="F1267" s="204" t="s">
        <v>662</v>
      </c>
      <c r="G1267" s="205">
        <f>IF($B$1263="Лікар загальної практики - сімейний лікар",AVERAGE(G1263:G1265),IF($B$1263="Лікар-педіатр",AVERAGE(G1263:G1265),IF($B$1263="Лікар-терапевт","х",0)))</f>
        <v>0</v>
      </c>
      <c r="H1267" s="205">
        <f>IF($B$1263="Лікар загальної практики - сімейний лікар",AVERAGE(H1263:H1265),IF($B$1263="Лікар-педіатр",AVERAGE(H1263:H1265),IF($B$1263="Лікар-терапевт","х",0)))</f>
        <v>0</v>
      </c>
      <c r="I1267" s="205">
        <f>IF($B$1263="Лікар загальної практики - сімейний лікар",AVERAGE(I1263:I1265),IF($B$1263="Лікар-педіатр","x",IF($B$1263="Лікар-терапевт",AVERAGE(I1263:I1265),0)))</f>
        <v>0</v>
      </c>
      <c r="J1267" s="205">
        <f>IF($B$1263="Лікар загальної практики - сімейний лікар",AVERAGE(J1263:J1265),IF($B$1263="Лікар-педіатр","x",IF($B$1263="Лікар-терапевт",AVERAGE(J1263:J1265),0)))</f>
        <v>0</v>
      </c>
      <c r="K1267" s="205">
        <f>IF($B$1263="Лікар загальної практики - сімейний лікар",AVERAGE(K1263:K1265),IF($B$1263="Лікар-педіатр","x",IF($B$1263="Лікар-терапевт",AVERAGE(K1263:K1265),0)))</f>
        <v>0</v>
      </c>
      <c r="L1267" s="206">
        <f>SUM(G1267:K1267)</f>
        <v>0</v>
      </c>
      <c r="M1267" s="942"/>
      <c r="N1267" s="205">
        <f>IF($B$1263="Лікар загальної практики - сімейний лікар",AVERAGE(N1263:N1265),IF($B$1263="Лікар-педіатр",AVERAGE(N1263:N1265),IF($B$1263="Лікар-терапевт","х",0)))</f>
        <v>0</v>
      </c>
      <c r="O1267" s="205">
        <f>IF($B$1263="Лікар загальної практики - сімейний лікар",AVERAGE(O1263:O1265),IF($B$1263="Лікар-педіатр",AVERAGE(O1263:O1265),IF($B$1263="Лікар-терапевт","х",0)))</f>
        <v>0</v>
      </c>
      <c r="P1267" s="205">
        <f>IF($B$1263="Лікар загальної практики - сімейний лікар",AVERAGE(P1263:P1265),IF($B$1263="Лікар-педіатр","x",IF($B$1263="Лікар-терапевт",AVERAGE(P1263:P1265),0)))</f>
        <v>0</v>
      </c>
      <c r="Q1267" s="205">
        <f>IF($B$1263="Лікар загальної практики - сімейний лікар",AVERAGE(Q1263:Q1265),IF($B$1263="Лікар-педіатр","x",IF($B$1263="Лікар-терапевт",AVERAGE(Q1263:Q1265),0)))</f>
        <v>0</v>
      </c>
      <c r="R1267" s="205">
        <f>IF($B$1263="Лікар загальної практики - сімейний лікар",AVERAGE(R1263:R1265),IF($B$1263="Лікар-педіатр","x",IF($B$1263="Лікар-терапевт",AVERAGE(R1263:R1265),0)))</f>
        <v>0</v>
      </c>
      <c r="S1267" s="206">
        <f>SUM(N1267:R1267)</f>
        <v>0</v>
      </c>
      <c r="T1267" s="942"/>
      <c r="U1267" s="205">
        <f>IF($B$1263="Лікар загальної практики - сімейний лікар",AVERAGE(U1263:U1265),IF($B$1263="Лікар-педіатр",AVERAGE(U1263:U1265),IF($B$1263="Лікар-терапевт","х",0)))</f>
        <v>0</v>
      </c>
      <c r="V1267" s="205">
        <f>IF($B$1263="Лікар загальної практики - сімейний лікар",AVERAGE(V1263:V1265),IF($B$1263="Лікар-педіатр",AVERAGE(V1263:V1265),IF($B$1263="Лікар-терапевт","х",0)))</f>
        <v>0</v>
      </c>
      <c r="W1267" s="205">
        <f>IF($B$1263="Лікар загальної практики - сімейний лікар",AVERAGE(W1263:W1265),IF($B$1263="Лікар-педіатр","x",IF($B$1263="Лікар-терапевт",AVERAGE(W1263:W1265),0)))</f>
        <v>0</v>
      </c>
      <c r="X1267" s="205">
        <f>IF($B$1263="Лікар загальної практики - сімейний лікар",AVERAGE(X1263:X1265),IF($B$1263="Лікар-педіатр","x",IF($B$1263="Лікар-терапевт",AVERAGE(X1263:X1265),0)))</f>
        <v>0</v>
      </c>
      <c r="Y1267" s="205">
        <f>IF($B$1263="Лікар загальної практики - сімейний лікар",AVERAGE(Y1263:Y1265),IF($B$1263="Лікар-педіатр","x",IF($B$1263="Лікар-терапевт",AVERAGE(Y1263:Y1265),0)))</f>
        <v>0</v>
      </c>
      <c r="Z1267" s="206">
        <f>SUM(U1267:Y1267)</f>
        <v>0</v>
      </c>
      <c r="AA1267" s="942"/>
      <c r="AB1267" s="205">
        <f>IF($B$1263="Лікар загальної практики - сімейний лікар",AVERAGE(AB1263:AB1265),IF($B$1263="Лікар-педіатр",AVERAGE(AB1263:AB1265),IF($B$1263="Лікар-терапевт","х",0)))</f>
        <v>0</v>
      </c>
      <c r="AC1267" s="205">
        <f>IF($B$1263="Лікар загальної практики - сімейний лікар",AVERAGE(AC1263:AC1265),IF($B$1263="Лікар-педіатр",AVERAGE(AC1263:AC1265),IF($B$1263="Лікар-терапевт","х",0)))</f>
        <v>0</v>
      </c>
      <c r="AD1267" s="205">
        <f>IF($B$1263="Лікар загальної практики - сімейний лікар",AVERAGE(AD1263:AD1265),IF($B$1263="Лікар-педіатр","x",IF($B$1263="Лікар-терапевт",AVERAGE(AD1263:AD1265),0)))</f>
        <v>0</v>
      </c>
      <c r="AE1267" s="205">
        <f>IF($B$1263="Лікар загальної практики - сімейний лікар",AVERAGE(AE1263:AE1265),IF($B$1263="Лікар-педіатр","x",IF($B$1263="Лікар-терапевт",AVERAGE(AE1263:AE1265),0)))</f>
        <v>0</v>
      </c>
      <c r="AF1267" s="205">
        <f>IF($B$1263="Лікар загальної практики - сімейний лікар",AVERAGE(AF1263:AF1265),IF($B$1263="Лікар-педіатр","x",IF($B$1263="Лікар-терапевт",AVERAGE(AF1263:AF1265),0)))</f>
        <v>0</v>
      </c>
      <c r="AG1267" s="206">
        <f>SUM(AB1267:AF1267)</f>
        <v>0</v>
      </c>
      <c r="AH1267" s="942"/>
      <c r="AI1267" s="201"/>
      <c r="AJ1267" s="945"/>
      <c r="AK1267" s="960"/>
      <c r="AL1267" s="960"/>
      <c r="AM1267" s="931"/>
      <c r="AN1267" s="949"/>
      <c r="AO1267" s="949"/>
      <c r="AP1267" s="949"/>
      <c r="AQ1267" s="949"/>
      <c r="AR1267" s="964"/>
    </row>
    <row r="1268" spans="1:44" s="50" customFormat="1" ht="40.5" hidden="1">
      <c r="A1268" s="197"/>
      <c r="B1268" s="951"/>
      <c r="C1268" s="954"/>
      <c r="D1268" s="957"/>
      <c r="E1268" s="939"/>
      <c r="F1268" s="237" t="str">
        <f ca="1">IF(B1263="Лікар-педіатр",Законод!$C$17,IF(B1263="Лікар загальної практики - сімейний лікар",Законод!$C$21,IF(B1263="Лікар-терапевт",Законод!$C$25,"х")))</f>
        <v>х</v>
      </c>
      <c r="G1268" s="208">
        <f ca="1">IF($B$1263="Лікар загальної практики - сімейний лікар",IF(L1267&lt;=Законод!$C$22,G1267,Законод!$C$22*'01_Доходи'!G1266),IF($B$1263="Лікар-педіатр",IF(L1267&lt;=Законод!$C$18,G1267,Законод!$C$18*'01_Доходи'!G1266),IF($B$1263="Лікар-терапевт","x",0)))</f>
        <v>0</v>
      </c>
      <c r="H1268" s="208">
        <f ca="1">IF($B$1263="Лікар загальної практики - сімейний лікар",IF(L1267&lt;=Законод!$C$22,H1267,Законод!$C$22*'01_Доходи'!H1266),IF($B$1263="Лікар-педіатр",IF(L1267&lt;=Законод!$C$18,H1267,Законод!$C$18*'01_Доходи'!H1266),IF($B$1263="Лікар-терапевт","x",0)))</f>
        <v>0</v>
      </c>
      <c r="I1268" s="208">
        <f ca="1">IF($B$1263="Лікар загальної практики - сімейний лікар",IF(L1267&lt;=Законод!$C$22,I1267,Законод!$C$22*'01_Доходи'!I1266),IF($B$1263="Лікар-педіатр","x",IF($B$1263="Лікар-терапевт",IF(L1267&lt;=Законод!$C$26,I1267,Законод!$C$26*'01_Доходи'!I1266),0)))</f>
        <v>0</v>
      </c>
      <c r="J1268" s="208">
        <f ca="1">IF($B$1263="Лікар загальної практики - сімейний лікар",IF(L1267&lt;=Законод!$C$22,J1267,Законод!$C$22*'01_Доходи'!J1266),IF($B$1263="Лікар-педіатр","x",IF($B$1263="Лікар-терапевт",IF(L1267&lt;=Законод!$C$26,J1267,Законод!$C$26*'01_Доходи'!J1266),0)))</f>
        <v>0</v>
      </c>
      <c r="K1268" s="208">
        <f ca="1">IF($B$1263="Лікар загальної практики - сімейний лікар",IF(L1267&lt;=Законод!$C$22,K1267,Законод!$C$22*'01_Доходи'!K1266),IF($B$1263="Лікар-педіатр","x",IF($B$1263="Лікар-терапевт",IF(L1267&lt;=Законод!$C$26,K1267,Законод!$C$26*'01_Доходи'!K1266),0)))</f>
        <v>0</v>
      </c>
      <c r="L1268" s="209">
        <f ca="1">SUM(G1268:K1268)</f>
        <v>0</v>
      </c>
      <c r="M1268" s="942"/>
      <c r="N1268" s="208">
        <f ca="1">IF($B$1263="Лікар загальної практики - сімейний лікар",IF(S1267&lt;=Законод!$C$22,N1267,Законод!$C$22*'01_Доходи'!N1266),IF($B$1263="Лікар-педіатр",IF(S1267&lt;=Законод!$C$18,N1267,Законод!$C$18*'01_Доходи'!N1266),IF($B$1263="Лікар-терапевт","x",0)))</f>
        <v>0</v>
      </c>
      <c r="O1268" s="208">
        <f ca="1">IF($B$1263="Лікар загальної практики - сімейний лікар",IF(S1267&lt;=Законод!$C$22,O1267,Законод!$C$22*'01_Доходи'!O1266),IF($B$1263="Лікар-педіатр",IF(S1267&lt;=Законод!$C$18,O1267,Законод!$C$18*'01_Доходи'!O1266),IF($B$1263="Лікар-терапевт","x",0)))</f>
        <v>0</v>
      </c>
      <c r="P1268" s="208">
        <f ca="1">IF($B$1263="Лікар загальної практики - сімейний лікар",IF(S1267&lt;=Законод!$C$22,P1267,Законод!$C$22*'01_Доходи'!P1266),IF($B$1263="Лікар-педіатр","x",IF($B$1263="Лікар-терапевт",IF(S1267&lt;=Законод!$C$26,P1267,Законод!$C$26*'01_Доходи'!P1266),0)))</f>
        <v>0</v>
      </c>
      <c r="Q1268" s="208">
        <f ca="1">IF($B$1263="Лікар загальної практики - сімейний лікар",IF(S1267&lt;=Законод!$C$22,Q1267,Законод!$C$22*'01_Доходи'!Q1266),IF($B$1263="Лікар-педіатр","x",IF($B$1263="Лікар-терапевт",IF(S1267&lt;=Законод!$C$26,Q1267,Законод!$C$26*'01_Доходи'!Q1266),0)))</f>
        <v>0</v>
      </c>
      <c r="R1268" s="208">
        <f ca="1">IF($B$1263="Лікар загальної практики - сімейний лікар",IF(S1267&lt;=Законод!$C$22,R1267,Законод!$C$22*'01_Доходи'!R1266),IF($B$1263="Лікар-педіатр","x",IF($B$1263="Лікар-терапевт",IF(S1267&lt;=Законод!$C$26,R1267,Законод!$C$26*'01_Доходи'!R1266),0)))</f>
        <v>0</v>
      </c>
      <c r="S1268" s="209">
        <f ca="1">SUM(N1268:R1268)</f>
        <v>0</v>
      </c>
      <c r="T1268" s="942"/>
      <c r="U1268" s="208">
        <f ca="1">IF($B$1263="Лікар загальної практики - сімейний лікар",IF(Z1267&lt;=Законод!$C$22,U1267,Законод!$C$22*'01_Доходи'!U1266),IF($B$1263="Лікар-педіатр",IF(Z1267&lt;=Законод!$C$18,U1267,Законод!$C$18*'01_Доходи'!U1266),IF($B$1263="Лікар-терапевт","x",0)))</f>
        <v>0</v>
      </c>
      <c r="V1268" s="208">
        <f ca="1">IF($B$1263="Лікар загальної практики - сімейний лікар",IF(Z1267&lt;=Законод!$C$22,V1267,Законод!$C$22*'01_Доходи'!V1266),IF($B$1263="Лікар-педіатр",IF(Z1267&lt;=Законод!$C$18,V1267,Законод!$C$18*'01_Доходи'!V1266),IF($B$1263="Лікар-терапевт","x",0)))</f>
        <v>0</v>
      </c>
      <c r="W1268" s="208">
        <f ca="1">IF($B$1263="Лікар загальної практики - сімейний лікар",IF(Z1267&lt;=Законод!$C$22,W1267,Законод!$C$22*'01_Доходи'!W1266),IF($B$1263="Лікар-педіатр","x",IF($B$1263="Лікар-терапевт",IF(Z1267&lt;=Законод!$C$26,W1267,Законод!$C$26*'01_Доходи'!W1266),0)))</f>
        <v>0</v>
      </c>
      <c r="X1268" s="208">
        <f ca="1">IF($B$1263="Лікар загальної практики - сімейний лікар",IF(Z1267&lt;=Законод!$C$22,X1267,Законод!$C$22*'01_Доходи'!X1266),IF($B$1263="Лікар-педіатр","x",IF($B$1263="Лікар-терапевт",IF(Z1267&lt;=Законод!$C$26,X1267,Законод!$C$26*'01_Доходи'!X1266),0)))</f>
        <v>0</v>
      </c>
      <c r="Y1268" s="208">
        <f ca="1">IF($B$1263="Лікар загальної практики - сімейний лікар",IF(Z1267&lt;=Законод!$C$22,Y1267,Законод!$C$22*'01_Доходи'!Y1266),IF($B$1263="Лікар-педіатр","x",IF($B$1263="Лікар-терапевт",IF(Z1267&lt;=Законод!$C$26,Y1267,Законод!$C$26*'01_Доходи'!Y1266),0)))</f>
        <v>0</v>
      </c>
      <c r="Z1268" s="209">
        <f ca="1">SUM(U1268:Y1268)</f>
        <v>0</v>
      </c>
      <c r="AA1268" s="942"/>
      <c r="AB1268" s="208">
        <f ca="1">IF($B$1263="Лікар загальної практики - сімейний лікар",IF(AG1267&lt;=Законод!$C$22,AB1267,Законод!$C$22*'01_Доходи'!AB1266),IF($B$1263="Лікар-педіатр",IF(AG1267&lt;=Законод!$C$18,AB1267,Законод!$C$18*'01_Доходи'!AB1266),IF($B$1263="Лікар-терапевт","x",0)))</f>
        <v>0</v>
      </c>
      <c r="AC1268" s="208">
        <f ca="1">IF($B$1263="Лікар загальної практики - сімейний лікар",IF(AG1267&lt;=Законод!$C$22,AC1267,Законод!$C$22*'01_Доходи'!AC1266),IF($B$1263="Лікар-педіатр",IF(AG1267&lt;=Законод!$C$18,AC1267,Законод!$C$18*'01_Доходи'!AC1266),IF($B$1263="Лікар-терапевт","x",0)))</f>
        <v>0</v>
      </c>
      <c r="AD1268" s="208">
        <f ca="1">IF($B$1263="Лікар загальної практики - сімейний лікар",IF(AG1267&lt;=Законод!$C$22,AD1267,Законод!$C$22*'01_Доходи'!AD1266),IF($B$1263="Лікар-педіатр","x",IF($B$1263="Лікар-терапевт",IF(AG1267&lt;=Законод!$C$26,AD1267,Законод!$C$26*'01_Доходи'!AD1266),0)))</f>
        <v>0</v>
      </c>
      <c r="AE1268" s="208">
        <f ca="1">IF($B$1263="Лікар загальної практики - сімейний лікар",IF(AG1267&lt;=Законод!$C$22,AE1267,Законод!$C$22*'01_Доходи'!AE1266),IF($B$1263="Лікар-педіатр","x",IF($B$1263="Лікар-терапевт",IF(AG1267&lt;=Законод!$C$26,AE1267,Законод!$C$26*'01_Доходи'!AE1266),0)))</f>
        <v>0</v>
      </c>
      <c r="AF1268" s="208">
        <f ca="1">IF($B$1263="Лікар загальної практики - сімейний лікар",IF(AG1267&lt;=Законод!$C$22,AF1267,Законод!$C$22*'01_Доходи'!AF1266),IF($B$1263="Лікар-педіатр","x",IF($B$1263="Лікар-терапевт",IF(AG1267&lt;=Законод!$C$26,AF1267,Законод!$C$26*'01_Доходи'!AF1266),0)))</f>
        <v>0</v>
      </c>
      <c r="AG1268" s="209">
        <f ca="1">SUM(AB1268:AF1268)</f>
        <v>0</v>
      </c>
      <c r="AH1268" s="942"/>
      <c r="AI1268" s="201"/>
      <c r="AJ1268" s="945"/>
      <c r="AK1268" s="960"/>
      <c r="AL1268" s="960"/>
      <c r="AM1268" s="348" t="s">
        <v>451</v>
      </c>
      <c r="AN1268" s="210">
        <f ca="1">IF(B1263="Лікар загальної практики - сімейний лікар",G1268*Законод!$C$11+'01_Доходи'!H1268*Законод!$D$11+'01_Доходи'!I1268*Законод!$E$11+'01_Доходи'!J1268*Законод!$F$11+'01_Доходи'!K1268*Законод!$G$11,IF(B1263="Лікар-педіатр",G1268*Законод!$C$11+'01_Доходи'!H1268*Законод!$D$11,IF(B1263="Лікар-терапевт",'01_Доходи'!I1268*Законод!$E$11+'01_Доходи'!J1268*Законод!$F$11+'01_Доходи'!K1268*Законод!$G$11,0)))</f>
        <v>0</v>
      </c>
      <c r="AO1268" s="210">
        <f ca="1">IF(B1263="Лікар загальної практики - сімейний лікар",N1268*Законод!$C$11+'01_Доходи'!O1268*Законод!$D$11+'01_Доходи'!P1268*Законод!$E$11+'01_Доходи'!Q1268*Законод!$F$11+'01_Доходи'!R1268*Законод!$G$11,IF(B1263="Лікар-педіатр",N1268*Законод!$C$11+'01_Доходи'!O1268*Законод!$D$11,IF(B1263="Лікар-терапевт",'01_Доходи'!P1268*Законод!$E$11+'01_Доходи'!Q1268*Законод!$F$11+'01_Доходи'!R1268*Законод!$G$11,0)))</f>
        <v>0</v>
      </c>
      <c r="AP1268" s="210">
        <f ca="1">IF(B1263="Лікар загальної практики - сімейний лікар",U1268*Законод!$C$11+'01_Доходи'!V1268*Законод!$D$11+'01_Доходи'!W1268*Законод!$E$11+'01_Доходи'!X1268*Законод!$F$11+'01_Доходи'!Y1268*Законод!$G$11,IF(B1263="Лікар-педіатр",U1268*Законод!$C$11+'01_Доходи'!V1268*Законод!$D$11,IF(B1263="Лікар-терапевт",'01_Доходи'!W1268*Законод!$E$11+'01_Доходи'!X1268*Законод!$F$11+'01_Доходи'!Y1268*Законод!$G$11,0)))</f>
        <v>0</v>
      </c>
      <c r="AQ1268" s="210">
        <f ca="1">IF(B1263="Лікар загальної практики - сімейний лікар",AB1268*Законод!$C$11+'01_Доходи'!AC1268*Законод!$D$11+'01_Доходи'!AD1268*Законод!$E$11+'01_Доходи'!AE1268*Законод!$F$11+'01_Доходи'!AF1268*Законод!$G$11,IF(B1263="Лікар-педіатр",AB1268*Законод!$C$11+'01_Доходи'!AC1268*Законод!$D$11,IF(B1263="Лікар-терапевт",'01_Доходи'!AD1268*Законод!$E$11+'01_Доходи'!AE1268*Законод!$F$11+'01_Доходи'!AF1268*Законод!$G$11,0)))</f>
        <v>0</v>
      </c>
      <c r="AR1268" s="211">
        <f t="shared" ref="AR1268:AR1274" si="137">SUM(AN1268:AQ1268)</f>
        <v>0</v>
      </c>
    </row>
    <row r="1269" spans="1:44" s="50" customFormat="1" ht="31.9" hidden="1" customHeight="1">
      <c r="A1269" s="197"/>
      <c r="B1269" s="951"/>
      <c r="C1269" s="954"/>
      <c r="D1269" s="957"/>
      <c r="E1269" s="939"/>
      <c r="F1269" s="238" t="str">
        <f ca="1">IF(B1263="Лікар-педіатр",Законод!$E$17,IF(B1263="Лікар загальної практики - сімейний лікар",Законод!$E$21,IF(B1263="Лікар-терапевт",Законод!$E$25,"х")))</f>
        <v>х</v>
      </c>
      <c r="G1269" s="935" t="s">
        <v>423</v>
      </c>
      <c r="H1269" s="936"/>
      <c r="I1269" s="936"/>
      <c r="J1269" s="936"/>
      <c r="K1269" s="937"/>
      <c r="L1269" s="196">
        <f ca="1">IF($B$1263="Лікар загальної практики - сімейний лікар",IF(L1267&lt;Законод!$C$22,0,(IF(AND(L1267&gt;=Законод!$E$22,L1267&lt;=Законод!$E$23),L1267-Законод!$C$22,IF('01_Доходи'!L1267&gt;=Законод!$F$22,Законод!$E$24,0)))),IF($B$1263="Лікар-педіатр",IF(L1267&lt;Законод!$C$18,0,(IF(AND(L1267&gt;=Законод!$E$18,L1267&lt;=Законод!$E$19),L1267-Законод!$C$18,IF('01_Доходи'!L1267&gt;=Законод!$F$18,Законод!$E$20,0)))),IF($B$1263="Лікар-терапевт",IF(L1267&lt;Законод!$C$26,0,(IF(AND(L1267&gt;=Законод!$E$26,L1267&lt;=Законод!$E$27),L1267-Законод!$C$26,IF('01_Доходи'!L1267&gt;=Законод!$F$26,Законод!$E$28,0)))),0)))</f>
        <v>0</v>
      </c>
      <c r="M1269" s="942"/>
      <c r="N1269" s="935" t="s">
        <v>423</v>
      </c>
      <c r="O1269" s="936"/>
      <c r="P1269" s="936"/>
      <c r="Q1269" s="936"/>
      <c r="R1269" s="937"/>
      <c r="S1269" s="196">
        <f ca="1">IF($B$1263="Лікар загальної практики - сімейний лікар",IF(S1267&lt;Законод!$C$22,0,(IF(AND(S1267&gt;=Законод!$E$22,S1267&lt;=Законод!$E$23),S1267-Законод!$C$22,IF('01_Доходи'!S1267&gt;=Законод!$F$22,Законод!$E$24,0)))),IF($B$1263="Лікар-педіатр",IF(S1267&lt;Законод!$C$18,0,(IF(AND(S1267&gt;=Законод!$E$18,S1267&lt;=Законод!$E$19),S1267-Законод!$C$18,IF('01_Доходи'!S1267&gt;=Законод!$F$18,Законод!$E$20,0)))),IF($B$1263="Лікар-терапевт",IF(S1267&lt;Законод!$C$26,0,(IF(AND(S1267&gt;=Законод!$E$26,S1267&lt;=Законод!$E$27),S1267-Законод!$C$26,IF('01_Доходи'!S1267&gt;=Законод!$F$26,Законод!$E$28,0)))),0)))</f>
        <v>0</v>
      </c>
      <c r="T1269" s="942"/>
      <c r="U1269" s="935" t="s">
        <v>423</v>
      </c>
      <c r="V1269" s="936"/>
      <c r="W1269" s="936"/>
      <c r="X1269" s="936"/>
      <c r="Y1269" s="937"/>
      <c r="Z1269" s="196">
        <f ca="1">IF($B$1263="Лікар загальної практики - сімейний лікар",IF(Z1267&lt;Законод!$C$22,0,(IF(AND(Z1267&gt;=Законод!$E$22,Z1267&lt;=Законод!$E$23),Z1267-Законод!$C$22,IF('01_Доходи'!Z1267&gt;=Законод!$F$22,Законод!$E$24,0)))),IF($B$1263="Лікар-педіатр",IF(Z1267&lt;Законод!$C$18,0,(IF(AND(Z1267&gt;=Законод!$E$18,Z1267&lt;=Законод!$E$19),Z1267-Законод!$C$18,IF('01_Доходи'!Z1267&gt;=Законод!$F$18,Законод!$E$20,0)))),IF($B$1263="Лікар-терапевт",IF(Z1267&lt;Законод!$C$26,0,(IF(AND(Z1267&gt;=Законод!$E$26,Z1267&lt;=Законод!$E$27),Z1267-Законод!$C$26,IF('01_Доходи'!Z1267&gt;=Законод!$F$26,Законод!$E$28,0)))),0)))</f>
        <v>0</v>
      </c>
      <c r="AA1269" s="942"/>
      <c r="AB1269" s="935" t="s">
        <v>423</v>
      </c>
      <c r="AC1269" s="936"/>
      <c r="AD1269" s="936"/>
      <c r="AE1269" s="936"/>
      <c r="AF1269" s="937"/>
      <c r="AG1269" s="196">
        <f ca="1">IF($B$1263="Лікар загальної практики - сімейний лікар",IF(AG1267&lt;Законод!$C$22,0,(IF(AND(AG1267&gt;=Законод!$E$22,AG1267&lt;=Законод!$E$23),AG1267-Законод!$C$22,IF('01_Доходи'!AG1267&gt;=Законод!$F$22,Законод!$E$24,0)))),IF($B$1263="Лікар-педіатр",IF(AG1267&lt;Законод!$C$18,0,(IF(AND(AG1267&gt;=Законод!$E$18,AG1267&lt;=Законод!$E$19),AG1267-Законод!$C$18,IF('01_Доходи'!AG1267&gt;=Законод!$F$18,Законод!$E$20,0)))),IF($B$1263="Лікар-терапевт",IF(AG1267&lt;Законод!$C$26,0,(IF(AND(AG1267&gt;=Законод!$E$26,AG1267&lt;=Законод!$E$27),AG1267-Законод!$C$26,IF('01_Доходи'!AG1267&gt;=Законод!$F$26,Законод!$E$28,0)))),0)))</f>
        <v>0</v>
      </c>
      <c r="AH1269" s="942"/>
      <c r="AI1269" s="201"/>
      <c r="AJ1269" s="945"/>
      <c r="AK1269" s="960"/>
      <c r="AL1269" s="960"/>
      <c r="AM1269" s="926" t="s">
        <v>452</v>
      </c>
      <c r="AN1269" s="210">
        <f ca="1">IF(B1263="Лікар загальної практики - сімейний лікар",L1269*Законод!$C$9/4*Законод!$E$16,IF(B1263="Лікар-педіатр",L1269*Законод!$C$9/4*Законод!$E$16,IF(B1263="Лікар-терапевт",L1269*Законод!$C$9/4*Законод!$E$16,0)))</f>
        <v>0</v>
      </c>
      <c r="AO1269" s="210">
        <f ca="1">IF(B1263="Лікар загальної практики - сімейний лікар",S1269*Законод!$C$9/4*Законод!$E$16,IF(B1263="Лікар-педіатр",S1269*Законод!$C$9/4*Законод!$E$16,IF(B1263="Лікар-терапевт",S1269*Законод!$C$9/4*Законод!$E$16,0)))</f>
        <v>0</v>
      </c>
      <c r="AP1269" s="210">
        <f ca="1">IF(B1263="Лікар загальної практики - сімейний лікар",Z1269*Законод!$C$9/4*Законод!$E$16,IF(B1263="Лікар-педіатр",Z1269*Законод!$C$9/4*Законод!$E$16,IF(B1263="Лікар-терапевт",Z1269*Законод!$C$9/4*Законод!$E$16,0)))</f>
        <v>0</v>
      </c>
      <c r="AQ1269" s="210">
        <f ca="1">IF(B1263="Лікар загальної практики - сімейний лікар",AG1269*Законод!$C$9/4*Законод!$E$16,IF(B1263="Лікар-педіатр",AG1269*Законод!$C$9/4*Законод!$E$16,IF(B1263="Лікар-терапевт",AG1269*Законод!$C$9/4*Законод!$E$16,0)))</f>
        <v>0</v>
      </c>
      <c r="AR1269" s="211">
        <f t="shared" si="137"/>
        <v>0</v>
      </c>
    </row>
    <row r="1270" spans="1:44" s="50" customFormat="1" ht="31.9" hidden="1" customHeight="1">
      <c r="A1270" s="197"/>
      <c r="B1270" s="951"/>
      <c r="C1270" s="954"/>
      <c r="D1270" s="957"/>
      <c r="E1270" s="939"/>
      <c r="F1270" s="238" t="str">
        <f ca="1">IF(B1263="Лікар-педіатр",Законод!$F$17,IF(B1263="Лікар загальної практики - сімейний лікар",Законод!$F$21,IF(B1263="Лікар-терапевт",Законод!$F$25,"х")))</f>
        <v>х</v>
      </c>
      <c r="G1270" s="935" t="s">
        <v>423</v>
      </c>
      <c r="H1270" s="936"/>
      <c r="I1270" s="936"/>
      <c r="J1270" s="936"/>
      <c r="K1270" s="937"/>
      <c r="L1270" s="196">
        <f ca="1">IF($B$1263="Лікар загальної практики - сімейний лікар",IF(L1267&lt;Законод!$C$22,0,(IF(AND(L1267&gt;=Законод!$F$22,L1267&lt;=Законод!$F$23),L1267-Законод!$E$23,IF('01_Доходи'!L1267&gt;=Законод!$G$22,Законод!$F$24,0)))),IF($B$1263="Лікар-педіатр",IF(L1267&lt;Законод!$C$18,0,(IF(AND(L1267&gt;=Законод!$F$18,L1267&lt;=Законод!$F$19),L1267-Законод!$E$19,IF('01_Доходи'!L1267&gt;=Законод!$G$18,Законод!$F$20,0)))),IF($B$1263="Лікар-терапевт",IF(L1267&lt;Законод!$C$26,0,(IF(AND(L1267&gt;=Законод!$F$26,L1267&lt;=Законод!$F$27),L1267-Законод!$E$27,IF('01_Доходи'!L1267&gt;=Законод!$G$26,Законод!$F$28,0)))),0)))</f>
        <v>0</v>
      </c>
      <c r="M1270" s="942"/>
      <c r="N1270" s="935" t="s">
        <v>423</v>
      </c>
      <c r="O1270" s="936"/>
      <c r="P1270" s="936"/>
      <c r="Q1270" s="936"/>
      <c r="R1270" s="937"/>
      <c r="S1270" s="196">
        <f ca="1">IF($B$1263="Лікар загальної практики - сімейний лікар",IF(S1267&lt;Законод!$C$22,0,(IF(AND(S1267&gt;=Законод!$F$22,S1267&lt;=Законод!$F$23),S1267-Законод!$E$23,IF('01_Доходи'!S1267&gt;=Законод!$G$22,Законод!$F$24,0)))),IF($B$1263="Лікар-педіатр",IF(S1267&lt;Законод!$C$18,0,(IF(AND(S1267&gt;=Законод!$F$18,S1267&lt;=Законод!$F$19),S1267-Законод!$E$19,IF('01_Доходи'!S1267&gt;=Законод!$G$18,Законод!$F$20,0)))),IF($B$1263="Лікар-терапевт",IF(S1267&lt;Законод!$C$26,0,(IF(AND(S1267&gt;=Законод!$F$26,S1267&lt;=Законод!$F$27),S1267-Законод!$E$27,IF('01_Доходи'!S1267&gt;=Законод!$G$26,Законод!$F$28,0)))),0)))</f>
        <v>0</v>
      </c>
      <c r="T1270" s="942"/>
      <c r="U1270" s="935" t="s">
        <v>423</v>
      </c>
      <c r="V1270" s="936"/>
      <c r="W1270" s="936"/>
      <c r="X1270" s="936"/>
      <c r="Y1270" s="937"/>
      <c r="Z1270" s="196">
        <f ca="1">IF($B$1263="Лікар загальної практики - сімейний лікар",IF(Z1267&lt;Законод!$C$22,0,(IF(AND(Z1267&gt;=Законод!$F$22,Z1267&lt;=Законод!$F$23),Z1267-Законод!$E$23,IF('01_Доходи'!Z1267&gt;=Законод!$G$22,Законод!$F$24,0)))),IF($B$1263="Лікар-педіатр",IF(Z1267&lt;Законод!$C$18,0,(IF(AND(Z1267&gt;=Законод!$F$18,Z1267&lt;=Законод!$F$19),Z1267-Законод!$E$19,IF('01_Доходи'!Z1267&gt;=Законод!$G$18,Законод!$F$20,0)))),IF($B$1263="Лікар-терапевт",IF(Z1267&lt;Законод!$C$26,0,(IF(AND(Z1267&gt;=Законод!$F$26,Z1267&lt;=Законод!$F$27),Z1267-Законод!$E$27,IF('01_Доходи'!Z1267&gt;=Законод!$G$26,Законод!$F$28,0)))),0)))</f>
        <v>0</v>
      </c>
      <c r="AA1270" s="942"/>
      <c r="AB1270" s="935" t="s">
        <v>423</v>
      </c>
      <c r="AC1270" s="936"/>
      <c r="AD1270" s="936"/>
      <c r="AE1270" s="936"/>
      <c r="AF1270" s="937"/>
      <c r="AG1270" s="196">
        <f ca="1">IF($B$1263="Лікар загальної практики - сімейний лікар",IF(AG1267&lt;Законод!$C$22,0,(IF(AND(AG1267&gt;=Законод!$F$22,AG1267&lt;=Законод!$F$23),AG1267-Законод!$E$23,IF('01_Доходи'!AG1267&gt;=Законод!$G$22,Законод!$F$24,0)))),IF($B$1263="Лікар-педіатр",IF(AG1267&lt;Законод!$C$18,0,(IF(AND(AG1267&gt;=Законод!$F$18,AG1267&lt;=Законод!$F$19),AG1267-Законод!$E$19,IF('01_Доходи'!AG1267&gt;=Законод!$G$18,Законод!$F$20,0)))),IF($B$1263="Лікар-терапевт",IF(AG1267&lt;Законод!$C$26,0,(IF(AND(AG1267&gt;=Законод!$F$26,AG1267&lt;=Законод!$F$27),AG1267-Законод!$E$27,IF('01_Доходи'!AG1267&gt;=Законод!$G$26,Законод!$F$28,0)))),0)))</f>
        <v>0</v>
      </c>
      <c r="AH1270" s="942"/>
      <c r="AI1270" s="201"/>
      <c r="AJ1270" s="945"/>
      <c r="AK1270" s="960"/>
      <c r="AL1270" s="960"/>
      <c r="AM1270" s="927"/>
      <c r="AN1270" s="210">
        <f ca="1">IF(B1263="Лікар загальної практики - сімейний лікар",L1270*Законод!$C$9/4*Законод!$F$16,IF(B1263="Лікар-педіатр",L1270*Законод!$C$9/4*Законод!$F$16,IF(B1263="Лікар-терапевт",L1270*Законод!$C$9/4*Законод!$F$16,0)))</f>
        <v>0</v>
      </c>
      <c r="AO1270" s="210">
        <f ca="1">IF(B1263="Лікар загальної практики - сімейний лікар",S1270*Законод!$C$9/4*Законод!$F$16,IF(B1263="Лікар-педіатр",S1270*Законод!$C$9/4*Законод!$F$16,IF(B1263="Лікар-терапевт",S1270*Законод!$C$9/4*Законод!$F$16,0)))</f>
        <v>0</v>
      </c>
      <c r="AP1270" s="210">
        <f ca="1">IF(B1263="Лікар загальної практики - сімейний лікар",Z1270*Законод!$C$9/4*Законод!$F$16,IF(B1263="Лікар-педіатр",Z1270*Законод!$C$9/4*Законод!$F$16,IF(B1263="Лікар-терапевт",Z1270*Законод!$C$9/4*Законод!$F$16,0)))</f>
        <v>0</v>
      </c>
      <c r="AQ1270" s="210">
        <f ca="1">IF(B1263="Лікар загальної практики - сімейний лікар",AG1270*Законод!$C$9/4*Законод!$F$16,IF(B1263="Лікар-педіатр",AG1270*Законод!$C$9/4*Законод!$F$16,IF(B1263="Лікар-терапевт",AG1270*Законод!$C$9/4*Законод!$F$16,0)))</f>
        <v>0</v>
      </c>
      <c r="AR1270" s="211">
        <f t="shared" si="137"/>
        <v>0</v>
      </c>
    </row>
    <row r="1271" spans="1:44" s="50" customFormat="1" ht="31.9" hidden="1" customHeight="1">
      <c r="A1271" s="197"/>
      <c r="B1271" s="951"/>
      <c r="C1271" s="954"/>
      <c r="D1271" s="957"/>
      <c r="E1271" s="939"/>
      <c r="F1271" s="238" t="str">
        <f ca="1">IF(B1263="Лікар-педіатр",Законод!$G$17,IF(B1263="Лікар загальної практики - сімейний лікар",Законод!$G$21,IF(B1263="Лікар-терапевт",Законод!$G$25,"х")))</f>
        <v>х</v>
      </c>
      <c r="G1271" s="935" t="s">
        <v>423</v>
      </c>
      <c r="H1271" s="936"/>
      <c r="I1271" s="936"/>
      <c r="J1271" s="936"/>
      <c r="K1271" s="937"/>
      <c r="L1271" s="196">
        <f ca="1">IF($B$1263="Лікар загальної практики - сімейний лікар",IF(L1267&lt;Законод!$C$22,0,(IF(AND(L1267&gt;=Законод!$G$22,L1267&lt;=Законод!$G$23),L1267-Законод!$F$23,IF('01_Доходи'!L1267&gt;=Законод!$H$22,Законод!$G$24,0)))),IF($B$1263="Лікар-педіатр",IF(L1267&lt;Законод!$C$18,0,(IF(AND(L1267&gt;=Законод!$G$18,L1267&lt;=Законод!$G$19),L1267-Законод!$F$19,IF('01_Доходи'!L1267&gt;=Законод!$H$18,Законод!$G$20,0)))),IF($B$1263="Лікар-терапевт",IF(L1267&lt;Законод!$C$26,0,(IF(AND(L1267&gt;=Законод!$G$26,L1267&lt;=Законод!$G$27),L1267-Законод!$F$27,IF('01_Доходи'!L1267&gt;=Законод!$H$26,Законод!$G$28,0)))),0)))</f>
        <v>0</v>
      </c>
      <c r="M1271" s="942"/>
      <c r="N1271" s="935" t="s">
        <v>423</v>
      </c>
      <c r="O1271" s="936"/>
      <c r="P1271" s="936"/>
      <c r="Q1271" s="936"/>
      <c r="R1271" s="937"/>
      <c r="S1271" s="196">
        <f ca="1">IF($B$1263="Лікар загальної практики - сімейний лікар",IF(S1267&lt;Законод!$C$22,0,(IF(AND(S1267&gt;=Законод!$G$22,S1267&lt;=Законод!$G$23),S1267-Законод!$F$23,IF('01_Доходи'!S1267&gt;=Законод!$H$22,Законод!$G$24,0)))),IF($B$1263="Лікар-педіатр",IF(S1267&lt;Законод!$C$18,0,(IF(AND(S1267&gt;=Законод!$G$18,S1267&lt;=Законод!$G$19),S1267-Законод!$F$19,IF('01_Доходи'!S1267&gt;=Законод!$H$18,Законод!$G$20,0)))),IF($B$1263="Лікар-терапевт",IF(S1267&lt;Законод!$C$26,0,(IF(AND(S1267&gt;=Законод!$G$26,S1267&lt;=Законод!$G$27),S1267-Законод!$F$27,IF('01_Доходи'!S1267&gt;=Законод!$H$26,Законод!$G$28,0)))),0)))</f>
        <v>0</v>
      </c>
      <c r="T1271" s="942"/>
      <c r="U1271" s="935" t="s">
        <v>423</v>
      </c>
      <c r="V1271" s="936"/>
      <c r="W1271" s="936"/>
      <c r="X1271" s="936"/>
      <c r="Y1271" s="937"/>
      <c r="Z1271" s="196">
        <f ca="1">IF($B$1263="Лікар загальної практики - сімейний лікар",IF(Z1267&lt;Законод!$C$22,0,(IF(AND(Z1267&gt;=Законод!$G$22,Z1267&lt;=Законод!$G$23),Z1267-Законод!$F$23,IF('01_Доходи'!Z1267&gt;=Законод!$H$22,Законод!$G$24,0)))),IF($B$1263="Лікар-педіатр",IF(Z1267&lt;Законод!$C$18,0,(IF(AND(Z1267&gt;=Законод!$G$18,Z1267&lt;=Законод!$G$19),Z1267-Законод!$F$19,IF('01_Доходи'!Z1267&gt;=Законод!$H$18,Законод!$G$20,0)))),IF($B$1263="Лікар-терапевт",IF(Z1267&lt;Законод!$C$26,0,(IF(AND(Z1267&gt;=Законод!$G$26,Z1267&lt;=Законод!$G$27),Z1267-Законод!$F$27,IF('01_Доходи'!Z1267&gt;=Законод!$H$26,Законод!$G$28,0)))),0)))</f>
        <v>0</v>
      </c>
      <c r="AA1271" s="942"/>
      <c r="AB1271" s="935" t="s">
        <v>423</v>
      </c>
      <c r="AC1271" s="936"/>
      <c r="AD1271" s="936"/>
      <c r="AE1271" s="936"/>
      <c r="AF1271" s="937"/>
      <c r="AG1271" s="196">
        <f ca="1">IF($B$1263="Лікар загальної практики - сімейний лікар",IF(AG1267&lt;Законод!$C$22,0,(IF(AND(AG1267&gt;=Законод!$G$22,AG1267&lt;=Законод!$G$23),AG1267-Законод!$F$23,IF('01_Доходи'!AG1267&gt;=Законод!$H$22,Законод!$G$24,0)))),IF($B$1263="Лікар-педіатр",IF(AG1267&lt;Законод!$C$18,0,(IF(AND(AG1267&gt;=Законод!$G$18,AG1267&lt;=Законод!$G$19),AG1267-Законод!$F$19,IF('01_Доходи'!AG1267&gt;=Законод!$H$18,Законод!$G$20,0)))),IF($B$1263="Лікар-терапевт",IF(AG1267&lt;Законод!$C$26,0,(IF(AND(AG1267&gt;=Законод!$G$26,AG1267&lt;=Законод!$G$27),AG1267-Законод!$F$27,IF('01_Доходи'!AG1267&gt;=Законод!$H$26,Законод!$G$28,0)))),0)))</f>
        <v>0</v>
      </c>
      <c r="AH1271" s="942"/>
      <c r="AI1271" s="201"/>
      <c r="AJ1271" s="945"/>
      <c r="AK1271" s="960"/>
      <c r="AL1271" s="960"/>
      <c r="AM1271" s="927"/>
      <c r="AN1271" s="210">
        <f ca="1">IF(B1263="Лікар загальної практики - сімейний лікар",L1271*Законод!$C$9/4*Законод!$G$16,IF(B1263="Лікар-педіатр",L1271*Законод!$C$9/4*Законод!$G$16,IF(B1263="Лікар-терапевт",L1271*Законод!$C$9/4*Законод!$G$16,0)))</f>
        <v>0</v>
      </c>
      <c r="AO1271" s="210">
        <f ca="1">IF(B1263="Лікар загальної практики - сімейний лікар",S1271*Законод!$C$9/4*Законод!$G$16,IF(B1263="Лікар-педіатр",S1271*Законод!$C$9/4*Законод!$G$16,IF(B1263="Лікар-терапевт",S1271*Законод!$C$9/4*Законод!$G$16,0)))</f>
        <v>0</v>
      </c>
      <c r="AP1271" s="210">
        <f ca="1">IF(B1263="Лікар загальної практики - сімейний лікар",Z1271*Законод!$C$9/4*Законод!$G$16,IF(B1263="Лікар-педіатр",Z1271*Законод!$C$9/4*Законод!$G$16,IF(B1263="Лікар-терапевт",Z1271*Законод!$C$9/4*Законод!$G$16,0)))</f>
        <v>0</v>
      </c>
      <c r="AQ1271" s="210">
        <f ca="1">IF(B1263="Лікар загальної практики - сімейний лікар",AG1271*Законод!$C$9/4*Законод!$G$16,IF(B1263="Лікар-педіатр",AG1271*Законод!$C$9/4*Законод!$G$16,IF(B1263="Лікар-терапевт",AG1271*Законод!$C$9/4*Законод!$G$16,0)))</f>
        <v>0</v>
      </c>
      <c r="AR1271" s="211">
        <f t="shared" si="137"/>
        <v>0</v>
      </c>
    </row>
    <row r="1272" spans="1:44" s="50" customFormat="1" ht="31.9" hidden="1" customHeight="1">
      <c r="A1272" s="197"/>
      <c r="B1272" s="951"/>
      <c r="C1272" s="954"/>
      <c r="D1272" s="957"/>
      <c r="E1272" s="939"/>
      <c r="F1272" s="238" t="str">
        <f ca="1">IF(B1263="Лікар-педіатр",Законод!$H$17,IF(B1263="Лікар загальної практики - сімейний лікар",Законод!$H$21,IF(B1263="Лікар-терапевт",Законод!$H$25,"х")))</f>
        <v>х</v>
      </c>
      <c r="G1272" s="935" t="s">
        <v>423</v>
      </c>
      <c r="H1272" s="936"/>
      <c r="I1272" s="936"/>
      <c r="J1272" s="936"/>
      <c r="K1272" s="937"/>
      <c r="L1272" s="196">
        <f ca="1">IF($B$1263="Лікар загальної практики - сімейний лікар",IF(L1267&lt;Законод!$C$22,0,(IF(AND(L1267&gt;=Законод!$H$22,L1267&lt;=Законод!$H$23),L1267-Законод!$G$23,IF('01_Доходи'!L1267&gt;=Законод!$I$22,Законод!$H$24,0)))),IF($B$1263="Лікар-педіатр",IF(L1267&lt;Законод!$C$18,0,(IF(AND(L1267&gt;=Законод!$H$18,L1267&lt;=Законод!$H$19),L1267-Законод!$G$19,IF('01_Доходи'!L1267&gt;=Законод!$I$18,Законод!$H$20,0)))),IF($B$1263="Лікар-терапевт",IF(L1267&lt;Законод!$C$26,0,(IF(AND(L1267&gt;=Законод!$H$26,L1267&lt;=Законод!$H$27),L1267-Законод!$G$27,IF(L1267&gt;=Законод!$I$26,Законод!$H$28,0)))),0)))</f>
        <v>0</v>
      </c>
      <c r="M1272" s="942"/>
      <c r="N1272" s="935" t="s">
        <v>423</v>
      </c>
      <c r="O1272" s="936"/>
      <c r="P1272" s="936"/>
      <c r="Q1272" s="936"/>
      <c r="R1272" s="937"/>
      <c r="S1272" s="196">
        <f ca="1">IF($B$1263="Лікар загальної практики - сімейний лікар",IF(S1267&lt;Законод!$C$22,0,(IF(AND(S1267&gt;=Законод!$H$22,S1267&lt;=Законод!$H$23),S1267-Законод!$G$23,IF('01_Доходи'!S1267&gt;=Законод!$I$22,Законод!$H$24,0)))),IF($B$1263="Лікар-педіатр",IF(S1267&lt;Законод!$C$18,0,(IF(AND(S1267&gt;=Законод!$H$18,S1267&lt;=Законод!$H$19),S1267-Законод!$G$19,IF('01_Доходи'!S1267&gt;=Законод!$I$18,Законод!$H$20,0)))),IF($B$1263="Лікар-терапевт",IF(S1267&lt;Законод!$C$26,0,(IF(AND(S1267&gt;=Законод!$H$26,S1267&lt;=Законод!$H$27),S1267-Законод!$G$27,IF(S1267&gt;=Законод!$I$26,Законод!$H$28,0)))),0)))</f>
        <v>0</v>
      </c>
      <c r="T1272" s="942"/>
      <c r="U1272" s="935" t="s">
        <v>423</v>
      </c>
      <c r="V1272" s="936"/>
      <c r="W1272" s="936"/>
      <c r="X1272" s="936"/>
      <c r="Y1272" s="937"/>
      <c r="Z1272" s="196">
        <f ca="1">IF($B$1263="Лікар загальної практики - сімейний лікар",IF(Z1267&lt;Законод!$C$22,0,(IF(AND(Z1267&gt;=Законод!$H$22,Z1267&lt;=Законод!$H$23),Z1267-Законод!$G$23,IF('01_Доходи'!Z1267&gt;=Законод!$I$22,Законод!$H$24,0)))),IF($B$1263="Лікар-педіатр",IF(Z1267&lt;Законод!$C$18,0,(IF(AND(Z1267&gt;=Законод!$H$18,Z1267&lt;=Законод!$H$19),Z1267-Законод!$G$19,IF('01_Доходи'!Z1267&gt;=Законод!$I$18,Законод!$H$20,0)))),IF($B$1263="Лікар-терапевт",IF(Z1267&lt;Законод!$C$26,0,(IF(AND(Z1267&gt;=Законод!$H$26,Z1267&lt;=Законод!$H$27),Z1267-Законод!$G$27,IF(Z1267&gt;=Законод!$I$26,Законод!$H$28,0)))),0)))</f>
        <v>0</v>
      </c>
      <c r="AA1272" s="942"/>
      <c r="AB1272" s="935" t="s">
        <v>423</v>
      </c>
      <c r="AC1272" s="936"/>
      <c r="AD1272" s="936"/>
      <c r="AE1272" s="936"/>
      <c r="AF1272" s="937"/>
      <c r="AG1272" s="196">
        <f ca="1">IF($B$1263="Лікар загальної практики - сімейний лікар",IF(AG1267&lt;Законод!$C$22,0,(IF(AND(AG1267&gt;=Законод!$H$22,AG1267&lt;=Законод!$H$23),AG1267-Законод!$G$23,IF('01_Доходи'!AG1267&gt;=Законод!$I$22,Законод!$H$24,0)))),IF($B$1263="Лікар-педіатр",IF(AG1267&lt;Законод!$C$18,0,(IF(AND(AG1267&gt;=Законод!$H$18,AG1267&lt;=Законод!$H$19),AG1267-Законод!$G$19,IF('01_Доходи'!AG1267&gt;=Законод!$I$18,Законод!$H$20,0)))),IF($B$1263="Лікар-терапевт",IF(AG1267&lt;Законод!$C$26,0,(IF(AND(AG1267&gt;=Законод!$H$26,AG1267&lt;=Законод!$H$27),AG1267-Законод!$G$27,IF(AG1267&gt;=Законод!$I$26,Законод!$H$28,0)))),0)))</f>
        <v>0</v>
      </c>
      <c r="AH1272" s="942"/>
      <c r="AI1272" s="201"/>
      <c r="AJ1272" s="945"/>
      <c r="AK1272" s="960"/>
      <c r="AL1272" s="960"/>
      <c r="AM1272" s="927"/>
      <c r="AN1272" s="210">
        <f ca="1">IF(B1263="Лікар загальної практики - сімейний лікар",L1272*Законод!$C$9/4*Законод!$H$16,IF(B1263="Лікар-педіатр",L1272*Законод!$C$9/4*Законод!$H$16,IF(B1263="Лікар-терапевт",L1272*Законод!$C$9/4*Законод!$H$16,0)))</f>
        <v>0</v>
      </c>
      <c r="AO1272" s="210">
        <f ca="1">IF(B1263="Лікар загальної практики - сімейний лікар",S1272*Законод!$C$9/4*Законод!$H$16,IF(B1263="Лікар-педіатр",S1272*Законод!$C$9/4*Законод!$H$16,IF(B1263="Лікар-терапевт",S1272*Законод!$C$9/4*Законод!$H$16,0)))</f>
        <v>0</v>
      </c>
      <c r="AP1272" s="210">
        <f ca="1">IF(B1263="Лікар загальної практики - сімейний лікар",Z1272*Законод!$C$9/4*Законод!$H$16,IF(B1263="Лікар-педіатр",Z1272*Законод!$C$9/4*Законод!$H$16,IF(B1263="Лікар-терапевт",Z1272*Законод!$C$9/4*Законод!$H$16,0)))</f>
        <v>0</v>
      </c>
      <c r="AQ1272" s="210">
        <f ca="1">IF(B1263="Лікар загальної практики - сімейний лікар",AG1272*Законод!$C$9/4*Законод!$H$16,IF(B1263="Лікар-педіатр",AG1272*Законод!$C$9/4*Законод!$H$16,IF(B1263="Лікар-терапевт",AG1272*Законод!$C$9/4*Законод!$H$16,0)))</f>
        <v>0</v>
      </c>
      <c r="AR1272" s="211">
        <f t="shared" si="137"/>
        <v>0</v>
      </c>
    </row>
    <row r="1273" spans="1:44" s="50" customFormat="1" ht="31.9" hidden="1" customHeight="1">
      <c r="A1273" s="197"/>
      <c r="B1273" s="951"/>
      <c r="C1273" s="954"/>
      <c r="D1273" s="957"/>
      <c r="E1273" s="939"/>
      <c r="F1273" s="238" t="str">
        <f ca="1">IF(B1263="Лікар-педіатр",Законод!$I$17,IF(B1263="Лікар загальної практики - сімейний лікар",Законод!$I$21,IF(B1263="Лікар-терапевт",Законод!$I$25,"х")))</f>
        <v>х</v>
      </c>
      <c r="G1273" s="935" t="s">
        <v>423</v>
      </c>
      <c r="H1273" s="936"/>
      <c r="I1273" s="936"/>
      <c r="J1273" s="936"/>
      <c r="K1273" s="937"/>
      <c r="L1273" s="196">
        <f ca="1">IF($B$1263="Лікар загальної практики - сімейний лікар",IF(L1267&lt;Законод!$C$22,0,(IF(AND(L1267&gt;=Законод!$I$22,L1267&lt;=Законод!$I$23),L1267-Законод!$H$23,IF('01_Доходи'!L1267&gt;=Законод!$I$22,Законод!$I$24,0)))),IF($B$1263="Лікар-педіатр",IF(L1267&lt;Законод!$C$18,0,(IF(AND(L1267&gt;=Законод!$I$18,L1267&lt;=Законод!$I$19),L1267-Законод!$H$19,IF('01_Доходи'!L1267&gt;=Законод!$I$18,Законод!$H$20,0)))),IF($B$1263="Лікар-терапевт",IF(L1267&lt;Законод!$C$26,0,(IF(AND(L1267&gt;=Законод!$I$26,L1267&lt;=Законод!$I$27),L1267-Законод!$H$27,IF('01_Доходи'!L1267&gt;=Законод!$I$26,Законод!$H$28,0)))),0)))</f>
        <v>0</v>
      </c>
      <c r="M1273" s="942"/>
      <c r="N1273" s="935" t="s">
        <v>423</v>
      </c>
      <c r="O1273" s="936"/>
      <c r="P1273" s="936"/>
      <c r="Q1273" s="936"/>
      <c r="R1273" s="937"/>
      <c r="S1273" s="196">
        <f ca="1">IF($B$1263="Лікар загальної практики - сімейний лікар",IF(S1267&lt;Законод!$C$22,0,(IF(AND(S1267&gt;=Законод!$I$22,S1267&lt;=Законод!$I$23),S1267-Законод!$H$23,IF('01_Доходи'!S1267&gt;=Законод!$I$22,Законод!$I$24,0)))),IF($B$1263="Лікар-педіатр",IF(S1267&lt;Законод!$C$18,0,(IF(AND(S1267&gt;=Законод!$I$18,S1267&lt;=Законод!$I$19),S1267-Законод!$H$19,IF('01_Доходи'!S1267&gt;=Законод!$I$18,Законод!$H$20,0)))),IF($B$1263="Лікар-терапевт",IF(S1267&lt;Законод!$C$26,0,(IF(AND(S1267&gt;=Законод!$I$26,S1267&lt;=Законод!$I$27),S1267-Законод!$H$27,IF('01_Доходи'!S1267&gt;=Законод!$I$26,Законод!$H$28,0)))),0)))</f>
        <v>0</v>
      </c>
      <c r="T1273" s="942"/>
      <c r="U1273" s="935" t="s">
        <v>423</v>
      </c>
      <c r="V1273" s="936"/>
      <c r="W1273" s="936"/>
      <c r="X1273" s="936"/>
      <c r="Y1273" s="937"/>
      <c r="Z1273" s="196">
        <f ca="1">IF($B$1263="Лікар загальної практики - сімейний лікар",IF(Z1267&lt;Законод!$C$22,0,(IF(AND(Z1267&gt;=Законод!$I$22,Z1267&lt;=Законод!$I$23),Z1267-Законод!$H$23,IF('01_Доходи'!Z1267&gt;=Законод!$I$22,Законод!$I$24,0)))),IF($B$1263="Лікар-педіатр",IF(Z1267&lt;Законод!$C$18,0,(IF(AND(Z1267&gt;=Законод!$I$18,Z1267&lt;=Законод!$I$19),Z1267-Законод!$H$19,IF('01_Доходи'!Z1267&gt;=Законод!$I$18,Законод!$H$20,0)))),IF($B$1263="Лікар-терапевт",IF(Z1267&lt;Законод!$C$26,0,(IF(AND(Z1267&gt;=Законод!$I$26,Z1267&lt;=Законод!$I$27),Z1267-Законод!$H$27,IF('01_Доходи'!Z1267&gt;=Законод!$I$26,Законод!$H$28,0)))),0)))</f>
        <v>0</v>
      </c>
      <c r="AA1273" s="942"/>
      <c r="AB1273" s="935" t="s">
        <v>423</v>
      </c>
      <c r="AC1273" s="936"/>
      <c r="AD1273" s="936"/>
      <c r="AE1273" s="936"/>
      <c r="AF1273" s="937"/>
      <c r="AG1273" s="196">
        <f ca="1">IF($B$1263="Лікар загальної практики - сімейний лікар",IF(AG1267&lt;Законод!$C$22,0,(IF(AND(AG1267&gt;=Законод!$I$22,AG1267&lt;=Законод!$I$23),AG1267-Законод!$H$23,IF('01_Доходи'!AG1267&gt;=Законод!$I$22,Законод!$I$24,0)))),IF($B$1263="Лікар-педіатр",IF(AG1267&lt;Законод!$C$18,0,(IF(AND(AG1267&gt;=Законод!$I$18,AG1267&lt;=Законод!$I$19),AG1267-Законод!$H$19,IF('01_Доходи'!AG1267&gt;=Законод!$I$18,Законод!$H$20,0)))),IF($B$1263="Лікар-терапевт",IF(AG1267&lt;Законод!$C$26,0,(IF(AND(AG1267&gt;=Законод!$I$26,AG1267&lt;=Законод!$I$27),AG1267-Законод!$H$27,IF('01_Доходи'!AG1267&gt;=Законод!$I$26,Законод!$H$28,0)))),0)))</f>
        <v>0</v>
      </c>
      <c r="AH1273" s="942"/>
      <c r="AI1273" s="201"/>
      <c r="AJ1273" s="945"/>
      <c r="AK1273" s="960"/>
      <c r="AL1273" s="960"/>
      <c r="AM1273" s="927"/>
      <c r="AN1273" s="210">
        <f ca="1">IF(B1263="Лікар загальної практики - сімейний лікар",L1273*Законод!$C$9/4*Законод!$I$16,IF(B1263="Лікар-педіатр",L1273*Законод!$C$9/4*Законод!$I$16,IF(B1263="Лікар-терапевт",L1273*Законод!$C$9/4*Законод!$I$16,0)))</f>
        <v>0</v>
      </c>
      <c r="AO1273" s="210">
        <f ca="1">IF(B1263="Лікар загальної практики - сімейний лікар",S1273*Законод!$C$9/4*Законод!$I$16,IF(B1263="Лікар-педіатр",S1273*Законод!$C$9/4*Законод!$I$16,IF(B1263="Лікар-терапевт",S1273*Законод!$C$9/4*Законод!$I$16,0)))</f>
        <v>0</v>
      </c>
      <c r="AP1273" s="210">
        <f ca="1">IF(B1263="Лікар загальної практики - сімейний лікар",Z1273*Законод!$C$9/4*Законод!$I$16,IF(B1263="Лікар-педіатр",Z1273*Законод!$C$9/4*Законод!$I$16,IF(B1263="Лікар-терапевт",Z1273*Законод!$C$9/4*Законод!$I$16,0)))</f>
        <v>0</v>
      </c>
      <c r="AQ1273" s="210">
        <f ca="1">IF(B1263="Лікар загальної практики - сімейний лікар",AG1273*Законод!$C$9/4*Законод!$I$16,IF(B1263="Лікар-педіатр",AG1273*Законод!$C$9/4*Законод!$I$16,IF(B1263="Лікар-терапевт",AG1273*Законод!$C$9/4*Законод!$I$16,0)))</f>
        <v>0</v>
      </c>
      <c r="AR1273" s="211">
        <f t="shared" si="137"/>
        <v>0</v>
      </c>
    </row>
    <row r="1274" spans="1:44" s="218" customFormat="1" ht="31.9" hidden="1" customHeight="1" thickBot="1">
      <c r="A1274" s="213"/>
      <c r="B1274" s="952"/>
      <c r="C1274" s="955"/>
      <c r="D1274" s="958"/>
      <c r="E1274" s="940"/>
      <c r="F1274" s="239" t="str">
        <f ca="1">IF(B1263="Лікар-педіатр",Законод!$J$17,IF(B1263="Лікар загальної практики - сімейний лікар",Законод!$J$21,IF(B1263="Лікар-терапевт",Законод!$J$25,"х")))</f>
        <v>х</v>
      </c>
      <c r="G1274" s="932" t="s">
        <v>423</v>
      </c>
      <c r="H1274" s="933"/>
      <c r="I1274" s="933"/>
      <c r="J1274" s="933"/>
      <c r="K1274" s="934"/>
      <c r="L1274" s="196">
        <f ca="1">IF($B$1263="Лікар загальної практики - сімейний лікар",IF(L1267&gt;=Законод!$J$22,'01_Доходи'!L1267-('01_Доходи'!L1268+'01_Доходи'!L1269+'01_Доходи'!L1270+'01_Доходи'!L1271+'01_Доходи'!L1272+'01_Доходи'!L1273),0),IF($B$1263="Лікар-педіатр",IF(L1267&gt;=Законод!$J$18,'01_Доходи'!L1267-('01_Доходи'!L1268+'01_Доходи'!L1269+'01_Доходи'!L1270+'01_Доходи'!L1271+'01_Доходи'!L1272+'01_Доходи'!L1273),0),IF($B$1263="Лікар-терапевт",IF('01_Доходи'!L1267&gt;=Законод!$J$26,L1267-Законод!$I$27,0),0)))</f>
        <v>0</v>
      </c>
      <c r="M1274" s="943"/>
      <c r="N1274" s="932" t="s">
        <v>423</v>
      </c>
      <c r="O1274" s="933"/>
      <c r="P1274" s="933"/>
      <c r="Q1274" s="933"/>
      <c r="R1274" s="934"/>
      <c r="S1274" s="196">
        <f ca="1">IF($B$1263="Лікар загальної практики - сімейний лікар",IF(S1267&gt;=Законод!$J$22,'01_Доходи'!S1267-('01_Доходи'!S1268+'01_Доходи'!S1269+'01_Доходи'!S1270+'01_Доходи'!S1271+'01_Доходи'!S1272+'01_Доходи'!S1273),0),IF($B$1263="Лікар-педіатр",IF(S1267&gt;=Законод!$J$18,'01_Доходи'!S1267-('01_Доходи'!S1268+'01_Доходи'!S1269+'01_Доходи'!S1270+'01_Доходи'!S1271+'01_Доходи'!S1272+'01_Доходи'!S1273),0),IF($B$1263="Лікар-терапевт",IF('01_Доходи'!S1267&gt;=Законод!$J$26,S1267-Законод!$I$27,0),0)))</f>
        <v>0</v>
      </c>
      <c r="T1274" s="943"/>
      <c r="U1274" s="932" t="s">
        <v>423</v>
      </c>
      <c r="V1274" s="933"/>
      <c r="W1274" s="933"/>
      <c r="X1274" s="933"/>
      <c r="Y1274" s="934"/>
      <c r="Z1274" s="196">
        <f ca="1">IF($B$1263="Лікар загальної практики - сімейний лікар",IF(Z1267&gt;=Законод!$J$22,'01_Доходи'!Z1267-('01_Доходи'!Z1268+'01_Доходи'!Z1269+'01_Доходи'!Z1270+'01_Доходи'!Z1271+'01_Доходи'!Z1272+'01_Доходи'!Z1273),0),IF($B$1263="Лікар-педіатр",IF(Z1267&gt;=Законод!$J$18,'01_Доходи'!Z1267-('01_Доходи'!Z1268+'01_Доходи'!Z1269+'01_Доходи'!Z1270+'01_Доходи'!Z1271+'01_Доходи'!Z1272+'01_Доходи'!Z1273),0),IF($B$1263="Лікар-терапевт",IF('01_Доходи'!Z1267&gt;=Законод!$J$26,Z1267-Законод!$I$27,0),0)))</f>
        <v>0</v>
      </c>
      <c r="AA1274" s="943"/>
      <c r="AB1274" s="932" t="s">
        <v>423</v>
      </c>
      <c r="AC1274" s="933"/>
      <c r="AD1274" s="933"/>
      <c r="AE1274" s="933"/>
      <c r="AF1274" s="934"/>
      <c r="AG1274" s="196">
        <f ca="1">IF($B$1263="Лікар загальної практики - сімейний лікар",IF(AG1267&gt;=Законод!$J$22,'01_Доходи'!AG1267-('01_Доходи'!AG1268+'01_Доходи'!AG1269+'01_Доходи'!AG1270+'01_Доходи'!AG1271+'01_Доходи'!AG1272+'01_Доходи'!AG1273),0),IF($B$1263="Лікар-педіатр",IF(AG1267&gt;=Законод!$J$18,'01_Доходи'!AG1267-('01_Доходи'!AG1268+'01_Доходи'!AG1269+'01_Доходи'!AG1270+'01_Доходи'!AG1271+'01_Доходи'!AG1272+'01_Доходи'!AG1273),0),IF($B$1263="Лікар-терапевт",IF('01_Доходи'!AG1267&gt;=Законод!$J$26,AG1267-Законод!$I$27,0),0)))</f>
        <v>0</v>
      </c>
      <c r="AH1274" s="943"/>
      <c r="AI1274" s="215"/>
      <c r="AJ1274" s="946"/>
      <c r="AK1274" s="961"/>
      <c r="AL1274" s="961"/>
      <c r="AM1274" s="928"/>
      <c r="AN1274" s="216">
        <f ca="1">IF(B1263="Лікар загальної практики - сімейний лікар",L1274*Законод!$C$9/4*Законод!$J$16,IF(B1263="Лікар-педіатр",L1274*Законод!$C$9/4*Законод!$J$16,IF(B1263="Лікар-терапевт",L1274*Законод!$C$9/4*Законод!$J$16,0)))</f>
        <v>0</v>
      </c>
      <c r="AO1274" s="216">
        <f ca="1">IF(B1263="Лікар загальної практики - сімейний лікар",S1274*Законод!$C$9/4*Законод!$J$16,IF(B1263="Лікар-педіатр",S1274*Законод!$C$9/4*Законод!$J$16,IF(B1263="Лікар-терапевт",S1274*Законод!$C$9/4*Законод!$J$16,0)))</f>
        <v>0</v>
      </c>
      <c r="AP1274" s="216">
        <f ca="1">IF(B1263="Лікар загальної практики - сімейний лікар",S1274*Законод!$C$9/4*Законод!$J$16,IF(B1263="Лікар-педіатр",S1274*Законод!$C$9/4*Законод!$J$16,IF(B1263="Лікар-терапевт",S1274*Законод!$C$9/4*Законод!$J$16,0)))</f>
        <v>0</v>
      </c>
      <c r="AQ1274" s="216">
        <f ca="1">IF(B1263="Лікар загальної практики - сімейний лікар",AG1274*Законод!$C$9/4*Законод!$J$16,IF(B1263="Лікар-педіатр",AG1274*Законод!$C$9/4*Законод!$J$16,IF(B1263="Лікар-терапевт",AG1274*Законод!$C$9/4*Законод!$J$16,0)))</f>
        <v>0</v>
      </c>
      <c r="AR1274" s="217">
        <f t="shared" si="137"/>
        <v>0</v>
      </c>
    </row>
    <row r="1275" spans="1:44" s="247" customFormat="1" ht="23.45" hidden="1" customHeight="1" thickBot="1">
      <c r="A1275" s="243"/>
      <c r="B1275" s="244"/>
      <c r="C1275" s="244"/>
      <c r="D1275" s="244"/>
      <c r="E1275" s="244"/>
      <c r="F1275" s="245"/>
      <c r="G1275" s="246"/>
      <c r="H1275" s="246"/>
      <c r="L1275" s="248"/>
      <c r="S1275" s="248"/>
      <c r="Z1275" s="248"/>
      <c r="AG1275" s="248"/>
      <c r="AM1275" s="249"/>
      <c r="AR1275" s="250"/>
    </row>
    <row r="1276" spans="1:44" s="191" customFormat="1" ht="24.6" hidden="1" customHeight="1">
      <c r="A1276" s="194">
        <f>A1263+1</f>
        <v>96</v>
      </c>
      <c r="B1276" s="950"/>
      <c r="C1276" s="953"/>
      <c r="D1276" s="956"/>
      <c r="E1276" s="938"/>
      <c r="F1276" s="234" t="s">
        <v>659</v>
      </c>
      <c r="G1276" s="196">
        <f>IF($B$1276="Лікар-педіатр",G1279*L1276,IF($B$1276="Лікар-терапевт","х",IF($B$1276="Лікар загальної практики - сімейний лікар",G1279*L1276,0)))</f>
        <v>0</v>
      </c>
      <c r="H1276" s="196">
        <f>IF($B$1276="Лікар-педіатр",H1279*L1276,IF($B$1276="Лікар-терапевт","х",IF($B$1276="Лікар загальної практики - сімейний лікар",H1279*L1276,0)))</f>
        <v>0</v>
      </c>
      <c r="I1276" s="196">
        <f>IF($B$1276="Лікар-педіатр","x",IF($B$1276="Лікар-терапевт",I1279*L1276,IF($B$1276="Лікар загальної практики - сімейний лікар",I1279*L1276,0)))</f>
        <v>0</v>
      </c>
      <c r="J1276" s="196">
        <f>IF($B$1276="Лікар-педіатр","x",IF($B$1276="Лікар-терапевт",J1279*L1276,IF($B$1276="Лікар загальної практики - сімейний лікар",J1279*L1276,0)))</f>
        <v>0</v>
      </c>
      <c r="K1276" s="196">
        <f>IF($B$1276="Лікар-педіатр","x",IF($B$1276="Лікар-терапевт",K1279*L1276,IF($B$1276="Лікар загальної практики - сімейний лікар",K1279*L1276,0)))</f>
        <v>0</v>
      </c>
      <c r="L1276" s="557"/>
      <c r="M1276" s="941"/>
      <c r="N1276" s="196">
        <f>IF($B$1276="Лікар-педіатр",N1279*S1276,IF($B$1276="Лікар-терапевт","х",IF($B$1276="Лікар загальної практики - сімейний лікар",N1279*S1276,0)))</f>
        <v>0</v>
      </c>
      <c r="O1276" s="196">
        <f>IF($B$1276="Лікар-педіатр",O1279*S1276,IF($B$1276="Лікар-терапевт","х",IF($B$1276="Лікар загальної практики - сімейний лікар",O1279*S1276,0)))</f>
        <v>0</v>
      </c>
      <c r="P1276" s="196">
        <f>IF($B$1276="Лікар-педіатр","x",IF($B$1276="Лікар-терапевт",P1279*S1276,IF($B$1276="Лікар загальної практики - сімейний лікар",P1279*S1276,0)))</f>
        <v>0</v>
      </c>
      <c r="Q1276" s="196">
        <f>IF($B$1276="Лікар-педіатр","x",IF($B$1276="Лікар-терапевт",Q1279*S1276,IF($B$1276="Лікар загальної практики - сімейний лікар",Q1279*S1276,0)))</f>
        <v>0</v>
      </c>
      <c r="R1276" s="196">
        <f>IF($B$1276="Лікар-педіатр","x",IF($B$1276="Лікар-терапевт",R1279*S1276,IF($B$1276="Лікар загальної практики - сімейний лікар",R1279*S1276,0)))</f>
        <v>0</v>
      </c>
      <c r="S1276" s="557"/>
      <c r="T1276" s="941"/>
      <c r="U1276" s="196">
        <f>IF($B$1276="Лікар-педіатр",U1279*Z1276,IF($B$1276="Лікар-терапевт","х",IF($B$1276="Лікар загальної практики - сімейний лікар",U1279*Z1276,0)))</f>
        <v>0</v>
      </c>
      <c r="V1276" s="196">
        <f>IF($B$1276="Лікар-педіатр",V1279*Z1276,IF($B$1276="Лікар-терапевт","х",IF($B$1276="Лікар загальної практики - сімейний лікар",V1279*Z1276,0)))</f>
        <v>0</v>
      </c>
      <c r="W1276" s="196">
        <f>IF($B$1276="Лікар-педіатр","x",IF($B$1276="Лікар-терапевт",W1279*Z1276,IF($B$1276="Лікар загальної практики - сімейний лікар",W1279*Z1276,0)))</f>
        <v>0</v>
      </c>
      <c r="X1276" s="196">
        <f>IF($B$1276="Лікар-педіатр","x",IF($B$1276="Лікар-терапевт",X1279*Z1276,IF($B$1276="Лікар загальної практики - сімейний лікар",X1279*Z1276,0)))</f>
        <v>0</v>
      </c>
      <c r="Y1276" s="196">
        <f>IF($B$1276="Лікар-педіатр","x",IF($B$1276="Лікар-терапевт",Y1279*Z1276,IF($B$1276="Лікар загальної практики - сімейний лікар",Y1279*Z1276,0)))</f>
        <v>0</v>
      </c>
      <c r="Z1276" s="557"/>
      <c r="AA1276" s="941"/>
      <c r="AB1276" s="196">
        <f>IF($B$1276="Лікар-педіатр",AB1279*AG1276,IF($B$1276="Лікар-терапевт","х",IF($B$1276="Лікар загальної практики - сімейний лікар",AB1279*AG1276,0)))</f>
        <v>0</v>
      </c>
      <c r="AC1276" s="196">
        <f>IF($B$1276="Лікар-педіатр",AC1279*AG1276,IF($B$1276="Лікар-терапевт","х",IF($B$1276="Лікар загальної практики - сімейний лікар",AC1279*AG1276,0)))</f>
        <v>0</v>
      </c>
      <c r="AD1276" s="196">
        <f>IF($B$1276="Лікар-педіатр","x",IF($B$1276="Лікар-терапевт",AD1279*AG1276,IF($B$1276="Лікар загальної практики - сімейний лікар",AD1279*AG1276,0)))</f>
        <v>0</v>
      </c>
      <c r="AE1276" s="196">
        <f>IF($B$1276="Лікар-педіатр","x",IF($B$1276="Лікар-терапевт",AE1279*AG1276,IF($B$1276="Лікар загальної практики - сімейний лікар",AE1279*AG1276,0)))</f>
        <v>0</v>
      </c>
      <c r="AF1276" s="196">
        <f>IF($B$1276="Лікар-педіатр","x",IF($B$1276="Лікар-терапевт",AF1279*AG1276,IF($B$1276="Лікар загальної практики - сімейний лікар",AF1279*AG1276,0)))</f>
        <v>0</v>
      </c>
      <c r="AG1276" s="557"/>
      <c r="AH1276" s="941"/>
      <c r="AI1276" s="540">
        <f>A1276</f>
        <v>96</v>
      </c>
      <c r="AJ1276" s="944">
        <f>B1276</f>
        <v>0</v>
      </c>
      <c r="AK1276" s="959">
        <f>C1276</f>
        <v>0</v>
      </c>
      <c r="AL1276" s="959">
        <f>D1276</f>
        <v>0</v>
      </c>
      <c r="AM1276" s="929" t="s">
        <v>79</v>
      </c>
      <c r="AN1276" s="947">
        <f>SUM(AN1281:AN1287)</f>
        <v>0</v>
      </c>
      <c r="AO1276" s="947">
        <f>SUM(AO1281:AO1287)</f>
        <v>0</v>
      </c>
      <c r="AP1276" s="947">
        <f>SUM(AP1281:AP1287)</f>
        <v>0</v>
      </c>
      <c r="AQ1276" s="947">
        <f>SUM(AQ1281:AQ1287)</f>
        <v>0</v>
      </c>
      <c r="AR1276" s="962">
        <f>SUM(AN1276:AQ1280)</f>
        <v>0</v>
      </c>
    </row>
    <row r="1277" spans="1:44" s="50" customFormat="1" ht="28.15" hidden="1" customHeight="1">
      <c r="A1277" s="197"/>
      <c r="B1277" s="951"/>
      <c r="C1277" s="954"/>
      <c r="D1277" s="957"/>
      <c r="E1277" s="939"/>
      <c r="F1277" s="234" t="s">
        <v>660</v>
      </c>
      <c r="G1277" s="196">
        <f>IF($B$1276="Лікар-педіатр",G1279*L1277,IF($B$1276="Лікар-терапевт","х",IF($B$1276="Лікар загальної практики - сімейний лікар",G1279*L1277,0)))</f>
        <v>0</v>
      </c>
      <c r="H1277" s="196">
        <f>IF($B$1276="Лікар-педіатр",H1279*L1277,IF($B$1276="Лікар-терапевт","х",IF($B$1276="Лікар загальної практики - сімейний лікар",H1279*L1277,0)))</f>
        <v>0</v>
      </c>
      <c r="I1277" s="196">
        <f>IF($B$1276="Лікар-педіатр","x",IF($B$1276="Лікар-терапевт",I1279*L1277,IF($B$1276="Лікар загальної практики - сімейний лікар",I1279*L1277,0)))</f>
        <v>0</v>
      </c>
      <c r="J1277" s="196">
        <f>IF($B$1276="Лікар-педіатр","x",IF($B$1276="Лікар-терапевт",J1279*L1277,IF($B$1276="Лікар загальної практики - сімейний лікар",J1279*L1277,0)))</f>
        <v>0</v>
      </c>
      <c r="K1277" s="196">
        <f>IF($B$1276="Лікар-педіатр","x",IF($B$1276="Лікар-терапевт",K1279*L1277,IF($B$1276="Лікар загальної практики - сімейний лікар",K1279*L1277,0)))</f>
        <v>0</v>
      </c>
      <c r="L1277" s="557"/>
      <c r="M1277" s="942"/>
      <c r="N1277" s="196">
        <f>IF($B$1276="Лікар-педіатр",N1279*S1277,IF($B$1276="Лікар-терапевт","х",IF($B$1276="Лікар загальної практики - сімейний лікар",N1279*S1277,0)))</f>
        <v>0</v>
      </c>
      <c r="O1277" s="196">
        <f>IF($B$1276="Лікар-педіатр",O1279*S1277,IF($B$1276="Лікар-терапевт","х",IF($B$1276="Лікар загальної практики - сімейний лікар",O1279*S1277,0)))</f>
        <v>0</v>
      </c>
      <c r="P1277" s="196">
        <f>IF($B$1276="Лікар-педіатр","x",IF($B$1276="Лікар-терапевт",P1279*S1277,IF($B$1276="Лікар загальної практики - сімейний лікар",P1279*S1277,0)))</f>
        <v>0</v>
      </c>
      <c r="Q1277" s="196">
        <f>IF($B$1276="Лікар-педіатр","x",IF($B$1276="Лікар-терапевт",Q1279*S1277,IF($B$1276="Лікар загальної практики - сімейний лікар",Q1279*S1277,0)))</f>
        <v>0</v>
      </c>
      <c r="R1277" s="196">
        <f>IF($B$1276="Лікар-педіатр","x",IF($B$1276="Лікар-терапевт",R1279*S1277,IF($B$1276="Лікар загальної практики - сімейний лікар",R1279*S1277,0)))</f>
        <v>0</v>
      </c>
      <c r="S1277" s="557"/>
      <c r="T1277" s="942"/>
      <c r="U1277" s="196">
        <f>IF($B$1276="Лікар-педіатр",U1279*Z1277,IF($B$1276="Лікар-терапевт","х",IF($B$1276="Лікар загальної практики - сімейний лікар",U1279*Z1277,0)))</f>
        <v>0</v>
      </c>
      <c r="V1277" s="196">
        <f>IF($B$1276="Лікар-педіатр",V1279*Z1277,IF($B$1276="Лікар-терапевт","х",IF($B$1276="Лікар загальної практики - сімейний лікар",V1279*Z1277,0)))</f>
        <v>0</v>
      </c>
      <c r="W1277" s="196">
        <f>IF($B$1276="Лікар-педіатр","x",IF($B$1276="Лікар-терапевт",W1279*Z1277,IF($B$1276="Лікар загальної практики - сімейний лікар",W1279*Z1277,0)))</f>
        <v>0</v>
      </c>
      <c r="X1277" s="196">
        <f>IF($B$1276="Лікар-педіатр","x",IF($B$1276="Лікар-терапевт",X1279*Z1277,IF($B$1276="Лікар загальної практики - сімейний лікар",X1279*Z1277,0)))</f>
        <v>0</v>
      </c>
      <c r="Y1277" s="196">
        <f>IF($B$1276="Лікар-педіатр","x",IF($B$1276="Лікар-терапевт",Y1279*Z1277,IF($B$1276="Лікар загальної практики - сімейний лікар",Y1279*Z1277,0)))</f>
        <v>0</v>
      </c>
      <c r="Z1277" s="557"/>
      <c r="AA1277" s="942"/>
      <c r="AB1277" s="196">
        <f>IF($B$1276="Лікар-педіатр",AB1279*AG1277,IF($B$1276="Лікар-терапевт","х",IF($B$1276="Лікар загальної практики - сімейний лікар",AB1279*AG1277,0)))</f>
        <v>0</v>
      </c>
      <c r="AC1277" s="196">
        <f>IF($B$1276="Лікар-педіатр",AC1279*AG1277,IF($B$1276="Лікар-терапевт","х",IF($B$1276="Лікар загальної практики - сімейний лікар",AC1279*AG1277,0)))</f>
        <v>0</v>
      </c>
      <c r="AD1277" s="196">
        <f>IF($B$1276="Лікар-педіатр","x",IF($B$1276="Лікар-терапевт",AD1279*AG1277,IF($B$1276="Лікар загальної практики - сімейний лікар",AD1279*AG1277,0)))</f>
        <v>0</v>
      </c>
      <c r="AE1277" s="196">
        <f>IF($B$1276="Лікар-педіатр","x",IF($B$1276="Лікар-терапевт",AE1279*AG1277,IF($B$1276="Лікар загальної практики - сімейний лікар",AE1279*AG1277,0)))</f>
        <v>0</v>
      </c>
      <c r="AF1277" s="196">
        <f>IF($B$1276="Лікар-педіатр","x",IF($B$1276="Лікар-терапевт",AF1279*AG1277,IF($B$1276="Лікар загальної практики - сімейний лікар",AF1279*AG1277,0)))</f>
        <v>0</v>
      </c>
      <c r="AG1277" s="557"/>
      <c r="AH1277" s="942"/>
      <c r="AI1277" s="198"/>
      <c r="AJ1277" s="945"/>
      <c r="AK1277" s="960"/>
      <c r="AL1277" s="960"/>
      <c r="AM1277" s="930"/>
      <c r="AN1277" s="948"/>
      <c r="AO1277" s="948"/>
      <c r="AP1277" s="948"/>
      <c r="AQ1277" s="948"/>
      <c r="AR1277" s="963"/>
    </row>
    <row r="1278" spans="1:44" s="90" customFormat="1" ht="31.15" hidden="1" customHeight="1">
      <c r="A1278" s="240"/>
      <c r="B1278" s="951"/>
      <c r="C1278" s="954"/>
      <c r="D1278" s="957"/>
      <c r="E1278" s="939"/>
      <c r="F1278" s="241" t="s">
        <v>661</v>
      </c>
      <c r="G1278" s="199">
        <f>IF(B1276="Лікар загальної практики - сімейний лікар"," ",IF(B1276="Лікар-педіатр"," ",IF(B1276="Лікар-терапевт","х",0)))</f>
        <v>0</v>
      </c>
      <c r="H1278" s="199">
        <f>IF(B1276="Лікар загальної практики - сімейний лікар"," ",IF(B1276="Лікар-педіатр"," ",IF(B1276="Лікар-терапевт","х",0)))</f>
        <v>0</v>
      </c>
      <c r="I1278" s="199">
        <f>IF(B1276="Лікар загальної практики - сімейний лікар"," ",IF(B1276="Лікар-педіатр","х",IF(B1276="Лікар-терапевт"," ",0)))</f>
        <v>0</v>
      </c>
      <c r="J1278" s="199">
        <f>IF(B1276="Лікар загальної практики - сімейний лікар"," ",IF(B1276="Лікар-педіатр","х",IF(B1276="Лікар-терапевт"," ",0)))</f>
        <v>0</v>
      </c>
      <c r="K1278" s="199">
        <f>IF(B1276="Лікар загальної практики - сімейний лікар"," ",IF(B1276="Лікар-педіатр","х",IF(B1276="Лікар-терапевт"," ",0)))</f>
        <v>0</v>
      </c>
      <c r="L1278" s="200">
        <f>SUM(G1278:K1278)</f>
        <v>0</v>
      </c>
      <c r="M1278" s="942"/>
      <c r="N1278" s="199">
        <f>IF(B1276="Лікар загальної практики - сімейний лікар"," ",IF(B1276="Лікар-педіатр"," ",IF(B1276="Лікар-терапевт","х",0)))</f>
        <v>0</v>
      </c>
      <c r="O1278" s="199">
        <f>IF(B1276="Лікар загальної практики - сімейний лікар"," ",IF(B1276="Лікар-педіатр"," ",IF(B1276="Лікар-терапевт","х",0)))</f>
        <v>0</v>
      </c>
      <c r="P1278" s="199">
        <f>IF(B1276="Лікар загальної практики - сімейний лікар"," ",IF(B1276="Лікар-педіатр","х",IF(B1276="Лікар-терапевт"," ",0)))</f>
        <v>0</v>
      </c>
      <c r="Q1278" s="199">
        <f>IF(B1276="Лікар загальної практики - сімейний лікар"," ",IF(B1276="Лікар-педіатр","х",IF(B1276="Лікар-терапевт"," ",0)))</f>
        <v>0</v>
      </c>
      <c r="R1278" s="199">
        <f>IF(B1276="Лікар загальної практики - сімейний лікар"," ",IF(B1276="Лікар-педіатр","х",IF(B1276="Лікар-терапевт"," ",0)))</f>
        <v>0</v>
      </c>
      <c r="S1278" s="200">
        <f>SUM(N1278:R1278)</f>
        <v>0</v>
      </c>
      <c r="T1278" s="942"/>
      <c r="U1278" s="199">
        <f>IF(B1276="Лікар загальної практики - сімейний лікар"," ",IF(B1276="Лікар-педіатр"," ",IF(B1276="Лікар-терапевт","х",0)))</f>
        <v>0</v>
      </c>
      <c r="V1278" s="199">
        <f>IF(B1276="Лікар загальної практики - сімейний лікар"," ",IF(B1276="Лікар-педіатр"," ",IF(B1276="Лікар-терапевт","х",0)))</f>
        <v>0</v>
      </c>
      <c r="W1278" s="199">
        <f>IF(B1276="Лікар загальної практики - сімейний лікар"," ",IF(B1276="Лікар-педіатр","х",IF(B1276="Лікар-терапевт"," ",0)))</f>
        <v>0</v>
      </c>
      <c r="X1278" s="199">
        <f>IF(B1276="Лікар загальної практики - сімейний лікар"," ",IF(B1276="Лікар-педіатр","х",IF(B1276="Лікар-терапевт"," ",0)))</f>
        <v>0</v>
      </c>
      <c r="Y1278" s="199">
        <f>IF(B1276="Лікар загальної практики - сімейний лікар"," ",IF(B1276="Лікар-педіатр","х",IF(B1276="Лікар-терапевт"," ",0)))</f>
        <v>0</v>
      </c>
      <c r="Z1278" s="200">
        <f>SUM(U1278:Y1278)</f>
        <v>0</v>
      </c>
      <c r="AA1278" s="942"/>
      <c r="AB1278" s="199">
        <f>IF(B1276="Лікар загальної практики - сімейний лікар"," ",IF(B1276="Лікар-педіатр"," ",IF(B1276="Лікар-терапевт","х",0)))</f>
        <v>0</v>
      </c>
      <c r="AC1278" s="199">
        <f>IF(B1276="Лікар загальної практики - сімейний лікар"," ",IF(B1276="Лікар-педіатр"," ",IF(B1276="Лікар-терапевт","х",0)))</f>
        <v>0</v>
      </c>
      <c r="AD1278" s="199">
        <f>IF(B1276="Лікар загальної практики - сімейний лікар"," ",IF(B1276="Лікар-педіатр","х",IF(B1276="Лікар-терапевт"," ",0)))</f>
        <v>0</v>
      </c>
      <c r="AE1278" s="199">
        <f>IF(B1276="Лікар загальної практики - сімейний лікар"," ",IF(B1276="Лікар-педіатр","х",IF(B1276="Лікар-терапевт"," ",0)))</f>
        <v>0</v>
      </c>
      <c r="AF1278" s="199">
        <f>IF(B1276="Лікар загальної практики - сімейний лікар"," ",IF(B1276="Лікар-педіатр","х",IF(B1276="Лікар-терапевт"," ",0)))</f>
        <v>0</v>
      </c>
      <c r="AG1278" s="200">
        <f>SUM(AB1278:AF1278)</f>
        <v>0</v>
      </c>
      <c r="AH1278" s="942"/>
      <c r="AI1278" s="242"/>
      <c r="AJ1278" s="945"/>
      <c r="AK1278" s="960"/>
      <c r="AL1278" s="960"/>
      <c r="AM1278" s="930"/>
      <c r="AN1278" s="948"/>
      <c r="AO1278" s="948"/>
      <c r="AP1278" s="948"/>
      <c r="AQ1278" s="948"/>
      <c r="AR1278" s="963"/>
    </row>
    <row r="1279" spans="1:44" s="50" customFormat="1" ht="31.9" hidden="1" customHeight="1" thickBot="1">
      <c r="A1279" s="197"/>
      <c r="B1279" s="951"/>
      <c r="C1279" s="954"/>
      <c r="D1279" s="957"/>
      <c r="E1279" s="939"/>
      <c r="F1279" s="236" t="s">
        <v>426</v>
      </c>
      <c r="G1279" s="203">
        <f>IF($B$1276="Лікар-педіатр",G1278/L1278,IF($B$1276="Лікар-терапевт","х",IF($B$1276="Лікар загальної практики - сімейний лікар",G1278/L1278,0)))</f>
        <v>0</v>
      </c>
      <c r="H1279" s="203">
        <f>IF($B$1276="Лікар-педіатр",H1278/L1278,IF($B$1276="Лікар-терапевт","х",IF($B$1276="Лікар загальної практики - сімейний лікар",H1278/L1278,0)))</f>
        <v>0</v>
      </c>
      <c r="I1279" s="203">
        <f>IF($B$1276="Лікар-педіатр","x",IF($B$1276="Лікар-терапевт",I1278/L1278,IF($B$1276="Лікар загальної практики - сімейний лікар",I1278/L1278,0)))</f>
        <v>0</v>
      </c>
      <c r="J1279" s="203">
        <f>IF($B$1276="Лікар-педіатр","x",IF($B$1276="Лікар-терапевт",J1278/L1278,IF($B$1276="Лікар загальної практики - сімейний лікар",J1278/L1278,0)))</f>
        <v>0</v>
      </c>
      <c r="K1279" s="203">
        <f>IF($B$1276="Лікар-педіатр","x",IF($B$1276="Лікар-терапевт",K1278/L1278,IF($B$1276="Лікар загальної практики - сімейний лікар",K1278/L1278,0)))</f>
        <v>0</v>
      </c>
      <c r="L1279" s="203">
        <f>SUM(G1279:K1279)</f>
        <v>0</v>
      </c>
      <c r="M1279" s="942"/>
      <c r="N1279" s="203">
        <f>IF($B$1276="Лікар-педіатр",N1278/S1278,IF($B$1276="Лікар-терапевт","х",IF($B$1276="Лікар загальної практики - сімейний лікар",N1278/S1278,0)))</f>
        <v>0</v>
      </c>
      <c r="O1279" s="203">
        <f>IF($B$1276="Лікар-педіатр",O1278/S1278,IF($B$1276="Лікар-терапевт","х",IF($B$1276="Лікар загальної практики - сімейний лікар",O1278/S1278,0)))</f>
        <v>0</v>
      </c>
      <c r="P1279" s="203">
        <f>IF($B$1276="Лікар-педіатр","x",IF($B$1276="Лікар-терапевт",P1278/S1278,IF($B$1276="Лікар загальної практики - сімейний лікар",P1278/S1278,0)))</f>
        <v>0</v>
      </c>
      <c r="Q1279" s="203">
        <f>IF($B$1276="Лікар-педіатр","x",IF($B$1276="Лікар-терапевт",Q1278/S1278,IF($B$1276="Лікар загальної практики - сімейний лікар",Q1278/S1278,0)))</f>
        <v>0</v>
      </c>
      <c r="R1279" s="203">
        <f>IF($B$1276="Лікар-педіатр","x",IF($B$1276="Лікар-терапевт",R1278/S1278,IF($B$1276="Лікар загальної практики - сімейний лікар",R1278/S1278,0)))</f>
        <v>0</v>
      </c>
      <c r="S1279" s="203">
        <f>SUM(N1279:R1279)</f>
        <v>0</v>
      </c>
      <c r="T1279" s="942"/>
      <c r="U1279" s="203">
        <f>IF($B$1276="Лікар-педіатр",U1278/Z1278,IF($B$1276="Лікар-терапевт","х",IF($B$1276="Лікар загальної практики - сімейний лікар",U1278/Z1278,0)))</f>
        <v>0</v>
      </c>
      <c r="V1279" s="203">
        <f>IF($B$1276="Лікар-педіатр",V1278/Z1278,IF($B$1276="Лікар-терапевт","х",IF($B$1276="Лікар загальної практики - сімейний лікар",V1278/Z1278,0)))</f>
        <v>0</v>
      </c>
      <c r="W1279" s="203">
        <f>IF($B$1276="Лікар-педіатр","x",IF($B$1276="Лікар-терапевт",W1278/Z1278,IF($B$1276="Лікар загальної практики - сімейний лікар",W1278/Z1278,0)))</f>
        <v>0</v>
      </c>
      <c r="X1279" s="203">
        <f>IF($B$1276="Лікар-педіатр","x",IF($B$1276="Лікар-терапевт",X1278/Z1278,IF($B$1276="Лікар загальної практики - сімейний лікар",X1278/Z1278,0)))</f>
        <v>0</v>
      </c>
      <c r="Y1279" s="203">
        <f>IF($B$1276="Лікар-педіатр","x",IF($B$1276="Лікар-терапевт",Y1278/Z1278,IF($B$1276="Лікар загальної практики - сімейний лікар",Y1278/Z1278,0)))</f>
        <v>0</v>
      </c>
      <c r="Z1279" s="203">
        <f>SUM(U1279:Y1279)</f>
        <v>0</v>
      </c>
      <c r="AA1279" s="942"/>
      <c r="AB1279" s="203">
        <f>IF($B$1276="Лікар-педіатр",AB1278/AG1278,IF($B$1276="Лікар-терапевт","х",IF($B$1276="Лікар загальної практики - сімейний лікар",AB1278/AG1278,0)))</f>
        <v>0</v>
      </c>
      <c r="AC1279" s="203">
        <f>IF($B$1276="Лікар-педіатр",AC1278/AG1278,IF($B$1276="Лікар-терапевт","х",IF($B$1276="Лікар загальної практики - сімейний лікар",AC1278/AG1278,0)))</f>
        <v>0</v>
      </c>
      <c r="AD1279" s="203">
        <f>IF($B$1276="Лікар-педіатр","x",IF($B$1276="Лікар-терапевт",AD1278/AG1278,IF($B$1276="Лікар загальної практики - сімейний лікар",AD1278/AG1278,0)))</f>
        <v>0</v>
      </c>
      <c r="AE1279" s="203">
        <f>IF($B$1276="Лікар-педіатр","x",IF($B$1276="Лікар-терапевт",AE1278/AG1278,IF($B$1276="Лікар загальної практики - сімейний лікар",AE1278/AG1278,0)))</f>
        <v>0</v>
      </c>
      <c r="AF1279" s="203">
        <f>IF($B$1276="Лікар-педіатр","x",IF($B$1276="Лікар-терапевт",AF1278/AG1278,IF($B$1276="Лікар загальної практики - сімейний лікар",AF1278/AG1278,0)))</f>
        <v>0</v>
      </c>
      <c r="AG1279" s="203">
        <f>SUM(AB1279:AF1279)</f>
        <v>0</v>
      </c>
      <c r="AH1279" s="942"/>
      <c r="AI1279" s="201"/>
      <c r="AJ1279" s="945"/>
      <c r="AK1279" s="960"/>
      <c r="AL1279" s="960"/>
      <c r="AM1279" s="930"/>
      <c r="AN1279" s="948"/>
      <c r="AO1279" s="948"/>
      <c r="AP1279" s="948"/>
      <c r="AQ1279" s="948"/>
      <c r="AR1279" s="963"/>
    </row>
    <row r="1280" spans="1:44" s="50" customFormat="1" ht="45" hidden="1" customHeight="1" thickBot="1">
      <c r="A1280" s="197"/>
      <c r="B1280" s="951"/>
      <c r="C1280" s="954"/>
      <c r="D1280" s="957"/>
      <c r="E1280" s="939"/>
      <c r="F1280" s="204" t="s">
        <v>662</v>
      </c>
      <c r="G1280" s="205">
        <f>IF($B$1276="Лікар загальної практики - сімейний лікар",AVERAGE(G1276:G1278),IF($B$1276="Лікар-педіатр",AVERAGE(G1276:G1278),IF($B$1276="Лікар-терапевт","х",0)))</f>
        <v>0</v>
      </c>
      <c r="H1280" s="205">
        <f>IF($B$1276="Лікар загальної практики - сімейний лікар",AVERAGE(H1276:H1278),IF($B$1276="Лікар-педіатр",AVERAGE(H1276:H1278),IF($B$1276="Лікар-терапевт","х",0)))</f>
        <v>0</v>
      </c>
      <c r="I1280" s="205">
        <f>IF($B$1276="Лікар загальної практики - сімейний лікар",AVERAGE(I1276:I1278),IF($B$1276="Лікар-педіатр","x",IF($B$1276="Лікар-терапевт",AVERAGE(I1276:I1278),0)))</f>
        <v>0</v>
      </c>
      <c r="J1280" s="205">
        <f>IF($B$1276="Лікар загальної практики - сімейний лікар",AVERAGE(J1276:J1278),IF($B$1276="Лікар-педіатр","x",IF($B$1276="Лікар-терапевт",AVERAGE(J1276:J1278),0)))</f>
        <v>0</v>
      </c>
      <c r="K1280" s="205">
        <f>IF($B$1276="Лікар загальної практики - сімейний лікар",AVERAGE(K1276:K1278),IF($B$1276="Лікар-педіатр","x",IF($B$1276="Лікар-терапевт",AVERAGE(K1276:K1278),0)))</f>
        <v>0</v>
      </c>
      <c r="L1280" s="206">
        <f>SUM(G1280:K1280)</f>
        <v>0</v>
      </c>
      <c r="M1280" s="942"/>
      <c r="N1280" s="205">
        <f>IF($B$1276="Лікар загальної практики - сімейний лікар",AVERAGE(N1276:N1278),IF($B$1276="Лікар-педіатр",AVERAGE(N1276:N1278),IF($B$1276="Лікар-терапевт","х",0)))</f>
        <v>0</v>
      </c>
      <c r="O1280" s="205">
        <f>IF($B$1276="Лікар загальної практики - сімейний лікар",AVERAGE(O1276:O1278),IF($B$1276="Лікар-педіатр",AVERAGE(O1276:O1278),IF($B$1276="Лікар-терапевт","х",0)))</f>
        <v>0</v>
      </c>
      <c r="P1280" s="205">
        <f>IF($B$1276="Лікар загальної практики - сімейний лікар",AVERAGE(P1276:P1278),IF($B$1276="Лікар-педіатр","x",IF($B$1276="Лікар-терапевт",AVERAGE(P1276:P1278),0)))</f>
        <v>0</v>
      </c>
      <c r="Q1280" s="205">
        <f>IF($B$1276="Лікар загальної практики - сімейний лікар",AVERAGE(Q1276:Q1278),IF($B$1276="Лікар-педіатр","x",IF($B$1276="Лікар-терапевт",AVERAGE(Q1276:Q1278),0)))</f>
        <v>0</v>
      </c>
      <c r="R1280" s="205">
        <f>IF($B$1276="Лікар загальної практики - сімейний лікар",AVERAGE(R1276:R1278),IF($B$1276="Лікар-педіатр","x",IF($B$1276="Лікар-терапевт",AVERAGE(R1276:R1278),0)))</f>
        <v>0</v>
      </c>
      <c r="S1280" s="206">
        <f>SUM(N1280:R1280)</f>
        <v>0</v>
      </c>
      <c r="T1280" s="942"/>
      <c r="U1280" s="205">
        <f>IF($B$1276="Лікар загальної практики - сімейний лікар",AVERAGE(U1276:U1278),IF($B$1276="Лікар-педіатр",AVERAGE(U1276:U1278),IF($B$1276="Лікар-терапевт","х",0)))</f>
        <v>0</v>
      </c>
      <c r="V1280" s="205">
        <f>IF($B$1276="Лікар загальної практики - сімейний лікар",AVERAGE(V1276:V1278),IF($B$1276="Лікар-педіатр",AVERAGE(V1276:V1278),IF($B$1276="Лікар-терапевт","х",0)))</f>
        <v>0</v>
      </c>
      <c r="W1280" s="205">
        <f>IF($B$1276="Лікар загальної практики - сімейний лікар",AVERAGE(W1276:W1278),IF($B$1276="Лікар-педіатр","x",IF($B$1276="Лікар-терапевт",AVERAGE(W1276:W1278),0)))</f>
        <v>0</v>
      </c>
      <c r="X1280" s="205">
        <f>IF($B$1276="Лікар загальної практики - сімейний лікар",AVERAGE(X1276:X1278),IF($B$1276="Лікар-педіатр","x",IF($B$1276="Лікар-терапевт",AVERAGE(X1276:X1278),0)))</f>
        <v>0</v>
      </c>
      <c r="Y1280" s="205">
        <f>IF($B$1276="Лікар загальної практики - сімейний лікар",AVERAGE(Y1276:Y1278),IF($B$1276="Лікар-педіатр","x",IF($B$1276="Лікар-терапевт",AVERAGE(Y1276:Y1278),0)))</f>
        <v>0</v>
      </c>
      <c r="Z1280" s="206">
        <f>SUM(U1280:Y1280)</f>
        <v>0</v>
      </c>
      <c r="AA1280" s="942"/>
      <c r="AB1280" s="205">
        <f>IF($B$1276="Лікар загальної практики - сімейний лікар",AVERAGE(AB1276:AB1278),IF($B$1276="Лікар-педіатр",AVERAGE(AB1276:AB1278),IF($B$1276="Лікар-терапевт","х",0)))</f>
        <v>0</v>
      </c>
      <c r="AC1280" s="205">
        <f>IF($B$1276="Лікар загальної практики - сімейний лікар",AVERAGE(AC1276:AC1278),IF($B$1276="Лікар-педіатр",AVERAGE(AC1276:AC1278),IF($B$1276="Лікар-терапевт","х",0)))</f>
        <v>0</v>
      </c>
      <c r="AD1280" s="205">
        <f>IF($B$1276="Лікар загальної практики - сімейний лікар",AVERAGE(AD1276:AD1278),IF($B$1276="Лікар-педіатр","x",IF($B$1276="Лікар-терапевт",AVERAGE(AD1276:AD1278),0)))</f>
        <v>0</v>
      </c>
      <c r="AE1280" s="205">
        <f>IF($B$1276="Лікар загальної практики - сімейний лікар",AVERAGE(AE1276:AE1278),IF($B$1276="Лікар-педіатр","x",IF($B$1276="Лікар-терапевт",AVERAGE(AE1276:AE1278),0)))</f>
        <v>0</v>
      </c>
      <c r="AF1280" s="205">
        <f>IF($B$1276="Лікар загальної практики - сімейний лікар",AVERAGE(AF1276:AF1278),IF($B$1276="Лікар-педіатр","x",IF($B$1276="Лікар-терапевт",AVERAGE(AF1276:AF1278),0)))</f>
        <v>0</v>
      </c>
      <c r="AG1280" s="206">
        <f>SUM(AB1280:AF1280)</f>
        <v>0</v>
      </c>
      <c r="AH1280" s="942"/>
      <c r="AI1280" s="201"/>
      <c r="AJ1280" s="945"/>
      <c r="AK1280" s="960"/>
      <c r="AL1280" s="960"/>
      <c r="AM1280" s="931"/>
      <c r="AN1280" s="949"/>
      <c r="AO1280" s="949"/>
      <c r="AP1280" s="949"/>
      <c r="AQ1280" s="949"/>
      <c r="AR1280" s="964"/>
    </row>
    <row r="1281" spans="1:44" s="50" customFormat="1" ht="40.5" hidden="1">
      <c r="A1281" s="197"/>
      <c r="B1281" s="951"/>
      <c r="C1281" s="954"/>
      <c r="D1281" s="957"/>
      <c r="E1281" s="939"/>
      <c r="F1281" s="237" t="str">
        <f ca="1">IF(B1276="Лікар-педіатр",Законод!$C$17,IF(B1276="Лікар загальної практики - сімейний лікар",Законод!$C$21,IF(B1276="Лікар-терапевт",Законод!$C$25,"х")))</f>
        <v>х</v>
      </c>
      <c r="G1281" s="208">
        <f ca="1">IF($B$1276="Лікар загальної практики - сімейний лікар",IF(L1280&lt;=Законод!$C$22,G1280,Законод!$C$22*'01_Доходи'!G1279),IF($B$1276="Лікар-педіатр",IF(L1280&lt;=Законод!$C$18,G1280,Законод!$C$18*'01_Доходи'!G1279),IF($B$1276="Лікар-терапевт","x",0)))</f>
        <v>0</v>
      </c>
      <c r="H1281" s="208">
        <f ca="1">IF($B$1276="Лікар загальної практики - сімейний лікар",IF(L1280&lt;=Законод!$C$22,H1280,Законод!$C$22*'01_Доходи'!H1279),IF($B$1276="Лікар-педіатр",IF(L1280&lt;=Законод!$C$18,H1280,Законод!$C$18*'01_Доходи'!H1279),IF($B$1276="Лікар-терапевт","x",0)))</f>
        <v>0</v>
      </c>
      <c r="I1281" s="208">
        <f ca="1">IF($B$1276="Лікар загальної практики - сімейний лікар",IF(L1280&lt;=Законод!$C$22,I1280,Законод!$C$22*'01_Доходи'!I1279),IF($B$1276="Лікар-педіатр","x",IF($B$1276="Лікар-терапевт",IF(L1280&lt;=Законод!$C$26,I1280,Законод!$C$26*'01_Доходи'!I1279),0)))</f>
        <v>0</v>
      </c>
      <c r="J1281" s="208">
        <f ca="1">IF($B$1276="Лікар загальної практики - сімейний лікар",IF(L1280&lt;=Законод!$C$22,J1280,Законод!$C$22*'01_Доходи'!J1279),IF($B$1276="Лікар-педіатр","x",IF($B$1276="Лікар-терапевт",IF(L1280&lt;=Законод!$C$26,J1280,Законод!$C$26*'01_Доходи'!J1279),0)))</f>
        <v>0</v>
      </c>
      <c r="K1281" s="208">
        <f ca="1">IF($B$1276="Лікар загальної практики - сімейний лікар",IF(L1280&lt;=Законод!$C$22,K1280,Законод!$C$22*'01_Доходи'!K1279),IF($B$1276="Лікар-педіатр","x",IF($B$1276="Лікар-терапевт",IF(L1280&lt;=Законод!$C$26,K1280,Законод!$C$26*'01_Доходи'!K1279),0)))</f>
        <v>0</v>
      </c>
      <c r="L1281" s="209">
        <f ca="1">SUM(G1281:K1281)</f>
        <v>0</v>
      </c>
      <c r="M1281" s="942"/>
      <c r="N1281" s="208">
        <f ca="1">IF($B$1276="Лікар загальної практики - сімейний лікар",IF(S1280&lt;=Законод!$C$22,N1280,Законод!$C$22*'01_Доходи'!N1279),IF($B$1276="Лікар-педіатр",IF(S1280&lt;=Законод!$C$18,N1280,Законод!$C$18*'01_Доходи'!N1279),IF($B$1276="Лікар-терапевт","x",0)))</f>
        <v>0</v>
      </c>
      <c r="O1281" s="208">
        <f ca="1">IF($B$1276="Лікар загальної практики - сімейний лікар",IF(S1280&lt;=Законод!$C$22,O1280,Законод!$C$22*'01_Доходи'!O1279),IF($B$1276="Лікар-педіатр",IF(S1280&lt;=Законод!$C$18,O1280,Законод!$C$18*'01_Доходи'!O1279),IF($B$1276="Лікар-терапевт","x",0)))</f>
        <v>0</v>
      </c>
      <c r="P1281" s="208">
        <f ca="1">IF($B$1276="Лікар загальної практики - сімейний лікар",IF(S1280&lt;=Законод!$C$22,P1280,Законод!$C$22*'01_Доходи'!P1279),IF($B$1276="Лікар-педіатр","x",IF($B$1276="Лікар-терапевт",IF(S1280&lt;=Законод!$C$26,P1280,Законод!$C$26*'01_Доходи'!P1279),0)))</f>
        <v>0</v>
      </c>
      <c r="Q1281" s="208">
        <f ca="1">IF($B$1276="Лікар загальної практики - сімейний лікар",IF(S1280&lt;=Законод!$C$22,Q1280,Законод!$C$22*'01_Доходи'!Q1279),IF($B$1276="Лікар-педіатр","x",IF($B$1276="Лікар-терапевт",IF(S1280&lt;=Законод!$C$26,Q1280,Законод!$C$26*'01_Доходи'!Q1279),0)))</f>
        <v>0</v>
      </c>
      <c r="R1281" s="208">
        <f ca="1">IF($B$1276="Лікар загальної практики - сімейний лікар",IF(S1280&lt;=Законод!$C$22,R1280,Законод!$C$22*'01_Доходи'!R1279),IF($B$1276="Лікар-педіатр","x",IF($B$1276="Лікар-терапевт",IF(S1280&lt;=Законод!$C$26,R1280,Законод!$C$26*'01_Доходи'!R1279),0)))</f>
        <v>0</v>
      </c>
      <c r="S1281" s="209">
        <f ca="1">SUM(N1281:R1281)</f>
        <v>0</v>
      </c>
      <c r="T1281" s="942"/>
      <c r="U1281" s="208">
        <f ca="1">IF($B$1276="Лікар загальної практики - сімейний лікар",IF(Z1280&lt;=Законод!$C$22,U1280,Законод!$C$22*'01_Доходи'!U1279),IF($B$1276="Лікар-педіатр",IF(Z1280&lt;=Законод!$C$18,U1280,Законод!$C$18*'01_Доходи'!U1279),IF($B$1276="Лікар-терапевт","x",0)))</f>
        <v>0</v>
      </c>
      <c r="V1281" s="208">
        <f ca="1">IF($B$1276="Лікар загальної практики - сімейний лікар",IF(Z1280&lt;=Законод!$C$22,V1280,Законод!$C$22*'01_Доходи'!V1279),IF($B$1276="Лікар-педіатр",IF(Z1280&lt;=Законод!$C$18,V1280,Законод!$C$18*'01_Доходи'!V1279),IF($B$1276="Лікар-терапевт","x",0)))</f>
        <v>0</v>
      </c>
      <c r="W1281" s="208">
        <f ca="1">IF($B$1276="Лікар загальної практики - сімейний лікар",IF(Z1280&lt;=Законод!$C$22,W1280,Законод!$C$22*'01_Доходи'!W1279),IF($B$1276="Лікар-педіатр","x",IF($B$1276="Лікар-терапевт",IF(Z1280&lt;=Законод!$C$26,W1280,Законод!$C$26*'01_Доходи'!W1279),0)))</f>
        <v>0</v>
      </c>
      <c r="X1281" s="208">
        <f ca="1">IF($B$1276="Лікар загальної практики - сімейний лікар",IF(Z1280&lt;=Законод!$C$22,X1280,Законод!$C$22*'01_Доходи'!X1279),IF($B$1276="Лікар-педіатр","x",IF($B$1276="Лікар-терапевт",IF(Z1280&lt;=Законод!$C$26,X1280,Законод!$C$26*'01_Доходи'!X1279),0)))</f>
        <v>0</v>
      </c>
      <c r="Y1281" s="208">
        <f ca="1">IF($B$1276="Лікар загальної практики - сімейний лікар",IF(Z1280&lt;=Законод!$C$22,Y1280,Законод!$C$22*'01_Доходи'!Y1279),IF($B$1276="Лікар-педіатр","x",IF($B$1276="Лікар-терапевт",IF(Z1280&lt;=Законод!$C$26,Y1280,Законод!$C$26*'01_Доходи'!Y1279),0)))</f>
        <v>0</v>
      </c>
      <c r="Z1281" s="209">
        <f ca="1">SUM(U1281:Y1281)</f>
        <v>0</v>
      </c>
      <c r="AA1281" s="942"/>
      <c r="AB1281" s="208">
        <f ca="1">IF($B$1276="Лікар загальної практики - сімейний лікар",IF(AG1280&lt;=Законод!$C$22,AB1280,Законод!$C$22*'01_Доходи'!AB1279),IF($B$1276="Лікар-педіатр",IF(AG1280&lt;=Законод!$C$18,AB1280,Законод!$C$18*'01_Доходи'!AB1279),IF($B$1276="Лікар-терапевт","x",0)))</f>
        <v>0</v>
      </c>
      <c r="AC1281" s="208">
        <f ca="1">IF($B$1276="Лікар загальної практики - сімейний лікар",IF(AG1280&lt;=Законод!$C$22,AC1280,Законод!$C$22*'01_Доходи'!AC1279),IF($B$1276="Лікар-педіатр",IF(AG1280&lt;=Законод!$C$18,AC1280,Законод!$C$18*'01_Доходи'!AC1279),IF($B$1276="Лікар-терапевт","x",0)))</f>
        <v>0</v>
      </c>
      <c r="AD1281" s="208">
        <f ca="1">IF($B$1276="Лікар загальної практики - сімейний лікар",IF(AG1280&lt;=Законод!$C$22,AD1280,Законод!$C$22*'01_Доходи'!AD1279),IF($B$1276="Лікар-педіатр","x",IF($B$1276="Лікар-терапевт",IF(AG1280&lt;=Законод!$C$26,AD1280,Законод!$C$26*'01_Доходи'!AD1279),0)))</f>
        <v>0</v>
      </c>
      <c r="AE1281" s="208">
        <f ca="1">IF($B$1276="Лікар загальної практики - сімейний лікар",IF(AG1280&lt;=Законод!$C$22,AE1280,Законод!$C$22*'01_Доходи'!AE1279),IF($B$1276="Лікар-педіатр","x",IF($B$1276="Лікар-терапевт",IF(AG1280&lt;=Законод!$C$26,AE1280,Законод!$C$26*'01_Доходи'!AE1279),0)))</f>
        <v>0</v>
      </c>
      <c r="AF1281" s="208">
        <f ca="1">IF($B$1276="Лікар загальної практики - сімейний лікар",IF(AG1280&lt;=Законод!$C$22,AF1280,Законод!$C$22*'01_Доходи'!AF1279),IF($B$1276="Лікар-педіатр","x",IF($B$1276="Лікар-терапевт",IF(AG1280&lt;=Законод!$C$26,AF1280,Законод!$C$26*'01_Доходи'!AF1279),0)))</f>
        <v>0</v>
      </c>
      <c r="AG1281" s="209">
        <f ca="1">SUM(AB1281:AF1281)</f>
        <v>0</v>
      </c>
      <c r="AH1281" s="942"/>
      <c r="AI1281" s="201"/>
      <c r="AJ1281" s="945"/>
      <c r="AK1281" s="960"/>
      <c r="AL1281" s="960"/>
      <c r="AM1281" s="348" t="s">
        <v>451</v>
      </c>
      <c r="AN1281" s="210">
        <f ca="1">IF(B1276="Лікар загальної практики - сімейний лікар",G1281*Законод!$C$11+'01_Доходи'!H1281*Законод!$D$11+'01_Доходи'!I1281*Законод!$E$11+'01_Доходи'!J1281*Законод!$F$11+'01_Доходи'!K1281*Законод!$G$11,IF(B1276="Лікар-педіатр",G1281*Законод!$C$11+'01_Доходи'!H1281*Законод!$D$11,IF(B1276="Лікар-терапевт",'01_Доходи'!I1281*Законод!$E$11+'01_Доходи'!J1281*Законод!$F$11+'01_Доходи'!K1281*Законод!$G$11,0)))</f>
        <v>0</v>
      </c>
      <c r="AO1281" s="210">
        <f ca="1">IF(B1276="Лікар загальної практики - сімейний лікар",N1281*Законод!$C$11+'01_Доходи'!O1281*Законод!$D$11+'01_Доходи'!P1281*Законод!$E$11+'01_Доходи'!Q1281*Законод!$F$11+'01_Доходи'!R1281*Законод!$G$11,IF(B1276="Лікар-педіатр",N1281*Законод!$C$11+'01_Доходи'!O1281*Законод!$D$11,IF(B1276="Лікар-терапевт",'01_Доходи'!P1281*Законод!$E$11+'01_Доходи'!Q1281*Законод!$F$11+'01_Доходи'!R1281*Законод!$G$11,0)))</f>
        <v>0</v>
      </c>
      <c r="AP1281" s="210">
        <f ca="1">IF(B1276="Лікар загальної практики - сімейний лікар",U1281*Законод!$C$11+'01_Доходи'!V1281*Законод!$D$11+'01_Доходи'!W1281*Законод!$E$11+'01_Доходи'!X1281*Законод!$F$11+'01_Доходи'!Y1281*Законод!$G$11,IF(B1276="Лікар-педіатр",U1281*Законод!$C$11+'01_Доходи'!V1281*Законод!$D$11,IF(B1276="Лікар-терапевт",'01_Доходи'!W1281*Законод!$E$11+'01_Доходи'!X1281*Законод!$F$11+'01_Доходи'!Y1281*Законод!$G$11,0)))</f>
        <v>0</v>
      </c>
      <c r="AQ1281" s="210">
        <f ca="1">IF(B1276="Лікар загальної практики - сімейний лікар",AB1281*Законод!$C$11+'01_Доходи'!AC1281*Законод!$D$11+'01_Доходи'!AD1281*Законод!$E$11+'01_Доходи'!AE1281*Законод!$F$11+'01_Доходи'!AF1281*Законод!$G$11,IF(B1276="Лікар-педіатр",AB1281*Законод!$C$11+'01_Доходи'!AC1281*Законод!$D$11,IF(B1276="Лікар-терапевт",'01_Доходи'!AD1281*Законод!$E$11+'01_Доходи'!AE1281*Законод!$F$11+'01_Доходи'!AF1281*Законод!$G$11,0)))</f>
        <v>0</v>
      </c>
      <c r="AR1281" s="211">
        <f t="shared" ref="AR1281:AR1287" si="138">SUM(AN1281:AQ1281)</f>
        <v>0</v>
      </c>
    </row>
    <row r="1282" spans="1:44" s="50" customFormat="1" ht="31.9" hidden="1" customHeight="1">
      <c r="A1282" s="197"/>
      <c r="B1282" s="951"/>
      <c r="C1282" s="954"/>
      <c r="D1282" s="957"/>
      <c r="E1282" s="939"/>
      <c r="F1282" s="238" t="str">
        <f ca="1">IF(B1276="Лікар-педіатр",Законод!$E$17,IF(B1276="Лікар загальної практики - сімейний лікар",Законод!$E$21,IF(B1276="Лікар-терапевт",Законод!$E$25,"х")))</f>
        <v>х</v>
      </c>
      <c r="G1282" s="935" t="s">
        <v>423</v>
      </c>
      <c r="H1282" s="936"/>
      <c r="I1282" s="936"/>
      <c r="J1282" s="936"/>
      <c r="K1282" s="937"/>
      <c r="L1282" s="196">
        <f ca="1">IF($B$1276="Лікар загальної практики - сімейний лікар",IF(L1280&lt;Законод!$C$22,0,(IF(AND(L1280&gt;=Законод!$E$22,L1280&lt;=Законод!$E$23),L1280-Законод!$C$22,IF('01_Доходи'!L1280&gt;=Законод!$F$22,Законод!$E$24,0)))),IF($B$1276="Лікар-педіатр",IF(L1280&lt;Законод!$C$18,0,(IF(AND(L1280&gt;=Законод!$E$18,L1280&lt;=Законод!$E$19),L1280-Законод!$C$18,IF('01_Доходи'!L1280&gt;=Законод!$F$18,Законод!$E$20,0)))),IF($B$1276="Лікар-терапевт",IF(L1280&lt;Законод!$C$26,0,(IF(AND(L1280&gt;=Законод!$E$26,L1280&lt;=Законод!$E$27),L1280-Законод!$C$26,IF('01_Доходи'!L1280&gt;=Законод!$F$26,Законод!$E$28,0)))),0)))</f>
        <v>0</v>
      </c>
      <c r="M1282" s="942"/>
      <c r="N1282" s="935" t="s">
        <v>423</v>
      </c>
      <c r="O1282" s="936"/>
      <c r="P1282" s="936"/>
      <c r="Q1282" s="936"/>
      <c r="R1282" s="937"/>
      <c r="S1282" s="196">
        <f ca="1">IF($B$1276="Лікар загальної практики - сімейний лікар",IF(S1280&lt;Законод!$C$22,0,(IF(AND(S1280&gt;=Законод!$E$22,S1280&lt;=Законод!$E$23),S1280-Законод!$C$22,IF('01_Доходи'!S1280&gt;=Законод!$F$22,Законод!$E$24,0)))),IF($B$1276="Лікар-педіатр",IF(S1280&lt;Законод!$C$18,0,(IF(AND(S1280&gt;=Законод!$E$18,S1280&lt;=Законод!$E$19),S1280-Законод!$C$18,IF('01_Доходи'!S1280&gt;=Законод!$F$18,Законод!$E$20,0)))),IF($B$1276="Лікар-терапевт",IF(S1280&lt;Законод!$C$26,0,(IF(AND(S1280&gt;=Законод!$E$26,S1280&lt;=Законод!$E$27),S1280-Законод!$C$26,IF('01_Доходи'!S1280&gt;=Законод!$F$26,Законод!$E$28,0)))),0)))</f>
        <v>0</v>
      </c>
      <c r="T1282" s="942"/>
      <c r="U1282" s="935" t="s">
        <v>423</v>
      </c>
      <c r="V1282" s="936"/>
      <c r="W1282" s="936"/>
      <c r="X1282" s="936"/>
      <c r="Y1282" s="937"/>
      <c r="Z1282" s="196">
        <f ca="1">IF($B$1276="Лікар загальної практики - сімейний лікар",IF(Z1280&lt;Законод!$C$22,0,(IF(AND(Z1280&gt;=Законод!$E$22,Z1280&lt;=Законод!$E$23),Z1280-Законод!$C$22,IF('01_Доходи'!Z1280&gt;=Законод!$F$22,Законод!$E$24,0)))),IF($B$1276="Лікар-педіатр",IF(Z1280&lt;Законод!$C$18,0,(IF(AND(Z1280&gt;=Законод!$E$18,Z1280&lt;=Законод!$E$19),Z1280-Законод!$C$18,IF('01_Доходи'!Z1280&gt;=Законод!$F$18,Законод!$E$20,0)))),IF($B$1276="Лікар-терапевт",IF(Z1280&lt;Законод!$C$26,0,(IF(AND(Z1280&gt;=Законод!$E$26,Z1280&lt;=Законод!$E$27),Z1280-Законод!$C$26,IF('01_Доходи'!Z1280&gt;=Законод!$F$26,Законод!$E$28,0)))),0)))</f>
        <v>0</v>
      </c>
      <c r="AA1282" s="942"/>
      <c r="AB1282" s="935" t="s">
        <v>423</v>
      </c>
      <c r="AC1282" s="936"/>
      <c r="AD1282" s="936"/>
      <c r="AE1282" s="936"/>
      <c r="AF1282" s="937"/>
      <c r="AG1282" s="196">
        <f ca="1">IF($B$1276="Лікар загальної практики - сімейний лікар",IF(AG1280&lt;Законод!$C$22,0,(IF(AND(AG1280&gt;=Законод!$E$22,AG1280&lt;=Законод!$E$23),AG1280-Законод!$C$22,IF('01_Доходи'!AG1280&gt;=Законод!$F$22,Законод!$E$24,0)))),IF($B$1276="Лікар-педіатр",IF(AG1280&lt;Законод!$C$18,0,(IF(AND(AG1280&gt;=Законод!$E$18,AG1280&lt;=Законод!$E$19),AG1280-Законод!$C$18,IF('01_Доходи'!AG1280&gt;=Законод!$F$18,Законод!$E$20,0)))),IF($B$1276="Лікар-терапевт",IF(AG1280&lt;Законод!$C$26,0,(IF(AND(AG1280&gt;=Законод!$E$26,AG1280&lt;=Законод!$E$27),AG1280-Законод!$C$26,IF('01_Доходи'!AG1280&gt;=Законод!$F$26,Законод!$E$28,0)))),0)))</f>
        <v>0</v>
      </c>
      <c r="AH1282" s="942"/>
      <c r="AI1282" s="201"/>
      <c r="AJ1282" s="945"/>
      <c r="AK1282" s="960"/>
      <c r="AL1282" s="960"/>
      <c r="AM1282" s="926" t="s">
        <v>452</v>
      </c>
      <c r="AN1282" s="210">
        <f ca="1">IF(B1276="Лікар загальної практики - сімейний лікар",L1282*Законод!$C$9/4*Законод!$E$16,IF(B1276="Лікар-педіатр",L1282*Законод!$C$9/4*Законод!$E$16,IF(B1276="Лікар-терапевт",L1282*Законод!$C$9/4*Законод!$E$16,0)))</f>
        <v>0</v>
      </c>
      <c r="AO1282" s="210">
        <f ca="1">IF(B1276="Лікар загальної практики - сімейний лікар",S1282*Законод!$C$9/4*Законод!$E$16,IF(B1276="Лікар-педіатр",S1282*Законод!$C$9/4*Законод!$E$16,IF(B1276="Лікар-терапевт",S1282*Законод!$C$9/4*Законод!$E$16,0)))</f>
        <v>0</v>
      </c>
      <c r="AP1282" s="210">
        <f ca="1">IF(B1276="Лікар загальної практики - сімейний лікар",Z1282*Законод!$C$9/4*Законод!$E$16,IF(B1276="Лікар-педіатр",Z1282*Законод!$C$9/4*Законод!$E$16,IF(B1276="Лікар-терапевт",Z1282*Законод!$C$9/4*Законод!$E$16,0)))</f>
        <v>0</v>
      </c>
      <c r="AQ1282" s="210">
        <f ca="1">IF(B1276="Лікар загальної практики - сімейний лікар",AG1282*Законод!$C$9/4*Законод!$E$16,IF(B1276="Лікар-педіатр",AG1282*Законод!$C$9/4*Законод!$E$16,IF(B1276="Лікар-терапевт",AG1282*Законод!$C$9/4*Законод!$E$16,0)))</f>
        <v>0</v>
      </c>
      <c r="AR1282" s="211">
        <f t="shared" si="138"/>
        <v>0</v>
      </c>
    </row>
    <row r="1283" spans="1:44" s="50" customFormat="1" ht="31.9" hidden="1" customHeight="1">
      <c r="A1283" s="197"/>
      <c r="B1283" s="951"/>
      <c r="C1283" s="954"/>
      <c r="D1283" s="957"/>
      <c r="E1283" s="939"/>
      <c r="F1283" s="238" t="str">
        <f ca="1">IF(B1276="Лікар-педіатр",Законод!$F$17,IF(B1276="Лікар загальної практики - сімейний лікар",Законод!$F$21,IF(B1276="Лікар-терапевт",Законод!$F$25,"х")))</f>
        <v>х</v>
      </c>
      <c r="G1283" s="935" t="s">
        <v>423</v>
      </c>
      <c r="H1283" s="936"/>
      <c r="I1283" s="936"/>
      <c r="J1283" s="936"/>
      <c r="K1283" s="937"/>
      <c r="L1283" s="196">
        <f ca="1">IF($B$1276="Лікар загальної практики - сімейний лікар",IF(L1280&lt;Законод!$C$22,0,(IF(AND(L1280&gt;=Законод!$F$22,L1280&lt;=Законод!$F$23),L1280-Законод!$E$23,IF('01_Доходи'!L1280&gt;=Законод!$G$22,Законод!$F$24,0)))),IF($B$1276="Лікар-педіатр",IF(L1280&lt;Законод!$C$18,0,(IF(AND(L1280&gt;=Законод!$F$18,L1280&lt;=Законод!$F$19),L1280-Законод!$E$19,IF('01_Доходи'!L1280&gt;=Законод!$G$18,Законод!$F$20,0)))),IF($B$1276="Лікар-терапевт",IF(L1280&lt;Законод!$C$26,0,(IF(AND(L1280&gt;=Законод!$F$26,L1280&lt;=Законод!$F$27),L1280-Законод!$E$27,IF('01_Доходи'!L1280&gt;=Законод!$G$26,Законод!$F$28,0)))),0)))</f>
        <v>0</v>
      </c>
      <c r="M1283" s="942"/>
      <c r="N1283" s="935" t="s">
        <v>423</v>
      </c>
      <c r="O1283" s="936"/>
      <c r="P1283" s="936"/>
      <c r="Q1283" s="936"/>
      <c r="R1283" s="937"/>
      <c r="S1283" s="196">
        <f ca="1">IF($B$1276="Лікар загальної практики - сімейний лікар",IF(S1280&lt;Законод!$C$22,0,(IF(AND(S1280&gt;=Законод!$F$22,S1280&lt;=Законод!$F$23),S1280-Законод!$E$23,IF('01_Доходи'!S1280&gt;=Законод!$G$22,Законод!$F$24,0)))),IF($B$1276="Лікар-педіатр",IF(S1280&lt;Законод!$C$18,0,(IF(AND(S1280&gt;=Законод!$F$18,S1280&lt;=Законод!$F$19),S1280-Законод!$E$19,IF('01_Доходи'!S1280&gt;=Законод!$G$18,Законод!$F$20,0)))),IF($B$1276="Лікар-терапевт",IF(S1280&lt;Законод!$C$26,0,(IF(AND(S1280&gt;=Законод!$F$26,S1280&lt;=Законод!$F$27),S1280-Законод!$E$27,IF('01_Доходи'!S1280&gt;=Законод!$G$26,Законод!$F$28,0)))),0)))</f>
        <v>0</v>
      </c>
      <c r="T1283" s="942"/>
      <c r="U1283" s="935" t="s">
        <v>423</v>
      </c>
      <c r="V1283" s="936"/>
      <c r="W1283" s="936"/>
      <c r="X1283" s="936"/>
      <c r="Y1283" s="937"/>
      <c r="Z1283" s="196">
        <f ca="1">IF($B$1276="Лікар загальної практики - сімейний лікар",IF(Z1280&lt;Законод!$C$22,0,(IF(AND(Z1280&gt;=Законод!$F$22,Z1280&lt;=Законод!$F$23),Z1280-Законод!$E$23,IF('01_Доходи'!Z1280&gt;=Законод!$G$22,Законод!$F$24,0)))),IF($B$1276="Лікар-педіатр",IF(Z1280&lt;Законод!$C$18,0,(IF(AND(Z1280&gt;=Законод!$F$18,Z1280&lt;=Законод!$F$19),Z1280-Законод!$E$19,IF('01_Доходи'!Z1280&gt;=Законод!$G$18,Законод!$F$20,0)))),IF($B$1276="Лікар-терапевт",IF(Z1280&lt;Законод!$C$26,0,(IF(AND(Z1280&gt;=Законод!$F$26,Z1280&lt;=Законод!$F$27),Z1280-Законод!$E$27,IF('01_Доходи'!Z1280&gt;=Законод!$G$26,Законод!$F$28,0)))),0)))</f>
        <v>0</v>
      </c>
      <c r="AA1283" s="942"/>
      <c r="AB1283" s="935" t="s">
        <v>423</v>
      </c>
      <c r="AC1283" s="936"/>
      <c r="AD1283" s="936"/>
      <c r="AE1283" s="936"/>
      <c r="AF1283" s="937"/>
      <c r="AG1283" s="196">
        <f ca="1">IF($B$1276="Лікар загальної практики - сімейний лікар",IF(AG1280&lt;Законод!$C$22,0,(IF(AND(AG1280&gt;=Законод!$F$22,AG1280&lt;=Законод!$F$23),AG1280-Законод!$E$23,IF('01_Доходи'!AG1280&gt;=Законод!$G$22,Законод!$F$24,0)))),IF($B$1276="Лікар-педіатр",IF(AG1280&lt;Законод!$C$18,0,(IF(AND(AG1280&gt;=Законод!$F$18,AG1280&lt;=Законод!$F$19),AG1280-Законод!$E$19,IF('01_Доходи'!AG1280&gt;=Законод!$G$18,Законод!$F$20,0)))),IF($B$1276="Лікар-терапевт",IF(AG1280&lt;Законод!$C$26,0,(IF(AND(AG1280&gt;=Законод!$F$26,AG1280&lt;=Законод!$F$27),AG1280-Законод!$E$27,IF('01_Доходи'!AG1280&gt;=Законод!$G$26,Законод!$F$28,0)))),0)))</f>
        <v>0</v>
      </c>
      <c r="AH1283" s="942"/>
      <c r="AI1283" s="201"/>
      <c r="AJ1283" s="945"/>
      <c r="AK1283" s="960"/>
      <c r="AL1283" s="960"/>
      <c r="AM1283" s="927"/>
      <c r="AN1283" s="210">
        <f ca="1">IF(B1276="Лікар загальної практики - сімейний лікар",L1283*Законод!$C$9/4*Законод!$F$16,IF(B1276="Лікар-педіатр",L1283*Законод!$C$9/4*Законод!$F$16,IF(B1276="Лікар-терапевт",L1283*Законод!$C$9/4*Законод!$F$16,0)))</f>
        <v>0</v>
      </c>
      <c r="AO1283" s="210">
        <f ca="1">IF(B1276="Лікар загальної практики - сімейний лікар",S1283*Законод!$C$9/4*Законод!$F$16,IF(B1276="Лікар-педіатр",S1283*Законод!$C$9/4*Законод!$F$16,IF(B1276="Лікар-терапевт",S1283*Законод!$C$9/4*Законод!$F$16,0)))</f>
        <v>0</v>
      </c>
      <c r="AP1283" s="210">
        <f ca="1">IF(B1276="Лікар загальної практики - сімейний лікар",Z1283*Законод!$C$9/4*Законод!$F$16,IF(B1276="Лікар-педіатр",Z1283*Законод!$C$9/4*Законод!$F$16,IF(B1276="Лікар-терапевт",Z1283*Законод!$C$9/4*Законод!$F$16,0)))</f>
        <v>0</v>
      </c>
      <c r="AQ1283" s="210">
        <f ca="1">IF(B1276="Лікар загальної практики - сімейний лікар",AG1283*Законод!$C$9/4*Законод!$F$16,IF(B1276="Лікар-педіатр",AG1283*Законод!$C$9/4*Законод!$F$16,IF(B1276="Лікар-терапевт",AG1283*Законод!$C$9/4*Законод!$F$16,0)))</f>
        <v>0</v>
      </c>
      <c r="AR1283" s="211">
        <f t="shared" si="138"/>
        <v>0</v>
      </c>
    </row>
    <row r="1284" spans="1:44" s="50" customFormat="1" ht="31.9" hidden="1" customHeight="1">
      <c r="A1284" s="197"/>
      <c r="B1284" s="951"/>
      <c r="C1284" s="954"/>
      <c r="D1284" s="957"/>
      <c r="E1284" s="939"/>
      <c r="F1284" s="238" t="str">
        <f ca="1">IF(B1276="Лікар-педіатр",Законод!$G$17,IF(B1276="Лікар загальної практики - сімейний лікар",Законод!$G$21,IF(B1276="Лікар-терапевт",Законод!$G$25,"х")))</f>
        <v>х</v>
      </c>
      <c r="G1284" s="935" t="s">
        <v>423</v>
      </c>
      <c r="H1284" s="936"/>
      <c r="I1284" s="936"/>
      <c r="J1284" s="936"/>
      <c r="K1284" s="937"/>
      <c r="L1284" s="196">
        <f ca="1">IF($B$1276="Лікар загальної практики - сімейний лікар",IF(L1280&lt;Законод!$C$22,0,(IF(AND(L1280&gt;=Законод!$G$22,L1280&lt;=Законод!$G$23),L1280-Законод!$F$23,IF('01_Доходи'!L1280&gt;=Законод!$H$22,Законод!$G$24,0)))),IF($B$1276="Лікар-педіатр",IF(L1280&lt;Законод!$C$18,0,(IF(AND(L1280&gt;=Законод!$G$18,L1280&lt;=Законод!$G$19),L1280-Законод!$F$19,IF('01_Доходи'!L1280&gt;=Законод!$H$18,Законод!$G$20,0)))),IF($B$1276="Лікар-терапевт",IF(L1280&lt;Законод!$C$26,0,(IF(AND(L1280&gt;=Законод!$G$26,L1280&lt;=Законод!$G$27),L1280-Законод!$F$27,IF('01_Доходи'!L1280&gt;=Законод!$H$26,Законод!$G$28,0)))),0)))</f>
        <v>0</v>
      </c>
      <c r="M1284" s="942"/>
      <c r="N1284" s="935" t="s">
        <v>423</v>
      </c>
      <c r="O1284" s="936"/>
      <c r="P1284" s="936"/>
      <c r="Q1284" s="936"/>
      <c r="R1284" s="937"/>
      <c r="S1284" s="196">
        <f ca="1">IF($B$1276="Лікар загальної практики - сімейний лікар",IF(S1280&lt;Законод!$C$22,0,(IF(AND(S1280&gt;=Законод!$G$22,S1280&lt;=Законод!$G$23),S1280-Законод!$F$23,IF('01_Доходи'!S1280&gt;=Законод!$H$22,Законод!$G$24,0)))),IF($B$1276="Лікар-педіатр",IF(S1280&lt;Законод!$C$18,0,(IF(AND(S1280&gt;=Законод!$G$18,S1280&lt;=Законод!$G$19),S1280-Законод!$F$19,IF('01_Доходи'!S1280&gt;=Законод!$H$18,Законод!$G$20,0)))),IF($B$1276="Лікар-терапевт",IF(S1280&lt;Законод!$C$26,0,(IF(AND(S1280&gt;=Законод!$G$26,S1280&lt;=Законод!$G$27),S1280-Законод!$F$27,IF('01_Доходи'!S1280&gt;=Законод!$H$26,Законод!$G$28,0)))),0)))</f>
        <v>0</v>
      </c>
      <c r="T1284" s="942"/>
      <c r="U1284" s="935" t="s">
        <v>423</v>
      </c>
      <c r="V1284" s="936"/>
      <c r="W1284" s="936"/>
      <c r="X1284" s="936"/>
      <c r="Y1284" s="937"/>
      <c r="Z1284" s="196">
        <f ca="1">IF($B$1276="Лікар загальної практики - сімейний лікар",IF(Z1280&lt;Законод!$C$22,0,(IF(AND(Z1280&gt;=Законод!$G$22,Z1280&lt;=Законод!$G$23),Z1280-Законод!$F$23,IF('01_Доходи'!Z1280&gt;=Законод!$H$22,Законод!$G$24,0)))),IF($B$1276="Лікар-педіатр",IF(Z1280&lt;Законод!$C$18,0,(IF(AND(Z1280&gt;=Законод!$G$18,Z1280&lt;=Законод!$G$19),Z1280-Законод!$F$19,IF('01_Доходи'!Z1280&gt;=Законод!$H$18,Законод!$G$20,0)))),IF($B$1276="Лікар-терапевт",IF(Z1280&lt;Законод!$C$26,0,(IF(AND(Z1280&gt;=Законод!$G$26,Z1280&lt;=Законод!$G$27),Z1280-Законод!$F$27,IF('01_Доходи'!Z1280&gt;=Законод!$H$26,Законод!$G$28,0)))),0)))</f>
        <v>0</v>
      </c>
      <c r="AA1284" s="942"/>
      <c r="AB1284" s="935" t="s">
        <v>423</v>
      </c>
      <c r="AC1284" s="936"/>
      <c r="AD1284" s="936"/>
      <c r="AE1284" s="936"/>
      <c r="AF1284" s="937"/>
      <c r="AG1284" s="196">
        <f ca="1">IF($B$1276="Лікар загальної практики - сімейний лікар",IF(AG1280&lt;Законод!$C$22,0,(IF(AND(AG1280&gt;=Законод!$G$22,AG1280&lt;=Законод!$G$23),AG1280-Законод!$F$23,IF('01_Доходи'!AG1280&gt;=Законод!$H$22,Законод!$G$24,0)))),IF($B$1276="Лікар-педіатр",IF(AG1280&lt;Законод!$C$18,0,(IF(AND(AG1280&gt;=Законод!$G$18,AG1280&lt;=Законод!$G$19),AG1280-Законод!$F$19,IF('01_Доходи'!AG1280&gt;=Законод!$H$18,Законод!$G$20,0)))),IF($B$1276="Лікар-терапевт",IF(AG1280&lt;Законод!$C$26,0,(IF(AND(AG1280&gt;=Законод!$G$26,AG1280&lt;=Законод!$G$27),AG1280-Законод!$F$27,IF('01_Доходи'!AG1280&gt;=Законод!$H$26,Законод!$G$28,0)))),0)))</f>
        <v>0</v>
      </c>
      <c r="AH1284" s="942"/>
      <c r="AI1284" s="201"/>
      <c r="AJ1284" s="945"/>
      <c r="AK1284" s="960"/>
      <c r="AL1284" s="960"/>
      <c r="AM1284" s="927"/>
      <c r="AN1284" s="210">
        <f ca="1">IF(B1276="Лікар загальної практики - сімейний лікар",L1284*Законод!$C$9/4*Законод!$G$16,IF(B1276="Лікар-педіатр",L1284*Законод!$C$9/4*Законод!$G$16,IF(B1276="Лікар-терапевт",L1284*Законод!$C$9/4*Законод!$G$16,0)))</f>
        <v>0</v>
      </c>
      <c r="AO1284" s="210">
        <f ca="1">IF(B1276="Лікар загальної практики - сімейний лікар",S1284*Законод!$C$9/4*Законод!$G$16,IF(B1276="Лікар-педіатр",S1284*Законод!$C$9/4*Законод!$G$16,IF(B1276="Лікар-терапевт",S1284*Законод!$C$9/4*Законод!$G$16,0)))</f>
        <v>0</v>
      </c>
      <c r="AP1284" s="210">
        <f ca="1">IF(B1276="Лікар загальної практики - сімейний лікар",Z1284*Законод!$C$9/4*Законод!$G$16,IF(B1276="Лікар-педіатр",Z1284*Законод!$C$9/4*Законод!$G$16,IF(B1276="Лікар-терапевт",Z1284*Законод!$C$9/4*Законод!$G$16,0)))</f>
        <v>0</v>
      </c>
      <c r="AQ1284" s="210">
        <f ca="1">IF(B1276="Лікар загальної практики - сімейний лікар",AG1284*Законод!$C$9/4*Законод!$G$16,IF(B1276="Лікар-педіатр",AG1284*Законод!$C$9/4*Законод!$G$16,IF(B1276="Лікар-терапевт",AG1284*Законод!$C$9/4*Законод!$G$16,0)))</f>
        <v>0</v>
      </c>
      <c r="AR1284" s="211">
        <f t="shared" si="138"/>
        <v>0</v>
      </c>
    </row>
    <row r="1285" spans="1:44" s="50" customFormat="1" ht="31.9" hidden="1" customHeight="1">
      <c r="A1285" s="197"/>
      <c r="B1285" s="951"/>
      <c r="C1285" s="954"/>
      <c r="D1285" s="957"/>
      <c r="E1285" s="939"/>
      <c r="F1285" s="238" t="str">
        <f ca="1">IF(B1276="Лікар-педіатр",Законод!$H$17,IF(B1276="Лікар загальної практики - сімейний лікар",Законод!$H$21,IF(B1276="Лікар-терапевт",Законод!$H$25,"х")))</f>
        <v>х</v>
      </c>
      <c r="G1285" s="935" t="s">
        <v>423</v>
      </c>
      <c r="H1285" s="936"/>
      <c r="I1285" s="936"/>
      <c r="J1285" s="936"/>
      <c r="K1285" s="937"/>
      <c r="L1285" s="196">
        <f ca="1">IF($B$1276="Лікар загальної практики - сімейний лікар",IF(L1280&lt;Законод!$C$22,0,(IF(AND(L1280&gt;=Законод!$H$22,L1280&lt;=Законод!$H$23),L1280-Законод!$G$23,IF('01_Доходи'!L1280&gt;=Законод!$I$22,Законод!$H$24,0)))),IF($B$1276="Лікар-педіатр",IF(L1280&lt;Законод!$C$18,0,(IF(AND(L1280&gt;=Законод!$H$18,L1280&lt;=Законод!$H$19),L1280-Законод!$G$19,IF('01_Доходи'!L1280&gt;=Законод!$I$18,Законод!$H$20,0)))),IF($B$1276="Лікар-терапевт",IF(L1280&lt;Законод!$C$26,0,(IF(AND(L1280&gt;=Законод!$H$26,L1280&lt;=Законод!$H$27),L1280-Законод!$G$27,IF(L1280&gt;=Законод!$I$26,Законод!$H$28,0)))),0)))</f>
        <v>0</v>
      </c>
      <c r="M1285" s="942"/>
      <c r="N1285" s="935" t="s">
        <v>423</v>
      </c>
      <c r="O1285" s="936"/>
      <c r="P1285" s="936"/>
      <c r="Q1285" s="936"/>
      <c r="R1285" s="937"/>
      <c r="S1285" s="196">
        <f ca="1">IF($B$1276="Лікар загальної практики - сімейний лікар",IF(S1280&lt;Законод!$C$22,0,(IF(AND(S1280&gt;=Законод!$H$22,S1280&lt;=Законод!$H$23),S1280-Законод!$G$23,IF('01_Доходи'!S1280&gt;=Законод!$I$22,Законод!$H$24,0)))),IF($B$1276="Лікар-педіатр",IF(S1280&lt;Законод!$C$18,0,(IF(AND(S1280&gt;=Законод!$H$18,S1280&lt;=Законод!$H$19),S1280-Законод!$G$19,IF('01_Доходи'!S1280&gt;=Законод!$I$18,Законод!$H$20,0)))),IF($B$1276="Лікар-терапевт",IF(S1280&lt;Законод!$C$26,0,(IF(AND(S1280&gt;=Законод!$H$26,S1280&lt;=Законод!$H$27),S1280-Законод!$G$27,IF(S1280&gt;=Законод!$I$26,Законод!$H$28,0)))),0)))</f>
        <v>0</v>
      </c>
      <c r="T1285" s="942"/>
      <c r="U1285" s="935" t="s">
        <v>423</v>
      </c>
      <c r="V1285" s="936"/>
      <c r="W1285" s="936"/>
      <c r="X1285" s="936"/>
      <c r="Y1285" s="937"/>
      <c r="Z1285" s="196">
        <f ca="1">IF($B$1276="Лікар загальної практики - сімейний лікар",IF(Z1280&lt;Законод!$C$22,0,(IF(AND(Z1280&gt;=Законод!$H$22,Z1280&lt;=Законод!$H$23),Z1280-Законод!$G$23,IF('01_Доходи'!Z1280&gt;=Законод!$I$22,Законод!$H$24,0)))),IF($B$1276="Лікар-педіатр",IF(Z1280&lt;Законод!$C$18,0,(IF(AND(Z1280&gt;=Законод!$H$18,Z1280&lt;=Законод!$H$19),Z1280-Законод!$G$19,IF('01_Доходи'!Z1280&gt;=Законод!$I$18,Законод!$H$20,0)))),IF($B$1276="Лікар-терапевт",IF(Z1280&lt;Законод!$C$26,0,(IF(AND(Z1280&gt;=Законод!$H$26,Z1280&lt;=Законод!$H$27),Z1280-Законод!$G$27,IF(Z1280&gt;=Законод!$I$26,Законод!$H$28,0)))),0)))</f>
        <v>0</v>
      </c>
      <c r="AA1285" s="942"/>
      <c r="AB1285" s="935" t="s">
        <v>423</v>
      </c>
      <c r="AC1285" s="936"/>
      <c r="AD1285" s="936"/>
      <c r="AE1285" s="936"/>
      <c r="AF1285" s="937"/>
      <c r="AG1285" s="196">
        <f ca="1">IF($B$1276="Лікар загальної практики - сімейний лікар",IF(AG1280&lt;Законод!$C$22,0,(IF(AND(AG1280&gt;=Законод!$H$22,AG1280&lt;=Законод!$H$23),AG1280-Законод!$G$23,IF('01_Доходи'!AG1280&gt;=Законод!$I$22,Законод!$H$24,0)))),IF($B$1276="Лікар-педіатр",IF(AG1280&lt;Законод!$C$18,0,(IF(AND(AG1280&gt;=Законод!$H$18,AG1280&lt;=Законод!$H$19),AG1280-Законод!$G$19,IF('01_Доходи'!AG1280&gt;=Законод!$I$18,Законод!$H$20,0)))),IF($B$1276="Лікар-терапевт",IF(AG1280&lt;Законод!$C$26,0,(IF(AND(AG1280&gt;=Законод!$H$26,AG1280&lt;=Законод!$H$27),AG1280-Законод!$G$27,IF(AG1280&gt;=Законод!$I$26,Законод!$H$28,0)))),0)))</f>
        <v>0</v>
      </c>
      <c r="AH1285" s="942"/>
      <c r="AI1285" s="201"/>
      <c r="AJ1285" s="945"/>
      <c r="AK1285" s="960"/>
      <c r="AL1285" s="960"/>
      <c r="AM1285" s="927"/>
      <c r="AN1285" s="210">
        <f ca="1">IF(B1276="Лікар загальної практики - сімейний лікар",L1285*Законод!$C$9/4*Законод!$H$16,IF(B1276="Лікар-педіатр",L1285*Законод!$C$9/4*Законод!$H$16,IF(B1276="Лікар-терапевт",L1285*Законод!$C$9/4*Законод!$H$16,0)))</f>
        <v>0</v>
      </c>
      <c r="AO1285" s="210">
        <f ca="1">IF(B1276="Лікар загальної практики - сімейний лікар",S1285*Законод!$C$9/4*Законод!$H$16,IF(B1276="Лікар-педіатр",S1285*Законод!$C$9/4*Законод!$H$16,IF(B1276="Лікар-терапевт",S1285*Законод!$C$9/4*Законод!$H$16,0)))</f>
        <v>0</v>
      </c>
      <c r="AP1285" s="210">
        <f ca="1">IF(B1276="Лікар загальної практики - сімейний лікар",Z1285*Законод!$C$9/4*Законод!$H$16,IF(B1276="Лікар-педіатр",Z1285*Законод!$C$9/4*Законод!$H$16,IF(B1276="Лікар-терапевт",Z1285*Законод!$C$9/4*Законод!$H$16,0)))</f>
        <v>0</v>
      </c>
      <c r="AQ1285" s="210">
        <f ca="1">IF(B1276="Лікар загальної практики - сімейний лікар",AG1285*Законод!$C$9/4*Законод!$H$16,IF(B1276="Лікар-педіатр",AG1285*Законод!$C$9/4*Законод!$H$16,IF(B1276="Лікар-терапевт",AG1285*Законод!$C$9/4*Законод!$H$16,0)))</f>
        <v>0</v>
      </c>
      <c r="AR1285" s="211">
        <f t="shared" si="138"/>
        <v>0</v>
      </c>
    </row>
    <row r="1286" spans="1:44" s="50" customFormat="1" ht="31.9" hidden="1" customHeight="1">
      <c r="A1286" s="197"/>
      <c r="B1286" s="951"/>
      <c r="C1286" s="954"/>
      <c r="D1286" s="957"/>
      <c r="E1286" s="939"/>
      <c r="F1286" s="238" t="str">
        <f ca="1">IF(B1276="Лікар-педіатр",Законод!$I$17,IF(B1276="Лікар загальної практики - сімейний лікар",Законод!$I$21,IF(B1276="Лікар-терапевт",Законод!$I$25,"х")))</f>
        <v>х</v>
      </c>
      <c r="G1286" s="935" t="s">
        <v>423</v>
      </c>
      <c r="H1286" s="936"/>
      <c r="I1286" s="936"/>
      <c r="J1286" s="936"/>
      <c r="K1286" s="937"/>
      <c r="L1286" s="196">
        <f ca="1">IF($B$1276="Лікар загальної практики - сімейний лікар",IF(L1280&lt;Законод!$C$22,0,(IF(AND(L1280&gt;=Законод!$I$22,L1280&lt;=Законод!$I$23),L1280-Законод!$H$23,IF('01_Доходи'!L1280&gt;=Законод!$I$22,Законод!$I$24,0)))),IF($B$1276="Лікар-педіатр",IF(L1280&lt;Законод!$C$18,0,(IF(AND(L1280&gt;=Законод!$I$18,L1280&lt;=Законод!$I$19),L1280-Законод!$H$19,IF('01_Доходи'!L1280&gt;=Законод!$I$18,Законод!$H$20,0)))),IF($B$1276="Лікар-терапевт",IF(L1280&lt;Законод!$C$26,0,(IF(AND(L1280&gt;=Законод!$I$26,L1280&lt;=Законод!$I$27),L1280-Законод!$H$27,IF('01_Доходи'!L1280&gt;=Законод!$I$26,Законод!$H$28,0)))),0)))</f>
        <v>0</v>
      </c>
      <c r="M1286" s="942"/>
      <c r="N1286" s="935" t="s">
        <v>423</v>
      </c>
      <c r="O1286" s="936"/>
      <c r="P1286" s="936"/>
      <c r="Q1286" s="936"/>
      <c r="R1286" s="937"/>
      <c r="S1286" s="196">
        <f ca="1">IF($B$1276="Лікар загальної практики - сімейний лікар",IF(S1280&lt;Законод!$C$22,0,(IF(AND(S1280&gt;=Законод!$I$22,S1280&lt;=Законод!$I$23),S1280-Законод!$H$23,IF('01_Доходи'!S1280&gt;=Законод!$I$22,Законод!$I$24,0)))),IF($B$1276="Лікар-педіатр",IF(S1280&lt;Законод!$C$18,0,(IF(AND(S1280&gt;=Законод!$I$18,S1280&lt;=Законод!$I$19),S1280-Законод!$H$19,IF('01_Доходи'!S1280&gt;=Законод!$I$18,Законод!$H$20,0)))),IF($B$1276="Лікар-терапевт",IF(S1280&lt;Законод!$C$26,0,(IF(AND(S1280&gt;=Законод!$I$26,S1280&lt;=Законод!$I$27),S1280-Законод!$H$27,IF('01_Доходи'!S1280&gt;=Законод!$I$26,Законод!$H$28,0)))),0)))</f>
        <v>0</v>
      </c>
      <c r="T1286" s="942"/>
      <c r="U1286" s="935" t="s">
        <v>423</v>
      </c>
      <c r="V1286" s="936"/>
      <c r="W1286" s="936"/>
      <c r="X1286" s="936"/>
      <c r="Y1286" s="937"/>
      <c r="Z1286" s="196">
        <f ca="1">IF($B$1276="Лікар загальної практики - сімейний лікар",IF(Z1280&lt;Законод!$C$22,0,(IF(AND(Z1280&gt;=Законод!$I$22,Z1280&lt;=Законод!$I$23),Z1280-Законод!$H$23,IF('01_Доходи'!Z1280&gt;=Законод!$I$22,Законод!$I$24,0)))),IF($B$1276="Лікар-педіатр",IF(Z1280&lt;Законод!$C$18,0,(IF(AND(Z1280&gt;=Законод!$I$18,Z1280&lt;=Законод!$I$19),Z1280-Законод!$H$19,IF('01_Доходи'!Z1280&gt;=Законод!$I$18,Законод!$H$20,0)))),IF($B$1276="Лікар-терапевт",IF(Z1280&lt;Законод!$C$26,0,(IF(AND(Z1280&gt;=Законод!$I$26,Z1280&lt;=Законод!$I$27),Z1280-Законод!$H$27,IF('01_Доходи'!Z1280&gt;=Законод!$I$26,Законод!$H$28,0)))),0)))</f>
        <v>0</v>
      </c>
      <c r="AA1286" s="942"/>
      <c r="AB1286" s="935" t="s">
        <v>423</v>
      </c>
      <c r="AC1286" s="936"/>
      <c r="AD1286" s="936"/>
      <c r="AE1286" s="936"/>
      <c r="AF1286" s="937"/>
      <c r="AG1286" s="196">
        <f ca="1">IF($B$1276="Лікар загальної практики - сімейний лікар",IF(AG1280&lt;Законод!$C$22,0,(IF(AND(AG1280&gt;=Законод!$I$22,AG1280&lt;=Законод!$I$23),AG1280-Законод!$H$23,IF('01_Доходи'!AG1280&gt;=Законод!$I$22,Законод!$I$24,0)))),IF($B$1276="Лікар-педіатр",IF(AG1280&lt;Законод!$C$18,0,(IF(AND(AG1280&gt;=Законод!$I$18,AG1280&lt;=Законод!$I$19),AG1280-Законод!$H$19,IF('01_Доходи'!AG1280&gt;=Законод!$I$18,Законод!$H$20,0)))),IF($B$1276="Лікар-терапевт",IF(AG1280&lt;Законод!$C$26,0,(IF(AND(AG1280&gt;=Законод!$I$26,AG1280&lt;=Законод!$I$27),AG1280-Законод!$H$27,IF('01_Доходи'!AG1280&gt;=Законод!$I$26,Законод!$H$28,0)))),0)))</f>
        <v>0</v>
      </c>
      <c r="AH1286" s="942"/>
      <c r="AI1286" s="201"/>
      <c r="AJ1286" s="945"/>
      <c r="AK1286" s="960"/>
      <c r="AL1286" s="960"/>
      <c r="AM1286" s="927"/>
      <c r="AN1286" s="210">
        <f ca="1">IF(B1276="Лікар загальної практики - сімейний лікар",L1286*Законод!$C$9/4*Законод!$I$16,IF(B1276="Лікар-педіатр",L1286*Законод!$C$9/4*Законод!$I$16,IF(B1276="Лікар-терапевт",L1286*Законод!$C$9/4*Законод!$I$16,0)))</f>
        <v>0</v>
      </c>
      <c r="AO1286" s="210">
        <f ca="1">IF(B1276="Лікар загальної практики - сімейний лікар",S1286*Законод!$C$9/4*Законод!$I$16,IF(B1276="Лікар-педіатр",S1286*Законод!$C$9/4*Законод!$I$16,IF(B1276="Лікар-терапевт",S1286*Законод!$C$9/4*Законод!$I$16,0)))</f>
        <v>0</v>
      </c>
      <c r="AP1286" s="210">
        <f ca="1">IF(B1276="Лікар загальної практики - сімейний лікар",Z1286*Законод!$C$9/4*Законод!$I$16,IF(B1276="Лікар-педіатр",Z1286*Законод!$C$9/4*Законод!$I$16,IF(B1276="Лікар-терапевт",Z1286*Законод!$C$9/4*Законод!$I$16,0)))</f>
        <v>0</v>
      </c>
      <c r="AQ1286" s="210">
        <f ca="1">IF(B1276="Лікар загальної практики - сімейний лікар",AG1286*Законод!$C$9/4*Законод!$I$16,IF(B1276="Лікар-педіатр",AG1286*Законод!$C$9/4*Законод!$I$16,IF(B1276="Лікар-терапевт",AG1286*Законод!$C$9/4*Законод!$I$16,0)))</f>
        <v>0</v>
      </c>
      <c r="AR1286" s="211">
        <f t="shared" si="138"/>
        <v>0</v>
      </c>
    </row>
    <row r="1287" spans="1:44" s="218" customFormat="1" ht="31.9" hidden="1" customHeight="1" thickBot="1">
      <c r="A1287" s="213"/>
      <c r="B1287" s="952"/>
      <c r="C1287" s="955"/>
      <c r="D1287" s="958"/>
      <c r="E1287" s="940"/>
      <c r="F1287" s="239" t="str">
        <f ca="1">IF(B1276="Лікар-педіатр",Законод!$J$17,IF(B1276="Лікар загальної практики - сімейний лікар",Законод!$J$21,IF(B1276="Лікар-терапевт",Законод!$J$25,"х")))</f>
        <v>х</v>
      </c>
      <c r="G1287" s="932" t="s">
        <v>423</v>
      </c>
      <c r="H1287" s="933"/>
      <c r="I1287" s="933"/>
      <c r="J1287" s="933"/>
      <c r="K1287" s="934"/>
      <c r="L1287" s="196">
        <f ca="1">IF($B$1276="Лікар загальної практики - сімейний лікар",IF(L1280&gt;=Законод!$J$22,'01_Доходи'!L1280-('01_Доходи'!L1281+'01_Доходи'!L1282+'01_Доходи'!L1283+'01_Доходи'!L1284+'01_Доходи'!L1285+'01_Доходи'!L1286),0),IF($B$1276="Лікар-педіатр",IF(L1280&gt;=Законод!$J$18,'01_Доходи'!L1280-('01_Доходи'!L1281+'01_Доходи'!L1282+'01_Доходи'!L1283+'01_Доходи'!L1284+'01_Доходи'!L1285+'01_Доходи'!L1286),0),IF($B$1276="Лікар-терапевт",IF('01_Доходи'!L1280&gt;=Законод!$J$26,L1280-Законод!$I$27,0),0)))</f>
        <v>0</v>
      </c>
      <c r="M1287" s="943"/>
      <c r="N1287" s="932" t="s">
        <v>423</v>
      </c>
      <c r="O1287" s="933"/>
      <c r="P1287" s="933"/>
      <c r="Q1287" s="933"/>
      <c r="R1287" s="934"/>
      <c r="S1287" s="196">
        <f ca="1">IF($B$1276="Лікар загальної практики - сімейний лікар",IF(S1280&gt;=Законод!$J$22,'01_Доходи'!S1280-('01_Доходи'!S1281+'01_Доходи'!S1282+'01_Доходи'!S1283+'01_Доходи'!S1284+'01_Доходи'!S1285+'01_Доходи'!S1286),0),IF($B$1276="Лікар-педіатр",IF(S1280&gt;=Законод!$J$18,'01_Доходи'!S1280-('01_Доходи'!S1281+'01_Доходи'!S1282+'01_Доходи'!S1283+'01_Доходи'!S1284+'01_Доходи'!S1285+'01_Доходи'!S1286),0),IF($B$1276="Лікар-терапевт",IF('01_Доходи'!S1280&gt;=Законод!$J$26,S1280-Законод!$I$27,0),0)))</f>
        <v>0</v>
      </c>
      <c r="T1287" s="943"/>
      <c r="U1287" s="932" t="s">
        <v>423</v>
      </c>
      <c r="V1287" s="933"/>
      <c r="W1287" s="933"/>
      <c r="X1287" s="933"/>
      <c r="Y1287" s="934"/>
      <c r="Z1287" s="196">
        <f ca="1">IF($B$1276="Лікар загальної практики - сімейний лікар",IF(Z1280&gt;=Законод!$J$22,'01_Доходи'!Z1280-('01_Доходи'!Z1281+'01_Доходи'!Z1282+'01_Доходи'!Z1283+'01_Доходи'!Z1284+'01_Доходи'!Z1285+'01_Доходи'!Z1286),0),IF($B$1276="Лікар-педіатр",IF(Z1280&gt;=Законод!$J$18,'01_Доходи'!Z1280-('01_Доходи'!Z1281+'01_Доходи'!Z1282+'01_Доходи'!Z1283+'01_Доходи'!Z1284+'01_Доходи'!Z1285+'01_Доходи'!Z1286),0),IF($B$1276="Лікар-терапевт",IF('01_Доходи'!Z1280&gt;=Законод!$J$26,Z1280-Законод!$I$27,0),0)))</f>
        <v>0</v>
      </c>
      <c r="AA1287" s="943"/>
      <c r="AB1287" s="932" t="s">
        <v>423</v>
      </c>
      <c r="AC1287" s="933"/>
      <c r="AD1287" s="933"/>
      <c r="AE1287" s="933"/>
      <c r="AF1287" s="934"/>
      <c r="AG1287" s="196">
        <f ca="1">IF($B$1276="Лікар загальної практики - сімейний лікар",IF(AG1280&gt;=Законод!$J$22,'01_Доходи'!AG1280-('01_Доходи'!AG1281+'01_Доходи'!AG1282+'01_Доходи'!AG1283+'01_Доходи'!AG1284+'01_Доходи'!AG1285+'01_Доходи'!AG1286),0),IF($B$1276="Лікар-педіатр",IF(AG1280&gt;=Законод!$J$18,'01_Доходи'!AG1280-('01_Доходи'!AG1281+'01_Доходи'!AG1282+'01_Доходи'!AG1283+'01_Доходи'!AG1284+'01_Доходи'!AG1285+'01_Доходи'!AG1286),0),IF($B$1276="Лікар-терапевт",IF('01_Доходи'!AG1280&gt;=Законод!$J$26,AG1280-Законод!$I$27,0),0)))</f>
        <v>0</v>
      </c>
      <c r="AH1287" s="943"/>
      <c r="AI1287" s="215"/>
      <c r="AJ1287" s="946"/>
      <c r="AK1287" s="961"/>
      <c r="AL1287" s="961"/>
      <c r="AM1287" s="928"/>
      <c r="AN1287" s="216">
        <f ca="1">IF(B1276="Лікар загальної практики - сімейний лікар",L1287*Законод!$C$9/4*Законод!$J$16,IF(B1276="Лікар-педіатр",L1287*Законод!$C$9/4*Законод!$J$16,IF(B1276="Лікар-терапевт",L1287*Законод!$C$9/4*Законод!$J$16,0)))</f>
        <v>0</v>
      </c>
      <c r="AO1287" s="216">
        <f ca="1">IF(B1276="Лікар загальної практики - сімейний лікар",S1287*Законод!$C$9/4*Законод!$J$16,IF(B1276="Лікар-педіатр",S1287*Законод!$C$9/4*Законод!$J$16,IF(B1276="Лікар-терапевт",S1287*Законод!$C$9/4*Законод!$J$16,0)))</f>
        <v>0</v>
      </c>
      <c r="AP1287" s="216">
        <f ca="1">IF(B1276="Лікар загальної практики - сімейний лікар",S1287*Законод!$C$9/4*Законод!$J$16,IF(B1276="Лікар-педіатр",S1287*Законод!$C$9/4*Законод!$J$16,IF(B1276="Лікар-терапевт",S1287*Законод!$C$9/4*Законод!$J$16,0)))</f>
        <v>0</v>
      </c>
      <c r="AQ1287" s="216">
        <f ca="1">IF(B1276="Лікар загальної практики - сімейний лікар",AG1287*Законод!$C$9/4*Законод!$J$16,IF(B1276="Лікар-педіатр",AG1287*Законод!$C$9/4*Законод!$J$16,IF(B1276="Лікар-терапевт",AG1287*Законод!$C$9/4*Законод!$J$16,0)))</f>
        <v>0</v>
      </c>
      <c r="AR1287" s="217">
        <f t="shared" si="138"/>
        <v>0</v>
      </c>
    </row>
    <row r="1288" spans="1:44" s="247" customFormat="1" ht="23.45" hidden="1" customHeight="1" thickBot="1">
      <c r="A1288" s="243"/>
      <c r="B1288" s="244"/>
      <c r="C1288" s="244"/>
      <c r="D1288" s="244"/>
      <c r="E1288" s="244"/>
      <c r="F1288" s="245"/>
      <c r="G1288" s="246"/>
      <c r="H1288" s="246"/>
      <c r="L1288" s="248"/>
      <c r="S1288" s="248"/>
      <c r="Z1288" s="248"/>
      <c r="AG1288" s="248"/>
      <c r="AM1288" s="249"/>
      <c r="AR1288" s="250"/>
    </row>
    <row r="1289" spans="1:44" s="191" customFormat="1" ht="24.6" hidden="1" customHeight="1">
      <c r="A1289" s="194">
        <f>A1276+1</f>
        <v>97</v>
      </c>
      <c r="B1289" s="950"/>
      <c r="C1289" s="953"/>
      <c r="D1289" s="956"/>
      <c r="E1289" s="938"/>
      <c r="F1289" s="234" t="s">
        <v>659</v>
      </c>
      <c r="G1289" s="196">
        <f>IF($B$1289="Лікар-педіатр",G1292*L1289,IF($B$1289="Лікар-терапевт","х",IF($B$1289="Лікар загальної практики - сімейний лікар",G1292*L1289,0)))</f>
        <v>0</v>
      </c>
      <c r="H1289" s="196">
        <f>IF($B$1289="Лікар-педіатр",H1292*L1289,IF($B$1289="Лікар-терапевт","х",IF($B$1289="Лікар загальної практики - сімейний лікар",H1292*L1289,0)))</f>
        <v>0</v>
      </c>
      <c r="I1289" s="196">
        <f>IF($B$1289="Лікар-педіатр","x",IF($B$1289="Лікар-терапевт",I1292*L1289,IF($B$1289="Лікар загальної практики - сімейний лікар",I1292*L1289,0)))</f>
        <v>0</v>
      </c>
      <c r="J1289" s="196">
        <f>IF($B$1289="Лікар-педіатр","x",IF($B$1289="Лікар-терапевт",J1292*L1289,IF($B$1289="Лікар загальної практики - сімейний лікар",J1292*L1289,0)))</f>
        <v>0</v>
      </c>
      <c r="K1289" s="196">
        <f>IF($B$1289="Лікар-педіатр","x",IF($B$1289="Лікар-терапевт",K1292*L1289,IF($B$1289="Лікар загальної практики - сімейний лікар",K1292*L1289,0)))</f>
        <v>0</v>
      </c>
      <c r="L1289" s="557"/>
      <c r="M1289" s="941"/>
      <c r="N1289" s="196">
        <f>IF($B$1289="Лікар-педіатр",N1292*S1289,IF($B$1289="Лікар-терапевт","х",IF($B$1289="Лікар загальної практики - сімейний лікар",N1292*S1289,0)))</f>
        <v>0</v>
      </c>
      <c r="O1289" s="196">
        <f>IF($B$1289="Лікар-педіатр",O1292*S1289,IF($B$1289="Лікар-терапевт","х",IF($B$1289="Лікар загальної практики - сімейний лікар",O1292*S1289,0)))</f>
        <v>0</v>
      </c>
      <c r="P1289" s="196">
        <f>IF($B$1289="Лікар-педіатр","x",IF($B$1289="Лікар-терапевт",P1292*S1289,IF($B$1289="Лікар загальної практики - сімейний лікар",P1292*S1289,0)))</f>
        <v>0</v>
      </c>
      <c r="Q1289" s="196">
        <f>IF($B$1289="Лікар-педіатр","x",IF($B$1289="Лікар-терапевт",Q1292*S1289,IF($B$1289="Лікар загальної практики - сімейний лікар",Q1292*S1289,0)))</f>
        <v>0</v>
      </c>
      <c r="R1289" s="196">
        <f>IF($B$1289="Лікар-педіатр","x",IF($B$1289="Лікар-терапевт",R1292*S1289,IF($B$1289="Лікар загальної практики - сімейний лікар",R1292*S1289,0)))</f>
        <v>0</v>
      </c>
      <c r="S1289" s="557"/>
      <c r="T1289" s="941"/>
      <c r="U1289" s="196">
        <f>IF($B$1289="Лікар-педіатр",U1292*Z1289,IF($B$1289="Лікар-терапевт","х",IF($B$1289="Лікар загальної практики - сімейний лікар",U1292*Z1289,0)))</f>
        <v>0</v>
      </c>
      <c r="V1289" s="196">
        <f>IF($B$1289="Лікар-педіатр",V1292*Z1289,IF($B$1289="Лікар-терапевт","х",IF($B$1289="Лікар загальної практики - сімейний лікар",V1292*Z1289,0)))</f>
        <v>0</v>
      </c>
      <c r="W1289" s="196">
        <f>IF($B$1289="Лікар-педіатр","x",IF($B$1289="Лікар-терапевт",W1292*Z1289,IF($B$1289="Лікар загальної практики - сімейний лікар",W1292*Z1289,0)))</f>
        <v>0</v>
      </c>
      <c r="X1289" s="196">
        <f>IF($B$1289="Лікар-педіатр","x",IF($B$1289="Лікар-терапевт",X1292*Z1289,IF($B$1289="Лікар загальної практики - сімейний лікар",X1292*Z1289,0)))</f>
        <v>0</v>
      </c>
      <c r="Y1289" s="196">
        <f>IF($B$1289="Лікар-педіатр","x",IF($B$1289="Лікар-терапевт",Y1292*Z1289,IF($B$1289="Лікар загальної практики - сімейний лікар",Y1292*Z1289,0)))</f>
        <v>0</v>
      </c>
      <c r="Z1289" s="557"/>
      <c r="AA1289" s="941"/>
      <c r="AB1289" s="196">
        <f>IF($B$1289="Лікар-педіатр",AB1292*AG1289,IF($B$1289="Лікар-терапевт","х",IF($B$1289="Лікар загальної практики - сімейний лікар",AB1292*AG1289,0)))</f>
        <v>0</v>
      </c>
      <c r="AC1289" s="196">
        <f>IF($B$1289="Лікар-педіатр",AC1292*AG1289,IF($B$1289="Лікар-терапевт","х",IF($B$1289="Лікар загальної практики - сімейний лікар",AC1292*AG1289,0)))</f>
        <v>0</v>
      </c>
      <c r="AD1289" s="196">
        <f>IF($B$1289="Лікар-педіатр","x",IF($B$1289="Лікар-терапевт",AD1292*AG1289,IF($B$1289="Лікар загальної практики - сімейний лікар",AD1292*AG1289,0)))</f>
        <v>0</v>
      </c>
      <c r="AE1289" s="196">
        <f>IF($B$1289="Лікар-педіатр","x",IF($B$1289="Лікар-терапевт",AE1292*AG1289,IF($B$1289="Лікар загальної практики - сімейний лікар",AE1292*AG1289,0)))</f>
        <v>0</v>
      </c>
      <c r="AF1289" s="196">
        <f>IF($B$1289="Лікар-педіатр","x",IF($B$1289="Лікар-терапевт",AF1292*AG1289,IF($B$1289="Лікар загальної практики - сімейний лікар",AF1292*AG1289,0)))</f>
        <v>0</v>
      </c>
      <c r="AG1289" s="557"/>
      <c r="AH1289" s="941"/>
      <c r="AI1289" s="540">
        <f>A1289</f>
        <v>97</v>
      </c>
      <c r="AJ1289" s="944">
        <f>B1289</f>
        <v>0</v>
      </c>
      <c r="AK1289" s="959">
        <f>C1289</f>
        <v>0</v>
      </c>
      <c r="AL1289" s="959">
        <f>D1289</f>
        <v>0</v>
      </c>
      <c r="AM1289" s="929" t="s">
        <v>79</v>
      </c>
      <c r="AN1289" s="947">
        <f>SUM(AN1294:AN1300)</f>
        <v>0</v>
      </c>
      <c r="AO1289" s="947">
        <f>SUM(AO1294:AO1300)</f>
        <v>0</v>
      </c>
      <c r="AP1289" s="947">
        <f>SUM(AP1294:AP1300)</f>
        <v>0</v>
      </c>
      <c r="AQ1289" s="947">
        <f>SUM(AQ1294:AQ1300)</f>
        <v>0</v>
      </c>
      <c r="AR1289" s="962">
        <f>SUM(AN1289:AQ1293)</f>
        <v>0</v>
      </c>
    </row>
    <row r="1290" spans="1:44" s="50" customFormat="1" ht="28.15" hidden="1" customHeight="1">
      <c r="A1290" s="197"/>
      <c r="B1290" s="951"/>
      <c r="C1290" s="954"/>
      <c r="D1290" s="957"/>
      <c r="E1290" s="939"/>
      <c r="F1290" s="234" t="s">
        <v>660</v>
      </c>
      <c r="G1290" s="196">
        <f>IF($B$1289="Лікар-педіатр",G1292*L1290,IF($B$1289="Лікар-терапевт","х",IF($B$1289="Лікар загальної практики - сімейний лікар",G1292*L1290,0)))</f>
        <v>0</v>
      </c>
      <c r="H1290" s="196">
        <f>IF($B$1289="Лікар-педіатр",H1292*L1290,IF($B$1289="Лікар-терапевт","х",IF($B$1289="Лікар загальної практики - сімейний лікар",H1292*L1290,0)))</f>
        <v>0</v>
      </c>
      <c r="I1290" s="196">
        <f>IF($B$1289="Лікар-педіатр","x",IF($B$1289="Лікар-терапевт",I1292*L1290,IF($B$1289="Лікар загальної практики - сімейний лікар",I1292*L1290,0)))</f>
        <v>0</v>
      </c>
      <c r="J1290" s="196">
        <f>IF($B$1289="Лікар-педіатр","x",IF($B$1289="Лікар-терапевт",J1292*L1290,IF($B$1289="Лікар загальної практики - сімейний лікар",J1292*L1290,0)))</f>
        <v>0</v>
      </c>
      <c r="K1290" s="196">
        <f>IF($B$1289="Лікар-педіатр","x",IF($B$1289="Лікар-терапевт",K1292*L1290,IF($B$1289="Лікар загальної практики - сімейний лікар",K1292*L1290,0)))</f>
        <v>0</v>
      </c>
      <c r="L1290" s="557"/>
      <c r="M1290" s="942"/>
      <c r="N1290" s="196">
        <f>IF($B$1289="Лікар-педіатр",N1292*S1290,IF($B$1289="Лікар-терапевт","х",IF($B$1289="Лікар загальної практики - сімейний лікар",N1292*S1290,0)))</f>
        <v>0</v>
      </c>
      <c r="O1290" s="196">
        <f>IF($B$1289="Лікар-педіатр",O1292*S1290,IF($B$1289="Лікар-терапевт","х",IF($B$1289="Лікар загальної практики - сімейний лікар",O1292*S1290,0)))</f>
        <v>0</v>
      </c>
      <c r="P1290" s="196">
        <f>IF($B$1289="Лікар-педіатр","x",IF($B$1289="Лікар-терапевт",P1292*S1290,IF($B$1289="Лікар загальної практики - сімейний лікар",P1292*S1290,0)))</f>
        <v>0</v>
      </c>
      <c r="Q1290" s="196">
        <f>IF($B$1289="Лікар-педіатр","x",IF($B$1289="Лікар-терапевт",Q1292*S1290,IF($B$1289="Лікар загальної практики - сімейний лікар",Q1292*S1290,0)))</f>
        <v>0</v>
      </c>
      <c r="R1290" s="196">
        <f>IF($B$1289="Лікар-педіатр","x",IF($B$1289="Лікар-терапевт",R1292*S1290,IF($B$1289="Лікар загальної практики - сімейний лікар",R1292*S1290,0)))</f>
        <v>0</v>
      </c>
      <c r="S1290" s="557"/>
      <c r="T1290" s="942"/>
      <c r="U1290" s="196">
        <f>IF($B$1289="Лікар-педіатр",U1292*Z1290,IF($B$1289="Лікар-терапевт","х",IF($B$1289="Лікар загальної практики - сімейний лікар",U1292*Z1290,0)))</f>
        <v>0</v>
      </c>
      <c r="V1290" s="196">
        <f>IF($B$1289="Лікар-педіатр",V1292*Z1290,IF($B$1289="Лікар-терапевт","х",IF($B$1289="Лікар загальної практики - сімейний лікар",V1292*Z1290,0)))</f>
        <v>0</v>
      </c>
      <c r="W1290" s="196">
        <f>IF($B$1289="Лікар-педіатр","x",IF($B$1289="Лікар-терапевт",W1292*Z1290,IF($B$1289="Лікар загальної практики - сімейний лікар",W1292*Z1290,0)))</f>
        <v>0</v>
      </c>
      <c r="X1290" s="196">
        <f>IF($B$1289="Лікар-педіатр","x",IF($B$1289="Лікар-терапевт",X1292*Z1290,IF($B$1289="Лікар загальної практики - сімейний лікар",X1292*Z1290,0)))</f>
        <v>0</v>
      </c>
      <c r="Y1290" s="196">
        <f>IF($B$1289="Лікар-педіатр","x",IF($B$1289="Лікар-терапевт",Y1292*Z1290,IF($B$1289="Лікар загальної практики - сімейний лікар",Y1292*Z1290,0)))</f>
        <v>0</v>
      </c>
      <c r="Z1290" s="557"/>
      <c r="AA1290" s="942"/>
      <c r="AB1290" s="196">
        <f>IF($B$1289="Лікар-педіатр",AB1292*AG1290,IF($B$1289="Лікар-терапевт","х",IF($B$1289="Лікар загальної практики - сімейний лікар",AB1292*AG1290,0)))</f>
        <v>0</v>
      </c>
      <c r="AC1290" s="196">
        <f>IF($B$1289="Лікар-педіатр",AC1292*AG1290,IF($B$1289="Лікар-терапевт","х",IF($B$1289="Лікар загальної практики - сімейний лікар",AC1292*AG1290,0)))</f>
        <v>0</v>
      </c>
      <c r="AD1290" s="196">
        <f>IF($B$1289="Лікар-педіатр","x",IF($B$1289="Лікар-терапевт",AD1292*AG1290,IF($B$1289="Лікар загальної практики - сімейний лікар",AD1292*AG1290,0)))</f>
        <v>0</v>
      </c>
      <c r="AE1290" s="196">
        <f>IF($B$1289="Лікар-педіатр","x",IF($B$1289="Лікар-терапевт",AE1292*AG1290,IF($B$1289="Лікар загальної практики - сімейний лікар",AE1292*AG1290,0)))</f>
        <v>0</v>
      </c>
      <c r="AF1290" s="196">
        <f>IF($B$1289="Лікар-педіатр","x",IF($B$1289="Лікар-терапевт",AF1292*AG1290,IF($B$1289="Лікар загальної практики - сімейний лікар",AF1292*AG1290,0)))</f>
        <v>0</v>
      </c>
      <c r="AG1290" s="557"/>
      <c r="AH1290" s="942"/>
      <c r="AI1290" s="198"/>
      <c r="AJ1290" s="945"/>
      <c r="AK1290" s="960"/>
      <c r="AL1290" s="960"/>
      <c r="AM1290" s="930"/>
      <c r="AN1290" s="948"/>
      <c r="AO1290" s="948"/>
      <c r="AP1290" s="948"/>
      <c r="AQ1290" s="948"/>
      <c r="AR1290" s="963"/>
    </row>
    <row r="1291" spans="1:44" s="90" customFormat="1" ht="31.15" hidden="1" customHeight="1">
      <c r="A1291" s="240"/>
      <c r="B1291" s="951"/>
      <c r="C1291" s="954"/>
      <c r="D1291" s="957"/>
      <c r="E1291" s="939"/>
      <c r="F1291" s="241" t="s">
        <v>661</v>
      </c>
      <c r="G1291" s="199">
        <f>IF(B1289="Лікар загальної практики - сімейний лікар"," ",IF(B1289="Лікар-педіатр"," ",IF(B1289="Лікар-терапевт","х",0)))</f>
        <v>0</v>
      </c>
      <c r="H1291" s="199">
        <f>IF(B1289="Лікар загальної практики - сімейний лікар"," ",IF(B1289="Лікар-педіатр"," ",IF(B1289="Лікар-терапевт","х",0)))</f>
        <v>0</v>
      </c>
      <c r="I1291" s="199">
        <f>IF(B1289="Лікар загальної практики - сімейний лікар"," ",IF(B1289="Лікар-педіатр","х",IF(B1289="Лікар-терапевт"," ",0)))</f>
        <v>0</v>
      </c>
      <c r="J1291" s="199">
        <f>IF(B1289="Лікар загальної практики - сімейний лікар"," ",IF(B1289="Лікар-педіатр","х",IF(B1289="Лікар-терапевт"," ",0)))</f>
        <v>0</v>
      </c>
      <c r="K1291" s="199">
        <f>IF(B1289="Лікар загальної практики - сімейний лікар"," ",IF(B1289="Лікар-педіатр","х",IF(B1289="Лікар-терапевт"," ",0)))</f>
        <v>0</v>
      </c>
      <c r="L1291" s="200">
        <f>SUM(G1291:K1291)</f>
        <v>0</v>
      </c>
      <c r="M1291" s="942"/>
      <c r="N1291" s="199">
        <f>IF(B1289="Лікар загальної практики - сімейний лікар"," ",IF(B1289="Лікар-педіатр"," ",IF(B1289="Лікар-терапевт","х",0)))</f>
        <v>0</v>
      </c>
      <c r="O1291" s="199">
        <f>IF(B1289="Лікар загальної практики - сімейний лікар"," ",IF(B1289="Лікар-педіатр"," ",IF(B1289="Лікар-терапевт","х",0)))</f>
        <v>0</v>
      </c>
      <c r="P1291" s="199">
        <f>IF(B1289="Лікар загальної практики - сімейний лікар"," ",IF(B1289="Лікар-педіатр","х",IF(B1289="Лікар-терапевт"," ",0)))</f>
        <v>0</v>
      </c>
      <c r="Q1291" s="199">
        <f>IF(B1289="Лікар загальної практики - сімейний лікар"," ",IF(B1289="Лікар-педіатр","х",IF(B1289="Лікар-терапевт"," ",0)))</f>
        <v>0</v>
      </c>
      <c r="R1291" s="199">
        <f>IF(B1289="Лікар загальної практики - сімейний лікар"," ",IF(B1289="Лікар-педіатр","х",IF(B1289="Лікар-терапевт"," ",0)))</f>
        <v>0</v>
      </c>
      <c r="S1291" s="200">
        <f>SUM(N1291:R1291)</f>
        <v>0</v>
      </c>
      <c r="T1291" s="942"/>
      <c r="U1291" s="199">
        <f>IF(B1289="Лікар загальної практики - сімейний лікар"," ",IF(B1289="Лікар-педіатр"," ",IF(B1289="Лікар-терапевт","х",0)))</f>
        <v>0</v>
      </c>
      <c r="V1291" s="199">
        <f>IF(B1289="Лікар загальної практики - сімейний лікар"," ",IF(B1289="Лікар-педіатр"," ",IF(B1289="Лікар-терапевт","х",0)))</f>
        <v>0</v>
      </c>
      <c r="W1291" s="199">
        <f>IF(B1289="Лікар загальної практики - сімейний лікар"," ",IF(B1289="Лікар-педіатр","х",IF(B1289="Лікар-терапевт"," ",0)))</f>
        <v>0</v>
      </c>
      <c r="X1291" s="199">
        <f>IF(B1289="Лікар загальної практики - сімейний лікар"," ",IF(B1289="Лікар-педіатр","х",IF(B1289="Лікар-терапевт"," ",0)))</f>
        <v>0</v>
      </c>
      <c r="Y1291" s="199">
        <f>IF(B1289="Лікар загальної практики - сімейний лікар"," ",IF(B1289="Лікар-педіатр","х",IF(B1289="Лікар-терапевт"," ",0)))</f>
        <v>0</v>
      </c>
      <c r="Z1291" s="200">
        <f>SUM(U1291:Y1291)</f>
        <v>0</v>
      </c>
      <c r="AA1291" s="942"/>
      <c r="AB1291" s="199">
        <f>IF(B1289="Лікар загальної практики - сімейний лікар"," ",IF(B1289="Лікар-педіатр"," ",IF(B1289="Лікар-терапевт","х",0)))</f>
        <v>0</v>
      </c>
      <c r="AC1291" s="199">
        <f>IF(B1289="Лікар загальної практики - сімейний лікар"," ",IF(B1289="Лікар-педіатр"," ",IF(B1289="Лікар-терапевт","х",0)))</f>
        <v>0</v>
      </c>
      <c r="AD1291" s="199">
        <f>IF(B1289="Лікар загальної практики - сімейний лікар"," ",IF(B1289="Лікар-педіатр","х",IF(B1289="Лікар-терапевт"," ",0)))</f>
        <v>0</v>
      </c>
      <c r="AE1291" s="199">
        <f>IF(B1289="Лікар загальної практики - сімейний лікар"," ",IF(B1289="Лікар-педіатр","х",IF(B1289="Лікар-терапевт"," ",0)))</f>
        <v>0</v>
      </c>
      <c r="AF1291" s="199">
        <f>IF(B1289="Лікар загальної практики - сімейний лікар"," ",IF(B1289="Лікар-педіатр","х",IF(B1289="Лікар-терапевт"," ",0)))</f>
        <v>0</v>
      </c>
      <c r="AG1291" s="200">
        <f>SUM(AB1291:AF1291)</f>
        <v>0</v>
      </c>
      <c r="AH1291" s="942"/>
      <c r="AI1291" s="242"/>
      <c r="AJ1291" s="945"/>
      <c r="AK1291" s="960"/>
      <c r="AL1291" s="960"/>
      <c r="AM1291" s="930"/>
      <c r="AN1291" s="948"/>
      <c r="AO1291" s="948"/>
      <c r="AP1291" s="948"/>
      <c r="AQ1291" s="948"/>
      <c r="AR1291" s="963"/>
    </row>
    <row r="1292" spans="1:44" s="50" customFormat="1" ht="31.9" hidden="1" customHeight="1" thickBot="1">
      <c r="A1292" s="197"/>
      <c r="B1292" s="951"/>
      <c r="C1292" s="954"/>
      <c r="D1292" s="957"/>
      <c r="E1292" s="939"/>
      <c r="F1292" s="236" t="s">
        <v>426</v>
      </c>
      <c r="G1292" s="203">
        <f>IF($B$1289="Лікар-педіатр",G1291/L1291,IF($B$1289="Лікар-терапевт","х",IF($B$1289="Лікар загальної практики - сімейний лікар",G1291/L1291,0)))</f>
        <v>0</v>
      </c>
      <c r="H1292" s="203">
        <f>IF($B$1289="Лікар-педіатр",H1291/L1291,IF($B$1289="Лікар-терапевт","х",IF($B$1289="Лікар загальної практики - сімейний лікар",H1291/L1291,0)))</f>
        <v>0</v>
      </c>
      <c r="I1292" s="203">
        <f>IF($B$1289="Лікар-педіатр","x",IF($B$1289="Лікар-терапевт",I1291/L1291,IF($B$1289="Лікар загальної практики - сімейний лікар",I1291/L1291,0)))</f>
        <v>0</v>
      </c>
      <c r="J1292" s="203">
        <f>IF($B$1289="Лікар-педіатр","x",IF($B$1289="Лікар-терапевт",J1291/L1291,IF($B$1289="Лікар загальної практики - сімейний лікар",J1291/L1291,0)))</f>
        <v>0</v>
      </c>
      <c r="K1292" s="203">
        <f>IF($B$1289="Лікар-педіатр","x",IF($B$1289="Лікар-терапевт",K1291/L1291,IF($B$1289="Лікар загальної практики - сімейний лікар",K1291/L1291,0)))</f>
        <v>0</v>
      </c>
      <c r="L1292" s="203">
        <f>SUM(G1292:K1292)</f>
        <v>0</v>
      </c>
      <c r="M1292" s="942"/>
      <c r="N1292" s="203">
        <f>IF($B$1289="Лікар-педіатр",N1291/S1291,IF($B$1289="Лікар-терапевт","х",IF($B$1289="Лікар загальної практики - сімейний лікар",N1291/S1291,0)))</f>
        <v>0</v>
      </c>
      <c r="O1292" s="203">
        <f>IF($B$1289="Лікар-педіатр",O1291/S1291,IF($B$1289="Лікар-терапевт","х",IF($B$1289="Лікар загальної практики - сімейний лікар",O1291/S1291,0)))</f>
        <v>0</v>
      </c>
      <c r="P1292" s="203">
        <f>IF($B$1289="Лікар-педіатр","x",IF($B$1289="Лікар-терапевт",P1291/S1291,IF($B$1289="Лікар загальної практики - сімейний лікар",P1291/S1291,0)))</f>
        <v>0</v>
      </c>
      <c r="Q1292" s="203">
        <f>IF($B$1289="Лікар-педіатр","x",IF($B$1289="Лікар-терапевт",Q1291/S1291,IF($B$1289="Лікар загальної практики - сімейний лікар",Q1291/S1291,0)))</f>
        <v>0</v>
      </c>
      <c r="R1292" s="203">
        <f>IF($B$1289="Лікар-педіатр","x",IF($B$1289="Лікар-терапевт",R1291/S1291,IF($B$1289="Лікар загальної практики - сімейний лікар",R1291/S1291,0)))</f>
        <v>0</v>
      </c>
      <c r="S1292" s="203">
        <f>SUM(N1292:R1292)</f>
        <v>0</v>
      </c>
      <c r="T1292" s="942"/>
      <c r="U1292" s="203">
        <f>IF($B$1289="Лікар-педіатр",U1291/Z1291,IF($B$1289="Лікар-терапевт","х",IF($B$1289="Лікар загальної практики - сімейний лікар",U1291/Z1291,0)))</f>
        <v>0</v>
      </c>
      <c r="V1292" s="203">
        <f>IF($B$1289="Лікар-педіатр",V1291/Z1291,IF($B$1289="Лікар-терапевт","х",IF($B$1289="Лікар загальної практики - сімейний лікар",V1291/Z1291,0)))</f>
        <v>0</v>
      </c>
      <c r="W1292" s="203">
        <f>IF($B$1289="Лікар-педіатр","x",IF($B$1289="Лікар-терапевт",W1291/Z1291,IF($B$1289="Лікар загальної практики - сімейний лікар",W1291/Z1291,0)))</f>
        <v>0</v>
      </c>
      <c r="X1292" s="203">
        <f>IF($B$1289="Лікар-педіатр","x",IF($B$1289="Лікар-терапевт",X1291/Z1291,IF($B$1289="Лікар загальної практики - сімейний лікар",X1291/Z1291,0)))</f>
        <v>0</v>
      </c>
      <c r="Y1292" s="203">
        <f>IF($B$1289="Лікар-педіатр","x",IF($B$1289="Лікар-терапевт",Y1291/Z1291,IF($B$1289="Лікар загальної практики - сімейний лікар",Y1291/Z1291,0)))</f>
        <v>0</v>
      </c>
      <c r="Z1292" s="203">
        <f>SUM(U1292:Y1292)</f>
        <v>0</v>
      </c>
      <c r="AA1292" s="942"/>
      <c r="AB1292" s="203">
        <f>IF($B$1289="Лікар-педіатр",AB1291/AG1291,IF($B$1289="Лікар-терапевт","х",IF($B$1289="Лікар загальної практики - сімейний лікар",AB1291/AG1291,0)))</f>
        <v>0</v>
      </c>
      <c r="AC1292" s="203">
        <f>IF($B$1289="Лікар-педіатр",AC1291/AG1291,IF($B$1289="Лікар-терапевт","х",IF($B$1289="Лікар загальної практики - сімейний лікар",AC1291/AG1291,0)))</f>
        <v>0</v>
      </c>
      <c r="AD1292" s="203">
        <f>IF($B$1289="Лікар-педіатр","x",IF($B$1289="Лікар-терапевт",AD1291/AG1291,IF($B$1289="Лікар загальної практики - сімейний лікар",AD1291/AG1291,0)))</f>
        <v>0</v>
      </c>
      <c r="AE1292" s="203">
        <f>IF($B$1289="Лікар-педіатр","x",IF($B$1289="Лікар-терапевт",AE1291/AG1291,IF($B$1289="Лікар загальної практики - сімейний лікар",AE1291/AG1291,0)))</f>
        <v>0</v>
      </c>
      <c r="AF1292" s="203">
        <f>IF($B$1289="Лікар-педіатр","x",IF($B$1289="Лікар-терапевт",AF1291/AG1291,IF($B$1289="Лікар загальної практики - сімейний лікар",AF1291/AG1291,0)))</f>
        <v>0</v>
      </c>
      <c r="AG1292" s="203">
        <f>SUM(AB1292:AF1292)</f>
        <v>0</v>
      </c>
      <c r="AH1292" s="942"/>
      <c r="AI1292" s="201"/>
      <c r="AJ1292" s="945"/>
      <c r="AK1292" s="960"/>
      <c r="AL1292" s="960"/>
      <c r="AM1292" s="930"/>
      <c r="AN1292" s="948"/>
      <c r="AO1292" s="948"/>
      <c r="AP1292" s="948"/>
      <c r="AQ1292" s="948"/>
      <c r="AR1292" s="963"/>
    </row>
    <row r="1293" spans="1:44" s="50" customFormat="1" ht="45" hidden="1" customHeight="1" thickBot="1">
      <c r="A1293" s="197"/>
      <c r="B1293" s="951"/>
      <c r="C1293" s="954"/>
      <c r="D1293" s="957"/>
      <c r="E1293" s="939"/>
      <c r="F1293" s="204" t="s">
        <v>662</v>
      </c>
      <c r="G1293" s="205">
        <f>IF($B$1289="Лікар загальної практики - сімейний лікар",AVERAGE(G1289:G1291),IF($B$1289="Лікар-педіатр",AVERAGE(G1289:G1291),IF($B$1289="Лікар-терапевт","х",0)))</f>
        <v>0</v>
      </c>
      <c r="H1293" s="205">
        <f>IF($B$1289="Лікар загальної практики - сімейний лікар",AVERAGE(H1289:H1291),IF($B$1289="Лікар-педіатр",AVERAGE(H1289:H1291),IF($B$1289="Лікар-терапевт","х",0)))</f>
        <v>0</v>
      </c>
      <c r="I1293" s="205">
        <f>IF($B$1289="Лікар загальної практики - сімейний лікар",AVERAGE(I1289:I1291),IF($B$1289="Лікар-педіатр","x",IF($B$1289="Лікар-терапевт",AVERAGE(I1289:I1291),0)))</f>
        <v>0</v>
      </c>
      <c r="J1293" s="205">
        <f>IF($B$1289="Лікар загальної практики - сімейний лікар",AVERAGE(J1289:J1291),IF($B$1289="Лікар-педіатр","x",IF($B$1289="Лікар-терапевт",AVERAGE(J1289:J1291),0)))</f>
        <v>0</v>
      </c>
      <c r="K1293" s="205">
        <f>IF($B$1289="Лікар загальної практики - сімейний лікар",AVERAGE(K1289:K1291),IF($B$1289="Лікар-педіатр","x",IF($B$1289="Лікар-терапевт",AVERAGE(K1289:K1291),0)))</f>
        <v>0</v>
      </c>
      <c r="L1293" s="206">
        <f>SUM(G1293:K1293)</f>
        <v>0</v>
      </c>
      <c r="M1293" s="942"/>
      <c r="N1293" s="205">
        <f>IF($B$1289="Лікар загальної практики - сімейний лікар",AVERAGE(N1289:N1291),IF($B$1289="Лікар-педіатр",AVERAGE(N1289:N1291),IF($B$1289="Лікар-терапевт","х",0)))</f>
        <v>0</v>
      </c>
      <c r="O1293" s="205">
        <f>IF($B$1289="Лікар загальної практики - сімейний лікар",AVERAGE(O1289:O1291),IF($B$1289="Лікар-педіатр",AVERAGE(O1289:O1291),IF($B$1289="Лікар-терапевт","х",0)))</f>
        <v>0</v>
      </c>
      <c r="P1293" s="205">
        <f>IF($B$1289="Лікар загальної практики - сімейний лікар",AVERAGE(P1289:P1291),IF($B$1289="Лікар-педіатр","x",IF($B$1289="Лікар-терапевт",AVERAGE(P1289:P1291),0)))</f>
        <v>0</v>
      </c>
      <c r="Q1293" s="205">
        <f>IF($B$1289="Лікар загальної практики - сімейний лікар",AVERAGE(Q1289:Q1291),IF($B$1289="Лікар-педіатр","x",IF($B$1289="Лікар-терапевт",AVERAGE(Q1289:Q1291),0)))</f>
        <v>0</v>
      </c>
      <c r="R1293" s="205">
        <f>IF($B$1289="Лікар загальної практики - сімейний лікар",AVERAGE(R1289:R1291),IF($B$1289="Лікар-педіатр","x",IF($B$1289="Лікар-терапевт",AVERAGE(R1289:R1291),0)))</f>
        <v>0</v>
      </c>
      <c r="S1293" s="206">
        <f>SUM(N1293:R1293)</f>
        <v>0</v>
      </c>
      <c r="T1293" s="942"/>
      <c r="U1293" s="205">
        <f>IF($B$1289="Лікар загальної практики - сімейний лікар",AVERAGE(U1289:U1291),IF($B$1289="Лікар-педіатр",AVERAGE(U1289:U1291),IF($B$1289="Лікар-терапевт","х",0)))</f>
        <v>0</v>
      </c>
      <c r="V1293" s="205">
        <f>IF($B$1289="Лікар загальної практики - сімейний лікар",AVERAGE(V1289:V1291),IF($B$1289="Лікар-педіатр",AVERAGE(V1289:V1291),IF($B$1289="Лікар-терапевт","х",0)))</f>
        <v>0</v>
      </c>
      <c r="W1293" s="205">
        <f>IF($B$1289="Лікар загальної практики - сімейний лікар",AVERAGE(W1289:W1291),IF($B$1289="Лікар-педіатр","x",IF($B$1289="Лікар-терапевт",AVERAGE(W1289:W1291),0)))</f>
        <v>0</v>
      </c>
      <c r="X1293" s="205">
        <f>IF($B$1289="Лікар загальної практики - сімейний лікар",AVERAGE(X1289:X1291),IF($B$1289="Лікар-педіатр","x",IF($B$1289="Лікар-терапевт",AVERAGE(X1289:X1291),0)))</f>
        <v>0</v>
      </c>
      <c r="Y1293" s="205">
        <f>IF($B$1289="Лікар загальної практики - сімейний лікар",AVERAGE(Y1289:Y1291),IF($B$1289="Лікар-педіатр","x",IF($B$1289="Лікар-терапевт",AVERAGE(Y1289:Y1291),0)))</f>
        <v>0</v>
      </c>
      <c r="Z1293" s="206">
        <f>SUM(U1293:Y1293)</f>
        <v>0</v>
      </c>
      <c r="AA1293" s="942"/>
      <c r="AB1293" s="205">
        <f>IF($B$1289="Лікар загальної практики - сімейний лікар",AVERAGE(AB1289:AB1291),IF($B$1289="Лікар-педіатр",AVERAGE(AB1289:AB1291),IF($B$1289="Лікар-терапевт","х",0)))</f>
        <v>0</v>
      </c>
      <c r="AC1293" s="205">
        <f>IF($B$1289="Лікар загальної практики - сімейний лікар",AVERAGE(AC1289:AC1291),IF($B$1289="Лікар-педіатр",AVERAGE(AC1289:AC1291),IF($B$1289="Лікар-терапевт","х",0)))</f>
        <v>0</v>
      </c>
      <c r="AD1293" s="205">
        <f>IF($B$1289="Лікар загальної практики - сімейний лікар",AVERAGE(AD1289:AD1291),IF($B$1289="Лікар-педіатр","x",IF($B$1289="Лікар-терапевт",AVERAGE(AD1289:AD1291),0)))</f>
        <v>0</v>
      </c>
      <c r="AE1293" s="205">
        <f>IF($B$1289="Лікар загальної практики - сімейний лікар",AVERAGE(AE1289:AE1291),IF($B$1289="Лікар-педіатр","x",IF($B$1289="Лікар-терапевт",AVERAGE(AE1289:AE1291),0)))</f>
        <v>0</v>
      </c>
      <c r="AF1293" s="205">
        <f>IF($B$1289="Лікар загальної практики - сімейний лікар",AVERAGE(AF1289:AF1291),IF($B$1289="Лікар-педіатр","x",IF($B$1289="Лікар-терапевт",AVERAGE(AF1289:AF1291),0)))</f>
        <v>0</v>
      </c>
      <c r="AG1293" s="206">
        <f>SUM(AB1293:AF1293)</f>
        <v>0</v>
      </c>
      <c r="AH1293" s="942"/>
      <c r="AI1293" s="201"/>
      <c r="AJ1293" s="945"/>
      <c r="AK1293" s="960"/>
      <c r="AL1293" s="960"/>
      <c r="AM1293" s="931"/>
      <c r="AN1293" s="949"/>
      <c r="AO1293" s="949"/>
      <c r="AP1293" s="949"/>
      <c r="AQ1293" s="949"/>
      <c r="AR1293" s="964"/>
    </row>
    <row r="1294" spans="1:44" s="50" customFormat="1" ht="40.5" hidden="1">
      <c r="A1294" s="197"/>
      <c r="B1294" s="951"/>
      <c r="C1294" s="954"/>
      <c r="D1294" s="957"/>
      <c r="E1294" s="939"/>
      <c r="F1294" s="237" t="str">
        <f ca="1">IF(B1289="Лікар-педіатр",Законод!$C$17,IF(B1289="Лікар загальної практики - сімейний лікар",Законод!$C$21,IF(B1289="Лікар-терапевт",Законод!$C$25,"х")))</f>
        <v>х</v>
      </c>
      <c r="G1294" s="208">
        <f ca="1">IF($B$1289="Лікар загальної практики - сімейний лікар",IF(L1293&lt;=Законод!$C$22,G1293,Законод!$C$22*'01_Доходи'!G1292),IF($B$1289="Лікар-педіатр",IF(L1293&lt;=Законод!$C$18,G1293,Законод!$C$18*'01_Доходи'!G1292),IF($B$1289="Лікар-терапевт","x",0)))</f>
        <v>0</v>
      </c>
      <c r="H1294" s="208">
        <f ca="1">IF($B$1289="Лікар загальної практики - сімейний лікар",IF(L1293&lt;=Законод!$C$22,H1293,Законод!$C$22*'01_Доходи'!H1292),IF($B$1289="Лікар-педіатр",IF(L1293&lt;=Законод!$C$18,H1293,Законод!$C$18*'01_Доходи'!H1292),IF($B$1289="Лікар-терапевт","x",0)))</f>
        <v>0</v>
      </c>
      <c r="I1294" s="208">
        <f ca="1">IF($B$1289="Лікар загальної практики - сімейний лікар",IF(L1293&lt;=Законод!$C$22,I1293,Законод!$C$22*'01_Доходи'!I1292),IF($B$1289="Лікар-педіатр","x",IF($B$1289="Лікар-терапевт",IF(L1293&lt;=Законод!$C$26,I1293,Законод!$C$26*'01_Доходи'!I1292),0)))</f>
        <v>0</v>
      </c>
      <c r="J1294" s="208">
        <f ca="1">IF($B$1289="Лікар загальної практики - сімейний лікар",IF(L1293&lt;=Законод!$C$22,J1293,Законод!$C$22*'01_Доходи'!J1292),IF($B$1289="Лікар-педіатр","x",IF($B$1289="Лікар-терапевт",IF(L1293&lt;=Законод!$C$26,J1293,Законод!$C$26*'01_Доходи'!J1292),0)))</f>
        <v>0</v>
      </c>
      <c r="K1294" s="208">
        <f ca="1">IF($B$1289="Лікар загальної практики - сімейний лікар",IF(L1293&lt;=Законод!$C$22,K1293,Законод!$C$22*'01_Доходи'!K1292),IF($B$1289="Лікар-педіатр","x",IF($B$1289="Лікар-терапевт",IF(L1293&lt;=Законод!$C$26,K1293,Законод!$C$26*'01_Доходи'!K1292),0)))</f>
        <v>0</v>
      </c>
      <c r="L1294" s="209">
        <f ca="1">SUM(G1294:K1294)</f>
        <v>0</v>
      </c>
      <c r="M1294" s="942"/>
      <c r="N1294" s="208">
        <f ca="1">IF($B$1289="Лікар загальної практики - сімейний лікар",IF(S1293&lt;=Законод!$C$22,N1293,Законод!$C$22*'01_Доходи'!N1292),IF($B$1289="Лікар-педіатр",IF(S1293&lt;=Законод!$C$18,N1293,Законод!$C$18*'01_Доходи'!N1292),IF($B$1289="Лікар-терапевт","x",0)))</f>
        <v>0</v>
      </c>
      <c r="O1294" s="208">
        <f ca="1">IF($B$1289="Лікар загальної практики - сімейний лікар",IF(S1293&lt;=Законод!$C$22,O1293,Законод!$C$22*'01_Доходи'!O1292),IF($B$1289="Лікар-педіатр",IF(S1293&lt;=Законод!$C$18,O1293,Законод!$C$18*'01_Доходи'!O1292),IF($B$1289="Лікар-терапевт","x",0)))</f>
        <v>0</v>
      </c>
      <c r="P1294" s="208">
        <f ca="1">IF($B$1289="Лікар загальної практики - сімейний лікар",IF(S1293&lt;=Законод!$C$22,P1293,Законод!$C$22*'01_Доходи'!P1292),IF($B$1289="Лікар-педіатр","x",IF($B$1289="Лікар-терапевт",IF(S1293&lt;=Законод!$C$26,P1293,Законод!$C$26*'01_Доходи'!P1292),0)))</f>
        <v>0</v>
      </c>
      <c r="Q1294" s="208">
        <f ca="1">IF($B$1289="Лікар загальної практики - сімейний лікар",IF(S1293&lt;=Законод!$C$22,Q1293,Законод!$C$22*'01_Доходи'!Q1292),IF($B$1289="Лікар-педіатр","x",IF($B$1289="Лікар-терапевт",IF(S1293&lt;=Законод!$C$26,Q1293,Законод!$C$26*'01_Доходи'!Q1292),0)))</f>
        <v>0</v>
      </c>
      <c r="R1294" s="208">
        <f ca="1">IF($B$1289="Лікар загальної практики - сімейний лікар",IF(S1293&lt;=Законод!$C$22,R1293,Законод!$C$22*'01_Доходи'!R1292),IF($B$1289="Лікар-педіатр","x",IF($B$1289="Лікар-терапевт",IF(S1293&lt;=Законод!$C$26,R1293,Законод!$C$26*'01_Доходи'!R1292),0)))</f>
        <v>0</v>
      </c>
      <c r="S1294" s="209">
        <f ca="1">SUM(N1294:R1294)</f>
        <v>0</v>
      </c>
      <c r="T1294" s="942"/>
      <c r="U1294" s="208">
        <f ca="1">IF($B$1289="Лікар загальної практики - сімейний лікар",IF(Z1293&lt;=Законод!$C$22,U1293,Законод!$C$22*'01_Доходи'!U1292),IF($B$1289="Лікар-педіатр",IF(Z1293&lt;=Законод!$C$18,U1293,Законод!$C$18*'01_Доходи'!U1292),IF($B$1289="Лікар-терапевт","x",0)))</f>
        <v>0</v>
      </c>
      <c r="V1294" s="208">
        <f ca="1">IF($B$1289="Лікар загальної практики - сімейний лікар",IF(Z1293&lt;=Законод!$C$22,V1293,Законод!$C$22*'01_Доходи'!V1292),IF($B$1289="Лікар-педіатр",IF(Z1293&lt;=Законод!$C$18,V1293,Законод!$C$18*'01_Доходи'!V1292),IF($B$1289="Лікар-терапевт","x",0)))</f>
        <v>0</v>
      </c>
      <c r="W1294" s="208">
        <f ca="1">IF($B$1289="Лікар загальної практики - сімейний лікар",IF(Z1293&lt;=Законод!$C$22,W1293,Законод!$C$22*'01_Доходи'!W1292),IF($B$1289="Лікар-педіатр","x",IF($B$1289="Лікар-терапевт",IF(Z1293&lt;=Законод!$C$26,W1293,Законод!$C$26*'01_Доходи'!W1292),0)))</f>
        <v>0</v>
      </c>
      <c r="X1294" s="208">
        <f ca="1">IF($B$1289="Лікар загальної практики - сімейний лікар",IF(Z1293&lt;=Законод!$C$22,X1293,Законод!$C$22*'01_Доходи'!X1292),IF($B$1289="Лікар-педіатр","x",IF($B$1289="Лікар-терапевт",IF(Z1293&lt;=Законод!$C$26,X1293,Законод!$C$26*'01_Доходи'!X1292),0)))</f>
        <v>0</v>
      </c>
      <c r="Y1294" s="208">
        <f ca="1">IF($B$1289="Лікар загальної практики - сімейний лікар",IF(Z1293&lt;=Законод!$C$22,Y1293,Законод!$C$22*'01_Доходи'!Y1292),IF($B$1289="Лікар-педіатр","x",IF($B$1289="Лікар-терапевт",IF(Z1293&lt;=Законод!$C$26,Y1293,Законод!$C$26*'01_Доходи'!Y1292),0)))</f>
        <v>0</v>
      </c>
      <c r="Z1294" s="209">
        <f ca="1">SUM(U1294:Y1294)</f>
        <v>0</v>
      </c>
      <c r="AA1294" s="942"/>
      <c r="AB1294" s="208">
        <f ca="1">IF($B$1289="Лікар загальної практики - сімейний лікар",IF(AG1293&lt;=Законод!$C$22,AB1293,Законод!$C$22*'01_Доходи'!AB1292),IF($B$1289="Лікар-педіатр",IF(AG1293&lt;=Законод!$C$18,AB1293,Законод!$C$18*'01_Доходи'!AB1292),IF($B$1289="Лікар-терапевт","x",0)))</f>
        <v>0</v>
      </c>
      <c r="AC1294" s="208">
        <f ca="1">IF($B$1289="Лікар загальної практики - сімейний лікар",IF(AG1293&lt;=Законод!$C$22,AC1293,Законод!$C$22*'01_Доходи'!AC1292),IF($B$1289="Лікар-педіатр",IF(AG1293&lt;=Законод!$C$18,AC1293,Законод!$C$18*'01_Доходи'!AC1292),IF($B$1289="Лікар-терапевт","x",0)))</f>
        <v>0</v>
      </c>
      <c r="AD1294" s="208">
        <f ca="1">IF($B$1289="Лікар загальної практики - сімейний лікар",IF(AG1293&lt;=Законод!$C$22,AD1293,Законод!$C$22*'01_Доходи'!AD1292),IF($B$1289="Лікар-педіатр","x",IF($B$1289="Лікар-терапевт",IF(AG1293&lt;=Законод!$C$26,AD1293,Законод!$C$26*'01_Доходи'!AD1292),0)))</f>
        <v>0</v>
      </c>
      <c r="AE1294" s="208">
        <f ca="1">IF($B$1289="Лікар загальної практики - сімейний лікар",IF(AG1293&lt;=Законод!$C$22,AE1293,Законод!$C$22*'01_Доходи'!AE1292),IF($B$1289="Лікар-педіатр","x",IF($B$1289="Лікар-терапевт",IF(AG1293&lt;=Законод!$C$26,AE1293,Законод!$C$26*'01_Доходи'!AE1292),0)))</f>
        <v>0</v>
      </c>
      <c r="AF1294" s="208">
        <f ca="1">IF($B$1289="Лікар загальної практики - сімейний лікар",IF(AG1293&lt;=Законод!$C$22,AF1293,Законод!$C$22*'01_Доходи'!AF1292),IF($B$1289="Лікар-педіатр","x",IF($B$1289="Лікар-терапевт",IF(AG1293&lt;=Законод!$C$26,AF1293,Законод!$C$26*'01_Доходи'!AF1292),0)))</f>
        <v>0</v>
      </c>
      <c r="AG1294" s="209">
        <f ca="1">SUM(AB1294:AF1294)</f>
        <v>0</v>
      </c>
      <c r="AH1294" s="942"/>
      <c r="AI1294" s="201"/>
      <c r="AJ1294" s="945"/>
      <c r="AK1294" s="960"/>
      <c r="AL1294" s="960"/>
      <c r="AM1294" s="348" t="s">
        <v>451</v>
      </c>
      <c r="AN1294" s="210">
        <f ca="1">IF(B1289="Лікар загальної практики - сімейний лікар",G1294*Законод!$C$11+'01_Доходи'!H1294*Законод!$D$11+'01_Доходи'!I1294*Законод!$E$11+'01_Доходи'!J1294*Законод!$F$11+'01_Доходи'!K1294*Законод!$G$11,IF(B1289="Лікар-педіатр",G1294*Законод!$C$11+'01_Доходи'!H1294*Законод!$D$11,IF(B1289="Лікар-терапевт",'01_Доходи'!I1294*Законод!$E$11+'01_Доходи'!J1294*Законод!$F$11+'01_Доходи'!K1294*Законод!$G$11,0)))</f>
        <v>0</v>
      </c>
      <c r="AO1294" s="210">
        <f ca="1">IF(B1289="Лікар загальної практики - сімейний лікар",N1294*Законод!$C$11+'01_Доходи'!O1294*Законод!$D$11+'01_Доходи'!P1294*Законод!$E$11+'01_Доходи'!Q1294*Законод!$F$11+'01_Доходи'!R1294*Законод!$G$11,IF(B1289="Лікар-педіатр",N1294*Законод!$C$11+'01_Доходи'!O1294*Законод!$D$11,IF(B1289="Лікар-терапевт",'01_Доходи'!P1294*Законод!$E$11+'01_Доходи'!Q1294*Законод!$F$11+'01_Доходи'!R1294*Законод!$G$11,0)))</f>
        <v>0</v>
      </c>
      <c r="AP1294" s="210">
        <f ca="1">IF(B1289="Лікар загальної практики - сімейний лікар",U1294*Законод!$C$11+'01_Доходи'!V1294*Законод!$D$11+'01_Доходи'!W1294*Законод!$E$11+'01_Доходи'!X1294*Законод!$F$11+'01_Доходи'!Y1294*Законод!$G$11,IF(B1289="Лікар-педіатр",U1294*Законод!$C$11+'01_Доходи'!V1294*Законод!$D$11,IF(B1289="Лікар-терапевт",'01_Доходи'!W1294*Законод!$E$11+'01_Доходи'!X1294*Законод!$F$11+'01_Доходи'!Y1294*Законод!$G$11,0)))</f>
        <v>0</v>
      </c>
      <c r="AQ1294" s="210">
        <f ca="1">IF(B1289="Лікар загальної практики - сімейний лікар",AB1294*Законод!$C$11+'01_Доходи'!AC1294*Законод!$D$11+'01_Доходи'!AD1294*Законод!$E$11+'01_Доходи'!AE1294*Законод!$F$11+'01_Доходи'!AF1294*Законод!$G$11,IF(B1289="Лікар-педіатр",AB1294*Законод!$C$11+'01_Доходи'!AC1294*Законод!$D$11,IF(B1289="Лікар-терапевт",'01_Доходи'!AD1294*Законод!$E$11+'01_Доходи'!AE1294*Законод!$F$11+'01_Доходи'!AF1294*Законод!$G$11,0)))</f>
        <v>0</v>
      </c>
      <c r="AR1294" s="211">
        <f t="shared" ref="AR1294:AR1300" si="139">SUM(AN1294:AQ1294)</f>
        <v>0</v>
      </c>
    </row>
    <row r="1295" spans="1:44" s="50" customFormat="1" ht="31.9" hidden="1" customHeight="1">
      <c r="A1295" s="197"/>
      <c r="B1295" s="951"/>
      <c r="C1295" s="954"/>
      <c r="D1295" s="957"/>
      <c r="E1295" s="939"/>
      <c r="F1295" s="238" t="str">
        <f ca="1">IF(B1289="Лікар-педіатр",Законод!$E$17,IF(B1289="Лікар загальної практики - сімейний лікар",Законод!$E$21,IF(B1289="Лікар-терапевт",Законод!$E$25,"х")))</f>
        <v>х</v>
      </c>
      <c r="G1295" s="935" t="s">
        <v>423</v>
      </c>
      <c r="H1295" s="936"/>
      <c r="I1295" s="936"/>
      <c r="J1295" s="936"/>
      <c r="K1295" s="937"/>
      <c r="L1295" s="196">
        <f ca="1">IF($B$1289="Лікар загальної практики - сімейний лікар",IF(L1293&lt;Законод!$C$22,0,(IF(AND(L1293&gt;=Законод!$E$22,L1293&lt;=Законод!$E$23),L1293-Законод!$C$22,IF('01_Доходи'!L1293&gt;=Законод!$F$22,Законод!$E$24,0)))),IF($B$1289="Лікар-педіатр",IF(L1293&lt;Законод!$C$18,0,(IF(AND(L1293&gt;=Законод!$E$18,L1293&lt;=Законод!$E$19),L1293-Законод!$C$18,IF('01_Доходи'!L1293&gt;=Законод!$F$18,Законод!$E$20,0)))),IF($B$1289="Лікар-терапевт",IF(L1293&lt;Законод!$C$26,0,(IF(AND(L1293&gt;=Законод!$E$26,L1293&lt;=Законод!$E$27),L1293-Законод!$C$26,IF('01_Доходи'!L1293&gt;=Законод!$F$26,Законод!$E$28,0)))),0)))</f>
        <v>0</v>
      </c>
      <c r="M1295" s="942"/>
      <c r="N1295" s="935" t="s">
        <v>423</v>
      </c>
      <c r="O1295" s="936"/>
      <c r="P1295" s="936"/>
      <c r="Q1295" s="936"/>
      <c r="R1295" s="937"/>
      <c r="S1295" s="196">
        <f ca="1">IF($B$1289="Лікар загальної практики - сімейний лікар",IF(S1293&lt;Законод!$C$22,0,(IF(AND(S1293&gt;=Законод!$E$22,S1293&lt;=Законод!$E$23),S1293-Законод!$C$22,IF('01_Доходи'!S1293&gt;=Законод!$F$22,Законод!$E$24,0)))),IF($B$1289="Лікар-педіатр",IF(S1293&lt;Законод!$C$18,0,(IF(AND(S1293&gt;=Законод!$E$18,S1293&lt;=Законод!$E$19),S1293-Законод!$C$18,IF('01_Доходи'!S1293&gt;=Законод!$F$18,Законод!$E$20,0)))),IF($B$1289="Лікар-терапевт",IF(S1293&lt;Законод!$C$26,0,(IF(AND(S1293&gt;=Законод!$E$26,S1293&lt;=Законод!$E$27),S1293-Законод!$C$26,IF('01_Доходи'!S1293&gt;=Законод!$F$26,Законод!$E$28,0)))),0)))</f>
        <v>0</v>
      </c>
      <c r="T1295" s="942"/>
      <c r="U1295" s="935" t="s">
        <v>423</v>
      </c>
      <c r="V1295" s="936"/>
      <c r="W1295" s="936"/>
      <c r="X1295" s="936"/>
      <c r="Y1295" s="937"/>
      <c r="Z1295" s="196">
        <f ca="1">IF($B$1289="Лікар загальної практики - сімейний лікар",IF(Z1293&lt;Законод!$C$22,0,(IF(AND(Z1293&gt;=Законод!$E$22,Z1293&lt;=Законод!$E$23),Z1293-Законод!$C$22,IF('01_Доходи'!Z1293&gt;=Законод!$F$22,Законод!$E$24,0)))),IF($B$1289="Лікар-педіатр",IF(Z1293&lt;Законод!$C$18,0,(IF(AND(Z1293&gt;=Законод!$E$18,Z1293&lt;=Законод!$E$19),Z1293-Законод!$C$18,IF('01_Доходи'!Z1293&gt;=Законод!$F$18,Законод!$E$20,0)))),IF($B$1289="Лікар-терапевт",IF(Z1293&lt;Законод!$C$26,0,(IF(AND(Z1293&gt;=Законод!$E$26,Z1293&lt;=Законод!$E$27),Z1293-Законод!$C$26,IF('01_Доходи'!Z1293&gt;=Законод!$F$26,Законод!$E$28,0)))),0)))</f>
        <v>0</v>
      </c>
      <c r="AA1295" s="942"/>
      <c r="AB1295" s="935" t="s">
        <v>423</v>
      </c>
      <c r="AC1295" s="936"/>
      <c r="AD1295" s="936"/>
      <c r="AE1295" s="936"/>
      <c r="AF1295" s="937"/>
      <c r="AG1295" s="196">
        <f ca="1">IF($B$1289="Лікар загальної практики - сімейний лікар",IF(AG1293&lt;Законод!$C$22,0,(IF(AND(AG1293&gt;=Законод!$E$22,AG1293&lt;=Законод!$E$23),AG1293-Законод!$C$22,IF('01_Доходи'!AG1293&gt;=Законод!$F$22,Законод!$E$24,0)))),IF($B$1289="Лікар-педіатр",IF(AG1293&lt;Законод!$C$18,0,(IF(AND(AG1293&gt;=Законод!$E$18,AG1293&lt;=Законод!$E$19),AG1293-Законод!$C$18,IF('01_Доходи'!AG1293&gt;=Законод!$F$18,Законод!$E$20,0)))),IF($B$1289="Лікар-терапевт",IF(AG1293&lt;Законод!$C$26,0,(IF(AND(AG1293&gt;=Законод!$E$26,AG1293&lt;=Законод!$E$27),AG1293-Законод!$C$26,IF('01_Доходи'!AG1293&gt;=Законод!$F$26,Законод!$E$28,0)))),0)))</f>
        <v>0</v>
      </c>
      <c r="AH1295" s="942"/>
      <c r="AI1295" s="201"/>
      <c r="AJ1295" s="945"/>
      <c r="AK1295" s="960"/>
      <c r="AL1295" s="960"/>
      <c r="AM1295" s="926" t="s">
        <v>452</v>
      </c>
      <c r="AN1295" s="210">
        <f ca="1">IF(B1289="Лікар загальної практики - сімейний лікар",L1295*Законод!$C$9/4*Законод!$E$16,IF(B1289="Лікар-педіатр",L1295*Законод!$C$9/4*Законод!$E$16,IF(B1289="Лікар-терапевт",L1295*Законод!$C$9/4*Законод!$E$16,0)))</f>
        <v>0</v>
      </c>
      <c r="AO1295" s="210">
        <f ca="1">IF(B1289="Лікар загальної практики - сімейний лікар",S1295*Законод!$C$9/4*Законод!$E$16,IF(B1289="Лікар-педіатр",S1295*Законод!$C$9/4*Законод!$E$16,IF(B1289="Лікар-терапевт",S1295*Законод!$C$9/4*Законод!$E$16,0)))</f>
        <v>0</v>
      </c>
      <c r="AP1295" s="210">
        <f ca="1">IF(B1289="Лікар загальної практики - сімейний лікар",Z1295*Законод!$C$9/4*Законод!$E$16,IF(B1289="Лікар-педіатр",Z1295*Законод!$C$9/4*Законод!$E$16,IF(B1289="Лікар-терапевт",Z1295*Законод!$C$9/4*Законод!$E$16,0)))</f>
        <v>0</v>
      </c>
      <c r="AQ1295" s="210">
        <f ca="1">IF(B1289="Лікар загальної практики - сімейний лікар",AG1295*Законод!$C$9/4*Законод!$E$16,IF(B1289="Лікар-педіатр",AG1295*Законод!$C$9/4*Законод!$E$16,IF(B1289="Лікар-терапевт",AG1295*Законод!$C$9/4*Законод!$E$16,0)))</f>
        <v>0</v>
      </c>
      <c r="AR1295" s="211">
        <f t="shared" si="139"/>
        <v>0</v>
      </c>
    </row>
    <row r="1296" spans="1:44" s="50" customFormat="1" ht="31.9" hidden="1" customHeight="1">
      <c r="A1296" s="197"/>
      <c r="B1296" s="951"/>
      <c r="C1296" s="954"/>
      <c r="D1296" s="957"/>
      <c r="E1296" s="939"/>
      <c r="F1296" s="238" t="str">
        <f ca="1">IF(B1289="Лікар-педіатр",Законод!$F$17,IF(B1289="Лікар загальної практики - сімейний лікар",Законод!$F$21,IF(B1289="Лікар-терапевт",Законод!$F$25,"х")))</f>
        <v>х</v>
      </c>
      <c r="G1296" s="935" t="s">
        <v>423</v>
      </c>
      <c r="H1296" s="936"/>
      <c r="I1296" s="936"/>
      <c r="J1296" s="936"/>
      <c r="K1296" s="937"/>
      <c r="L1296" s="196">
        <f ca="1">IF($B$1289="Лікар загальної практики - сімейний лікар",IF(L1293&lt;Законод!$C$22,0,(IF(AND(L1293&gt;=Законод!$F$22,L1293&lt;=Законод!$F$23),L1293-Законод!$E$23,IF('01_Доходи'!L1293&gt;=Законод!$G$22,Законод!$F$24,0)))),IF($B$1289="Лікар-педіатр",IF(L1293&lt;Законод!$C$18,0,(IF(AND(L1293&gt;=Законод!$F$18,L1293&lt;=Законод!$F$19),L1293-Законод!$E$19,IF('01_Доходи'!L1293&gt;=Законод!$G$18,Законод!$F$20,0)))),IF($B$1289="Лікар-терапевт",IF(L1293&lt;Законод!$C$26,0,(IF(AND(L1293&gt;=Законод!$F$26,L1293&lt;=Законод!$F$27),L1293-Законод!$E$27,IF('01_Доходи'!L1293&gt;=Законод!$G$26,Законод!$F$28,0)))),0)))</f>
        <v>0</v>
      </c>
      <c r="M1296" s="942"/>
      <c r="N1296" s="935" t="s">
        <v>423</v>
      </c>
      <c r="O1296" s="936"/>
      <c r="P1296" s="936"/>
      <c r="Q1296" s="936"/>
      <c r="R1296" s="937"/>
      <c r="S1296" s="196">
        <f ca="1">IF($B$1289="Лікар загальної практики - сімейний лікар",IF(S1293&lt;Законод!$C$22,0,(IF(AND(S1293&gt;=Законод!$F$22,S1293&lt;=Законод!$F$23),S1293-Законод!$E$23,IF('01_Доходи'!S1293&gt;=Законод!$G$22,Законод!$F$24,0)))),IF($B$1289="Лікар-педіатр",IF(S1293&lt;Законод!$C$18,0,(IF(AND(S1293&gt;=Законод!$F$18,S1293&lt;=Законод!$F$19),S1293-Законод!$E$19,IF('01_Доходи'!S1293&gt;=Законод!$G$18,Законод!$F$20,0)))),IF($B$1289="Лікар-терапевт",IF(S1293&lt;Законод!$C$26,0,(IF(AND(S1293&gt;=Законод!$F$26,S1293&lt;=Законод!$F$27),S1293-Законод!$E$27,IF('01_Доходи'!S1293&gt;=Законод!$G$26,Законод!$F$28,0)))),0)))</f>
        <v>0</v>
      </c>
      <c r="T1296" s="942"/>
      <c r="U1296" s="935" t="s">
        <v>423</v>
      </c>
      <c r="V1296" s="936"/>
      <c r="W1296" s="936"/>
      <c r="X1296" s="936"/>
      <c r="Y1296" s="937"/>
      <c r="Z1296" s="196">
        <f ca="1">IF($B$1289="Лікар загальної практики - сімейний лікар",IF(Z1293&lt;Законод!$C$22,0,(IF(AND(Z1293&gt;=Законод!$F$22,Z1293&lt;=Законод!$F$23),Z1293-Законод!$E$23,IF('01_Доходи'!Z1293&gt;=Законод!$G$22,Законод!$F$24,0)))),IF($B$1289="Лікар-педіатр",IF(Z1293&lt;Законод!$C$18,0,(IF(AND(Z1293&gt;=Законод!$F$18,Z1293&lt;=Законод!$F$19),Z1293-Законод!$E$19,IF('01_Доходи'!Z1293&gt;=Законод!$G$18,Законод!$F$20,0)))),IF($B$1289="Лікар-терапевт",IF(Z1293&lt;Законод!$C$26,0,(IF(AND(Z1293&gt;=Законод!$F$26,Z1293&lt;=Законод!$F$27),Z1293-Законод!$E$27,IF('01_Доходи'!Z1293&gt;=Законод!$G$26,Законод!$F$28,0)))),0)))</f>
        <v>0</v>
      </c>
      <c r="AA1296" s="942"/>
      <c r="AB1296" s="935" t="s">
        <v>423</v>
      </c>
      <c r="AC1296" s="936"/>
      <c r="AD1296" s="936"/>
      <c r="AE1296" s="936"/>
      <c r="AF1296" s="937"/>
      <c r="AG1296" s="196">
        <f ca="1">IF($B$1289="Лікар загальної практики - сімейний лікар",IF(AG1293&lt;Законод!$C$22,0,(IF(AND(AG1293&gt;=Законод!$F$22,AG1293&lt;=Законод!$F$23),AG1293-Законод!$E$23,IF('01_Доходи'!AG1293&gt;=Законод!$G$22,Законод!$F$24,0)))),IF($B$1289="Лікар-педіатр",IF(AG1293&lt;Законод!$C$18,0,(IF(AND(AG1293&gt;=Законод!$F$18,AG1293&lt;=Законод!$F$19),AG1293-Законод!$E$19,IF('01_Доходи'!AG1293&gt;=Законод!$G$18,Законод!$F$20,0)))),IF($B$1289="Лікар-терапевт",IF(AG1293&lt;Законод!$C$26,0,(IF(AND(AG1293&gt;=Законод!$F$26,AG1293&lt;=Законод!$F$27),AG1293-Законод!$E$27,IF('01_Доходи'!AG1293&gt;=Законод!$G$26,Законод!$F$28,0)))),0)))</f>
        <v>0</v>
      </c>
      <c r="AH1296" s="942"/>
      <c r="AI1296" s="201"/>
      <c r="AJ1296" s="945"/>
      <c r="AK1296" s="960"/>
      <c r="AL1296" s="960"/>
      <c r="AM1296" s="927"/>
      <c r="AN1296" s="210">
        <f ca="1">IF(B1289="Лікар загальної практики - сімейний лікар",L1296*Законод!$C$9/4*Законод!$F$16,IF(B1289="Лікар-педіатр",L1296*Законод!$C$9/4*Законод!$F$16,IF(B1289="Лікар-терапевт",L1296*Законод!$C$9/4*Законод!$F$16,0)))</f>
        <v>0</v>
      </c>
      <c r="AO1296" s="210">
        <f ca="1">IF(B1289="Лікар загальної практики - сімейний лікар",S1296*Законод!$C$9/4*Законод!$F$16,IF(B1289="Лікар-педіатр",S1296*Законод!$C$9/4*Законод!$F$16,IF(B1289="Лікар-терапевт",S1296*Законод!$C$9/4*Законод!$F$16,0)))</f>
        <v>0</v>
      </c>
      <c r="AP1296" s="210">
        <f ca="1">IF(B1289="Лікар загальної практики - сімейний лікар",Z1296*Законод!$C$9/4*Законод!$F$16,IF(B1289="Лікар-педіатр",Z1296*Законод!$C$9/4*Законод!$F$16,IF(B1289="Лікар-терапевт",Z1296*Законод!$C$9/4*Законод!$F$16,0)))</f>
        <v>0</v>
      </c>
      <c r="AQ1296" s="210">
        <f ca="1">IF(B1289="Лікар загальної практики - сімейний лікар",AG1296*Законод!$C$9/4*Законод!$F$16,IF(B1289="Лікар-педіатр",AG1296*Законод!$C$9/4*Законод!$F$16,IF(B1289="Лікар-терапевт",AG1296*Законод!$C$9/4*Законод!$F$16,0)))</f>
        <v>0</v>
      </c>
      <c r="AR1296" s="211">
        <f t="shared" si="139"/>
        <v>0</v>
      </c>
    </row>
    <row r="1297" spans="1:44" s="50" customFormat="1" ht="31.9" hidden="1" customHeight="1">
      <c r="A1297" s="197"/>
      <c r="B1297" s="951"/>
      <c r="C1297" s="954"/>
      <c r="D1297" s="957"/>
      <c r="E1297" s="939"/>
      <c r="F1297" s="238" t="str">
        <f ca="1">IF(B1289="Лікар-педіатр",Законод!$G$17,IF(B1289="Лікар загальної практики - сімейний лікар",Законод!$G$21,IF(B1289="Лікар-терапевт",Законод!$G$25,"х")))</f>
        <v>х</v>
      </c>
      <c r="G1297" s="935" t="s">
        <v>423</v>
      </c>
      <c r="H1297" s="936"/>
      <c r="I1297" s="936"/>
      <c r="J1297" s="936"/>
      <c r="K1297" s="937"/>
      <c r="L1297" s="196">
        <f ca="1">IF($B$1289="Лікар загальної практики - сімейний лікар",IF(L1293&lt;Законод!$C$22,0,(IF(AND(L1293&gt;=Законод!$G$22,L1293&lt;=Законод!$G$23),L1293-Законод!$F$23,IF('01_Доходи'!L1293&gt;=Законод!$H$22,Законод!$G$24,0)))),IF($B$1289="Лікар-педіатр",IF(L1293&lt;Законод!$C$18,0,(IF(AND(L1293&gt;=Законод!$G$18,L1293&lt;=Законод!$G$19),L1293-Законод!$F$19,IF('01_Доходи'!L1293&gt;=Законод!$H$18,Законод!$G$20,0)))),IF($B$1289="Лікар-терапевт",IF(L1293&lt;Законод!$C$26,0,(IF(AND(L1293&gt;=Законод!$G$26,L1293&lt;=Законод!$G$27),L1293-Законод!$F$27,IF('01_Доходи'!L1293&gt;=Законод!$H$26,Законод!$G$28,0)))),0)))</f>
        <v>0</v>
      </c>
      <c r="M1297" s="942"/>
      <c r="N1297" s="935" t="s">
        <v>423</v>
      </c>
      <c r="O1297" s="936"/>
      <c r="P1297" s="936"/>
      <c r="Q1297" s="936"/>
      <c r="R1297" s="937"/>
      <c r="S1297" s="196">
        <f ca="1">IF($B$1289="Лікар загальної практики - сімейний лікар",IF(S1293&lt;Законод!$C$22,0,(IF(AND(S1293&gt;=Законод!$G$22,S1293&lt;=Законод!$G$23),S1293-Законод!$F$23,IF('01_Доходи'!S1293&gt;=Законод!$H$22,Законод!$G$24,0)))),IF($B$1289="Лікар-педіатр",IF(S1293&lt;Законод!$C$18,0,(IF(AND(S1293&gt;=Законод!$G$18,S1293&lt;=Законод!$G$19),S1293-Законод!$F$19,IF('01_Доходи'!S1293&gt;=Законод!$H$18,Законод!$G$20,0)))),IF($B$1289="Лікар-терапевт",IF(S1293&lt;Законод!$C$26,0,(IF(AND(S1293&gt;=Законод!$G$26,S1293&lt;=Законод!$G$27),S1293-Законод!$F$27,IF('01_Доходи'!S1293&gt;=Законод!$H$26,Законод!$G$28,0)))),0)))</f>
        <v>0</v>
      </c>
      <c r="T1297" s="942"/>
      <c r="U1297" s="935" t="s">
        <v>423</v>
      </c>
      <c r="V1297" s="936"/>
      <c r="W1297" s="936"/>
      <c r="X1297" s="936"/>
      <c r="Y1297" s="937"/>
      <c r="Z1297" s="196">
        <f ca="1">IF($B$1289="Лікар загальної практики - сімейний лікар",IF(Z1293&lt;Законод!$C$22,0,(IF(AND(Z1293&gt;=Законод!$G$22,Z1293&lt;=Законод!$G$23),Z1293-Законод!$F$23,IF('01_Доходи'!Z1293&gt;=Законод!$H$22,Законод!$G$24,0)))),IF($B$1289="Лікар-педіатр",IF(Z1293&lt;Законод!$C$18,0,(IF(AND(Z1293&gt;=Законод!$G$18,Z1293&lt;=Законод!$G$19),Z1293-Законод!$F$19,IF('01_Доходи'!Z1293&gt;=Законод!$H$18,Законод!$G$20,0)))),IF($B$1289="Лікар-терапевт",IF(Z1293&lt;Законод!$C$26,0,(IF(AND(Z1293&gt;=Законод!$G$26,Z1293&lt;=Законод!$G$27),Z1293-Законод!$F$27,IF('01_Доходи'!Z1293&gt;=Законод!$H$26,Законод!$G$28,0)))),0)))</f>
        <v>0</v>
      </c>
      <c r="AA1297" s="942"/>
      <c r="AB1297" s="935" t="s">
        <v>423</v>
      </c>
      <c r="AC1297" s="936"/>
      <c r="AD1297" s="936"/>
      <c r="AE1297" s="936"/>
      <c r="AF1297" s="937"/>
      <c r="AG1297" s="196">
        <f ca="1">IF($B$1289="Лікар загальної практики - сімейний лікар",IF(AG1293&lt;Законод!$C$22,0,(IF(AND(AG1293&gt;=Законод!$G$22,AG1293&lt;=Законод!$G$23),AG1293-Законод!$F$23,IF('01_Доходи'!AG1293&gt;=Законод!$H$22,Законод!$G$24,0)))),IF($B$1289="Лікар-педіатр",IF(AG1293&lt;Законод!$C$18,0,(IF(AND(AG1293&gt;=Законод!$G$18,AG1293&lt;=Законод!$G$19),AG1293-Законод!$F$19,IF('01_Доходи'!AG1293&gt;=Законод!$H$18,Законод!$G$20,0)))),IF($B$1289="Лікар-терапевт",IF(AG1293&lt;Законод!$C$26,0,(IF(AND(AG1293&gt;=Законод!$G$26,AG1293&lt;=Законод!$G$27),AG1293-Законод!$F$27,IF('01_Доходи'!AG1293&gt;=Законод!$H$26,Законод!$G$28,0)))),0)))</f>
        <v>0</v>
      </c>
      <c r="AH1297" s="942"/>
      <c r="AI1297" s="201"/>
      <c r="AJ1297" s="945"/>
      <c r="AK1297" s="960"/>
      <c r="AL1297" s="960"/>
      <c r="AM1297" s="927"/>
      <c r="AN1297" s="210">
        <f ca="1">IF(B1289="Лікар загальної практики - сімейний лікар",L1297*Законод!$C$9/4*Законод!$G$16,IF(B1289="Лікар-педіатр",L1297*Законод!$C$9/4*Законод!$G$16,IF(B1289="Лікар-терапевт",L1297*Законод!$C$9/4*Законод!$G$16,0)))</f>
        <v>0</v>
      </c>
      <c r="AO1297" s="210">
        <f ca="1">IF(B1289="Лікар загальної практики - сімейний лікар",S1297*Законод!$C$9/4*Законод!$G$16,IF(B1289="Лікар-педіатр",S1297*Законод!$C$9/4*Законод!$G$16,IF(B1289="Лікар-терапевт",S1297*Законод!$C$9/4*Законод!$G$16,0)))</f>
        <v>0</v>
      </c>
      <c r="AP1297" s="210">
        <f ca="1">IF(B1289="Лікар загальної практики - сімейний лікар",Z1297*Законод!$C$9/4*Законод!$G$16,IF(B1289="Лікар-педіатр",Z1297*Законод!$C$9/4*Законод!$G$16,IF(B1289="Лікар-терапевт",Z1297*Законод!$C$9/4*Законод!$G$16,0)))</f>
        <v>0</v>
      </c>
      <c r="AQ1297" s="210">
        <f ca="1">IF(B1289="Лікар загальної практики - сімейний лікар",AG1297*Законод!$C$9/4*Законод!$G$16,IF(B1289="Лікар-педіатр",AG1297*Законод!$C$9/4*Законод!$G$16,IF(B1289="Лікар-терапевт",AG1297*Законод!$C$9/4*Законод!$G$16,0)))</f>
        <v>0</v>
      </c>
      <c r="AR1297" s="211">
        <f t="shared" si="139"/>
        <v>0</v>
      </c>
    </row>
    <row r="1298" spans="1:44" s="50" customFormat="1" ht="31.9" hidden="1" customHeight="1">
      <c r="A1298" s="197"/>
      <c r="B1298" s="951"/>
      <c r="C1298" s="954"/>
      <c r="D1298" s="957"/>
      <c r="E1298" s="939"/>
      <c r="F1298" s="238" t="str">
        <f ca="1">IF(B1289="Лікар-педіатр",Законод!$H$17,IF(B1289="Лікар загальної практики - сімейний лікар",Законод!$H$21,IF(B1289="Лікар-терапевт",Законод!$H$25,"х")))</f>
        <v>х</v>
      </c>
      <c r="G1298" s="935" t="s">
        <v>423</v>
      </c>
      <c r="H1298" s="936"/>
      <c r="I1298" s="936"/>
      <c r="J1298" s="936"/>
      <c r="K1298" s="937"/>
      <c r="L1298" s="196">
        <f ca="1">IF($B$1289="Лікар загальної практики - сімейний лікар",IF(L1293&lt;Законод!$C$22,0,(IF(AND(L1293&gt;=Законод!$H$22,L1293&lt;=Законод!$H$23),L1293-Законод!$G$23,IF('01_Доходи'!L1293&gt;=Законод!$I$22,Законод!$H$24,0)))),IF($B$1289="Лікар-педіатр",IF(L1293&lt;Законод!$C$18,0,(IF(AND(L1293&gt;=Законод!$H$18,L1293&lt;=Законод!$H$19),L1293-Законод!$G$19,IF('01_Доходи'!L1293&gt;=Законод!$I$18,Законод!$H$20,0)))),IF($B$1289="Лікар-терапевт",IF(L1293&lt;Законод!$C$26,0,(IF(AND(L1293&gt;=Законод!$H$26,L1293&lt;=Законод!$H$27),L1293-Законод!$G$27,IF(L1293&gt;=Законод!$I$26,Законод!$H$28,0)))),0)))</f>
        <v>0</v>
      </c>
      <c r="M1298" s="942"/>
      <c r="N1298" s="935" t="s">
        <v>423</v>
      </c>
      <c r="O1298" s="936"/>
      <c r="P1298" s="936"/>
      <c r="Q1298" s="936"/>
      <c r="R1298" s="937"/>
      <c r="S1298" s="196">
        <f ca="1">IF($B$1289="Лікар загальної практики - сімейний лікар",IF(S1293&lt;Законод!$C$22,0,(IF(AND(S1293&gt;=Законод!$H$22,S1293&lt;=Законод!$H$23),S1293-Законод!$G$23,IF('01_Доходи'!S1293&gt;=Законод!$I$22,Законод!$H$24,0)))),IF($B$1289="Лікар-педіатр",IF(S1293&lt;Законод!$C$18,0,(IF(AND(S1293&gt;=Законод!$H$18,S1293&lt;=Законод!$H$19),S1293-Законод!$G$19,IF('01_Доходи'!S1293&gt;=Законод!$I$18,Законод!$H$20,0)))),IF($B$1289="Лікар-терапевт",IF(S1293&lt;Законод!$C$26,0,(IF(AND(S1293&gt;=Законод!$H$26,S1293&lt;=Законод!$H$27),S1293-Законод!$G$27,IF(S1293&gt;=Законод!$I$26,Законод!$H$28,0)))),0)))</f>
        <v>0</v>
      </c>
      <c r="T1298" s="942"/>
      <c r="U1298" s="935" t="s">
        <v>423</v>
      </c>
      <c r="V1298" s="936"/>
      <c r="W1298" s="936"/>
      <c r="X1298" s="936"/>
      <c r="Y1298" s="937"/>
      <c r="Z1298" s="196">
        <f ca="1">IF($B$1289="Лікар загальної практики - сімейний лікар",IF(Z1293&lt;Законод!$C$22,0,(IF(AND(Z1293&gt;=Законод!$H$22,Z1293&lt;=Законод!$H$23),Z1293-Законод!$G$23,IF('01_Доходи'!Z1293&gt;=Законод!$I$22,Законод!$H$24,0)))),IF($B$1289="Лікар-педіатр",IF(Z1293&lt;Законод!$C$18,0,(IF(AND(Z1293&gt;=Законод!$H$18,Z1293&lt;=Законод!$H$19),Z1293-Законод!$G$19,IF('01_Доходи'!Z1293&gt;=Законод!$I$18,Законод!$H$20,0)))),IF($B$1289="Лікар-терапевт",IF(Z1293&lt;Законод!$C$26,0,(IF(AND(Z1293&gt;=Законод!$H$26,Z1293&lt;=Законод!$H$27),Z1293-Законод!$G$27,IF(Z1293&gt;=Законод!$I$26,Законод!$H$28,0)))),0)))</f>
        <v>0</v>
      </c>
      <c r="AA1298" s="942"/>
      <c r="AB1298" s="935" t="s">
        <v>423</v>
      </c>
      <c r="AC1298" s="936"/>
      <c r="AD1298" s="936"/>
      <c r="AE1298" s="936"/>
      <c r="AF1298" s="937"/>
      <c r="AG1298" s="196">
        <f ca="1">IF($B$1289="Лікар загальної практики - сімейний лікар",IF(AG1293&lt;Законод!$C$22,0,(IF(AND(AG1293&gt;=Законод!$H$22,AG1293&lt;=Законод!$H$23),AG1293-Законод!$G$23,IF('01_Доходи'!AG1293&gt;=Законод!$I$22,Законод!$H$24,0)))),IF($B$1289="Лікар-педіатр",IF(AG1293&lt;Законод!$C$18,0,(IF(AND(AG1293&gt;=Законод!$H$18,AG1293&lt;=Законод!$H$19),AG1293-Законод!$G$19,IF('01_Доходи'!AG1293&gt;=Законод!$I$18,Законод!$H$20,0)))),IF($B$1289="Лікар-терапевт",IF(AG1293&lt;Законод!$C$26,0,(IF(AND(AG1293&gt;=Законод!$H$26,AG1293&lt;=Законод!$H$27),AG1293-Законод!$G$27,IF(AG1293&gt;=Законод!$I$26,Законод!$H$28,0)))),0)))</f>
        <v>0</v>
      </c>
      <c r="AH1298" s="942"/>
      <c r="AI1298" s="201"/>
      <c r="AJ1298" s="945"/>
      <c r="AK1298" s="960"/>
      <c r="AL1298" s="960"/>
      <c r="AM1298" s="927"/>
      <c r="AN1298" s="210">
        <f ca="1">IF(B1289="Лікар загальної практики - сімейний лікар",L1298*Законод!$C$9/4*Законод!$H$16,IF(B1289="Лікар-педіатр",L1298*Законод!$C$9/4*Законод!$H$16,IF(B1289="Лікар-терапевт",L1298*Законод!$C$9/4*Законод!$H$16,0)))</f>
        <v>0</v>
      </c>
      <c r="AO1298" s="210">
        <f ca="1">IF(B1289="Лікар загальної практики - сімейний лікар",S1298*Законод!$C$9/4*Законод!$H$16,IF(B1289="Лікар-педіатр",S1298*Законод!$C$9/4*Законод!$H$16,IF(B1289="Лікар-терапевт",S1298*Законод!$C$9/4*Законод!$H$16,0)))</f>
        <v>0</v>
      </c>
      <c r="AP1298" s="210">
        <f ca="1">IF(B1289="Лікар загальної практики - сімейний лікар",Z1298*Законод!$C$9/4*Законод!$H$16,IF(B1289="Лікар-педіатр",Z1298*Законод!$C$9/4*Законод!$H$16,IF(B1289="Лікар-терапевт",Z1298*Законод!$C$9/4*Законод!$H$16,0)))</f>
        <v>0</v>
      </c>
      <c r="AQ1298" s="210">
        <f ca="1">IF(B1289="Лікар загальної практики - сімейний лікар",AG1298*Законод!$C$9/4*Законод!$H$16,IF(B1289="Лікар-педіатр",AG1298*Законод!$C$9/4*Законод!$H$16,IF(B1289="Лікар-терапевт",AG1298*Законод!$C$9/4*Законод!$H$16,0)))</f>
        <v>0</v>
      </c>
      <c r="AR1298" s="211">
        <f t="shared" si="139"/>
        <v>0</v>
      </c>
    </row>
    <row r="1299" spans="1:44" s="50" customFormat="1" ht="31.9" hidden="1" customHeight="1">
      <c r="A1299" s="197"/>
      <c r="B1299" s="951"/>
      <c r="C1299" s="954"/>
      <c r="D1299" s="957"/>
      <c r="E1299" s="939"/>
      <c r="F1299" s="238" t="str">
        <f ca="1">IF(B1289="Лікар-педіатр",Законод!$I$17,IF(B1289="Лікар загальної практики - сімейний лікар",Законод!$I$21,IF(B1289="Лікар-терапевт",Законод!$I$25,"х")))</f>
        <v>х</v>
      </c>
      <c r="G1299" s="935" t="s">
        <v>423</v>
      </c>
      <c r="H1299" s="936"/>
      <c r="I1299" s="936"/>
      <c r="J1299" s="936"/>
      <c r="K1299" s="937"/>
      <c r="L1299" s="196">
        <f ca="1">IF($B$1289="Лікар загальної практики - сімейний лікар",IF(L1293&lt;Законод!$C$22,0,(IF(AND(L1293&gt;=Законод!$I$22,L1293&lt;=Законод!$I$23),L1293-Законод!$H$23,IF('01_Доходи'!L1293&gt;=Законод!$I$22,Законод!$I$24,0)))),IF($B$1289="Лікар-педіатр",IF(L1293&lt;Законод!$C$18,0,(IF(AND(L1293&gt;=Законод!$I$18,L1293&lt;=Законод!$I$19),L1293-Законод!$H$19,IF('01_Доходи'!L1293&gt;=Законод!$I$18,Законод!$H$20,0)))),IF($B$1289="Лікар-терапевт",IF(L1293&lt;Законод!$C$26,0,(IF(AND(L1293&gt;=Законод!$I$26,L1293&lt;=Законод!$I$27),L1293-Законод!$H$27,IF('01_Доходи'!L1293&gt;=Законод!$I$26,Законод!$H$28,0)))),0)))</f>
        <v>0</v>
      </c>
      <c r="M1299" s="942"/>
      <c r="N1299" s="935" t="s">
        <v>423</v>
      </c>
      <c r="O1299" s="936"/>
      <c r="P1299" s="936"/>
      <c r="Q1299" s="936"/>
      <c r="R1299" s="937"/>
      <c r="S1299" s="196">
        <f ca="1">IF($B$1289="Лікар загальної практики - сімейний лікар",IF(S1293&lt;Законод!$C$22,0,(IF(AND(S1293&gt;=Законод!$I$22,S1293&lt;=Законод!$I$23),S1293-Законод!$H$23,IF('01_Доходи'!S1293&gt;=Законод!$I$22,Законод!$I$24,0)))),IF($B$1289="Лікар-педіатр",IF(S1293&lt;Законод!$C$18,0,(IF(AND(S1293&gt;=Законод!$I$18,S1293&lt;=Законод!$I$19),S1293-Законод!$H$19,IF('01_Доходи'!S1293&gt;=Законод!$I$18,Законод!$H$20,0)))),IF($B$1289="Лікар-терапевт",IF(S1293&lt;Законод!$C$26,0,(IF(AND(S1293&gt;=Законод!$I$26,S1293&lt;=Законод!$I$27),S1293-Законод!$H$27,IF('01_Доходи'!S1293&gt;=Законод!$I$26,Законод!$H$28,0)))),0)))</f>
        <v>0</v>
      </c>
      <c r="T1299" s="942"/>
      <c r="U1299" s="935" t="s">
        <v>423</v>
      </c>
      <c r="V1299" s="936"/>
      <c r="W1299" s="936"/>
      <c r="X1299" s="936"/>
      <c r="Y1299" s="937"/>
      <c r="Z1299" s="196">
        <f ca="1">IF($B$1289="Лікар загальної практики - сімейний лікар",IF(Z1293&lt;Законод!$C$22,0,(IF(AND(Z1293&gt;=Законод!$I$22,Z1293&lt;=Законод!$I$23),Z1293-Законод!$H$23,IF('01_Доходи'!Z1293&gt;=Законод!$I$22,Законод!$I$24,0)))),IF($B$1289="Лікар-педіатр",IF(Z1293&lt;Законод!$C$18,0,(IF(AND(Z1293&gt;=Законод!$I$18,Z1293&lt;=Законод!$I$19),Z1293-Законод!$H$19,IF('01_Доходи'!Z1293&gt;=Законод!$I$18,Законод!$H$20,0)))),IF($B$1289="Лікар-терапевт",IF(Z1293&lt;Законод!$C$26,0,(IF(AND(Z1293&gt;=Законод!$I$26,Z1293&lt;=Законод!$I$27),Z1293-Законод!$H$27,IF('01_Доходи'!Z1293&gt;=Законод!$I$26,Законод!$H$28,0)))),0)))</f>
        <v>0</v>
      </c>
      <c r="AA1299" s="942"/>
      <c r="AB1299" s="935" t="s">
        <v>423</v>
      </c>
      <c r="AC1299" s="936"/>
      <c r="AD1299" s="936"/>
      <c r="AE1299" s="936"/>
      <c r="AF1299" s="937"/>
      <c r="AG1299" s="196">
        <f ca="1">IF($B$1289="Лікар загальної практики - сімейний лікар",IF(AG1293&lt;Законод!$C$22,0,(IF(AND(AG1293&gt;=Законод!$I$22,AG1293&lt;=Законод!$I$23),AG1293-Законод!$H$23,IF('01_Доходи'!AG1293&gt;=Законод!$I$22,Законод!$I$24,0)))),IF($B$1289="Лікар-педіатр",IF(AG1293&lt;Законод!$C$18,0,(IF(AND(AG1293&gt;=Законод!$I$18,AG1293&lt;=Законод!$I$19),AG1293-Законод!$H$19,IF('01_Доходи'!AG1293&gt;=Законод!$I$18,Законод!$H$20,0)))),IF($B$1289="Лікар-терапевт",IF(AG1293&lt;Законод!$C$26,0,(IF(AND(AG1293&gt;=Законод!$I$26,AG1293&lt;=Законод!$I$27),AG1293-Законод!$H$27,IF('01_Доходи'!AG1293&gt;=Законод!$I$26,Законод!$H$28,0)))),0)))</f>
        <v>0</v>
      </c>
      <c r="AH1299" s="942"/>
      <c r="AI1299" s="201"/>
      <c r="AJ1299" s="945"/>
      <c r="AK1299" s="960"/>
      <c r="AL1299" s="960"/>
      <c r="AM1299" s="927"/>
      <c r="AN1299" s="210">
        <f ca="1">IF(B1289="Лікар загальної практики - сімейний лікар",L1299*Законод!$C$9/4*Законод!$I$16,IF(B1289="Лікар-педіатр",L1299*Законод!$C$9/4*Законод!$I$16,IF(B1289="Лікар-терапевт",L1299*Законод!$C$9/4*Законод!$I$16,0)))</f>
        <v>0</v>
      </c>
      <c r="AO1299" s="210">
        <f ca="1">IF(B1289="Лікар загальної практики - сімейний лікар",S1299*Законод!$C$9/4*Законод!$I$16,IF(B1289="Лікар-педіатр",S1299*Законод!$C$9/4*Законод!$I$16,IF(B1289="Лікар-терапевт",S1299*Законод!$C$9/4*Законод!$I$16,0)))</f>
        <v>0</v>
      </c>
      <c r="AP1299" s="210">
        <f ca="1">IF(B1289="Лікар загальної практики - сімейний лікар",Z1299*Законод!$C$9/4*Законод!$I$16,IF(B1289="Лікар-педіатр",Z1299*Законод!$C$9/4*Законод!$I$16,IF(B1289="Лікар-терапевт",Z1299*Законод!$C$9/4*Законод!$I$16,0)))</f>
        <v>0</v>
      </c>
      <c r="AQ1299" s="210">
        <f ca="1">IF(B1289="Лікар загальної практики - сімейний лікар",AG1299*Законод!$C$9/4*Законод!$I$16,IF(B1289="Лікар-педіатр",AG1299*Законод!$C$9/4*Законод!$I$16,IF(B1289="Лікар-терапевт",AG1299*Законод!$C$9/4*Законод!$I$16,0)))</f>
        <v>0</v>
      </c>
      <c r="AR1299" s="211">
        <f t="shared" si="139"/>
        <v>0</v>
      </c>
    </row>
    <row r="1300" spans="1:44" s="218" customFormat="1" ht="31.9" hidden="1" customHeight="1" thickBot="1">
      <c r="A1300" s="213"/>
      <c r="B1300" s="952"/>
      <c r="C1300" s="955"/>
      <c r="D1300" s="958"/>
      <c r="E1300" s="940"/>
      <c r="F1300" s="239" t="str">
        <f ca="1">IF(B1289="Лікар-педіатр",Законод!$J$17,IF(B1289="Лікар загальної практики - сімейний лікар",Законод!$J$21,IF(B1289="Лікар-терапевт",Законод!$J$25,"х")))</f>
        <v>х</v>
      </c>
      <c r="G1300" s="932" t="s">
        <v>423</v>
      </c>
      <c r="H1300" s="933"/>
      <c r="I1300" s="933"/>
      <c r="J1300" s="933"/>
      <c r="K1300" s="934"/>
      <c r="L1300" s="196">
        <f ca="1">IF($B$1289="Лікар загальної практики - сімейний лікар",IF(L1293&gt;=Законод!$J$22,'01_Доходи'!L1293-('01_Доходи'!L1294+'01_Доходи'!L1295+'01_Доходи'!L1296+'01_Доходи'!L1297+'01_Доходи'!L1298+'01_Доходи'!L1299),0),IF($B$1289="Лікар-педіатр",IF(L1293&gt;=Законод!$J$18,'01_Доходи'!L1293-('01_Доходи'!L1294+'01_Доходи'!L1295+'01_Доходи'!L1296+'01_Доходи'!L1297+'01_Доходи'!L1298+'01_Доходи'!L1299),0),IF($B$1289="Лікар-терапевт",IF('01_Доходи'!L1293&gt;=Законод!$J$26,L1293-Законод!$I$27,0),0)))</f>
        <v>0</v>
      </c>
      <c r="M1300" s="943"/>
      <c r="N1300" s="932" t="s">
        <v>423</v>
      </c>
      <c r="O1300" s="933"/>
      <c r="P1300" s="933"/>
      <c r="Q1300" s="933"/>
      <c r="R1300" s="934"/>
      <c r="S1300" s="196">
        <f ca="1">IF($B$1289="Лікар загальної практики - сімейний лікар",IF(S1293&gt;=Законод!$J$22,'01_Доходи'!S1293-('01_Доходи'!S1294+'01_Доходи'!S1295+'01_Доходи'!S1296+'01_Доходи'!S1297+'01_Доходи'!S1298+'01_Доходи'!S1299),0),IF($B$1289="Лікар-педіатр",IF(S1293&gt;=Законод!$J$18,'01_Доходи'!S1293-('01_Доходи'!S1294+'01_Доходи'!S1295+'01_Доходи'!S1296+'01_Доходи'!S1297+'01_Доходи'!S1298+'01_Доходи'!S1299),0),IF($B$1289="Лікар-терапевт",IF('01_Доходи'!S1293&gt;=Законод!$J$26,S1293-Законод!$I$27,0),0)))</f>
        <v>0</v>
      </c>
      <c r="T1300" s="943"/>
      <c r="U1300" s="932" t="s">
        <v>423</v>
      </c>
      <c r="V1300" s="933"/>
      <c r="W1300" s="933"/>
      <c r="X1300" s="933"/>
      <c r="Y1300" s="934"/>
      <c r="Z1300" s="196">
        <f ca="1">IF($B$1289="Лікар загальної практики - сімейний лікар",IF(Z1293&gt;=Законод!$J$22,'01_Доходи'!Z1293-('01_Доходи'!Z1294+'01_Доходи'!Z1295+'01_Доходи'!Z1296+'01_Доходи'!Z1297+'01_Доходи'!Z1298+'01_Доходи'!Z1299),0),IF($B$1289="Лікар-педіатр",IF(Z1293&gt;=Законод!$J$18,'01_Доходи'!Z1293-('01_Доходи'!Z1294+'01_Доходи'!Z1295+'01_Доходи'!Z1296+'01_Доходи'!Z1297+'01_Доходи'!Z1298+'01_Доходи'!Z1299),0),IF($B$1289="Лікар-терапевт",IF('01_Доходи'!Z1293&gt;=Законод!$J$26,Z1293-Законод!$I$27,0),0)))</f>
        <v>0</v>
      </c>
      <c r="AA1300" s="943"/>
      <c r="AB1300" s="932" t="s">
        <v>423</v>
      </c>
      <c r="AC1300" s="933"/>
      <c r="AD1300" s="933"/>
      <c r="AE1300" s="933"/>
      <c r="AF1300" s="934"/>
      <c r="AG1300" s="196">
        <f ca="1">IF($B$1289="Лікар загальної практики - сімейний лікар",IF(AG1293&gt;=Законод!$J$22,'01_Доходи'!AG1293-('01_Доходи'!AG1294+'01_Доходи'!AG1295+'01_Доходи'!AG1296+'01_Доходи'!AG1297+'01_Доходи'!AG1298+'01_Доходи'!AG1299),0),IF($B$1289="Лікар-педіатр",IF(AG1293&gt;=Законод!$J$18,'01_Доходи'!AG1293-('01_Доходи'!AG1294+'01_Доходи'!AG1295+'01_Доходи'!AG1296+'01_Доходи'!AG1297+'01_Доходи'!AG1298+'01_Доходи'!AG1299),0),IF($B$1289="Лікар-терапевт",IF('01_Доходи'!AG1293&gt;=Законод!$J$26,AG1293-Законод!$I$27,0),0)))</f>
        <v>0</v>
      </c>
      <c r="AH1300" s="943"/>
      <c r="AI1300" s="215"/>
      <c r="AJ1300" s="946"/>
      <c r="AK1300" s="961"/>
      <c r="AL1300" s="961"/>
      <c r="AM1300" s="928"/>
      <c r="AN1300" s="216">
        <f ca="1">IF(B1289="Лікар загальної практики - сімейний лікар",L1300*Законод!$C$9/4*Законод!$J$16,IF(B1289="Лікар-педіатр",L1300*Законод!$C$9/4*Законод!$J$16,IF(B1289="Лікар-терапевт",L1300*Законод!$C$9/4*Законод!$J$16,0)))</f>
        <v>0</v>
      </c>
      <c r="AO1300" s="216">
        <f ca="1">IF(B1289="Лікар загальної практики - сімейний лікар",S1300*Законод!$C$9/4*Законод!$J$16,IF(B1289="Лікар-педіатр",S1300*Законод!$C$9/4*Законод!$J$16,IF(B1289="Лікар-терапевт",S1300*Законод!$C$9/4*Законод!$J$16,0)))</f>
        <v>0</v>
      </c>
      <c r="AP1300" s="216">
        <f ca="1">IF(B1289="Лікар загальної практики - сімейний лікар",S1300*Законод!$C$9/4*Законод!$J$16,IF(B1289="Лікар-педіатр",S1300*Законод!$C$9/4*Законод!$J$16,IF(B1289="Лікар-терапевт",S1300*Законод!$C$9/4*Законод!$J$16,0)))</f>
        <v>0</v>
      </c>
      <c r="AQ1300" s="216">
        <f ca="1">IF(B1289="Лікар загальної практики - сімейний лікар",AG1300*Законод!$C$9/4*Законод!$J$16,IF(B1289="Лікар-педіатр",AG1300*Законод!$C$9/4*Законод!$J$16,IF(B1289="Лікар-терапевт",AG1300*Законод!$C$9/4*Законод!$J$16,0)))</f>
        <v>0</v>
      </c>
      <c r="AR1300" s="217">
        <f t="shared" si="139"/>
        <v>0</v>
      </c>
    </row>
    <row r="1301" spans="1:44" s="247" customFormat="1" ht="23.45" hidden="1" customHeight="1" thickBot="1">
      <c r="A1301" s="243"/>
      <c r="B1301" s="244"/>
      <c r="C1301" s="244"/>
      <c r="D1301" s="244"/>
      <c r="E1301" s="244"/>
      <c r="F1301" s="245"/>
      <c r="G1301" s="246"/>
      <c r="H1301" s="246"/>
      <c r="L1301" s="248"/>
      <c r="S1301" s="248"/>
      <c r="Z1301" s="248"/>
      <c r="AG1301" s="248"/>
      <c r="AM1301" s="249"/>
      <c r="AR1301" s="250"/>
    </row>
    <row r="1302" spans="1:44" s="191" customFormat="1" ht="24.6" hidden="1" customHeight="1">
      <c r="A1302" s="194">
        <f>A1289+1</f>
        <v>98</v>
      </c>
      <c r="B1302" s="950"/>
      <c r="C1302" s="953"/>
      <c r="D1302" s="956"/>
      <c r="E1302" s="938"/>
      <c r="F1302" s="234" t="s">
        <v>659</v>
      </c>
      <c r="G1302" s="196">
        <f>IF($B$1302="Лікар-педіатр",G1305*L1302,IF($B$1302="Лікар-терапевт","х",IF($B$1302="Лікар загальної практики - сімейний лікар",G1305*L1302,0)))</f>
        <v>0</v>
      </c>
      <c r="H1302" s="196">
        <f>IF($B$1302="Лікар-педіатр",H1305*L1302,IF($B$1302="Лікар-терапевт","х",IF($B$1302="Лікар загальної практики - сімейний лікар",H1305*L1302,0)))</f>
        <v>0</v>
      </c>
      <c r="I1302" s="196">
        <f>IF($B$1302="Лікар-педіатр","x",IF($B$1302="Лікар-терапевт",I1305*L1302,IF($B$1302="Лікар загальної практики - сімейний лікар",I1305*L1302,0)))</f>
        <v>0</v>
      </c>
      <c r="J1302" s="196">
        <f>IF($B$1302="Лікар-педіатр","x",IF($B$1302="Лікар-терапевт",J1305*L1302,IF($B$1302="Лікар загальної практики - сімейний лікар",J1305*L1302,0)))</f>
        <v>0</v>
      </c>
      <c r="K1302" s="196">
        <f>IF($B$1302="Лікар-педіатр","x",IF($B$1302="Лікар-терапевт",K1305*L1302,IF($B$1302="Лікар загальної практики - сімейний лікар",K1305*L1302,0)))</f>
        <v>0</v>
      </c>
      <c r="L1302" s="557"/>
      <c r="M1302" s="941"/>
      <c r="N1302" s="196">
        <f>IF($B$1302="Лікар-педіатр",N1305*S1302,IF($B$1302="Лікар-терапевт","х",IF($B$1302="Лікар загальної практики - сімейний лікар",N1305*S1302,0)))</f>
        <v>0</v>
      </c>
      <c r="O1302" s="196">
        <f>IF($B$1302="Лікар-педіатр",O1305*S1302,IF($B$1302="Лікар-терапевт","х",IF($B$1302="Лікар загальної практики - сімейний лікар",O1305*S1302,0)))</f>
        <v>0</v>
      </c>
      <c r="P1302" s="196">
        <f>IF($B$1302="Лікар-педіатр","x",IF($B$1302="Лікар-терапевт",P1305*S1302,IF($B$1302="Лікар загальної практики - сімейний лікар",P1305*S1302,0)))</f>
        <v>0</v>
      </c>
      <c r="Q1302" s="196">
        <f>IF($B$1302="Лікар-педіатр","x",IF($B$1302="Лікар-терапевт",Q1305*S1302,IF($B$1302="Лікар загальної практики - сімейний лікар",Q1305*S1302,0)))</f>
        <v>0</v>
      </c>
      <c r="R1302" s="196">
        <f>IF($B$1302="Лікар-педіатр","x",IF($B$1302="Лікар-терапевт",R1305*S1302,IF($B$1302="Лікар загальної практики - сімейний лікар",R1305*S1302,0)))</f>
        <v>0</v>
      </c>
      <c r="S1302" s="557"/>
      <c r="T1302" s="941"/>
      <c r="U1302" s="196">
        <f>IF($B$1302="Лікар-педіатр",U1305*Z1302,IF($B$1302="Лікар-терапевт","х",IF($B$1302="Лікар загальної практики - сімейний лікар",U1305*Z1302,0)))</f>
        <v>0</v>
      </c>
      <c r="V1302" s="196">
        <f>IF($B$1302="Лікар-педіатр",V1305*Z1302,IF($B$1302="Лікар-терапевт","х",IF($B$1302="Лікар загальної практики - сімейний лікар",V1305*Z1302,0)))</f>
        <v>0</v>
      </c>
      <c r="W1302" s="196">
        <f>IF($B$1302="Лікар-педіатр","x",IF($B$1302="Лікар-терапевт",W1305*Z1302,IF($B$1302="Лікар загальної практики - сімейний лікар",W1305*Z1302,0)))</f>
        <v>0</v>
      </c>
      <c r="X1302" s="196">
        <f>IF($B$1302="Лікар-педіатр","x",IF($B$1302="Лікар-терапевт",X1305*Z1302,IF($B$1302="Лікар загальної практики - сімейний лікар",X1305*Z1302,0)))</f>
        <v>0</v>
      </c>
      <c r="Y1302" s="196">
        <f>IF($B$1302="Лікар-педіатр","x",IF($B$1302="Лікар-терапевт",Y1305*Z1302,IF($B$1302="Лікар загальної практики - сімейний лікар",Y1305*Z1302,0)))</f>
        <v>0</v>
      </c>
      <c r="Z1302" s="557"/>
      <c r="AA1302" s="941"/>
      <c r="AB1302" s="196">
        <f>IF($B$1302="Лікар-педіатр",AB1305*AG1302,IF($B$1302="Лікар-терапевт","х",IF($B$1302="Лікар загальної практики - сімейний лікар",AB1305*AG1302,0)))</f>
        <v>0</v>
      </c>
      <c r="AC1302" s="196">
        <f>IF($B$1302="Лікар-педіатр",AC1305*AG1302,IF($B$1302="Лікар-терапевт","х",IF($B$1302="Лікар загальної практики - сімейний лікар",AC1305*AG1302,0)))</f>
        <v>0</v>
      </c>
      <c r="AD1302" s="196">
        <f>IF($B$1302="Лікар-педіатр","x",IF($B$1302="Лікар-терапевт",AD1305*AG1302,IF($B$1302="Лікар загальної практики - сімейний лікар",AD1305*AG1302,0)))</f>
        <v>0</v>
      </c>
      <c r="AE1302" s="196">
        <f>IF($B$1302="Лікар-педіатр","x",IF($B$1302="Лікар-терапевт",AE1305*AG1302,IF($B$1302="Лікар загальної практики - сімейний лікар",AE1305*AG1302,0)))</f>
        <v>0</v>
      </c>
      <c r="AF1302" s="196">
        <f>IF($B$1302="Лікар-педіатр","x",IF($B$1302="Лікар-терапевт",AF1305*AG1302,IF($B$1302="Лікар загальної практики - сімейний лікар",AF1305*AG1302,0)))</f>
        <v>0</v>
      </c>
      <c r="AG1302" s="557"/>
      <c r="AH1302" s="941"/>
      <c r="AI1302" s="540">
        <f>A1302</f>
        <v>98</v>
      </c>
      <c r="AJ1302" s="944">
        <f>B1302</f>
        <v>0</v>
      </c>
      <c r="AK1302" s="959">
        <f>C1302</f>
        <v>0</v>
      </c>
      <c r="AL1302" s="959">
        <f>D1302</f>
        <v>0</v>
      </c>
      <c r="AM1302" s="929" t="s">
        <v>79</v>
      </c>
      <c r="AN1302" s="947">
        <f>SUM(AN1307:AN1313)</f>
        <v>0</v>
      </c>
      <c r="AO1302" s="947">
        <f>SUM(AO1307:AO1313)</f>
        <v>0</v>
      </c>
      <c r="AP1302" s="947">
        <f>SUM(AP1307:AP1313)</f>
        <v>0</v>
      </c>
      <c r="AQ1302" s="947">
        <f>SUM(AQ1307:AQ1313)</f>
        <v>0</v>
      </c>
      <c r="AR1302" s="962">
        <f>SUM(AN1302:AQ1306)</f>
        <v>0</v>
      </c>
    </row>
    <row r="1303" spans="1:44" s="50" customFormat="1" ht="28.15" hidden="1" customHeight="1">
      <c r="A1303" s="197"/>
      <c r="B1303" s="951"/>
      <c r="C1303" s="954"/>
      <c r="D1303" s="957"/>
      <c r="E1303" s="939"/>
      <c r="F1303" s="234" t="s">
        <v>660</v>
      </c>
      <c r="G1303" s="196">
        <f>IF($B$1302="Лікар-педіатр",G1305*L1303,IF($B$1302="Лікар-терапевт","х",IF($B$1302="Лікар загальної практики - сімейний лікар",G1305*L1303,0)))</f>
        <v>0</v>
      </c>
      <c r="H1303" s="196">
        <f>IF($B$1302="Лікар-педіатр",H1305*L1303,IF($B$1302="Лікар-терапевт","х",IF($B$1302="Лікар загальної практики - сімейний лікар",H1305*L1303,0)))</f>
        <v>0</v>
      </c>
      <c r="I1303" s="196">
        <f>IF($B$1302="Лікар-педіатр","x",IF($B$1302="Лікар-терапевт",I1305*L1303,IF($B$1302="Лікар загальної практики - сімейний лікар",I1305*L1303,0)))</f>
        <v>0</v>
      </c>
      <c r="J1303" s="196">
        <f>IF($B$1302="Лікар-педіатр","x",IF($B$1302="Лікар-терапевт",J1305*L1303,IF($B$1302="Лікар загальної практики - сімейний лікар",J1305*L1303,0)))</f>
        <v>0</v>
      </c>
      <c r="K1303" s="196">
        <f>IF($B$1302="Лікар-педіатр","x",IF($B$1302="Лікар-терапевт",K1305*L1303,IF($B$1302="Лікар загальної практики - сімейний лікар",K1305*L1303,0)))</f>
        <v>0</v>
      </c>
      <c r="L1303" s="557"/>
      <c r="M1303" s="942"/>
      <c r="N1303" s="196">
        <f>IF($B$1302="Лікар-педіатр",N1305*S1303,IF($B$1302="Лікар-терапевт","х",IF($B$1302="Лікар загальної практики - сімейний лікар",N1305*S1303,0)))</f>
        <v>0</v>
      </c>
      <c r="O1303" s="196">
        <f>IF($B$1302="Лікар-педіатр",O1305*S1303,IF($B$1302="Лікар-терапевт","х",IF($B$1302="Лікар загальної практики - сімейний лікар",O1305*S1303,0)))</f>
        <v>0</v>
      </c>
      <c r="P1303" s="196">
        <f>IF($B$1302="Лікар-педіатр","x",IF($B$1302="Лікар-терапевт",P1305*S1303,IF($B$1302="Лікар загальної практики - сімейний лікар",P1305*S1303,0)))</f>
        <v>0</v>
      </c>
      <c r="Q1303" s="196">
        <f>IF($B$1302="Лікар-педіатр","x",IF($B$1302="Лікар-терапевт",Q1305*S1303,IF($B$1302="Лікар загальної практики - сімейний лікар",Q1305*S1303,0)))</f>
        <v>0</v>
      </c>
      <c r="R1303" s="196">
        <f>IF($B$1302="Лікар-педіатр","x",IF($B$1302="Лікар-терапевт",R1305*S1303,IF($B$1302="Лікар загальної практики - сімейний лікар",R1305*S1303,0)))</f>
        <v>0</v>
      </c>
      <c r="S1303" s="557"/>
      <c r="T1303" s="942"/>
      <c r="U1303" s="196">
        <f>IF($B$1302="Лікар-педіатр",U1305*Z1303,IF($B$1302="Лікар-терапевт","х",IF($B$1302="Лікар загальної практики - сімейний лікар",U1305*Z1303,0)))</f>
        <v>0</v>
      </c>
      <c r="V1303" s="196">
        <f>IF($B$1302="Лікар-педіатр",V1305*Z1303,IF($B$1302="Лікар-терапевт","х",IF($B$1302="Лікар загальної практики - сімейний лікар",V1305*Z1303,0)))</f>
        <v>0</v>
      </c>
      <c r="W1303" s="196">
        <f>IF($B$1302="Лікар-педіатр","x",IF($B$1302="Лікар-терапевт",W1305*Z1303,IF($B$1302="Лікар загальної практики - сімейний лікар",W1305*Z1303,0)))</f>
        <v>0</v>
      </c>
      <c r="X1303" s="196">
        <f>IF($B$1302="Лікар-педіатр","x",IF($B$1302="Лікар-терапевт",X1305*Z1303,IF($B$1302="Лікар загальної практики - сімейний лікар",X1305*Z1303,0)))</f>
        <v>0</v>
      </c>
      <c r="Y1303" s="196">
        <f>IF($B$1302="Лікар-педіатр","x",IF($B$1302="Лікар-терапевт",Y1305*Z1303,IF($B$1302="Лікар загальної практики - сімейний лікар",Y1305*Z1303,0)))</f>
        <v>0</v>
      </c>
      <c r="Z1303" s="557"/>
      <c r="AA1303" s="942"/>
      <c r="AB1303" s="196">
        <f>IF($B$1302="Лікар-педіатр",AB1305*AG1303,IF($B$1302="Лікар-терапевт","х",IF($B$1302="Лікар загальної практики - сімейний лікар",AB1305*AG1303,0)))</f>
        <v>0</v>
      </c>
      <c r="AC1303" s="196">
        <f>IF($B$1302="Лікар-педіатр",AC1305*AG1303,IF($B$1302="Лікар-терапевт","х",IF($B$1302="Лікар загальної практики - сімейний лікар",AC1305*AG1303,0)))</f>
        <v>0</v>
      </c>
      <c r="AD1303" s="196">
        <f>IF($B$1302="Лікар-педіатр","x",IF($B$1302="Лікар-терапевт",AD1305*AG1303,IF($B$1302="Лікар загальної практики - сімейний лікар",AD1305*AG1303,0)))</f>
        <v>0</v>
      </c>
      <c r="AE1303" s="196">
        <f>IF($B$1302="Лікар-педіатр","x",IF($B$1302="Лікар-терапевт",AE1305*AG1303,IF($B$1302="Лікар загальної практики - сімейний лікар",AE1305*AG1303,0)))</f>
        <v>0</v>
      </c>
      <c r="AF1303" s="196">
        <f>IF($B$1302="Лікар-педіатр","x",IF($B$1302="Лікар-терапевт",AF1305*AG1303,IF($B$1302="Лікар загальної практики - сімейний лікар",AF1305*AG1303,0)))</f>
        <v>0</v>
      </c>
      <c r="AG1303" s="557"/>
      <c r="AH1303" s="942"/>
      <c r="AI1303" s="198"/>
      <c r="AJ1303" s="945"/>
      <c r="AK1303" s="960"/>
      <c r="AL1303" s="960"/>
      <c r="AM1303" s="930"/>
      <c r="AN1303" s="948"/>
      <c r="AO1303" s="948"/>
      <c r="AP1303" s="948"/>
      <c r="AQ1303" s="948"/>
      <c r="AR1303" s="963"/>
    </row>
    <row r="1304" spans="1:44" s="90" customFormat="1" ht="31.15" hidden="1" customHeight="1">
      <c r="A1304" s="240"/>
      <c r="B1304" s="951"/>
      <c r="C1304" s="954"/>
      <c r="D1304" s="957"/>
      <c r="E1304" s="939"/>
      <c r="F1304" s="241" t="s">
        <v>661</v>
      </c>
      <c r="G1304" s="199">
        <f>IF(B1302="Лікар загальної практики - сімейний лікар"," ",IF(B1302="Лікар-педіатр"," ",IF(B1302="Лікар-терапевт","х",0)))</f>
        <v>0</v>
      </c>
      <c r="H1304" s="199">
        <f>IF(B1302="Лікар загальної практики - сімейний лікар"," ",IF(B1302="Лікар-педіатр"," ",IF(B1302="Лікар-терапевт","х",0)))</f>
        <v>0</v>
      </c>
      <c r="I1304" s="199">
        <f>IF(B1302="Лікар загальної практики - сімейний лікар"," ",IF(B1302="Лікар-педіатр","х",IF(B1302="Лікар-терапевт"," ",0)))</f>
        <v>0</v>
      </c>
      <c r="J1304" s="199">
        <f>IF(B1302="Лікар загальної практики - сімейний лікар"," ",IF(B1302="Лікар-педіатр","х",IF(B1302="Лікар-терапевт"," ",0)))</f>
        <v>0</v>
      </c>
      <c r="K1304" s="199">
        <f>IF(B1302="Лікар загальної практики - сімейний лікар"," ",IF(B1302="Лікар-педіатр","х",IF(B1302="Лікар-терапевт"," ",0)))</f>
        <v>0</v>
      </c>
      <c r="L1304" s="200">
        <f>SUM(G1304:K1304)</f>
        <v>0</v>
      </c>
      <c r="M1304" s="942"/>
      <c r="N1304" s="199">
        <f>IF(B1302="Лікар загальної практики - сімейний лікар"," ",IF(B1302="Лікар-педіатр"," ",IF(B1302="Лікар-терапевт","х",0)))</f>
        <v>0</v>
      </c>
      <c r="O1304" s="199">
        <f>IF(B1302="Лікар загальної практики - сімейний лікар"," ",IF(B1302="Лікар-педіатр"," ",IF(B1302="Лікар-терапевт","х",0)))</f>
        <v>0</v>
      </c>
      <c r="P1304" s="199">
        <f>IF(B1302="Лікар загальної практики - сімейний лікар"," ",IF(B1302="Лікар-педіатр","х",IF(B1302="Лікар-терапевт"," ",0)))</f>
        <v>0</v>
      </c>
      <c r="Q1304" s="199">
        <f>IF(B1302="Лікар загальної практики - сімейний лікар"," ",IF(B1302="Лікар-педіатр","х",IF(B1302="Лікар-терапевт"," ",0)))</f>
        <v>0</v>
      </c>
      <c r="R1304" s="199">
        <f>IF(B1302="Лікар загальної практики - сімейний лікар"," ",IF(B1302="Лікар-педіатр","х",IF(B1302="Лікар-терапевт"," ",0)))</f>
        <v>0</v>
      </c>
      <c r="S1304" s="200">
        <f>SUM(N1304:R1304)</f>
        <v>0</v>
      </c>
      <c r="T1304" s="942"/>
      <c r="U1304" s="199">
        <f>IF(B1302="Лікар загальної практики - сімейний лікар"," ",IF(B1302="Лікар-педіатр"," ",IF(B1302="Лікар-терапевт","х",0)))</f>
        <v>0</v>
      </c>
      <c r="V1304" s="199">
        <f>IF(B1302="Лікар загальної практики - сімейний лікар"," ",IF(B1302="Лікар-педіатр"," ",IF(B1302="Лікар-терапевт","х",0)))</f>
        <v>0</v>
      </c>
      <c r="W1304" s="199">
        <f>IF(B1302="Лікар загальної практики - сімейний лікар"," ",IF(B1302="Лікар-педіатр","х",IF(B1302="Лікар-терапевт"," ",0)))</f>
        <v>0</v>
      </c>
      <c r="X1304" s="199">
        <f>IF(B1302="Лікар загальної практики - сімейний лікар"," ",IF(B1302="Лікар-педіатр","х",IF(B1302="Лікар-терапевт"," ",0)))</f>
        <v>0</v>
      </c>
      <c r="Y1304" s="199">
        <f>IF(B1302="Лікар загальної практики - сімейний лікар"," ",IF(B1302="Лікар-педіатр","х",IF(B1302="Лікар-терапевт"," ",0)))</f>
        <v>0</v>
      </c>
      <c r="Z1304" s="200">
        <f>SUM(U1304:Y1304)</f>
        <v>0</v>
      </c>
      <c r="AA1304" s="942"/>
      <c r="AB1304" s="199">
        <f>IF(B1302="Лікар загальної практики - сімейний лікар"," ",IF(B1302="Лікар-педіатр"," ",IF(B1302="Лікар-терапевт","х",0)))</f>
        <v>0</v>
      </c>
      <c r="AC1304" s="199">
        <f>IF(B1302="Лікар загальної практики - сімейний лікар"," ",IF(B1302="Лікар-педіатр"," ",IF(B1302="Лікар-терапевт","х",0)))</f>
        <v>0</v>
      </c>
      <c r="AD1304" s="199">
        <f>IF(B1302="Лікар загальної практики - сімейний лікар"," ",IF(B1302="Лікар-педіатр","х",IF(B1302="Лікар-терапевт"," ",0)))</f>
        <v>0</v>
      </c>
      <c r="AE1304" s="199">
        <f>IF(B1302="Лікар загальної практики - сімейний лікар"," ",IF(B1302="Лікар-педіатр","х",IF(B1302="Лікар-терапевт"," ",0)))</f>
        <v>0</v>
      </c>
      <c r="AF1304" s="199">
        <f>IF(B1302="Лікар загальної практики - сімейний лікар"," ",IF(B1302="Лікар-педіатр","х",IF(B1302="Лікар-терапевт"," ",0)))</f>
        <v>0</v>
      </c>
      <c r="AG1304" s="200">
        <f>SUM(AB1304:AF1304)</f>
        <v>0</v>
      </c>
      <c r="AH1304" s="942"/>
      <c r="AI1304" s="242"/>
      <c r="AJ1304" s="945"/>
      <c r="AK1304" s="960"/>
      <c r="AL1304" s="960"/>
      <c r="AM1304" s="930"/>
      <c r="AN1304" s="948"/>
      <c r="AO1304" s="948"/>
      <c r="AP1304" s="948"/>
      <c r="AQ1304" s="948"/>
      <c r="AR1304" s="963"/>
    </row>
    <row r="1305" spans="1:44" s="50" customFormat="1" ht="31.9" hidden="1" customHeight="1" thickBot="1">
      <c r="A1305" s="197"/>
      <c r="B1305" s="951"/>
      <c r="C1305" s="954"/>
      <c r="D1305" s="957"/>
      <c r="E1305" s="939"/>
      <c r="F1305" s="236" t="s">
        <v>426</v>
      </c>
      <c r="G1305" s="203">
        <f>IF($B$1302="Лікар-педіатр",G1304/L1304,IF($B$1302="Лікар-терапевт","х",IF($B$1302="Лікар загальної практики - сімейний лікар",G1304/L1304,0)))</f>
        <v>0</v>
      </c>
      <c r="H1305" s="203">
        <f>IF($B$1302="Лікар-педіатр",H1304/L1304,IF($B$1302="Лікар-терапевт","х",IF($B$1302="Лікар загальної практики - сімейний лікар",H1304/L1304,0)))</f>
        <v>0</v>
      </c>
      <c r="I1305" s="203">
        <f>IF($B$1302="Лікар-педіатр","x",IF($B$1302="Лікар-терапевт",I1304/L1304,IF($B$1302="Лікар загальної практики - сімейний лікар",I1304/L1304,0)))</f>
        <v>0</v>
      </c>
      <c r="J1305" s="203">
        <f>IF($B$1302="Лікар-педіатр","x",IF($B$1302="Лікар-терапевт",J1304/L1304,IF($B$1302="Лікар загальної практики - сімейний лікар",J1304/L1304,0)))</f>
        <v>0</v>
      </c>
      <c r="K1305" s="203">
        <f>IF($B$1302="Лікар-педіатр","x",IF($B$1302="Лікар-терапевт",K1304/L1304,IF($B$1302="Лікар загальної практики - сімейний лікар",K1304/L1304,0)))</f>
        <v>0</v>
      </c>
      <c r="L1305" s="203">
        <f>SUM(G1305:K1305)</f>
        <v>0</v>
      </c>
      <c r="M1305" s="942"/>
      <c r="N1305" s="203">
        <f>IF($B$1302="Лікар-педіатр",N1304/S1304,IF($B$1302="Лікар-терапевт","х",IF($B$1302="Лікар загальної практики - сімейний лікар",N1304/S1304,0)))</f>
        <v>0</v>
      </c>
      <c r="O1305" s="203">
        <f>IF($B$1302="Лікар-педіатр",O1304/S1304,IF($B$1302="Лікар-терапевт","х",IF($B$1302="Лікар загальної практики - сімейний лікар",O1304/S1304,0)))</f>
        <v>0</v>
      </c>
      <c r="P1305" s="203">
        <f>IF($B$1302="Лікар-педіатр","x",IF($B$1302="Лікар-терапевт",P1304/S1304,IF($B$1302="Лікар загальної практики - сімейний лікар",P1304/S1304,0)))</f>
        <v>0</v>
      </c>
      <c r="Q1305" s="203">
        <f>IF($B$1302="Лікар-педіатр","x",IF($B$1302="Лікар-терапевт",Q1304/S1304,IF($B$1302="Лікар загальної практики - сімейний лікар",Q1304/S1304,0)))</f>
        <v>0</v>
      </c>
      <c r="R1305" s="203">
        <f>IF($B$1302="Лікар-педіатр","x",IF($B$1302="Лікар-терапевт",R1304/S1304,IF($B$1302="Лікар загальної практики - сімейний лікар",R1304/S1304,0)))</f>
        <v>0</v>
      </c>
      <c r="S1305" s="203">
        <f>SUM(N1305:R1305)</f>
        <v>0</v>
      </c>
      <c r="T1305" s="942"/>
      <c r="U1305" s="203">
        <f>IF($B$1302="Лікар-педіатр",U1304/Z1304,IF($B$1302="Лікар-терапевт","х",IF($B$1302="Лікар загальної практики - сімейний лікар",U1304/Z1304,0)))</f>
        <v>0</v>
      </c>
      <c r="V1305" s="203">
        <f>IF($B$1302="Лікар-педіатр",V1304/Z1304,IF($B$1302="Лікар-терапевт","х",IF($B$1302="Лікар загальної практики - сімейний лікар",V1304/Z1304,0)))</f>
        <v>0</v>
      </c>
      <c r="W1305" s="203">
        <f>IF($B$1302="Лікар-педіатр","x",IF($B$1302="Лікар-терапевт",W1304/Z1304,IF($B$1302="Лікар загальної практики - сімейний лікар",W1304/Z1304,0)))</f>
        <v>0</v>
      </c>
      <c r="X1305" s="203">
        <f>IF($B$1302="Лікар-педіатр","x",IF($B$1302="Лікар-терапевт",X1304/Z1304,IF($B$1302="Лікар загальної практики - сімейний лікар",X1304/Z1304,0)))</f>
        <v>0</v>
      </c>
      <c r="Y1305" s="203">
        <f>IF($B$1302="Лікар-педіатр","x",IF($B$1302="Лікар-терапевт",Y1304/Z1304,IF($B$1302="Лікар загальної практики - сімейний лікар",Y1304/Z1304,0)))</f>
        <v>0</v>
      </c>
      <c r="Z1305" s="203">
        <f>SUM(U1305:Y1305)</f>
        <v>0</v>
      </c>
      <c r="AA1305" s="942"/>
      <c r="AB1305" s="203">
        <f>IF($B$1302="Лікар-педіатр",AB1304/AG1304,IF($B$1302="Лікар-терапевт","х",IF($B$1302="Лікар загальної практики - сімейний лікар",AB1304/AG1304,0)))</f>
        <v>0</v>
      </c>
      <c r="AC1305" s="203">
        <f>IF($B$1302="Лікар-педіатр",AC1304/AG1304,IF($B$1302="Лікар-терапевт","х",IF($B$1302="Лікар загальної практики - сімейний лікар",AC1304/AG1304,0)))</f>
        <v>0</v>
      </c>
      <c r="AD1305" s="203">
        <f>IF($B$1302="Лікар-педіатр","x",IF($B$1302="Лікар-терапевт",AD1304/AG1304,IF($B$1302="Лікар загальної практики - сімейний лікар",AD1304/AG1304,0)))</f>
        <v>0</v>
      </c>
      <c r="AE1305" s="203">
        <f>IF($B$1302="Лікар-педіатр","x",IF($B$1302="Лікар-терапевт",AE1304/AG1304,IF($B$1302="Лікар загальної практики - сімейний лікар",AE1304/AG1304,0)))</f>
        <v>0</v>
      </c>
      <c r="AF1305" s="203">
        <f>IF($B$1302="Лікар-педіатр","x",IF($B$1302="Лікар-терапевт",AF1304/AG1304,IF($B$1302="Лікар загальної практики - сімейний лікар",AF1304/AG1304,0)))</f>
        <v>0</v>
      </c>
      <c r="AG1305" s="203">
        <f>SUM(AB1305:AF1305)</f>
        <v>0</v>
      </c>
      <c r="AH1305" s="942"/>
      <c r="AI1305" s="201"/>
      <c r="AJ1305" s="945"/>
      <c r="AK1305" s="960"/>
      <c r="AL1305" s="960"/>
      <c r="AM1305" s="930"/>
      <c r="AN1305" s="948"/>
      <c r="AO1305" s="948"/>
      <c r="AP1305" s="948"/>
      <c r="AQ1305" s="948"/>
      <c r="AR1305" s="963"/>
    </row>
    <row r="1306" spans="1:44" s="50" customFormat="1" ht="45" hidden="1" customHeight="1" thickBot="1">
      <c r="A1306" s="197"/>
      <c r="B1306" s="951"/>
      <c r="C1306" s="954"/>
      <c r="D1306" s="957"/>
      <c r="E1306" s="939"/>
      <c r="F1306" s="204" t="s">
        <v>662</v>
      </c>
      <c r="G1306" s="205">
        <f>IF($B$1302="Лікар загальної практики - сімейний лікар",AVERAGE(G1302:G1304),IF($B$1302="Лікар-педіатр",AVERAGE(G1302:G1304),IF($B$1302="Лікар-терапевт","х",0)))</f>
        <v>0</v>
      </c>
      <c r="H1306" s="205">
        <f>IF($B$1302="Лікар загальної практики - сімейний лікар",AVERAGE(H1302:H1304),IF($B$1302="Лікар-педіатр",AVERAGE(H1302:H1304),IF($B$1302="Лікар-терапевт","х",0)))</f>
        <v>0</v>
      </c>
      <c r="I1306" s="205">
        <f>IF($B$1302="Лікар загальної практики - сімейний лікар",AVERAGE(I1302:I1304),IF($B$1302="Лікар-педіатр","x",IF($B$1302="Лікар-терапевт",AVERAGE(I1302:I1304),0)))</f>
        <v>0</v>
      </c>
      <c r="J1306" s="205">
        <f>IF($B$1302="Лікар загальної практики - сімейний лікар",AVERAGE(J1302:J1304),IF($B$1302="Лікар-педіатр","x",IF($B$1302="Лікар-терапевт",AVERAGE(J1302:J1304),0)))</f>
        <v>0</v>
      </c>
      <c r="K1306" s="205">
        <f>IF($B$1302="Лікар загальної практики - сімейний лікар",AVERAGE(K1302:K1304),IF($B$1302="Лікар-педіатр","x",IF($B$1302="Лікар-терапевт",AVERAGE(K1302:K1304),0)))</f>
        <v>0</v>
      </c>
      <c r="L1306" s="206">
        <f>SUM(G1306:K1306)</f>
        <v>0</v>
      </c>
      <c r="M1306" s="942"/>
      <c r="N1306" s="205">
        <f>IF($B$1302="Лікар загальної практики - сімейний лікар",AVERAGE(N1302:N1304),IF($B$1302="Лікар-педіатр",AVERAGE(N1302:N1304),IF($B$1302="Лікар-терапевт","х",0)))</f>
        <v>0</v>
      </c>
      <c r="O1306" s="205">
        <f>IF($B$1302="Лікар загальної практики - сімейний лікар",AVERAGE(O1302:O1304),IF($B$1302="Лікар-педіатр",AVERAGE(O1302:O1304),IF($B$1302="Лікар-терапевт","х",0)))</f>
        <v>0</v>
      </c>
      <c r="P1306" s="205">
        <f>IF($B$1302="Лікар загальної практики - сімейний лікар",AVERAGE(P1302:P1304),IF($B$1302="Лікар-педіатр","x",IF($B$1302="Лікар-терапевт",AVERAGE(P1302:P1304),0)))</f>
        <v>0</v>
      </c>
      <c r="Q1306" s="205">
        <f>IF($B$1302="Лікар загальної практики - сімейний лікар",AVERAGE(Q1302:Q1304),IF($B$1302="Лікар-педіатр","x",IF($B$1302="Лікар-терапевт",AVERAGE(Q1302:Q1304),0)))</f>
        <v>0</v>
      </c>
      <c r="R1306" s="205">
        <f>IF($B$1302="Лікар загальної практики - сімейний лікар",AVERAGE(R1302:R1304),IF($B$1302="Лікар-педіатр","x",IF($B$1302="Лікар-терапевт",AVERAGE(R1302:R1304),0)))</f>
        <v>0</v>
      </c>
      <c r="S1306" s="206">
        <f>SUM(N1306:R1306)</f>
        <v>0</v>
      </c>
      <c r="T1306" s="942"/>
      <c r="U1306" s="205">
        <f>IF($B$1302="Лікар загальної практики - сімейний лікар",AVERAGE(U1302:U1304),IF($B$1302="Лікар-педіатр",AVERAGE(U1302:U1304),IF($B$1302="Лікар-терапевт","х",0)))</f>
        <v>0</v>
      </c>
      <c r="V1306" s="205">
        <f>IF($B$1302="Лікар загальної практики - сімейний лікар",AVERAGE(V1302:V1304),IF($B$1302="Лікар-педіатр",AVERAGE(V1302:V1304),IF($B$1302="Лікар-терапевт","х",0)))</f>
        <v>0</v>
      </c>
      <c r="W1306" s="205">
        <f>IF($B$1302="Лікар загальної практики - сімейний лікар",AVERAGE(W1302:W1304),IF($B$1302="Лікар-педіатр","x",IF($B$1302="Лікар-терапевт",AVERAGE(W1302:W1304),0)))</f>
        <v>0</v>
      </c>
      <c r="X1306" s="205">
        <f>IF($B$1302="Лікар загальної практики - сімейний лікар",AVERAGE(X1302:X1304),IF($B$1302="Лікар-педіатр","x",IF($B$1302="Лікар-терапевт",AVERAGE(X1302:X1304),0)))</f>
        <v>0</v>
      </c>
      <c r="Y1306" s="205">
        <f>IF($B$1302="Лікар загальної практики - сімейний лікар",AVERAGE(Y1302:Y1304),IF($B$1302="Лікар-педіатр","x",IF($B$1302="Лікар-терапевт",AVERAGE(Y1302:Y1304),0)))</f>
        <v>0</v>
      </c>
      <c r="Z1306" s="206">
        <f>SUM(U1306:Y1306)</f>
        <v>0</v>
      </c>
      <c r="AA1306" s="942"/>
      <c r="AB1306" s="205">
        <f>IF($B$1302="Лікар загальної практики - сімейний лікар",AVERAGE(AB1302:AB1304),IF($B$1302="Лікар-педіатр",AVERAGE(AB1302:AB1304),IF($B$1302="Лікар-терапевт","х",0)))</f>
        <v>0</v>
      </c>
      <c r="AC1306" s="205">
        <f>IF($B$1302="Лікар загальної практики - сімейний лікар",AVERAGE(AC1302:AC1304),IF($B$1302="Лікар-педіатр",AVERAGE(AC1302:AC1304),IF($B$1302="Лікар-терапевт","х",0)))</f>
        <v>0</v>
      </c>
      <c r="AD1306" s="205">
        <f>IF($B$1302="Лікар загальної практики - сімейний лікар",AVERAGE(AD1302:AD1304),IF($B$1302="Лікар-педіатр","x",IF($B$1302="Лікар-терапевт",AVERAGE(AD1302:AD1304),0)))</f>
        <v>0</v>
      </c>
      <c r="AE1306" s="205">
        <f>IF($B$1302="Лікар загальної практики - сімейний лікар",AVERAGE(AE1302:AE1304),IF($B$1302="Лікар-педіатр","x",IF($B$1302="Лікар-терапевт",AVERAGE(AE1302:AE1304),0)))</f>
        <v>0</v>
      </c>
      <c r="AF1306" s="205">
        <f>IF($B$1302="Лікар загальної практики - сімейний лікар",AVERAGE(AF1302:AF1304),IF($B$1302="Лікар-педіатр","x",IF($B$1302="Лікар-терапевт",AVERAGE(AF1302:AF1304),0)))</f>
        <v>0</v>
      </c>
      <c r="AG1306" s="206">
        <f>SUM(AB1306:AF1306)</f>
        <v>0</v>
      </c>
      <c r="AH1306" s="942"/>
      <c r="AI1306" s="201"/>
      <c r="AJ1306" s="945"/>
      <c r="AK1306" s="960"/>
      <c r="AL1306" s="960"/>
      <c r="AM1306" s="931"/>
      <c r="AN1306" s="949"/>
      <c r="AO1306" s="949"/>
      <c r="AP1306" s="949"/>
      <c r="AQ1306" s="949"/>
      <c r="AR1306" s="964"/>
    </row>
    <row r="1307" spans="1:44" s="50" customFormat="1" ht="40.5" hidden="1">
      <c r="A1307" s="197"/>
      <c r="B1307" s="951"/>
      <c r="C1307" s="954"/>
      <c r="D1307" s="957"/>
      <c r="E1307" s="939"/>
      <c r="F1307" s="237" t="str">
        <f ca="1">IF(B1302="Лікар-педіатр",Законод!$C$17,IF(B1302="Лікар загальної практики - сімейний лікар",Законод!$C$21,IF(B1302="Лікар-терапевт",Законод!$C$25,"х")))</f>
        <v>х</v>
      </c>
      <c r="G1307" s="208">
        <f ca="1">IF($B$1302="Лікар загальної практики - сімейний лікар",IF(L1306&lt;=Законод!$C$22,G1306,Законод!$C$22*'01_Доходи'!G1305),IF($B$1302="Лікар-педіатр",IF(L1306&lt;=Законод!$C$18,G1306,Законод!$C$18*'01_Доходи'!G1305),IF($B$1302="Лікар-терапевт","x",0)))</f>
        <v>0</v>
      </c>
      <c r="H1307" s="208">
        <f ca="1">IF($B$1302="Лікар загальної практики - сімейний лікар",IF(L1306&lt;=Законод!$C$22,H1306,Законод!$C$22*'01_Доходи'!H1305),IF($B$1302="Лікар-педіатр",IF(L1306&lt;=Законод!$C$18,H1306,Законод!$C$18*'01_Доходи'!H1305),IF($B$1302="Лікар-терапевт","x",0)))</f>
        <v>0</v>
      </c>
      <c r="I1307" s="208">
        <f ca="1">IF($B$1302="Лікар загальної практики - сімейний лікар",IF(L1306&lt;=Законод!$C$22,I1306,Законод!$C$22*'01_Доходи'!I1305),IF($B$1302="Лікар-педіатр","x",IF($B$1302="Лікар-терапевт",IF(L1306&lt;=Законод!$C$26,I1306,Законод!$C$26*'01_Доходи'!I1305),0)))</f>
        <v>0</v>
      </c>
      <c r="J1307" s="208">
        <f ca="1">IF($B$1302="Лікар загальної практики - сімейний лікар",IF(L1306&lt;=Законод!$C$22,J1306,Законод!$C$22*'01_Доходи'!J1305),IF($B$1302="Лікар-педіатр","x",IF($B$1302="Лікар-терапевт",IF(L1306&lt;=Законод!$C$26,J1306,Законод!$C$26*'01_Доходи'!J1305),0)))</f>
        <v>0</v>
      </c>
      <c r="K1307" s="208">
        <f ca="1">IF($B$1302="Лікар загальної практики - сімейний лікар",IF(L1306&lt;=Законод!$C$22,K1306,Законод!$C$22*'01_Доходи'!K1305),IF($B$1302="Лікар-педіатр","x",IF($B$1302="Лікар-терапевт",IF(L1306&lt;=Законод!$C$26,K1306,Законод!$C$26*'01_Доходи'!K1305),0)))</f>
        <v>0</v>
      </c>
      <c r="L1307" s="209">
        <f ca="1">SUM(G1307:K1307)</f>
        <v>0</v>
      </c>
      <c r="M1307" s="942"/>
      <c r="N1307" s="208">
        <f ca="1">IF($B$1302="Лікар загальної практики - сімейний лікар",IF(S1306&lt;=Законод!$C$22,N1306,Законод!$C$22*'01_Доходи'!N1305),IF($B$1302="Лікар-педіатр",IF(S1306&lt;=Законод!$C$18,N1306,Законод!$C$18*'01_Доходи'!N1305),IF($B$1302="Лікар-терапевт","x",0)))</f>
        <v>0</v>
      </c>
      <c r="O1307" s="208">
        <f ca="1">IF($B$1302="Лікар загальної практики - сімейний лікар",IF(S1306&lt;=Законод!$C$22,O1306,Законод!$C$22*'01_Доходи'!O1305),IF($B$1302="Лікар-педіатр",IF(S1306&lt;=Законод!$C$18,O1306,Законод!$C$18*'01_Доходи'!O1305),IF($B$1302="Лікар-терапевт","x",0)))</f>
        <v>0</v>
      </c>
      <c r="P1307" s="208">
        <f ca="1">IF($B$1302="Лікар загальної практики - сімейний лікар",IF(S1306&lt;=Законод!$C$22,P1306,Законод!$C$22*'01_Доходи'!P1305),IF($B$1302="Лікар-педіатр","x",IF($B$1302="Лікар-терапевт",IF(S1306&lt;=Законод!$C$26,P1306,Законод!$C$26*'01_Доходи'!P1305),0)))</f>
        <v>0</v>
      </c>
      <c r="Q1307" s="208">
        <f ca="1">IF($B$1302="Лікар загальної практики - сімейний лікар",IF(S1306&lt;=Законод!$C$22,Q1306,Законод!$C$22*'01_Доходи'!Q1305),IF($B$1302="Лікар-педіатр","x",IF($B$1302="Лікар-терапевт",IF(S1306&lt;=Законод!$C$26,Q1306,Законод!$C$26*'01_Доходи'!Q1305),0)))</f>
        <v>0</v>
      </c>
      <c r="R1307" s="208">
        <f ca="1">IF($B$1302="Лікар загальної практики - сімейний лікар",IF(S1306&lt;=Законод!$C$22,R1306,Законод!$C$22*'01_Доходи'!R1305),IF($B$1302="Лікар-педіатр","x",IF($B$1302="Лікар-терапевт",IF(S1306&lt;=Законод!$C$26,R1306,Законод!$C$26*'01_Доходи'!R1305),0)))</f>
        <v>0</v>
      </c>
      <c r="S1307" s="209">
        <f ca="1">SUM(N1307:R1307)</f>
        <v>0</v>
      </c>
      <c r="T1307" s="942"/>
      <c r="U1307" s="208">
        <f ca="1">IF($B$1302="Лікар загальної практики - сімейний лікар",IF(Z1306&lt;=Законод!$C$22,U1306,Законод!$C$22*'01_Доходи'!U1305),IF($B$1302="Лікар-педіатр",IF(Z1306&lt;=Законод!$C$18,U1306,Законод!$C$18*'01_Доходи'!U1305),IF($B$1302="Лікар-терапевт","x",0)))</f>
        <v>0</v>
      </c>
      <c r="V1307" s="208">
        <f ca="1">IF($B$1302="Лікар загальної практики - сімейний лікар",IF(Z1306&lt;=Законод!$C$22,V1306,Законод!$C$22*'01_Доходи'!V1305),IF($B$1302="Лікар-педіатр",IF(Z1306&lt;=Законод!$C$18,V1306,Законод!$C$18*'01_Доходи'!V1305),IF($B$1302="Лікар-терапевт","x",0)))</f>
        <v>0</v>
      </c>
      <c r="W1307" s="208">
        <f ca="1">IF($B$1302="Лікар загальної практики - сімейний лікар",IF(Z1306&lt;=Законод!$C$22,W1306,Законод!$C$22*'01_Доходи'!W1305),IF($B$1302="Лікар-педіатр","x",IF($B$1302="Лікар-терапевт",IF(Z1306&lt;=Законод!$C$26,W1306,Законод!$C$26*'01_Доходи'!W1305),0)))</f>
        <v>0</v>
      </c>
      <c r="X1307" s="208">
        <f ca="1">IF($B$1302="Лікар загальної практики - сімейний лікар",IF(Z1306&lt;=Законод!$C$22,X1306,Законод!$C$22*'01_Доходи'!X1305),IF($B$1302="Лікар-педіатр","x",IF($B$1302="Лікар-терапевт",IF(Z1306&lt;=Законод!$C$26,X1306,Законод!$C$26*'01_Доходи'!X1305),0)))</f>
        <v>0</v>
      </c>
      <c r="Y1307" s="208">
        <f ca="1">IF($B$1302="Лікар загальної практики - сімейний лікар",IF(Z1306&lt;=Законод!$C$22,Y1306,Законод!$C$22*'01_Доходи'!Y1305),IF($B$1302="Лікар-педіатр","x",IF($B$1302="Лікар-терапевт",IF(Z1306&lt;=Законод!$C$26,Y1306,Законод!$C$26*'01_Доходи'!Y1305),0)))</f>
        <v>0</v>
      </c>
      <c r="Z1307" s="209">
        <f ca="1">SUM(U1307:Y1307)</f>
        <v>0</v>
      </c>
      <c r="AA1307" s="942"/>
      <c r="AB1307" s="208">
        <f ca="1">IF($B$1302="Лікар загальної практики - сімейний лікар",IF(AG1306&lt;=Законод!$C$22,AB1306,Законод!$C$22*'01_Доходи'!AB1305),IF($B$1302="Лікар-педіатр",IF(AG1306&lt;=Законод!$C$18,AB1306,Законод!$C$18*'01_Доходи'!AB1305),IF($B$1302="Лікар-терапевт","x",0)))</f>
        <v>0</v>
      </c>
      <c r="AC1307" s="208">
        <f ca="1">IF($B$1302="Лікар загальної практики - сімейний лікар",IF(AG1306&lt;=Законод!$C$22,AC1306,Законод!$C$22*'01_Доходи'!AC1305),IF($B$1302="Лікар-педіатр",IF(AG1306&lt;=Законод!$C$18,AC1306,Законод!$C$18*'01_Доходи'!AC1305),IF($B$1302="Лікар-терапевт","x",0)))</f>
        <v>0</v>
      </c>
      <c r="AD1307" s="208">
        <f ca="1">IF($B$1302="Лікар загальної практики - сімейний лікар",IF(AG1306&lt;=Законод!$C$22,AD1306,Законод!$C$22*'01_Доходи'!AD1305),IF($B$1302="Лікар-педіатр","x",IF($B$1302="Лікар-терапевт",IF(AG1306&lt;=Законод!$C$26,AD1306,Законод!$C$26*'01_Доходи'!AD1305),0)))</f>
        <v>0</v>
      </c>
      <c r="AE1307" s="208">
        <f ca="1">IF($B$1302="Лікар загальної практики - сімейний лікар",IF(AG1306&lt;=Законод!$C$22,AE1306,Законод!$C$22*'01_Доходи'!AE1305),IF($B$1302="Лікар-педіатр","x",IF($B$1302="Лікар-терапевт",IF(AG1306&lt;=Законод!$C$26,AE1306,Законод!$C$26*'01_Доходи'!AE1305),0)))</f>
        <v>0</v>
      </c>
      <c r="AF1307" s="208">
        <f ca="1">IF($B$1302="Лікар загальної практики - сімейний лікар",IF(AG1306&lt;=Законод!$C$22,AF1306,Законод!$C$22*'01_Доходи'!AF1305),IF($B$1302="Лікар-педіатр","x",IF($B$1302="Лікар-терапевт",IF(AG1306&lt;=Законод!$C$26,AF1306,Законод!$C$26*'01_Доходи'!AF1305),0)))</f>
        <v>0</v>
      </c>
      <c r="AG1307" s="209">
        <f ca="1">SUM(AB1307:AF1307)</f>
        <v>0</v>
      </c>
      <c r="AH1307" s="942"/>
      <c r="AI1307" s="201"/>
      <c r="AJ1307" s="945"/>
      <c r="AK1307" s="960"/>
      <c r="AL1307" s="960"/>
      <c r="AM1307" s="348" t="s">
        <v>451</v>
      </c>
      <c r="AN1307" s="210">
        <f ca="1">IF(B1302="Лікар загальної практики - сімейний лікар",G1307*Законод!$C$11+'01_Доходи'!H1307*Законод!$D$11+'01_Доходи'!I1307*Законод!$E$11+'01_Доходи'!J1307*Законод!$F$11+'01_Доходи'!K1307*Законод!$G$11,IF(B1302="Лікар-педіатр",G1307*Законод!$C$11+'01_Доходи'!H1307*Законод!$D$11,IF(B1302="Лікар-терапевт",'01_Доходи'!I1307*Законод!$E$11+'01_Доходи'!J1307*Законод!$F$11+'01_Доходи'!K1307*Законод!$G$11,0)))</f>
        <v>0</v>
      </c>
      <c r="AO1307" s="210">
        <f ca="1">IF(B1302="Лікар загальної практики - сімейний лікар",N1307*Законод!$C$11+'01_Доходи'!O1307*Законод!$D$11+'01_Доходи'!P1307*Законод!$E$11+'01_Доходи'!Q1307*Законод!$F$11+'01_Доходи'!R1307*Законод!$G$11,IF(B1302="Лікар-педіатр",N1307*Законод!$C$11+'01_Доходи'!O1307*Законод!$D$11,IF(B1302="Лікар-терапевт",'01_Доходи'!P1307*Законод!$E$11+'01_Доходи'!Q1307*Законод!$F$11+'01_Доходи'!R1307*Законод!$G$11,0)))</f>
        <v>0</v>
      </c>
      <c r="AP1307" s="210">
        <f ca="1">IF(B1302="Лікар загальної практики - сімейний лікар",U1307*Законод!$C$11+'01_Доходи'!V1307*Законод!$D$11+'01_Доходи'!W1307*Законод!$E$11+'01_Доходи'!X1307*Законод!$F$11+'01_Доходи'!Y1307*Законод!$G$11,IF(B1302="Лікар-педіатр",U1307*Законод!$C$11+'01_Доходи'!V1307*Законод!$D$11,IF(B1302="Лікар-терапевт",'01_Доходи'!W1307*Законод!$E$11+'01_Доходи'!X1307*Законод!$F$11+'01_Доходи'!Y1307*Законод!$G$11,0)))</f>
        <v>0</v>
      </c>
      <c r="AQ1307" s="210">
        <f ca="1">IF(B1302="Лікар загальної практики - сімейний лікар",AB1307*Законод!$C$11+'01_Доходи'!AC1307*Законод!$D$11+'01_Доходи'!AD1307*Законод!$E$11+'01_Доходи'!AE1307*Законод!$F$11+'01_Доходи'!AF1307*Законод!$G$11,IF(B1302="Лікар-педіатр",AB1307*Законод!$C$11+'01_Доходи'!AC1307*Законод!$D$11,IF(B1302="Лікар-терапевт",'01_Доходи'!AD1307*Законод!$E$11+'01_Доходи'!AE1307*Законод!$F$11+'01_Доходи'!AF1307*Законод!$G$11,0)))</f>
        <v>0</v>
      </c>
      <c r="AR1307" s="211">
        <f t="shared" ref="AR1307:AR1313" si="140">SUM(AN1307:AQ1307)</f>
        <v>0</v>
      </c>
    </row>
    <row r="1308" spans="1:44" s="50" customFormat="1" ht="31.9" hidden="1" customHeight="1">
      <c r="A1308" s="197"/>
      <c r="B1308" s="951"/>
      <c r="C1308" s="954"/>
      <c r="D1308" s="957"/>
      <c r="E1308" s="939"/>
      <c r="F1308" s="238" t="str">
        <f ca="1">IF(B1302="Лікар-педіатр",Законод!$E$17,IF(B1302="Лікар загальної практики - сімейний лікар",Законод!$E$21,IF(B1302="Лікар-терапевт",Законод!$E$25,"х")))</f>
        <v>х</v>
      </c>
      <c r="G1308" s="935" t="s">
        <v>423</v>
      </c>
      <c r="H1308" s="936"/>
      <c r="I1308" s="936"/>
      <c r="J1308" s="936"/>
      <c r="K1308" s="937"/>
      <c r="L1308" s="196">
        <f ca="1">IF($B$1302="Лікар загальної практики - сімейний лікар",IF(L1306&lt;Законод!$C$22,0,(IF(AND(L1306&gt;=Законод!$E$22,L1306&lt;=Законод!$E$23),L1306-Законод!$C$22,IF('01_Доходи'!L1306&gt;=Законод!$F$22,Законод!$E$24,0)))),IF($B$1302="Лікар-педіатр",IF(L1306&lt;Законод!$C$18,0,(IF(AND(L1306&gt;=Законод!$E$18,L1306&lt;=Законод!$E$19),L1306-Законод!$C$18,IF('01_Доходи'!L1306&gt;=Законод!$F$18,Законод!$E$20,0)))),IF($B$1302="Лікар-терапевт",IF(L1306&lt;Законод!$C$26,0,(IF(AND(L1306&gt;=Законод!$E$26,L1306&lt;=Законод!$E$27),L1306-Законод!$C$26,IF('01_Доходи'!L1306&gt;=Законод!$F$26,Законод!$E$28,0)))),0)))</f>
        <v>0</v>
      </c>
      <c r="M1308" s="942"/>
      <c r="N1308" s="935" t="s">
        <v>423</v>
      </c>
      <c r="O1308" s="936"/>
      <c r="P1308" s="936"/>
      <c r="Q1308" s="936"/>
      <c r="R1308" s="937"/>
      <c r="S1308" s="196">
        <f ca="1">IF($B$1302="Лікар загальної практики - сімейний лікар",IF(S1306&lt;Законод!$C$22,0,(IF(AND(S1306&gt;=Законод!$E$22,S1306&lt;=Законод!$E$23),S1306-Законод!$C$22,IF('01_Доходи'!S1306&gt;=Законод!$F$22,Законод!$E$24,0)))),IF($B$1302="Лікар-педіатр",IF(S1306&lt;Законод!$C$18,0,(IF(AND(S1306&gt;=Законод!$E$18,S1306&lt;=Законод!$E$19),S1306-Законод!$C$18,IF('01_Доходи'!S1306&gt;=Законод!$F$18,Законод!$E$20,0)))),IF($B$1302="Лікар-терапевт",IF(S1306&lt;Законод!$C$26,0,(IF(AND(S1306&gt;=Законод!$E$26,S1306&lt;=Законод!$E$27),S1306-Законод!$C$26,IF('01_Доходи'!S1306&gt;=Законод!$F$26,Законод!$E$28,0)))),0)))</f>
        <v>0</v>
      </c>
      <c r="T1308" s="942"/>
      <c r="U1308" s="935" t="s">
        <v>423</v>
      </c>
      <c r="V1308" s="936"/>
      <c r="W1308" s="936"/>
      <c r="X1308" s="936"/>
      <c r="Y1308" s="937"/>
      <c r="Z1308" s="196">
        <f ca="1">IF($B$1302="Лікар загальної практики - сімейний лікар",IF(Z1306&lt;Законод!$C$22,0,(IF(AND(Z1306&gt;=Законод!$E$22,Z1306&lt;=Законод!$E$23),Z1306-Законод!$C$22,IF('01_Доходи'!Z1306&gt;=Законод!$F$22,Законод!$E$24,0)))),IF($B$1302="Лікар-педіатр",IF(Z1306&lt;Законод!$C$18,0,(IF(AND(Z1306&gt;=Законод!$E$18,Z1306&lt;=Законод!$E$19),Z1306-Законод!$C$18,IF('01_Доходи'!Z1306&gt;=Законод!$F$18,Законод!$E$20,0)))),IF($B$1302="Лікар-терапевт",IF(Z1306&lt;Законод!$C$26,0,(IF(AND(Z1306&gt;=Законод!$E$26,Z1306&lt;=Законод!$E$27),Z1306-Законод!$C$26,IF('01_Доходи'!Z1306&gt;=Законод!$F$26,Законод!$E$28,0)))),0)))</f>
        <v>0</v>
      </c>
      <c r="AA1308" s="942"/>
      <c r="AB1308" s="935" t="s">
        <v>423</v>
      </c>
      <c r="AC1308" s="936"/>
      <c r="AD1308" s="936"/>
      <c r="AE1308" s="936"/>
      <c r="AF1308" s="937"/>
      <c r="AG1308" s="196">
        <f ca="1">IF($B$1302="Лікар загальної практики - сімейний лікар",IF(AG1306&lt;Законод!$C$22,0,(IF(AND(AG1306&gt;=Законод!$E$22,AG1306&lt;=Законод!$E$23),AG1306-Законод!$C$22,IF('01_Доходи'!AG1306&gt;=Законод!$F$22,Законод!$E$24,0)))),IF($B$1302="Лікар-педіатр",IF(AG1306&lt;Законод!$C$18,0,(IF(AND(AG1306&gt;=Законод!$E$18,AG1306&lt;=Законод!$E$19),AG1306-Законод!$C$18,IF('01_Доходи'!AG1306&gt;=Законод!$F$18,Законод!$E$20,0)))),IF($B$1302="Лікар-терапевт",IF(AG1306&lt;Законод!$C$26,0,(IF(AND(AG1306&gt;=Законод!$E$26,AG1306&lt;=Законод!$E$27),AG1306-Законод!$C$26,IF('01_Доходи'!AG1306&gt;=Законод!$F$26,Законод!$E$28,0)))),0)))</f>
        <v>0</v>
      </c>
      <c r="AH1308" s="942"/>
      <c r="AI1308" s="201"/>
      <c r="AJ1308" s="945"/>
      <c r="AK1308" s="960"/>
      <c r="AL1308" s="960"/>
      <c r="AM1308" s="926" t="s">
        <v>452</v>
      </c>
      <c r="AN1308" s="210">
        <f ca="1">IF(B1302="Лікар загальної практики - сімейний лікар",L1308*Законод!$C$9/4*Законод!$E$16,IF(B1302="Лікар-педіатр",L1308*Законод!$C$9/4*Законод!$E$16,IF(B1302="Лікар-терапевт",L1308*Законод!$C$9/4*Законод!$E$16,0)))</f>
        <v>0</v>
      </c>
      <c r="AO1308" s="210">
        <f ca="1">IF(B1302="Лікар загальної практики - сімейний лікар",S1308*Законод!$C$9/4*Законод!$E$16,IF(B1302="Лікар-педіатр",S1308*Законод!$C$9/4*Законод!$E$16,IF(B1302="Лікар-терапевт",S1308*Законод!$C$9/4*Законод!$E$16,0)))</f>
        <v>0</v>
      </c>
      <c r="AP1308" s="210">
        <f ca="1">IF(B1302="Лікар загальної практики - сімейний лікар",Z1308*Законод!$C$9/4*Законод!$E$16,IF(B1302="Лікар-педіатр",Z1308*Законод!$C$9/4*Законод!$E$16,IF(B1302="Лікар-терапевт",Z1308*Законод!$C$9/4*Законод!$E$16,0)))</f>
        <v>0</v>
      </c>
      <c r="AQ1308" s="210">
        <f ca="1">IF(B1302="Лікар загальної практики - сімейний лікар",AG1308*Законод!$C$9/4*Законод!$E$16,IF(B1302="Лікар-педіатр",AG1308*Законод!$C$9/4*Законод!$E$16,IF(B1302="Лікар-терапевт",AG1308*Законод!$C$9/4*Законод!$E$16,0)))</f>
        <v>0</v>
      </c>
      <c r="AR1308" s="211">
        <f t="shared" si="140"/>
        <v>0</v>
      </c>
    </row>
    <row r="1309" spans="1:44" s="50" customFormat="1" ht="31.9" hidden="1" customHeight="1">
      <c r="A1309" s="197"/>
      <c r="B1309" s="951"/>
      <c r="C1309" s="954"/>
      <c r="D1309" s="957"/>
      <c r="E1309" s="939"/>
      <c r="F1309" s="238" t="str">
        <f ca="1">IF(B1302="Лікар-педіатр",Законод!$F$17,IF(B1302="Лікар загальної практики - сімейний лікар",Законод!$F$21,IF(B1302="Лікар-терапевт",Законод!$F$25,"х")))</f>
        <v>х</v>
      </c>
      <c r="G1309" s="935" t="s">
        <v>423</v>
      </c>
      <c r="H1309" s="936"/>
      <c r="I1309" s="936"/>
      <c r="J1309" s="936"/>
      <c r="K1309" s="937"/>
      <c r="L1309" s="196">
        <f ca="1">IF($B$1302="Лікар загальної практики - сімейний лікар",IF(L1306&lt;Законод!$C$22,0,(IF(AND(L1306&gt;=Законод!$F$22,L1306&lt;=Законод!$F$23),L1306-Законод!$E$23,IF('01_Доходи'!L1306&gt;=Законод!$G$22,Законод!$F$24,0)))),IF($B$1302="Лікар-педіатр",IF(L1306&lt;Законод!$C$18,0,(IF(AND(L1306&gt;=Законод!$F$18,L1306&lt;=Законод!$F$19),L1306-Законод!$E$19,IF('01_Доходи'!L1306&gt;=Законод!$G$18,Законод!$F$20,0)))),IF($B$1302="Лікар-терапевт",IF(L1306&lt;Законод!$C$26,0,(IF(AND(L1306&gt;=Законод!$F$26,L1306&lt;=Законод!$F$27),L1306-Законод!$E$27,IF('01_Доходи'!L1306&gt;=Законод!$G$26,Законод!$F$28,0)))),0)))</f>
        <v>0</v>
      </c>
      <c r="M1309" s="942"/>
      <c r="N1309" s="935" t="s">
        <v>423</v>
      </c>
      <c r="O1309" s="936"/>
      <c r="P1309" s="936"/>
      <c r="Q1309" s="936"/>
      <c r="R1309" s="937"/>
      <c r="S1309" s="196">
        <f ca="1">IF($B$1302="Лікар загальної практики - сімейний лікар",IF(S1306&lt;Законод!$C$22,0,(IF(AND(S1306&gt;=Законод!$F$22,S1306&lt;=Законод!$F$23),S1306-Законод!$E$23,IF('01_Доходи'!S1306&gt;=Законод!$G$22,Законод!$F$24,0)))),IF($B$1302="Лікар-педіатр",IF(S1306&lt;Законод!$C$18,0,(IF(AND(S1306&gt;=Законод!$F$18,S1306&lt;=Законод!$F$19),S1306-Законод!$E$19,IF('01_Доходи'!S1306&gt;=Законод!$G$18,Законод!$F$20,0)))),IF($B$1302="Лікар-терапевт",IF(S1306&lt;Законод!$C$26,0,(IF(AND(S1306&gt;=Законод!$F$26,S1306&lt;=Законод!$F$27),S1306-Законод!$E$27,IF('01_Доходи'!S1306&gt;=Законод!$G$26,Законод!$F$28,0)))),0)))</f>
        <v>0</v>
      </c>
      <c r="T1309" s="942"/>
      <c r="U1309" s="935" t="s">
        <v>423</v>
      </c>
      <c r="V1309" s="936"/>
      <c r="W1309" s="936"/>
      <c r="X1309" s="936"/>
      <c r="Y1309" s="937"/>
      <c r="Z1309" s="196">
        <f ca="1">IF($B$1302="Лікар загальної практики - сімейний лікар",IF(Z1306&lt;Законод!$C$22,0,(IF(AND(Z1306&gt;=Законод!$F$22,Z1306&lt;=Законод!$F$23),Z1306-Законод!$E$23,IF('01_Доходи'!Z1306&gt;=Законод!$G$22,Законод!$F$24,0)))),IF($B$1302="Лікар-педіатр",IF(Z1306&lt;Законод!$C$18,0,(IF(AND(Z1306&gt;=Законод!$F$18,Z1306&lt;=Законод!$F$19),Z1306-Законод!$E$19,IF('01_Доходи'!Z1306&gt;=Законод!$G$18,Законод!$F$20,0)))),IF($B$1302="Лікар-терапевт",IF(Z1306&lt;Законод!$C$26,0,(IF(AND(Z1306&gt;=Законод!$F$26,Z1306&lt;=Законод!$F$27),Z1306-Законод!$E$27,IF('01_Доходи'!Z1306&gt;=Законод!$G$26,Законод!$F$28,0)))),0)))</f>
        <v>0</v>
      </c>
      <c r="AA1309" s="942"/>
      <c r="AB1309" s="935" t="s">
        <v>423</v>
      </c>
      <c r="AC1309" s="936"/>
      <c r="AD1309" s="936"/>
      <c r="AE1309" s="936"/>
      <c r="AF1309" s="937"/>
      <c r="AG1309" s="196">
        <f ca="1">IF($B$1302="Лікар загальної практики - сімейний лікар",IF(AG1306&lt;Законод!$C$22,0,(IF(AND(AG1306&gt;=Законод!$F$22,AG1306&lt;=Законод!$F$23),AG1306-Законод!$E$23,IF('01_Доходи'!AG1306&gt;=Законод!$G$22,Законод!$F$24,0)))),IF($B$1302="Лікар-педіатр",IF(AG1306&lt;Законод!$C$18,0,(IF(AND(AG1306&gt;=Законод!$F$18,AG1306&lt;=Законод!$F$19),AG1306-Законод!$E$19,IF('01_Доходи'!AG1306&gt;=Законод!$G$18,Законод!$F$20,0)))),IF($B$1302="Лікар-терапевт",IF(AG1306&lt;Законод!$C$26,0,(IF(AND(AG1306&gt;=Законод!$F$26,AG1306&lt;=Законод!$F$27),AG1306-Законод!$E$27,IF('01_Доходи'!AG1306&gt;=Законод!$G$26,Законод!$F$28,0)))),0)))</f>
        <v>0</v>
      </c>
      <c r="AH1309" s="942"/>
      <c r="AI1309" s="201"/>
      <c r="AJ1309" s="945"/>
      <c r="AK1309" s="960"/>
      <c r="AL1309" s="960"/>
      <c r="AM1309" s="927"/>
      <c r="AN1309" s="210">
        <f ca="1">IF(B1302="Лікар загальної практики - сімейний лікар",L1309*Законод!$C$9/4*Законод!$F$16,IF(B1302="Лікар-педіатр",L1309*Законод!$C$9/4*Законод!$F$16,IF(B1302="Лікар-терапевт",L1309*Законод!$C$9/4*Законод!$F$16,0)))</f>
        <v>0</v>
      </c>
      <c r="AO1309" s="210">
        <f ca="1">IF(B1302="Лікар загальної практики - сімейний лікар",S1309*Законод!$C$9/4*Законод!$F$16,IF(B1302="Лікар-педіатр",S1309*Законод!$C$9/4*Законод!$F$16,IF(B1302="Лікар-терапевт",S1309*Законод!$C$9/4*Законод!$F$16,0)))</f>
        <v>0</v>
      </c>
      <c r="AP1309" s="210">
        <f ca="1">IF(B1302="Лікар загальної практики - сімейний лікар",Z1309*Законод!$C$9/4*Законод!$F$16,IF(B1302="Лікар-педіатр",Z1309*Законод!$C$9/4*Законод!$F$16,IF(B1302="Лікар-терапевт",Z1309*Законод!$C$9/4*Законод!$F$16,0)))</f>
        <v>0</v>
      </c>
      <c r="AQ1309" s="210">
        <f ca="1">IF(B1302="Лікар загальної практики - сімейний лікар",AG1309*Законод!$C$9/4*Законод!$F$16,IF(B1302="Лікар-педіатр",AG1309*Законод!$C$9/4*Законод!$F$16,IF(B1302="Лікар-терапевт",AG1309*Законод!$C$9/4*Законод!$F$16,0)))</f>
        <v>0</v>
      </c>
      <c r="AR1309" s="211">
        <f t="shared" si="140"/>
        <v>0</v>
      </c>
    </row>
    <row r="1310" spans="1:44" s="50" customFormat="1" ht="31.9" hidden="1" customHeight="1">
      <c r="A1310" s="197"/>
      <c r="B1310" s="951"/>
      <c r="C1310" s="954"/>
      <c r="D1310" s="957"/>
      <c r="E1310" s="939"/>
      <c r="F1310" s="238" t="str">
        <f ca="1">IF(B1302="Лікар-педіатр",Законод!$G$17,IF(B1302="Лікар загальної практики - сімейний лікар",Законод!$G$21,IF(B1302="Лікар-терапевт",Законод!$G$25,"х")))</f>
        <v>х</v>
      </c>
      <c r="G1310" s="935" t="s">
        <v>423</v>
      </c>
      <c r="H1310" s="936"/>
      <c r="I1310" s="936"/>
      <c r="J1310" s="936"/>
      <c r="K1310" s="937"/>
      <c r="L1310" s="196">
        <f ca="1">IF($B$1302="Лікар загальної практики - сімейний лікар",IF(L1306&lt;Законод!$C$22,0,(IF(AND(L1306&gt;=Законод!$G$22,L1306&lt;=Законод!$G$23),L1306-Законод!$F$23,IF('01_Доходи'!L1306&gt;=Законод!$H$22,Законод!$G$24,0)))),IF($B$1302="Лікар-педіатр",IF(L1306&lt;Законод!$C$18,0,(IF(AND(L1306&gt;=Законод!$G$18,L1306&lt;=Законод!$G$19),L1306-Законод!$F$19,IF('01_Доходи'!L1306&gt;=Законод!$H$18,Законод!$G$20,0)))),IF($B$1302="Лікар-терапевт",IF(L1306&lt;Законод!$C$26,0,(IF(AND(L1306&gt;=Законод!$G$26,L1306&lt;=Законод!$G$27),L1306-Законод!$F$27,IF('01_Доходи'!L1306&gt;=Законод!$H$26,Законод!$G$28,0)))),0)))</f>
        <v>0</v>
      </c>
      <c r="M1310" s="942"/>
      <c r="N1310" s="935" t="s">
        <v>423</v>
      </c>
      <c r="O1310" s="936"/>
      <c r="P1310" s="936"/>
      <c r="Q1310" s="936"/>
      <c r="R1310" s="937"/>
      <c r="S1310" s="196">
        <f ca="1">IF($B$1302="Лікар загальної практики - сімейний лікар",IF(S1306&lt;Законод!$C$22,0,(IF(AND(S1306&gt;=Законод!$G$22,S1306&lt;=Законод!$G$23),S1306-Законод!$F$23,IF('01_Доходи'!S1306&gt;=Законод!$H$22,Законод!$G$24,0)))),IF($B$1302="Лікар-педіатр",IF(S1306&lt;Законод!$C$18,0,(IF(AND(S1306&gt;=Законод!$G$18,S1306&lt;=Законод!$G$19),S1306-Законод!$F$19,IF('01_Доходи'!S1306&gt;=Законод!$H$18,Законод!$G$20,0)))),IF($B$1302="Лікар-терапевт",IF(S1306&lt;Законод!$C$26,0,(IF(AND(S1306&gt;=Законод!$G$26,S1306&lt;=Законод!$G$27),S1306-Законод!$F$27,IF('01_Доходи'!S1306&gt;=Законод!$H$26,Законод!$G$28,0)))),0)))</f>
        <v>0</v>
      </c>
      <c r="T1310" s="942"/>
      <c r="U1310" s="935" t="s">
        <v>423</v>
      </c>
      <c r="V1310" s="936"/>
      <c r="W1310" s="936"/>
      <c r="X1310" s="936"/>
      <c r="Y1310" s="937"/>
      <c r="Z1310" s="196">
        <f ca="1">IF($B$1302="Лікар загальної практики - сімейний лікар",IF(Z1306&lt;Законод!$C$22,0,(IF(AND(Z1306&gt;=Законод!$G$22,Z1306&lt;=Законод!$G$23),Z1306-Законод!$F$23,IF('01_Доходи'!Z1306&gt;=Законод!$H$22,Законод!$G$24,0)))),IF($B$1302="Лікар-педіатр",IF(Z1306&lt;Законод!$C$18,0,(IF(AND(Z1306&gt;=Законод!$G$18,Z1306&lt;=Законод!$G$19),Z1306-Законод!$F$19,IF('01_Доходи'!Z1306&gt;=Законод!$H$18,Законод!$G$20,0)))),IF($B$1302="Лікар-терапевт",IF(Z1306&lt;Законод!$C$26,0,(IF(AND(Z1306&gt;=Законод!$G$26,Z1306&lt;=Законод!$G$27),Z1306-Законод!$F$27,IF('01_Доходи'!Z1306&gt;=Законод!$H$26,Законод!$G$28,0)))),0)))</f>
        <v>0</v>
      </c>
      <c r="AA1310" s="942"/>
      <c r="AB1310" s="935" t="s">
        <v>423</v>
      </c>
      <c r="AC1310" s="936"/>
      <c r="AD1310" s="936"/>
      <c r="AE1310" s="936"/>
      <c r="AF1310" s="937"/>
      <c r="AG1310" s="196">
        <f ca="1">IF($B$1302="Лікар загальної практики - сімейний лікар",IF(AG1306&lt;Законод!$C$22,0,(IF(AND(AG1306&gt;=Законод!$G$22,AG1306&lt;=Законод!$G$23),AG1306-Законод!$F$23,IF('01_Доходи'!AG1306&gt;=Законод!$H$22,Законод!$G$24,0)))),IF($B$1302="Лікар-педіатр",IF(AG1306&lt;Законод!$C$18,0,(IF(AND(AG1306&gt;=Законод!$G$18,AG1306&lt;=Законод!$G$19),AG1306-Законод!$F$19,IF('01_Доходи'!AG1306&gt;=Законод!$H$18,Законод!$G$20,0)))),IF($B$1302="Лікар-терапевт",IF(AG1306&lt;Законод!$C$26,0,(IF(AND(AG1306&gt;=Законод!$G$26,AG1306&lt;=Законод!$G$27),AG1306-Законод!$F$27,IF('01_Доходи'!AG1306&gt;=Законод!$H$26,Законод!$G$28,0)))),0)))</f>
        <v>0</v>
      </c>
      <c r="AH1310" s="942"/>
      <c r="AI1310" s="201"/>
      <c r="AJ1310" s="945"/>
      <c r="AK1310" s="960"/>
      <c r="AL1310" s="960"/>
      <c r="AM1310" s="927"/>
      <c r="AN1310" s="210">
        <f ca="1">IF(B1302="Лікар загальної практики - сімейний лікар",L1310*Законод!$C$9/4*Законод!$G$16,IF(B1302="Лікар-педіатр",L1310*Законод!$C$9/4*Законод!$G$16,IF(B1302="Лікар-терапевт",L1310*Законод!$C$9/4*Законод!$G$16,0)))</f>
        <v>0</v>
      </c>
      <c r="AO1310" s="210">
        <f ca="1">IF(B1302="Лікар загальної практики - сімейний лікар",S1310*Законод!$C$9/4*Законод!$G$16,IF(B1302="Лікар-педіатр",S1310*Законод!$C$9/4*Законод!$G$16,IF(B1302="Лікар-терапевт",S1310*Законод!$C$9/4*Законод!$G$16,0)))</f>
        <v>0</v>
      </c>
      <c r="AP1310" s="210">
        <f ca="1">IF(B1302="Лікар загальної практики - сімейний лікар",Z1310*Законод!$C$9/4*Законод!$G$16,IF(B1302="Лікар-педіатр",Z1310*Законод!$C$9/4*Законод!$G$16,IF(B1302="Лікар-терапевт",Z1310*Законод!$C$9/4*Законод!$G$16,0)))</f>
        <v>0</v>
      </c>
      <c r="AQ1310" s="210">
        <f ca="1">IF(B1302="Лікар загальної практики - сімейний лікар",AG1310*Законод!$C$9/4*Законод!$G$16,IF(B1302="Лікар-педіатр",AG1310*Законод!$C$9/4*Законод!$G$16,IF(B1302="Лікар-терапевт",AG1310*Законод!$C$9/4*Законод!$G$16,0)))</f>
        <v>0</v>
      </c>
      <c r="AR1310" s="211">
        <f t="shared" si="140"/>
        <v>0</v>
      </c>
    </row>
    <row r="1311" spans="1:44" s="50" customFormat="1" ht="31.9" hidden="1" customHeight="1">
      <c r="A1311" s="197"/>
      <c r="B1311" s="951"/>
      <c r="C1311" s="954"/>
      <c r="D1311" s="957"/>
      <c r="E1311" s="939"/>
      <c r="F1311" s="238" t="str">
        <f ca="1">IF(B1302="Лікар-педіатр",Законод!$H$17,IF(B1302="Лікар загальної практики - сімейний лікар",Законод!$H$21,IF(B1302="Лікар-терапевт",Законод!$H$25,"х")))</f>
        <v>х</v>
      </c>
      <c r="G1311" s="935" t="s">
        <v>423</v>
      </c>
      <c r="H1311" s="936"/>
      <c r="I1311" s="936"/>
      <c r="J1311" s="936"/>
      <c r="K1311" s="937"/>
      <c r="L1311" s="196">
        <f ca="1">IF($B$1302="Лікар загальної практики - сімейний лікар",IF(L1306&lt;Законод!$C$22,0,(IF(AND(L1306&gt;=Законод!$H$22,L1306&lt;=Законод!$H$23),L1306-Законод!$G$23,IF('01_Доходи'!L1306&gt;=Законод!$I$22,Законод!$H$24,0)))),IF($B$1302="Лікар-педіатр",IF(L1306&lt;Законод!$C$18,0,(IF(AND(L1306&gt;=Законод!$H$18,L1306&lt;=Законод!$H$19),L1306-Законод!$G$19,IF('01_Доходи'!L1306&gt;=Законод!$I$18,Законод!$H$20,0)))),IF($B$1302="Лікар-терапевт",IF(L1306&lt;Законод!$C$26,0,(IF(AND(L1306&gt;=Законод!$H$26,L1306&lt;=Законод!$H$27),L1306-Законод!$G$27,IF(L1306&gt;=Законод!$I$26,Законод!$H$28,0)))),0)))</f>
        <v>0</v>
      </c>
      <c r="M1311" s="942"/>
      <c r="N1311" s="935" t="s">
        <v>423</v>
      </c>
      <c r="O1311" s="936"/>
      <c r="P1311" s="936"/>
      <c r="Q1311" s="936"/>
      <c r="R1311" s="937"/>
      <c r="S1311" s="196">
        <f ca="1">IF($B$1302="Лікар загальної практики - сімейний лікар",IF(S1306&lt;Законод!$C$22,0,(IF(AND(S1306&gt;=Законод!$H$22,S1306&lt;=Законод!$H$23),S1306-Законод!$G$23,IF('01_Доходи'!S1306&gt;=Законод!$I$22,Законод!$H$24,0)))),IF($B$1302="Лікар-педіатр",IF(S1306&lt;Законод!$C$18,0,(IF(AND(S1306&gt;=Законод!$H$18,S1306&lt;=Законод!$H$19),S1306-Законод!$G$19,IF('01_Доходи'!S1306&gt;=Законод!$I$18,Законод!$H$20,0)))),IF($B$1302="Лікар-терапевт",IF(S1306&lt;Законод!$C$26,0,(IF(AND(S1306&gt;=Законод!$H$26,S1306&lt;=Законод!$H$27),S1306-Законод!$G$27,IF(S1306&gt;=Законод!$I$26,Законод!$H$28,0)))),0)))</f>
        <v>0</v>
      </c>
      <c r="T1311" s="942"/>
      <c r="U1311" s="935" t="s">
        <v>423</v>
      </c>
      <c r="V1311" s="936"/>
      <c r="W1311" s="936"/>
      <c r="X1311" s="936"/>
      <c r="Y1311" s="937"/>
      <c r="Z1311" s="196">
        <f ca="1">IF($B$1302="Лікар загальної практики - сімейний лікар",IF(Z1306&lt;Законод!$C$22,0,(IF(AND(Z1306&gt;=Законод!$H$22,Z1306&lt;=Законод!$H$23),Z1306-Законод!$G$23,IF('01_Доходи'!Z1306&gt;=Законод!$I$22,Законод!$H$24,0)))),IF($B$1302="Лікар-педіатр",IF(Z1306&lt;Законод!$C$18,0,(IF(AND(Z1306&gt;=Законод!$H$18,Z1306&lt;=Законод!$H$19),Z1306-Законод!$G$19,IF('01_Доходи'!Z1306&gt;=Законод!$I$18,Законод!$H$20,0)))),IF($B$1302="Лікар-терапевт",IF(Z1306&lt;Законод!$C$26,0,(IF(AND(Z1306&gt;=Законод!$H$26,Z1306&lt;=Законод!$H$27),Z1306-Законод!$G$27,IF(Z1306&gt;=Законод!$I$26,Законод!$H$28,0)))),0)))</f>
        <v>0</v>
      </c>
      <c r="AA1311" s="942"/>
      <c r="AB1311" s="935" t="s">
        <v>423</v>
      </c>
      <c r="AC1311" s="936"/>
      <c r="AD1311" s="936"/>
      <c r="AE1311" s="936"/>
      <c r="AF1311" s="937"/>
      <c r="AG1311" s="196">
        <f ca="1">IF($B$1302="Лікар загальної практики - сімейний лікар",IF(AG1306&lt;Законод!$C$22,0,(IF(AND(AG1306&gt;=Законод!$H$22,AG1306&lt;=Законод!$H$23),AG1306-Законод!$G$23,IF('01_Доходи'!AG1306&gt;=Законод!$I$22,Законод!$H$24,0)))),IF($B$1302="Лікар-педіатр",IF(AG1306&lt;Законод!$C$18,0,(IF(AND(AG1306&gt;=Законод!$H$18,AG1306&lt;=Законод!$H$19),AG1306-Законод!$G$19,IF('01_Доходи'!AG1306&gt;=Законод!$I$18,Законод!$H$20,0)))),IF($B$1302="Лікар-терапевт",IF(AG1306&lt;Законод!$C$26,0,(IF(AND(AG1306&gt;=Законод!$H$26,AG1306&lt;=Законод!$H$27),AG1306-Законод!$G$27,IF(AG1306&gt;=Законод!$I$26,Законод!$H$28,0)))),0)))</f>
        <v>0</v>
      </c>
      <c r="AH1311" s="942"/>
      <c r="AI1311" s="201"/>
      <c r="AJ1311" s="945"/>
      <c r="AK1311" s="960"/>
      <c r="AL1311" s="960"/>
      <c r="AM1311" s="927"/>
      <c r="AN1311" s="210">
        <f ca="1">IF(B1302="Лікар загальної практики - сімейний лікар",L1311*Законод!$C$9/4*Законод!$H$16,IF(B1302="Лікар-педіатр",L1311*Законод!$C$9/4*Законод!$H$16,IF(B1302="Лікар-терапевт",L1311*Законод!$C$9/4*Законод!$H$16,0)))</f>
        <v>0</v>
      </c>
      <c r="AO1311" s="210">
        <f ca="1">IF(B1302="Лікар загальної практики - сімейний лікар",S1311*Законод!$C$9/4*Законод!$H$16,IF(B1302="Лікар-педіатр",S1311*Законод!$C$9/4*Законод!$H$16,IF(B1302="Лікар-терапевт",S1311*Законод!$C$9/4*Законод!$H$16,0)))</f>
        <v>0</v>
      </c>
      <c r="AP1311" s="210">
        <f ca="1">IF(B1302="Лікар загальної практики - сімейний лікар",Z1311*Законод!$C$9/4*Законод!$H$16,IF(B1302="Лікар-педіатр",Z1311*Законод!$C$9/4*Законод!$H$16,IF(B1302="Лікар-терапевт",Z1311*Законод!$C$9/4*Законод!$H$16,0)))</f>
        <v>0</v>
      </c>
      <c r="AQ1311" s="210">
        <f ca="1">IF(B1302="Лікар загальної практики - сімейний лікар",AG1311*Законод!$C$9/4*Законод!$H$16,IF(B1302="Лікар-педіатр",AG1311*Законод!$C$9/4*Законод!$H$16,IF(B1302="Лікар-терапевт",AG1311*Законод!$C$9/4*Законод!$H$16,0)))</f>
        <v>0</v>
      </c>
      <c r="AR1311" s="211">
        <f t="shared" si="140"/>
        <v>0</v>
      </c>
    </row>
    <row r="1312" spans="1:44" s="50" customFormat="1" ht="31.9" hidden="1" customHeight="1">
      <c r="A1312" s="197"/>
      <c r="B1312" s="951"/>
      <c r="C1312" s="954"/>
      <c r="D1312" s="957"/>
      <c r="E1312" s="939"/>
      <c r="F1312" s="238" t="str">
        <f ca="1">IF(B1302="Лікар-педіатр",Законод!$I$17,IF(B1302="Лікар загальної практики - сімейний лікар",Законод!$I$21,IF(B1302="Лікар-терапевт",Законод!$I$25,"х")))</f>
        <v>х</v>
      </c>
      <c r="G1312" s="935" t="s">
        <v>423</v>
      </c>
      <c r="H1312" s="936"/>
      <c r="I1312" s="936"/>
      <c r="J1312" s="936"/>
      <c r="K1312" s="937"/>
      <c r="L1312" s="196">
        <f ca="1">IF($B$1302="Лікар загальної практики - сімейний лікар",IF(L1306&lt;Законод!$C$22,0,(IF(AND(L1306&gt;=Законод!$I$22,L1306&lt;=Законод!$I$23),L1306-Законод!$H$23,IF('01_Доходи'!L1306&gt;=Законод!$I$22,Законод!$I$24,0)))),IF($B$1302="Лікар-педіатр",IF(L1306&lt;Законод!$C$18,0,(IF(AND(L1306&gt;=Законод!$I$18,L1306&lt;=Законод!$I$19),L1306-Законод!$H$19,IF('01_Доходи'!L1306&gt;=Законод!$I$18,Законод!$H$20,0)))),IF($B$1302="Лікар-терапевт",IF(L1306&lt;Законод!$C$26,0,(IF(AND(L1306&gt;=Законод!$I$26,L1306&lt;=Законод!$I$27),L1306-Законод!$H$27,IF('01_Доходи'!L1306&gt;=Законод!$I$26,Законод!$H$28,0)))),0)))</f>
        <v>0</v>
      </c>
      <c r="M1312" s="942"/>
      <c r="N1312" s="935" t="s">
        <v>423</v>
      </c>
      <c r="O1312" s="936"/>
      <c r="P1312" s="936"/>
      <c r="Q1312" s="936"/>
      <c r="R1312" s="937"/>
      <c r="S1312" s="196">
        <f ca="1">IF($B$1302="Лікар загальної практики - сімейний лікар",IF(S1306&lt;Законод!$C$22,0,(IF(AND(S1306&gt;=Законод!$I$22,S1306&lt;=Законод!$I$23),S1306-Законод!$H$23,IF('01_Доходи'!S1306&gt;=Законод!$I$22,Законод!$I$24,0)))),IF($B$1302="Лікар-педіатр",IF(S1306&lt;Законод!$C$18,0,(IF(AND(S1306&gt;=Законод!$I$18,S1306&lt;=Законод!$I$19),S1306-Законод!$H$19,IF('01_Доходи'!S1306&gt;=Законод!$I$18,Законод!$H$20,0)))),IF($B$1302="Лікар-терапевт",IF(S1306&lt;Законод!$C$26,0,(IF(AND(S1306&gt;=Законод!$I$26,S1306&lt;=Законод!$I$27),S1306-Законод!$H$27,IF('01_Доходи'!S1306&gt;=Законод!$I$26,Законод!$H$28,0)))),0)))</f>
        <v>0</v>
      </c>
      <c r="T1312" s="942"/>
      <c r="U1312" s="935" t="s">
        <v>423</v>
      </c>
      <c r="V1312" s="936"/>
      <c r="W1312" s="936"/>
      <c r="X1312" s="936"/>
      <c r="Y1312" s="937"/>
      <c r="Z1312" s="196">
        <f ca="1">IF($B$1302="Лікар загальної практики - сімейний лікар",IF(Z1306&lt;Законод!$C$22,0,(IF(AND(Z1306&gt;=Законод!$I$22,Z1306&lt;=Законод!$I$23),Z1306-Законод!$H$23,IF('01_Доходи'!Z1306&gt;=Законод!$I$22,Законод!$I$24,0)))),IF($B$1302="Лікар-педіатр",IF(Z1306&lt;Законод!$C$18,0,(IF(AND(Z1306&gt;=Законод!$I$18,Z1306&lt;=Законод!$I$19),Z1306-Законод!$H$19,IF('01_Доходи'!Z1306&gt;=Законод!$I$18,Законод!$H$20,0)))),IF($B$1302="Лікар-терапевт",IF(Z1306&lt;Законод!$C$26,0,(IF(AND(Z1306&gt;=Законод!$I$26,Z1306&lt;=Законод!$I$27),Z1306-Законод!$H$27,IF('01_Доходи'!Z1306&gt;=Законод!$I$26,Законод!$H$28,0)))),0)))</f>
        <v>0</v>
      </c>
      <c r="AA1312" s="942"/>
      <c r="AB1312" s="935" t="s">
        <v>423</v>
      </c>
      <c r="AC1312" s="936"/>
      <c r="AD1312" s="936"/>
      <c r="AE1312" s="936"/>
      <c r="AF1312" s="937"/>
      <c r="AG1312" s="196">
        <f ca="1">IF($B$1302="Лікар загальної практики - сімейний лікар",IF(AG1306&lt;Законод!$C$22,0,(IF(AND(AG1306&gt;=Законод!$I$22,AG1306&lt;=Законод!$I$23),AG1306-Законод!$H$23,IF('01_Доходи'!AG1306&gt;=Законод!$I$22,Законод!$I$24,0)))),IF($B$1302="Лікар-педіатр",IF(AG1306&lt;Законод!$C$18,0,(IF(AND(AG1306&gt;=Законод!$I$18,AG1306&lt;=Законод!$I$19),AG1306-Законод!$H$19,IF('01_Доходи'!AG1306&gt;=Законод!$I$18,Законод!$H$20,0)))),IF($B$1302="Лікар-терапевт",IF(AG1306&lt;Законод!$C$26,0,(IF(AND(AG1306&gt;=Законод!$I$26,AG1306&lt;=Законод!$I$27),AG1306-Законод!$H$27,IF('01_Доходи'!AG1306&gt;=Законод!$I$26,Законод!$H$28,0)))),0)))</f>
        <v>0</v>
      </c>
      <c r="AH1312" s="942"/>
      <c r="AI1312" s="201"/>
      <c r="AJ1312" s="945"/>
      <c r="AK1312" s="960"/>
      <c r="AL1312" s="960"/>
      <c r="AM1312" s="927"/>
      <c r="AN1312" s="210">
        <f ca="1">IF(B1302="Лікар загальної практики - сімейний лікар",L1312*Законод!$C$9/4*Законод!$I$16,IF(B1302="Лікар-педіатр",L1312*Законод!$C$9/4*Законод!$I$16,IF(B1302="Лікар-терапевт",L1312*Законод!$C$9/4*Законод!$I$16,0)))</f>
        <v>0</v>
      </c>
      <c r="AO1312" s="210">
        <f ca="1">IF(B1302="Лікар загальної практики - сімейний лікар",S1312*Законод!$C$9/4*Законод!$I$16,IF(B1302="Лікар-педіатр",S1312*Законод!$C$9/4*Законод!$I$16,IF(B1302="Лікар-терапевт",S1312*Законод!$C$9/4*Законод!$I$16,0)))</f>
        <v>0</v>
      </c>
      <c r="AP1312" s="210">
        <f ca="1">IF(B1302="Лікар загальної практики - сімейний лікар",Z1312*Законод!$C$9/4*Законод!$I$16,IF(B1302="Лікар-педіатр",Z1312*Законод!$C$9/4*Законод!$I$16,IF(B1302="Лікар-терапевт",Z1312*Законод!$C$9/4*Законод!$I$16,0)))</f>
        <v>0</v>
      </c>
      <c r="AQ1312" s="210">
        <f ca="1">IF(B1302="Лікар загальної практики - сімейний лікар",AG1312*Законод!$C$9/4*Законод!$I$16,IF(B1302="Лікар-педіатр",AG1312*Законод!$C$9/4*Законод!$I$16,IF(B1302="Лікар-терапевт",AG1312*Законод!$C$9/4*Законод!$I$16,0)))</f>
        <v>0</v>
      </c>
      <c r="AR1312" s="211">
        <f t="shared" si="140"/>
        <v>0</v>
      </c>
    </row>
    <row r="1313" spans="1:44" s="218" customFormat="1" ht="31.9" hidden="1" customHeight="1" thickBot="1">
      <c r="A1313" s="213"/>
      <c r="B1313" s="952"/>
      <c r="C1313" s="955"/>
      <c r="D1313" s="958"/>
      <c r="E1313" s="940"/>
      <c r="F1313" s="239" t="str">
        <f ca="1">IF(B1302="Лікар-педіатр",Законод!$J$17,IF(B1302="Лікар загальної практики - сімейний лікар",Законод!$J$21,IF(B1302="Лікар-терапевт",Законод!$J$25,"х")))</f>
        <v>х</v>
      </c>
      <c r="G1313" s="932" t="s">
        <v>423</v>
      </c>
      <c r="H1313" s="933"/>
      <c r="I1313" s="933"/>
      <c r="J1313" s="933"/>
      <c r="K1313" s="934"/>
      <c r="L1313" s="196">
        <f ca="1">IF($B$1302="Лікар загальної практики - сімейний лікар",IF(L1306&gt;=Законод!$J$22,'01_Доходи'!L1306-('01_Доходи'!L1307+'01_Доходи'!L1308+'01_Доходи'!L1309+'01_Доходи'!L1310+'01_Доходи'!L1311+'01_Доходи'!L1312),0),IF($B$1302="Лікар-педіатр",IF(L1306&gt;=Законод!$J$18,'01_Доходи'!L1306-('01_Доходи'!L1307+'01_Доходи'!L1308+'01_Доходи'!L1309+'01_Доходи'!L1310+'01_Доходи'!L1311+'01_Доходи'!L1312),0),IF($B$1302="Лікар-терапевт",IF('01_Доходи'!L1306&gt;=Законод!$J$26,L1306-Законод!$I$27,0),0)))</f>
        <v>0</v>
      </c>
      <c r="M1313" s="943"/>
      <c r="N1313" s="932" t="s">
        <v>423</v>
      </c>
      <c r="O1313" s="933"/>
      <c r="P1313" s="933"/>
      <c r="Q1313" s="933"/>
      <c r="R1313" s="934"/>
      <c r="S1313" s="196">
        <f ca="1">IF($B$1302="Лікар загальної практики - сімейний лікар",IF(S1306&gt;=Законод!$J$22,'01_Доходи'!S1306-('01_Доходи'!S1307+'01_Доходи'!S1308+'01_Доходи'!S1309+'01_Доходи'!S1310+'01_Доходи'!S1311+'01_Доходи'!S1312),0),IF($B$1302="Лікар-педіатр",IF(S1306&gt;=Законод!$J$18,'01_Доходи'!S1306-('01_Доходи'!S1307+'01_Доходи'!S1308+'01_Доходи'!S1309+'01_Доходи'!S1310+'01_Доходи'!S1311+'01_Доходи'!S1312),0),IF($B$1302="Лікар-терапевт",IF('01_Доходи'!S1306&gt;=Законод!$J$26,S1306-Законод!$I$27,0),0)))</f>
        <v>0</v>
      </c>
      <c r="T1313" s="943"/>
      <c r="U1313" s="932" t="s">
        <v>423</v>
      </c>
      <c r="V1313" s="933"/>
      <c r="W1313" s="933"/>
      <c r="X1313" s="933"/>
      <c r="Y1313" s="934"/>
      <c r="Z1313" s="196">
        <f ca="1">IF($B$1302="Лікар загальної практики - сімейний лікар",IF(Z1306&gt;=Законод!$J$22,'01_Доходи'!Z1306-('01_Доходи'!Z1307+'01_Доходи'!Z1308+'01_Доходи'!Z1309+'01_Доходи'!Z1310+'01_Доходи'!Z1311+'01_Доходи'!Z1312),0),IF($B$1302="Лікар-педіатр",IF(Z1306&gt;=Законод!$J$18,'01_Доходи'!Z1306-('01_Доходи'!Z1307+'01_Доходи'!Z1308+'01_Доходи'!Z1309+'01_Доходи'!Z1310+'01_Доходи'!Z1311+'01_Доходи'!Z1312),0),IF($B$1302="Лікар-терапевт",IF('01_Доходи'!Z1306&gt;=Законод!$J$26,Z1306-Законод!$I$27,0),0)))</f>
        <v>0</v>
      </c>
      <c r="AA1313" s="943"/>
      <c r="AB1313" s="932" t="s">
        <v>423</v>
      </c>
      <c r="AC1313" s="933"/>
      <c r="AD1313" s="933"/>
      <c r="AE1313" s="933"/>
      <c r="AF1313" s="934"/>
      <c r="AG1313" s="196">
        <f ca="1">IF($B$1302="Лікар загальної практики - сімейний лікар",IF(AG1306&gt;=Законод!$J$22,'01_Доходи'!AG1306-('01_Доходи'!AG1307+'01_Доходи'!AG1308+'01_Доходи'!AG1309+'01_Доходи'!AG1310+'01_Доходи'!AG1311+'01_Доходи'!AG1312),0),IF($B$1302="Лікар-педіатр",IF(AG1306&gt;=Законод!$J$18,'01_Доходи'!AG1306-('01_Доходи'!AG1307+'01_Доходи'!AG1308+'01_Доходи'!AG1309+'01_Доходи'!AG1310+'01_Доходи'!AG1311+'01_Доходи'!AG1312),0),IF($B$1302="Лікар-терапевт",IF('01_Доходи'!AG1306&gt;=Законод!$J$26,AG1306-Законод!$I$27,0),0)))</f>
        <v>0</v>
      </c>
      <c r="AH1313" s="943"/>
      <c r="AI1313" s="215"/>
      <c r="AJ1313" s="946"/>
      <c r="AK1313" s="961"/>
      <c r="AL1313" s="961"/>
      <c r="AM1313" s="928"/>
      <c r="AN1313" s="216">
        <f ca="1">IF(B1302="Лікар загальної практики - сімейний лікар",L1313*Законод!$C$9/4*Законод!$J$16,IF(B1302="Лікар-педіатр",L1313*Законод!$C$9/4*Законод!$J$16,IF(B1302="Лікар-терапевт",L1313*Законод!$C$9/4*Законод!$J$16,0)))</f>
        <v>0</v>
      </c>
      <c r="AO1313" s="216">
        <f ca="1">IF(B1302="Лікар загальної практики - сімейний лікар",S1313*Законод!$C$9/4*Законод!$J$16,IF(B1302="Лікар-педіатр",S1313*Законод!$C$9/4*Законод!$J$16,IF(B1302="Лікар-терапевт",S1313*Законод!$C$9/4*Законод!$J$16,0)))</f>
        <v>0</v>
      </c>
      <c r="AP1313" s="216">
        <f ca="1">IF(B1302="Лікар загальної практики - сімейний лікар",S1313*Законод!$C$9/4*Законод!$J$16,IF(B1302="Лікар-педіатр",S1313*Законод!$C$9/4*Законод!$J$16,IF(B1302="Лікар-терапевт",S1313*Законод!$C$9/4*Законод!$J$16,0)))</f>
        <v>0</v>
      </c>
      <c r="AQ1313" s="216">
        <f ca="1">IF(B1302="Лікар загальної практики - сімейний лікар",AG1313*Законод!$C$9/4*Законод!$J$16,IF(B1302="Лікар-педіатр",AG1313*Законод!$C$9/4*Законод!$J$16,IF(B1302="Лікар-терапевт",AG1313*Законод!$C$9/4*Законод!$J$16,0)))</f>
        <v>0</v>
      </c>
      <c r="AR1313" s="217">
        <f t="shared" si="140"/>
        <v>0</v>
      </c>
    </row>
    <row r="1314" spans="1:44" s="247" customFormat="1" ht="23.45" hidden="1" customHeight="1" thickBot="1">
      <c r="A1314" s="243"/>
      <c r="B1314" s="244"/>
      <c r="C1314" s="244"/>
      <c r="D1314" s="244"/>
      <c r="E1314" s="244"/>
      <c r="F1314" s="245"/>
      <c r="G1314" s="246"/>
      <c r="H1314" s="246"/>
      <c r="L1314" s="248"/>
      <c r="S1314" s="248"/>
      <c r="Z1314" s="248"/>
      <c r="AG1314" s="248"/>
      <c r="AM1314" s="249"/>
      <c r="AR1314" s="250"/>
    </row>
    <row r="1315" spans="1:44" s="191" customFormat="1" ht="24.6" hidden="1" customHeight="1">
      <c r="A1315" s="194">
        <f>A1302+1</f>
        <v>99</v>
      </c>
      <c r="B1315" s="950"/>
      <c r="C1315" s="953"/>
      <c r="D1315" s="956"/>
      <c r="E1315" s="938"/>
      <c r="F1315" s="234" t="s">
        <v>659</v>
      </c>
      <c r="G1315" s="196">
        <f>IF($B$1315="Лікар-педіатр",G1318*L1315,IF($B$1315="Лікар-терапевт","х",IF($B$1315="Лікар загальної практики - сімейний лікар",G1318*L1315,0)))</f>
        <v>0</v>
      </c>
      <c r="H1315" s="196">
        <f>IF($B$1315="Лікар-педіатр",H1318*L1315,IF($B$1315="Лікар-терапевт","х",IF($B$1315="Лікар загальної практики - сімейний лікар",H1318*L1315,0)))</f>
        <v>0</v>
      </c>
      <c r="I1315" s="196">
        <f>IF($B$1315="Лікар-педіатр","x",IF($B$1315="Лікар-терапевт",I1318*L1315,IF($B$1315="Лікар загальної практики - сімейний лікар",I1318*L1315,0)))</f>
        <v>0</v>
      </c>
      <c r="J1315" s="196">
        <f>IF($B$1315="Лікар-педіатр","x",IF($B$1315="Лікар-терапевт",J1318*L1315,IF($B$1315="Лікар загальної практики - сімейний лікар",J1318*L1315,0)))</f>
        <v>0</v>
      </c>
      <c r="K1315" s="196">
        <f>IF($B$1315="Лікар-педіатр","x",IF($B$1315="Лікар-терапевт",K1318*L1315,IF($B$1315="Лікар загальної практики - сімейний лікар",K1318*L1315,0)))</f>
        <v>0</v>
      </c>
      <c r="L1315" s="557"/>
      <c r="M1315" s="941"/>
      <c r="N1315" s="196">
        <f>IF($B$1315="Лікар-педіатр",N1318*S1315,IF($B$1315="Лікар-терапевт","х",IF($B$1315="Лікар загальної практики - сімейний лікар",N1318*S1315,0)))</f>
        <v>0</v>
      </c>
      <c r="O1315" s="196">
        <f>IF($B$1315="Лікар-педіатр",O1318*S1315,IF($B$1315="Лікар-терапевт","х",IF($B$1315="Лікар загальної практики - сімейний лікар",O1318*S1315,0)))</f>
        <v>0</v>
      </c>
      <c r="P1315" s="196">
        <f>IF($B$1315="Лікар-педіатр","x",IF($B$1315="Лікар-терапевт",P1318*S1315,IF($B$1315="Лікар загальної практики - сімейний лікар",P1318*S1315,0)))</f>
        <v>0</v>
      </c>
      <c r="Q1315" s="196">
        <f>IF($B$1315="Лікар-педіатр","x",IF($B$1315="Лікар-терапевт",Q1318*S1315,IF($B$1315="Лікар загальної практики - сімейний лікар",Q1318*S1315,0)))</f>
        <v>0</v>
      </c>
      <c r="R1315" s="196">
        <f>IF($B$1315="Лікар-педіатр","x",IF($B$1315="Лікар-терапевт",R1318*S1315,IF($B$1315="Лікар загальної практики - сімейний лікар",R1318*S1315,0)))</f>
        <v>0</v>
      </c>
      <c r="S1315" s="557"/>
      <c r="T1315" s="941"/>
      <c r="U1315" s="196">
        <f>IF($B$1315="Лікар-педіатр",U1318*Z1315,IF($B$1315="Лікар-терапевт","х",IF($B$1315="Лікар загальної практики - сімейний лікар",U1318*Z1315,0)))</f>
        <v>0</v>
      </c>
      <c r="V1315" s="196">
        <f>IF($B$1315="Лікар-педіатр",V1318*Z1315,IF($B$1315="Лікар-терапевт","х",IF($B$1315="Лікар загальної практики - сімейний лікар",V1318*Z1315,0)))</f>
        <v>0</v>
      </c>
      <c r="W1315" s="196">
        <f>IF($B$1315="Лікар-педіатр","x",IF($B$1315="Лікар-терапевт",W1318*Z1315,IF($B$1315="Лікар загальної практики - сімейний лікар",W1318*Z1315,0)))</f>
        <v>0</v>
      </c>
      <c r="X1315" s="196">
        <f>IF($B$1315="Лікар-педіатр","x",IF($B$1315="Лікар-терапевт",X1318*Z1315,IF($B$1315="Лікар загальної практики - сімейний лікар",X1318*Z1315,0)))</f>
        <v>0</v>
      </c>
      <c r="Y1315" s="196">
        <f>IF($B$1315="Лікар-педіатр","x",IF($B$1315="Лікар-терапевт",Y1318*Z1315,IF($B$1315="Лікар загальної практики - сімейний лікар",Y1318*Z1315,0)))</f>
        <v>0</v>
      </c>
      <c r="Z1315" s="557"/>
      <c r="AA1315" s="941"/>
      <c r="AB1315" s="196">
        <f>IF($B$1315="Лікар-педіатр",AB1318*AG1315,IF($B$1315="Лікар-терапевт","х",IF($B$1315="Лікар загальної практики - сімейний лікар",AB1318*AG1315,0)))</f>
        <v>0</v>
      </c>
      <c r="AC1315" s="196">
        <f>IF($B$1315="Лікар-педіатр",AC1318*AG1315,IF($B$1315="Лікар-терапевт","х",IF($B$1315="Лікар загальної практики - сімейний лікар",AC1318*AG1315,0)))</f>
        <v>0</v>
      </c>
      <c r="AD1315" s="196">
        <f>IF($B$1315="Лікар-педіатр","x",IF($B$1315="Лікар-терапевт",AD1318*AG1315,IF($B$1315="Лікар загальної практики - сімейний лікар",AD1318*AG1315,0)))</f>
        <v>0</v>
      </c>
      <c r="AE1315" s="196">
        <f>IF($B$1315="Лікар-педіатр","x",IF($B$1315="Лікар-терапевт",AE1318*AG1315,IF($B$1315="Лікар загальної практики - сімейний лікар",AE1318*AG1315,0)))</f>
        <v>0</v>
      </c>
      <c r="AF1315" s="196">
        <f>IF($B$1315="Лікар-педіатр","x",IF($B$1315="Лікар-терапевт",AF1318*AG1315,IF($B$1315="Лікар загальної практики - сімейний лікар",AF1318*AG1315,0)))</f>
        <v>0</v>
      </c>
      <c r="AG1315" s="557"/>
      <c r="AH1315" s="941"/>
      <c r="AI1315" s="540">
        <f>A1315</f>
        <v>99</v>
      </c>
      <c r="AJ1315" s="944">
        <f>B1315</f>
        <v>0</v>
      </c>
      <c r="AK1315" s="959">
        <f>C1315</f>
        <v>0</v>
      </c>
      <c r="AL1315" s="959">
        <f>D1315</f>
        <v>0</v>
      </c>
      <c r="AM1315" s="929" t="s">
        <v>79</v>
      </c>
      <c r="AN1315" s="947">
        <f>SUM(AN1320:AN1326)</f>
        <v>0</v>
      </c>
      <c r="AO1315" s="947">
        <f>SUM(AO1320:AO1326)</f>
        <v>0</v>
      </c>
      <c r="AP1315" s="947">
        <f>SUM(AP1320:AP1326)</f>
        <v>0</v>
      </c>
      <c r="AQ1315" s="947">
        <f>SUM(AQ1320:AQ1326)</f>
        <v>0</v>
      </c>
      <c r="AR1315" s="962">
        <f>SUM(AN1315:AQ1319)</f>
        <v>0</v>
      </c>
    </row>
    <row r="1316" spans="1:44" s="50" customFormat="1" ht="28.15" hidden="1" customHeight="1">
      <c r="A1316" s="197"/>
      <c r="B1316" s="951"/>
      <c r="C1316" s="954"/>
      <c r="D1316" s="957"/>
      <c r="E1316" s="939"/>
      <c r="F1316" s="234" t="s">
        <v>660</v>
      </c>
      <c r="G1316" s="196">
        <f>IF($B$1315="Лікар-педіатр",G1318*L1316,IF($B$1315="Лікар-терапевт","х",IF($B$1315="Лікар загальної практики - сімейний лікар",G1318*L1316,0)))</f>
        <v>0</v>
      </c>
      <c r="H1316" s="196">
        <f>IF($B$1315="Лікар-педіатр",H1318*L1316,IF($B$1315="Лікар-терапевт","х",IF($B$1315="Лікар загальної практики - сімейний лікар",H1318*L1316,0)))</f>
        <v>0</v>
      </c>
      <c r="I1316" s="196">
        <f>IF($B$1315="Лікар-педіатр","x",IF($B$1315="Лікар-терапевт",I1318*L1316,IF($B$1315="Лікар загальної практики - сімейний лікар",I1318*L1316,0)))</f>
        <v>0</v>
      </c>
      <c r="J1316" s="196">
        <f>IF($B$1315="Лікар-педіатр","x",IF($B$1315="Лікар-терапевт",J1318*L1316,IF($B$1315="Лікар загальної практики - сімейний лікар",J1318*L1316,0)))</f>
        <v>0</v>
      </c>
      <c r="K1316" s="196">
        <f>IF($B$1315="Лікар-педіатр","x",IF($B$1315="Лікар-терапевт",K1318*L1316,IF($B$1315="Лікар загальної практики - сімейний лікар",K1318*L1316,0)))</f>
        <v>0</v>
      </c>
      <c r="L1316" s="557"/>
      <c r="M1316" s="942"/>
      <c r="N1316" s="196">
        <f>IF($B$1315="Лікар-педіатр",N1318*S1316,IF($B$1315="Лікар-терапевт","х",IF($B$1315="Лікар загальної практики - сімейний лікар",N1318*S1316,0)))</f>
        <v>0</v>
      </c>
      <c r="O1316" s="196">
        <f>IF($B$1315="Лікар-педіатр",O1318*S1316,IF($B$1315="Лікар-терапевт","х",IF($B$1315="Лікар загальної практики - сімейний лікар",O1318*S1316,0)))</f>
        <v>0</v>
      </c>
      <c r="P1316" s="196">
        <f>IF($B$1315="Лікар-педіатр","x",IF($B$1315="Лікар-терапевт",P1318*S1316,IF($B$1315="Лікар загальної практики - сімейний лікар",P1318*S1316,0)))</f>
        <v>0</v>
      </c>
      <c r="Q1316" s="196">
        <f>IF($B$1315="Лікар-педіатр","x",IF($B$1315="Лікар-терапевт",Q1318*S1316,IF($B$1315="Лікар загальної практики - сімейний лікар",Q1318*S1316,0)))</f>
        <v>0</v>
      </c>
      <c r="R1316" s="196">
        <f>IF($B$1315="Лікар-педіатр","x",IF($B$1315="Лікар-терапевт",R1318*S1316,IF($B$1315="Лікар загальної практики - сімейний лікар",R1318*S1316,0)))</f>
        <v>0</v>
      </c>
      <c r="S1316" s="557"/>
      <c r="T1316" s="942"/>
      <c r="U1316" s="196">
        <f>IF($B$1315="Лікар-педіатр",U1318*Z1316,IF($B$1315="Лікар-терапевт","х",IF($B$1315="Лікар загальної практики - сімейний лікар",U1318*Z1316,0)))</f>
        <v>0</v>
      </c>
      <c r="V1316" s="196">
        <f>IF($B$1315="Лікар-педіатр",V1318*Z1316,IF($B$1315="Лікар-терапевт","х",IF($B$1315="Лікар загальної практики - сімейний лікар",V1318*Z1316,0)))</f>
        <v>0</v>
      </c>
      <c r="W1316" s="196">
        <f>IF($B$1315="Лікар-педіатр","x",IF($B$1315="Лікар-терапевт",W1318*Z1316,IF($B$1315="Лікар загальної практики - сімейний лікар",W1318*Z1316,0)))</f>
        <v>0</v>
      </c>
      <c r="X1316" s="196">
        <f>IF($B$1315="Лікар-педіатр","x",IF($B$1315="Лікар-терапевт",X1318*Z1316,IF($B$1315="Лікар загальної практики - сімейний лікар",X1318*Z1316,0)))</f>
        <v>0</v>
      </c>
      <c r="Y1316" s="196">
        <f>IF($B$1315="Лікар-педіатр","x",IF($B$1315="Лікар-терапевт",Y1318*Z1316,IF($B$1315="Лікар загальної практики - сімейний лікар",Y1318*Z1316,0)))</f>
        <v>0</v>
      </c>
      <c r="Z1316" s="557"/>
      <c r="AA1316" s="942"/>
      <c r="AB1316" s="196">
        <f>IF($B$1315="Лікар-педіатр",AB1318*AG1316,IF($B$1315="Лікар-терапевт","х",IF($B$1315="Лікар загальної практики - сімейний лікар",AB1318*AG1316,0)))</f>
        <v>0</v>
      </c>
      <c r="AC1316" s="196">
        <f>IF($B$1315="Лікар-педіатр",AC1318*AG1316,IF($B$1315="Лікар-терапевт","х",IF($B$1315="Лікар загальної практики - сімейний лікар",AC1318*AG1316,0)))</f>
        <v>0</v>
      </c>
      <c r="AD1316" s="196">
        <f>IF($B$1315="Лікар-педіатр","x",IF($B$1315="Лікар-терапевт",AD1318*AG1316,IF($B$1315="Лікар загальної практики - сімейний лікар",AD1318*AG1316,0)))</f>
        <v>0</v>
      </c>
      <c r="AE1316" s="196">
        <f>IF($B$1315="Лікар-педіатр","x",IF($B$1315="Лікар-терапевт",AE1318*AG1316,IF($B$1315="Лікар загальної практики - сімейний лікар",AE1318*AG1316,0)))</f>
        <v>0</v>
      </c>
      <c r="AF1316" s="196">
        <f>IF($B$1315="Лікар-педіатр","x",IF($B$1315="Лікар-терапевт",AF1318*AG1316,IF($B$1315="Лікар загальної практики - сімейний лікар",AF1318*AG1316,0)))</f>
        <v>0</v>
      </c>
      <c r="AG1316" s="557"/>
      <c r="AH1316" s="942"/>
      <c r="AI1316" s="198"/>
      <c r="AJ1316" s="945"/>
      <c r="AK1316" s="960"/>
      <c r="AL1316" s="960"/>
      <c r="AM1316" s="930"/>
      <c r="AN1316" s="948"/>
      <c r="AO1316" s="948"/>
      <c r="AP1316" s="948"/>
      <c r="AQ1316" s="948"/>
      <c r="AR1316" s="963"/>
    </row>
    <row r="1317" spans="1:44" s="90" customFormat="1" ht="31.15" hidden="1" customHeight="1">
      <c r="A1317" s="240"/>
      <c r="B1317" s="951"/>
      <c r="C1317" s="954"/>
      <c r="D1317" s="957"/>
      <c r="E1317" s="939"/>
      <c r="F1317" s="241" t="s">
        <v>661</v>
      </c>
      <c r="G1317" s="199">
        <f>IF(B1315="Лікар загальної практики - сімейний лікар"," ",IF(B1315="Лікар-педіатр"," ",IF(B1315="Лікар-терапевт","х",0)))</f>
        <v>0</v>
      </c>
      <c r="H1317" s="199">
        <f>IF(B1315="Лікар загальної практики - сімейний лікар"," ",IF(B1315="Лікар-педіатр"," ",IF(B1315="Лікар-терапевт","х",0)))</f>
        <v>0</v>
      </c>
      <c r="I1317" s="199">
        <f>IF(B1315="Лікар загальної практики - сімейний лікар"," ",IF(B1315="Лікар-педіатр","х",IF(B1315="Лікар-терапевт"," ",0)))</f>
        <v>0</v>
      </c>
      <c r="J1317" s="199">
        <f>IF(B1315="Лікар загальної практики - сімейний лікар"," ",IF(B1315="Лікар-педіатр","х",IF(B1315="Лікар-терапевт"," ",0)))</f>
        <v>0</v>
      </c>
      <c r="K1317" s="199">
        <f>IF(B1315="Лікар загальної практики - сімейний лікар"," ",IF(B1315="Лікар-педіатр","х",IF(B1315="Лікар-терапевт"," ",0)))</f>
        <v>0</v>
      </c>
      <c r="L1317" s="200">
        <f>SUM(G1317:K1317)</f>
        <v>0</v>
      </c>
      <c r="M1317" s="942"/>
      <c r="N1317" s="199">
        <f>IF(B1315="Лікар загальної практики - сімейний лікар"," ",IF(B1315="Лікар-педіатр"," ",IF(B1315="Лікар-терапевт","х",0)))</f>
        <v>0</v>
      </c>
      <c r="O1317" s="199">
        <f>IF(B1315="Лікар загальної практики - сімейний лікар"," ",IF(B1315="Лікар-педіатр"," ",IF(B1315="Лікар-терапевт","х",0)))</f>
        <v>0</v>
      </c>
      <c r="P1317" s="199">
        <f>IF(B1315="Лікар загальної практики - сімейний лікар"," ",IF(B1315="Лікар-педіатр","х",IF(B1315="Лікар-терапевт"," ",0)))</f>
        <v>0</v>
      </c>
      <c r="Q1317" s="199">
        <f>IF(B1315="Лікар загальної практики - сімейний лікар"," ",IF(B1315="Лікар-педіатр","х",IF(B1315="Лікар-терапевт"," ",0)))</f>
        <v>0</v>
      </c>
      <c r="R1317" s="199">
        <f>IF(B1315="Лікар загальної практики - сімейний лікар"," ",IF(B1315="Лікар-педіатр","х",IF(B1315="Лікар-терапевт"," ",0)))</f>
        <v>0</v>
      </c>
      <c r="S1317" s="200">
        <f>SUM(N1317:R1317)</f>
        <v>0</v>
      </c>
      <c r="T1317" s="942"/>
      <c r="U1317" s="199">
        <f>IF(B1315="Лікар загальної практики - сімейний лікар"," ",IF(B1315="Лікар-педіатр"," ",IF(B1315="Лікар-терапевт","х",0)))</f>
        <v>0</v>
      </c>
      <c r="V1317" s="199">
        <f>IF(B1315="Лікар загальної практики - сімейний лікар"," ",IF(B1315="Лікар-педіатр"," ",IF(B1315="Лікар-терапевт","х",0)))</f>
        <v>0</v>
      </c>
      <c r="W1317" s="199">
        <f>IF(B1315="Лікар загальної практики - сімейний лікар"," ",IF(B1315="Лікар-педіатр","х",IF(B1315="Лікар-терапевт"," ",0)))</f>
        <v>0</v>
      </c>
      <c r="X1317" s="199">
        <f>IF(B1315="Лікар загальної практики - сімейний лікар"," ",IF(B1315="Лікар-педіатр","х",IF(B1315="Лікар-терапевт"," ",0)))</f>
        <v>0</v>
      </c>
      <c r="Y1317" s="199">
        <f>IF(B1315="Лікар загальної практики - сімейний лікар"," ",IF(B1315="Лікар-педіатр","х",IF(B1315="Лікар-терапевт"," ",0)))</f>
        <v>0</v>
      </c>
      <c r="Z1317" s="200">
        <f>SUM(U1317:Y1317)</f>
        <v>0</v>
      </c>
      <c r="AA1317" s="942"/>
      <c r="AB1317" s="199">
        <f>IF(B1315="Лікар загальної практики - сімейний лікар"," ",IF(B1315="Лікар-педіатр"," ",IF(B1315="Лікар-терапевт","х",0)))</f>
        <v>0</v>
      </c>
      <c r="AC1317" s="199">
        <f>IF(B1315="Лікар загальної практики - сімейний лікар"," ",IF(B1315="Лікар-педіатр"," ",IF(B1315="Лікар-терапевт","х",0)))</f>
        <v>0</v>
      </c>
      <c r="AD1317" s="199">
        <f>IF(B1315="Лікар загальної практики - сімейний лікар"," ",IF(B1315="Лікар-педіатр","х",IF(B1315="Лікар-терапевт"," ",0)))</f>
        <v>0</v>
      </c>
      <c r="AE1317" s="199">
        <f>IF(B1315="Лікар загальної практики - сімейний лікар"," ",IF(B1315="Лікар-педіатр","х",IF(B1315="Лікар-терапевт"," ",0)))</f>
        <v>0</v>
      </c>
      <c r="AF1317" s="199">
        <f>IF(B1315="Лікар загальної практики - сімейний лікар"," ",IF(B1315="Лікар-педіатр","х",IF(B1315="Лікар-терапевт"," ",0)))</f>
        <v>0</v>
      </c>
      <c r="AG1317" s="200">
        <f>SUM(AB1317:AF1317)</f>
        <v>0</v>
      </c>
      <c r="AH1317" s="942"/>
      <c r="AI1317" s="242"/>
      <c r="AJ1317" s="945"/>
      <c r="AK1317" s="960"/>
      <c r="AL1317" s="960"/>
      <c r="AM1317" s="930"/>
      <c r="AN1317" s="948"/>
      <c r="AO1317" s="948"/>
      <c r="AP1317" s="948"/>
      <c r="AQ1317" s="948"/>
      <c r="AR1317" s="963"/>
    </row>
    <row r="1318" spans="1:44" s="50" customFormat="1" ht="31.9" hidden="1" customHeight="1" thickBot="1">
      <c r="A1318" s="197"/>
      <c r="B1318" s="951"/>
      <c r="C1318" s="954"/>
      <c r="D1318" s="957"/>
      <c r="E1318" s="939"/>
      <c r="F1318" s="236" t="s">
        <v>426</v>
      </c>
      <c r="G1318" s="203">
        <f>IF($B$1315="Лікар-педіатр",G1317/L1317,IF($B$1315="Лікар-терапевт","х",IF($B$1315="Лікар загальної практики - сімейний лікар",G1317/L1317,0)))</f>
        <v>0</v>
      </c>
      <c r="H1318" s="203">
        <f>IF($B$1315="Лікар-педіатр",H1317/L1317,IF($B$1315="Лікар-терапевт","х",IF($B$1315="Лікар загальної практики - сімейний лікар",H1317/L1317,0)))</f>
        <v>0</v>
      </c>
      <c r="I1318" s="203">
        <f>IF($B$1315="Лікар-педіатр","x",IF($B$1315="Лікар-терапевт",I1317/L1317,IF($B$1315="Лікар загальної практики - сімейний лікар",I1317/L1317,0)))</f>
        <v>0</v>
      </c>
      <c r="J1318" s="203">
        <f>IF($B$1315="Лікар-педіатр","x",IF($B$1315="Лікар-терапевт",J1317/L1317,IF($B$1315="Лікар загальної практики - сімейний лікар",J1317/L1317,0)))</f>
        <v>0</v>
      </c>
      <c r="K1318" s="203">
        <f>IF($B$1315="Лікар-педіатр","x",IF($B$1315="Лікар-терапевт",K1317/L1317,IF($B$1315="Лікар загальної практики - сімейний лікар",K1317/L1317,0)))</f>
        <v>0</v>
      </c>
      <c r="L1318" s="203">
        <f>SUM(G1318:K1318)</f>
        <v>0</v>
      </c>
      <c r="M1318" s="942"/>
      <c r="N1318" s="203">
        <f>IF($B$1315="Лікар-педіатр",N1317/S1317,IF($B$1315="Лікар-терапевт","х",IF($B$1315="Лікар загальної практики - сімейний лікар",N1317/S1317,0)))</f>
        <v>0</v>
      </c>
      <c r="O1318" s="203">
        <f>IF($B$1315="Лікар-педіатр",O1317/S1317,IF($B$1315="Лікар-терапевт","х",IF($B$1315="Лікар загальної практики - сімейний лікар",O1317/S1317,0)))</f>
        <v>0</v>
      </c>
      <c r="P1318" s="203">
        <f>IF($B$1315="Лікар-педіатр","x",IF($B$1315="Лікар-терапевт",P1317/S1317,IF($B$1315="Лікар загальної практики - сімейний лікар",P1317/S1317,0)))</f>
        <v>0</v>
      </c>
      <c r="Q1318" s="203">
        <f>IF($B$1315="Лікар-педіатр","x",IF($B$1315="Лікар-терапевт",Q1317/S1317,IF($B$1315="Лікар загальної практики - сімейний лікар",Q1317/S1317,0)))</f>
        <v>0</v>
      </c>
      <c r="R1318" s="203">
        <f>IF($B$1315="Лікар-педіатр","x",IF($B$1315="Лікар-терапевт",R1317/S1317,IF($B$1315="Лікар загальної практики - сімейний лікар",R1317/S1317,0)))</f>
        <v>0</v>
      </c>
      <c r="S1318" s="203">
        <f>SUM(N1318:R1318)</f>
        <v>0</v>
      </c>
      <c r="T1318" s="942"/>
      <c r="U1318" s="203">
        <f>IF($B$1315="Лікар-педіатр",U1317/Z1317,IF($B$1315="Лікар-терапевт","х",IF($B$1315="Лікар загальної практики - сімейний лікар",U1317/Z1317,0)))</f>
        <v>0</v>
      </c>
      <c r="V1318" s="203">
        <f>IF($B$1315="Лікар-педіатр",V1317/Z1317,IF($B$1315="Лікар-терапевт","х",IF($B$1315="Лікар загальної практики - сімейний лікар",V1317/Z1317,0)))</f>
        <v>0</v>
      </c>
      <c r="W1318" s="203">
        <f>IF($B$1315="Лікар-педіатр","x",IF($B$1315="Лікар-терапевт",W1317/Z1317,IF($B$1315="Лікар загальної практики - сімейний лікар",W1317/Z1317,0)))</f>
        <v>0</v>
      </c>
      <c r="X1318" s="203">
        <f>IF($B$1315="Лікар-педіатр","x",IF($B$1315="Лікар-терапевт",X1317/Z1317,IF($B$1315="Лікар загальної практики - сімейний лікар",X1317/Z1317,0)))</f>
        <v>0</v>
      </c>
      <c r="Y1318" s="203">
        <f>IF($B$1315="Лікар-педіатр","x",IF($B$1315="Лікар-терапевт",Y1317/Z1317,IF($B$1315="Лікар загальної практики - сімейний лікар",Y1317/Z1317,0)))</f>
        <v>0</v>
      </c>
      <c r="Z1318" s="203">
        <f>SUM(U1318:Y1318)</f>
        <v>0</v>
      </c>
      <c r="AA1318" s="942"/>
      <c r="AB1318" s="203">
        <f>IF($B$1315="Лікар-педіатр",AB1317/AG1317,IF($B$1315="Лікар-терапевт","х",IF($B$1315="Лікар загальної практики - сімейний лікар",AB1317/AG1317,0)))</f>
        <v>0</v>
      </c>
      <c r="AC1318" s="203">
        <f>IF($B$1315="Лікар-педіатр",AC1317/AG1317,IF($B$1315="Лікар-терапевт","х",IF($B$1315="Лікар загальної практики - сімейний лікар",AC1317/AG1317,0)))</f>
        <v>0</v>
      </c>
      <c r="AD1318" s="203">
        <f>IF($B$1315="Лікар-педіатр","x",IF($B$1315="Лікар-терапевт",AD1317/AG1317,IF($B$1315="Лікар загальної практики - сімейний лікар",AD1317/AG1317,0)))</f>
        <v>0</v>
      </c>
      <c r="AE1318" s="203">
        <f>IF($B$1315="Лікар-педіатр","x",IF($B$1315="Лікар-терапевт",AE1317/AG1317,IF($B$1315="Лікар загальної практики - сімейний лікар",AE1317/AG1317,0)))</f>
        <v>0</v>
      </c>
      <c r="AF1318" s="203">
        <f>IF($B$1315="Лікар-педіатр","x",IF($B$1315="Лікар-терапевт",AF1317/AG1317,IF($B$1315="Лікар загальної практики - сімейний лікар",AF1317/AG1317,0)))</f>
        <v>0</v>
      </c>
      <c r="AG1318" s="203">
        <f>SUM(AB1318:AF1318)</f>
        <v>0</v>
      </c>
      <c r="AH1318" s="942"/>
      <c r="AI1318" s="201"/>
      <c r="AJ1318" s="945"/>
      <c r="AK1318" s="960"/>
      <c r="AL1318" s="960"/>
      <c r="AM1318" s="930"/>
      <c r="AN1318" s="948"/>
      <c r="AO1318" s="948"/>
      <c r="AP1318" s="948"/>
      <c r="AQ1318" s="948"/>
      <c r="AR1318" s="963"/>
    </row>
    <row r="1319" spans="1:44" s="50" customFormat="1" ht="45" hidden="1" customHeight="1" thickBot="1">
      <c r="A1319" s="197"/>
      <c r="B1319" s="951"/>
      <c r="C1319" s="954"/>
      <c r="D1319" s="957"/>
      <c r="E1319" s="939"/>
      <c r="F1319" s="204" t="s">
        <v>662</v>
      </c>
      <c r="G1319" s="205">
        <f>IF($B$1315="Лікар загальної практики - сімейний лікар",AVERAGE(G1315:G1317),IF($B$1315="Лікар-педіатр",AVERAGE(G1315:G1317),IF($B$1315="Лікар-терапевт","х",0)))</f>
        <v>0</v>
      </c>
      <c r="H1319" s="205">
        <f>IF($B$1315="Лікар загальної практики - сімейний лікар",AVERAGE(H1315:H1317),IF($B$1315="Лікар-педіатр",AVERAGE(H1315:H1317),IF($B$1315="Лікар-терапевт","х",0)))</f>
        <v>0</v>
      </c>
      <c r="I1319" s="205">
        <f>IF($B$1315="Лікар загальної практики - сімейний лікар",AVERAGE(I1315:I1317),IF($B$1315="Лікар-педіатр","x",IF($B$1315="Лікар-терапевт",AVERAGE(I1315:I1317),0)))</f>
        <v>0</v>
      </c>
      <c r="J1319" s="205">
        <f>IF($B$1315="Лікар загальної практики - сімейний лікар",AVERAGE(J1315:J1317),IF($B$1315="Лікар-педіатр","x",IF($B$1315="Лікар-терапевт",AVERAGE(J1315:J1317),0)))</f>
        <v>0</v>
      </c>
      <c r="K1319" s="205">
        <f>IF($B$1315="Лікар загальної практики - сімейний лікар",AVERAGE(K1315:K1317),IF($B$1315="Лікар-педіатр","x",IF($B$1315="Лікар-терапевт",AVERAGE(K1315:K1317),0)))</f>
        <v>0</v>
      </c>
      <c r="L1319" s="206">
        <f>SUM(G1319:K1319)</f>
        <v>0</v>
      </c>
      <c r="M1319" s="942"/>
      <c r="N1319" s="205">
        <f>IF($B$1315="Лікар загальної практики - сімейний лікар",AVERAGE(N1315:N1317),IF($B$1315="Лікар-педіатр",AVERAGE(N1315:N1317),IF($B$1315="Лікар-терапевт","х",0)))</f>
        <v>0</v>
      </c>
      <c r="O1319" s="205">
        <f>IF($B$1315="Лікар загальної практики - сімейний лікар",AVERAGE(O1315:O1317),IF($B$1315="Лікар-педіатр",AVERAGE(O1315:O1317),IF($B$1315="Лікар-терапевт","х",0)))</f>
        <v>0</v>
      </c>
      <c r="P1319" s="205">
        <f>IF($B$1315="Лікар загальної практики - сімейний лікар",AVERAGE(P1315:P1317),IF($B$1315="Лікар-педіатр","x",IF($B$1315="Лікар-терапевт",AVERAGE(P1315:P1317),0)))</f>
        <v>0</v>
      </c>
      <c r="Q1319" s="205">
        <f>IF($B$1315="Лікар загальної практики - сімейний лікар",AVERAGE(Q1315:Q1317),IF($B$1315="Лікар-педіатр","x",IF($B$1315="Лікар-терапевт",AVERAGE(Q1315:Q1317),0)))</f>
        <v>0</v>
      </c>
      <c r="R1319" s="205">
        <f>IF($B$1315="Лікар загальної практики - сімейний лікар",AVERAGE(R1315:R1317),IF($B$1315="Лікар-педіатр","x",IF($B$1315="Лікар-терапевт",AVERAGE(R1315:R1317),0)))</f>
        <v>0</v>
      </c>
      <c r="S1319" s="206">
        <f>SUM(N1319:R1319)</f>
        <v>0</v>
      </c>
      <c r="T1319" s="942"/>
      <c r="U1319" s="205">
        <f>IF($B$1315="Лікар загальної практики - сімейний лікар",AVERAGE(U1315:U1317),IF($B$1315="Лікар-педіатр",AVERAGE(U1315:U1317),IF($B$1315="Лікар-терапевт","х",0)))</f>
        <v>0</v>
      </c>
      <c r="V1319" s="205">
        <f>IF($B$1315="Лікар загальної практики - сімейний лікар",AVERAGE(V1315:V1317),IF($B$1315="Лікар-педіатр",AVERAGE(V1315:V1317),IF($B$1315="Лікар-терапевт","х",0)))</f>
        <v>0</v>
      </c>
      <c r="W1319" s="205">
        <f>IF($B$1315="Лікар загальної практики - сімейний лікар",AVERAGE(W1315:W1317),IF($B$1315="Лікар-педіатр","x",IF($B$1315="Лікар-терапевт",AVERAGE(W1315:W1317),0)))</f>
        <v>0</v>
      </c>
      <c r="X1319" s="205">
        <f>IF($B$1315="Лікар загальної практики - сімейний лікар",AVERAGE(X1315:X1317),IF($B$1315="Лікар-педіатр","x",IF($B$1315="Лікар-терапевт",AVERAGE(X1315:X1317),0)))</f>
        <v>0</v>
      </c>
      <c r="Y1319" s="205">
        <f>IF($B$1315="Лікар загальної практики - сімейний лікар",AVERAGE(Y1315:Y1317),IF($B$1315="Лікар-педіатр","x",IF($B$1315="Лікар-терапевт",AVERAGE(Y1315:Y1317),0)))</f>
        <v>0</v>
      </c>
      <c r="Z1319" s="206">
        <f>SUM(U1319:Y1319)</f>
        <v>0</v>
      </c>
      <c r="AA1319" s="942"/>
      <c r="AB1319" s="205">
        <f>IF($B$1315="Лікар загальної практики - сімейний лікар",AVERAGE(AB1315:AB1317),IF($B$1315="Лікар-педіатр",AVERAGE(AB1315:AB1317),IF($B$1315="Лікар-терапевт","х",0)))</f>
        <v>0</v>
      </c>
      <c r="AC1319" s="205">
        <f>IF($B$1315="Лікар загальної практики - сімейний лікар",AVERAGE(AC1315:AC1317),IF($B$1315="Лікар-педіатр",AVERAGE(AC1315:AC1317),IF($B$1315="Лікар-терапевт","х",0)))</f>
        <v>0</v>
      </c>
      <c r="AD1319" s="205">
        <f>IF($B$1315="Лікар загальної практики - сімейний лікар",AVERAGE(AD1315:AD1317),IF($B$1315="Лікар-педіатр","x",IF($B$1315="Лікар-терапевт",AVERAGE(AD1315:AD1317),0)))</f>
        <v>0</v>
      </c>
      <c r="AE1319" s="205">
        <f>IF($B$1315="Лікар загальної практики - сімейний лікар",AVERAGE(AE1315:AE1317),IF($B$1315="Лікар-педіатр","x",IF($B$1315="Лікар-терапевт",AVERAGE(AE1315:AE1317),0)))</f>
        <v>0</v>
      </c>
      <c r="AF1319" s="205">
        <f>IF($B$1315="Лікар загальної практики - сімейний лікар",AVERAGE(AF1315:AF1317),IF($B$1315="Лікар-педіатр","x",IF($B$1315="Лікар-терапевт",AVERAGE(AF1315:AF1317),0)))</f>
        <v>0</v>
      </c>
      <c r="AG1319" s="206">
        <f>SUM(AB1319:AF1319)</f>
        <v>0</v>
      </c>
      <c r="AH1319" s="942"/>
      <c r="AI1319" s="201"/>
      <c r="AJ1319" s="945"/>
      <c r="AK1319" s="960"/>
      <c r="AL1319" s="960"/>
      <c r="AM1319" s="931"/>
      <c r="AN1319" s="949"/>
      <c r="AO1319" s="949"/>
      <c r="AP1319" s="949"/>
      <c r="AQ1319" s="949"/>
      <c r="AR1319" s="964"/>
    </row>
    <row r="1320" spans="1:44" s="50" customFormat="1" ht="40.5" hidden="1">
      <c r="A1320" s="197"/>
      <c r="B1320" s="951"/>
      <c r="C1320" s="954"/>
      <c r="D1320" s="957"/>
      <c r="E1320" s="939"/>
      <c r="F1320" s="237" t="str">
        <f ca="1">IF(B1315="Лікар-педіатр",Законод!$C$17,IF(B1315="Лікар загальної практики - сімейний лікар",Законод!$C$21,IF(B1315="Лікар-терапевт",Законод!$C$25,"х")))</f>
        <v>х</v>
      </c>
      <c r="G1320" s="208">
        <f ca="1">IF($B$1315="Лікар загальної практики - сімейний лікар",IF(L1319&lt;=Законод!$C$22,G1319,Законод!$C$22*'01_Доходи'!G1318),IF($B$1315="Лікар-педіатр",IF(L1319&lt;=Законод!$C$18,G1319,Законод!$C$18*'01_Доходи'!G1318),IF($B$1315="Лікар-терапевт","x",0)))</f>
        <v>0</v>
      </c>
      <c r="H1320" s="208">
        <f ca="1">IF($B$1315="Лікар загальної практики - сімейний лікар",IF(L1319&lt;=Законод!$C$22,H1319,Законод!$C$22*'01_Доходи'!H1318),IF($B$1315="Лікар-педіатр",IF(L1319&lt;=Законод!$C$18,H1319,Законод!$C$18*'01_Доходи'!H1318),IF($B$1315="Лікар-терапевт","x",0)))</f>
        <v>0</v>
      </c>
      <c r="I1320" s="208">
        <f ca="1">IF($B$1315="Лікар загальної практики - сімейний лікар",IF(L1319&lt;=Законод!$C$22,I1319,Законод!$C$22*'01_Доходи'!I1318),IF($B$1315="Лікар-педіатр","x",IF($B$1315="Лікар-терапевт",IF(L1319&lt;=Законод!$C$26,I1319,Законод!$C$26*'01_Доходи'!I1318),0)))</f>
        <v>0</v>
      </c>
      <c r="J1320" s="208">
        <f ca="1">IF($B$1315="Лікар загальної практики - сімейний лікар",IF(L1319&lt;=Законод!$C$22,J1319,Законод!$C$22*'01_Доходи'!J1318),IF($B$1315="Лікар-педіатр","x",IF($B$1315="Лікар-терапевт",IF(L1319&lt;=Законод!$C$26,J1319,Законод!$C$26*'01_Доходи'!J1318),0)))</f>
        <v>0</v>
      </c>
      <c r="K1320" s="208">
        <f ca="1">IF($B$1315="Лікар загальної практики - сімейний лікар",IF(L1319&lt;=Законод!$C$22,K1319,Законод!$C$22*'01_Доходи'!K1318),IF($B$1315="Лікар-педіатр","x",IF($B$1315="Лікар-терапевт",IF(L1319&lt;=Законод!$C$26,K1319,Законод!$C$26*'01_Доходи'!K1318),0)))</f>
        <v>0</v>
      </c>
      <c r="L1320" s="209">
        <f ca="1">SUM(G1320:K1320)</f>
        <v>0</v>
      </c>
      <c r="M1320" s="942"/>
      <c r="N1320" s="208">
        <f ca="1">IF($B$1315="Лікар загальної практики - сімейний лікар",IF(S1319&lt;=Законод!$C$22,N1319,Законод!$C$22*'01_Доходи'!N1318),IF($B$1315="Лікар-педіатр",IF(S1319&lt;=Законод!$C$18,N1319,Законод!$C$18*'01_Доходи'!N1318),IF($B$1315="Лікар-терапевт","x",0)))</f>
        <v>0</v>
      </c>
      <c r="O1320" s="208">
        <f ca="1">IF($B$1315="Лікар загальної практики - сімейний лікар",IF(S1319&lt;=Законод!$C$22,O1319,Законод!$C$22*'01_Доходи'!O1318),IF($B$1315="Лікар-педіатр",IF(S1319&lt;=Законод!$C$18,O1319,Законод!$C$18*'01_Доходи'!O1318),IF($B$1315="Лікар-терапевт","x",0)))</f>
        <v>0</v>
      </c>
      <c r="P1320" s="208">
        <f ca="1">IF($B$1315="Лікар загальної практики - сімейний лікар",IF(S1319&lt;=Законод!$C$22,P1319,Законод!$C$22*'01_Доходи'!P1318),IF($B$1315="Лікар-педіатр","x",IF($B$1315="Лікар-терапевт",IF(S1319&lt;=Законод!$C$26,P1319,Законод!$C$26*'01_Доходи'!P1318),0)))</f>
        <v>0</v>
      </c>
      <c r="Q1320" s="208">
        <f ca="1">IF($B$1315="Лікар загальної практики - сімейний лікар",IF(S1319&lt;=Законод!$C$22,Q1319,Законод!$C$22*'01_Доходи'!Q1318),IF($B$1315="Лікар-педіатр","x",IF($B$1315="Лікар-терапевт",IF(S1319&lt;=Законод!$C$26,Q1319,Законод!$C$26*'01_Доходи'!Q1318),0)))</f>
        <v>0</v>
      </c>
      <c r="R1320" s="208">
        <f ca="1">IF($B$1315="Лікар загальної практики - сімейний лікар",IF(S1319&lt;=Законод!$C$22,R1319,Законод!$C$22*'01_Доходи'!R1318),IF($B$1315="Лікар-педіатр","x",IF($B$1315="Лікар-терапевт",IF(S1319&lt;=Законод!$C$26,R1319,Законод!$C$26*'01_Доходи'!R1318),0)))</f>
        <v>0</v>
      </c>
      <c r="S1320" s="209">
        <f ca="1">SUM(N1320:R1320)</f>
        <v>0</v>
      </c>
      <c r="T1320" s="942"/>
      <c r="U1320" s="208">
        <f ca="1">IF($B$1315="Лікар загальної практики - сімейний лікар",IF(Z1319&lt;=Законод!$C$22,U1319,Законод!$C$22*'01_Доходи'!U1318),IF($B$1315="Лікар-педіатр",IF(Z1319&lt;=Законод!$C$18,U1319,Законод!$C$18*'01_Доходи'!U1318),IF($B$1315="Лікар-терапевт","x",0)))</f>
        <v>0</v>
      </c>
      <c r="V1320" s="208">
        <f ca="1">IF($B$1315="Лікар загальної практики - сімейний лікар",IF(Z1319&lt;=Законод!$C$22,V1319,Законод!$C$22*'01_Доходи'!V1318),IF($B$1315="Лікар-педіатр",IF(Z1319&lt;=Законод!$C$18,V1319,Законод!$C$18*'01_Доходи'!V1318),IF($B$1315="Лікар-терапевт","x",0)))</f>
        <v>0</v>
      </c>
      <c r="W1320" s="208">
        <f ca="1">IF($B$1315="Лікар загальної практики - сімейний лікар",IF(Z1319&lt;=Законод!$C$22,W1319,Законод!$C$22*'01_Доходи'!W1318),IF($B$1315="Лікар-педіатр","x",IF($B$1315="Лікар-терапевт",IF(Z1319&lt;=Законод!$C$26,W1319,Законод!$C$26*'01_Доходи'!W1318),0)))</f>
        <v>0</v>
      </c>
      <c r="X1320" s="208">
        <f ca="1">IF($B$1315="Лікар загальної практики - сімейний лікар",IF(Z1319&lt;=Законод!$C$22,X1319,Законод!$C$22*'01_Доходи'!X1318),IF($B$1315="Лікар-педіатр","x",IF($B$1315="Лікар-терапевт",IF(Z1319&lt;=Законод!$C$26,X1319,Законод!$C$26*'01_Доходи'!X1318),0)))</f>
        <v>0</v>
      </c>
      <c r="Y1320" s="208">
        <f ca="1">IF($B$1315="Лікар загальної практики - сімейний лікар",IF(Z1319&lt;=Законод!$C$22,Y1319,Законод!$C$22*'01_Доходи'!Y1318),IF($B$1315="Лікар-педіатр","x",IF($B$1315="Лікар-терапевт",IF(Z1319&lt;=Законод!$C$26,Y1319,Законод!$C$26*'01_Доходи'!Y1318),0)))</f>
        <v>0</v>
      </c>
      <c r="Z1320" s="209">
        <f ca="1">SUM(U1320:Y1320)</f>
        <v>0</v>
      </c>
      <c r="AA1320" s="942"/>
      <c r="AB1320" s="208">
        <f ca="1">IF($B$1315="Лікар загальної практики - сімейний лікар",IF(AG1319&lt;=Законод!$C$22,AB1319,Законод!$C$22*'01_Доходи'!AB1318),IF($B$1315="Лікар-педіатр",IF(AG1319&lt;=Законод!$C$18,AB1319,Законод!$C$18*'01_Доходи'!AB1318),IF($B$1315="Лікар-терапевт","x",0)))</f>
        <v>0</v>
      </c>
      <c r="AC1320" s="208">
        <f ca="1">IF($B$1315="Лікар загальної практики - сімейний лікар",IF(AG1319&lt;=Законод!$C$22,AC1319,Законод!$C$22*'01_Доходи'!AC1318),IF($B$1315="Лікар-педіатр",IF(AG1319&lt;=Законод!$C$18,AC1319,Законод!$C$18*'01_Доходи'!AC1318),IF($B$1315="Лікар-терапевт","x",0)))</f>
        <v>0</v>
      </c>
      <c r="AD1320" s="208">
        <f ca="1">IF($B$1315="Лікар загальної практики - сімейний лікар",IF(AG1319&lt;=Законод!$C$22,AD1319,Законод!$C$22*'01_Доходи'!AD1318),IF($B$1315="Лікар-педіатр","x",IF($B$1315="Лікар-терапевт",IF(AG1319&lt;=Законод!$C$26,AD1319,Законод!$C$26*'01_Доходи'!AD1318),0)))</f>
        <v>0</v>
      </c>
      <c r="AE1320" s="208">
        <f ca="1">IF($B$1315="Лікар загальної практики - сімейний лікар",IF(AG1319&lt;=Законод!$C$22,AE1319,Законод!$C$22*'01_Доходи'!AE1318),IF($B$1315="Лікар-педіатр","x",IF($B$1315="Лікар-терапевт",IF(AG1319&lt;=Законод!$C$26,AE1319,Законод!$C$26*'01_Доходи'!AE1318),0)))</f>
        <v>0</v>
      </c>
      <c r="AF1320" s="208">
        <f ca="1">IF($B$1315="Лікар загальної практики - сімейний лікар",IF(AG1319&lt;=Законод!$C$22,AF1319,Законод!$C$22*'01_Доходи'!AF1318),IF($B$1315="Лікар-педіатр","x",IF($B$1315="Лікар-терапевт",IF(AG1319&lt;=Законод!$C$26,AF1319,Законод!$C$26*'01_Доходи'!AF1318),0)))</f>
        <v>0</v>
      </c>
      <c r="AG1320" s="209">
        <f ca="1">SUM(AB1320:AF1320)</f>
        <v>0</v>
      </c>
      <c r="AH1320" s="942"/>
      <c r="AI1320" s="201"/>
      <c r="AJ1320" s="945"/>
      <c r="AK1320" s="960"/>
      <c r="AL1320" s="960"/>
      <c r="AM1320" s="348" t="s">
        <v>451</v>
      </c>
      <c r="AN1320" s="210">
        <f ca="1">IF(B1315="Лікар загальної практики - сімейний лікар",G1320*Законод!$C$11+'01_Доходи'!H1320*Законод!$D$11+'01_Доходи'!I1320*Законод!$E$11+'01_Доходи'!J1320*Законод!$F$11+'01_Доходи'!K1320*Законод!$G$11,IF(B1315="Лікар-педіатр",G1320*Законод!$C$11+'01_Доходи'!H1320*Законод!$D$11,IF(B1315="Лікар-терапевт",'01_Доходи'!I1320*Законод!$E$11+'01_Доходи'!J1320*Законод!$F$11+'01_Доходи'!K1320*Законод!$G$11,0)))</f>
        <v>0</v>
      </c>
      <c r="AO1320" s="210">
        <f ca="1">IF(B1315="Лікар загальної практики - сімейний лікар",N1320*Законод!$C$11+'01_Доходи'!O1320*Законод!$D$11+'01_Доходи'!P1320*Законод!$E$11+'01_Доходи'!Q1320*Законод!$F$11+'01_Доходи'!R1320*Законод!$G$11,IF(B1315="Лікар-педіатр",N1320*Законод!$C$11+'01_Доходи'!O1320*Законод!$D$11,IF(B1315="Лікар-терапевт",'01_Доходи'!P1320*Законод!$E$11+'01_Доходи'!Q1320*Законод!$F$11+'01_Доходи'!R1320*Законод!$G$11,0)))</f>
        <v>0</v>
      </c>
      <c r="AP1320" s="210">
        <f ca="1">IF(B1315="Лікар загальної практики - сімейний лікар",U1320*Законод!$C$11+'01_Доходи'!V1320*Законод!$D$11+'01_Доходи'!W1320*Законод!$E$11+'01_Доходи'!X1320*Законод!$F$11+'01_Доходи'!Y1320*Законод!$G$11,IF(B1315="Лікар-педіатр",U1320*Законод!$C$11+'01_Доходи'!V1320*Законод!$D$11,IF(B1315="Лікар-терапевт",'01_Доходи'!W1320*Законод!$E$11+'01_Доходи'!X1320*Законод!$F$11+'01_Доходи'!Y1320*Законод!$G$11,0)))</f>
        <v>0</v>
      </c>
      <c r="AQ1320" s="210">
        <f ca="1">IF(B1315="Лікар загальної практики - сімейний лікар",AB1320*Законод!$C$11+'01_Доходи'!AC1320*Законод!$D$11+'01_Доходи'!AD1320*Законод!$E$11+'01_Доходи'!AE1320*Законод!$F$11+'01_Доходи'!AF1320*Законод!$G$11,IF(B1315="Лікар-педіатр",AB1320*Законод!$C$11+'01_Доходи'!AC1320*Законод!$D$11,IF(B1315="Лікар-терапевт",'01_Доходи'!AD1320*Законод!$E$11+'01_Доходи'!AE1320*Законод!$F$11+'01_Доходи'!AF1320*Законод!$G$11,0)))</f>
        <v>0</v>
      </c>
      <c r="AR1320" s="211">
        <f t="shared" ref="AR1320:AR1326" si="141">SUM(AN1320:AQ1320)</f>
        <v>0</v>
      </c>
    </row>
    <row r="1321" spans="1:44" s="50" customFormat="1" ht="31.9" hidden="1" customHeight="1">
      <c r="A1321" s="197"/>
      <c r="B1321" s="951"/>
      <c r="C1321" s="954"/>
      <c r="D1321" s="957"/>
      <c r="E1321" s="939"/>
      <c r="F1321" s="238" t="str">
        <f ca="1">IF(B1315="Лікар-педіатр",Законод!$E$17,IF(B1315="Лікар загальної практики - сімейний лікар",Законод!$E$21,IF(B1315="Лікар-терапевт",Законод!$E$25,"х")))</f>
        <v>х</v>
      </c>
      <c r="G1321" s="935" t="s">
        <v>423</v>
      </c>
      <c r="H1321" s="936"/>
      <c r="I1321" s="936"/>
      <c r="J1321" s="936"/>
      <c r="K1321" s="937"/>
      <c r="L1321" s="196">
        <f ca="1">IF($B$1315="Лікар загальної практики - сімейний лікар",IF(L1319&lt;Законод!$C$22,0,(IF(AND(L1319&gt;=Законод!$E$22,L1319&lt;=Законод!$E$23),L1319-Законод!$C$22,IF('01_Доходи'!L1319&gt;=Законод!$F$22,Законод!$E$24,0)))),IF($B$1315="Лікар-педіатр",IF(L1319&lt;Законод!$C$18,0,(IF(AND(L1319&gt;=Законод!$E$18,L1319&lt;=Законод!$E$19),L1319-Законод!$C$18,IF('01_Доходи'!L1319&gt;=Законод!$F$18,Законод!$E$20,0)))),IF($B$1315="Лікар-терапевт",IF(L1319&lt;Законод!$C$26,0,(IF(AND(L1319&gt;=Законод!$E$26,L1319&lt;=Законод!$E$27),L1319-Законод!$C$26,IF('01_Доходи'!L1319&gt;=Законод!$F$26,Законод!$E$28,0)))),0)))</f>
        <v>0</v>
      </c>
      <c r="M1321" s="942"/>
      <c r="N1321" s="935" t="s">
        <v>423</v>
      </c>
      <c r="O1321" s="936"/>
      <c r="P1321" s="936"/>
      <c r="Q1321" s="936"/>
      <c r="R1321" s="937"/>
      <c r="S1321" s="196">
        <f ca="1">IF($B$1315="Лікар загальної практики - сімейний лікар",IF(S1319&lt;Законод!$C$22,0,(IF(AND(S1319&gt;=Законод!$E$22,S1319&lt;=Законод!$E$23),S1319-Законод!$C$22,IF('01_Доходи'!S1319&gt;=Законод!$F$22,Законод!$E$24,0)))),IF($B$1315="Лікар-педіатр",IF(S1319&lt;Законод!$C$18,0,(IF(AND(S1319&gt;=Законод!$E$18,S1319&lt;=Законод!$E$19),S1319-Законод!$C$18,IF('01_Доходи'!S1319&gt;=Законод!$F$18,Законод!$E$20,0)))),IF($B$1315="Лікар-терапевт",IF(S1319&lt;Законод!$C$26,0,(IF(AND(S1319&gt;=Законод!$E$26,S1319&lt;=Законод!$E$27),S1319-Законод!$C$26,IF('01_Доходи'!S1319&gt;=Законод!$F$26,Законод!$E$28,0)))),0)))</f>
        <v>0</v>
      </c>
      <c r="T1321" s="942"/>
      <c r="U1321" s="935" t="s">
        <v>423</v>
      </c>
      <c r="V1321" s="936"/>
      <c r="W1321" s="936"/>
      <c r="X1321" s="936"/>
      <c r="Y1321" s="937"/>
      <c r="Z1321" s="196">
        <f ca="1">IF($B$1315="Лікар загальної практики - сімейний лікар",IF(Z1319&lt;Законод!$C$22,0,(IF(AND(Z1319&gt;=Законод!$E$22,Z1319&lt;=Законод!$E$23),Z1319-Законод!$C$22,IF('01_Доходи'!Z1319&gt;=Законод!$F$22,Законод!$E$24,0)))),IF($B$1315="Лікар-педіатр",IF(Z1319&lt;Законод!$C$18,0,(IF(AND(Z1319&gt;=Законод!$E$18,Z1319&lt;=Законод!$E$19),Z1319-Законод!$C$18,IF('01_Доходи'!Z1319&gt;=Законод!$F$18,Законод!$E$20,0)))),IF($B$1315="Лікар-терапевт",IF(Z1319&lt;Законод!$C$26,0,(IF(AND(Z1319&gt;=Законод!$E$26,Z1319&lt;=Законод!$E$27),Z1319-Законод!$C$26,IF('01_Доходи'!Z1319&gt;=Законод!$F$26,Законод!$E$28,0)))),0)))</f>
        <v>0</v>
      </c>
      <c r="AA1321" s="942"/>
      <c r="AB1321" s="935" t="s">
        <v>423</v>
      </c>
      <c r="AC1321" s="936"/>
      <c r="AD1321" s="936"/>
      <c r="AE1321" s="936"/>
      <c r="AF1321" s="937"/>
      <c r="AG1321" s="196">
        <f ca="1">IF($B$1315="Лікар загальної практики - сімейний лікар",IF(AG1319&lt;Законод!$C$22,0,(IF(AND(AG1319&gt;=Законод!$E$22,AG1319&lt;=Законод!$E$23),AG1319-Законод!$C$22,IF('01_Доходи'!AG1319&gt;=Законод!$F$22,Законод!$E$24,0)))),IF($B$1315="Лікар-педіатр",IF(AG1319&lt;Законод!$C$18,0,(IF(AND(AG1319&gt;=Законод!$E$18,AG1319&lt;=Законод!$E$19),AG1319-Законод!$C$18,IF('01_Доходи'!AG1319&gt;=Законод!$F$18,Законод!$E$20,0)))),IF($B$1315="Лікар-терапевт",IF(AG1319&lt;Законод!$C$26,0,(IF(AND(AG1319&gt;=Законод!$E$26,AG1319&lt;=Законод!$E$27),AG1319-Законод!$C$26,IF('01_Доходи'!AG1319&gt;=Законод!$F$26,Законод!$E$28,0)))),0)))</f>
        <v>0</v>
      </c>
      <c r="AH1321" s="942"/>
      <c r="AI1321" s="201"/>
      <c r="AJ1321" s="945"/>
      <c r="AK1321" s="960"/>
      <c r="AL1321" s="960"/>
      <c r="AM1321" s="926" t="s">
        <v>452</v>
      </c>
      <c r="AN1321" s="210">
        <f ca="1">IF(B1315="Лікар загальної практики - сімейний лікар",L1321*Законод!$C$9/4*Законод!$E$16,IF(B1315="Лікар-педіатр",L1321*Законод!$C$9/4*Законод!$E$16,IF(B1315="Лікар-терапевт",L1321*Законод!$C$9/4*Законод!$E$16,0)))</f>
        <v>0</v>
      </c>
      <c r="AO1321" s="210">
        <f ca="1">IF(B1315="Лікар загальної практики - сімейний лікар",S1321*Законод!$C$9/4*Законод!$E$16,IF(B1315="Лікар-педіатр",S1321*Законод!$C$9/4*Законод!$E$16,IF(B1315="Лікар-терапевт",S1321*Законод!$C$9/4*Законод!$E$16,0)))</f>
        <v>0</v>
      </c>
      <c r="AP1321" s="210">
        <f ca="1">IF(B1315="Лікар загальної практики - сімейний лікар",Z1321*Законод!$C$9/4*Законод!$E$16,IF(B1315="Лікар-педіатр",Z1321*Законод!$C$9/4*Законод!$E$16,IF(B1315="Лікар-терапевт",Z1321*Законод!$C$9/4*Законод!$E$16,0)))</f>
        <v>0</v>
      </c>
      <c r="AQ1321" s="210">
        <f ca="1">IF(B1315="Лікар загальної практики - сімейний лікар",AG1321*Законод!$C$9/4*Законод!$E$16,IF(B1315="Лікар-педіатр",AG1321*Законод!$C$9/4*Законод!$E$16,IF(B1315="Лікар-терапевт",AG1321*Законод!$C$9/4*Законод!$E$16,0)))</f>
        <v>0</v>
      </c>
      <c r="AR1321" s="211">
        <f t="shared" si="141"/>
        <v>0</v>
      </c>
    </row>
    <row r="1322" spans="1:44" s="50" customFormat="1" ht="31.9" hidden="1" customHeight="1">
      <c r="A1322" s="197"/>
      <c r="B1322" s="951"/>
      <c r="C1322" s="954"/>
      <c r="D1322" s="957"/>
      <c r="E1322" s="939"/>
      <c r="F1322" s="238" t="str">
        <f ca="1">IF(B1315="Лікар-педіатр",Законод!$F$17,IF(B1315="Лікар загальної практики - сімейний лікар",Законод!$F$21,IF(B1315="Лікар-терапевт",Законод!$F$25,"х")))</f>
        <v>х</v>
      </c>
      <c r="G1322" s="935" t="s">
        <v>423</v>
      </c>
      <c r="H1322" s="936"/>
      <c r="I1322" s="936"/>
      <c r="J1322" s="936"/>
      <c r="K1322" s="937"/>
      <c r="L1322" s="196">
        <f ca="1">IF($B$1315="Лікар загальної практики - сімейний лікар",IF(L1319&lt;Законод!$C$22,0,(IF(AND(L1319&gt;=Законод!$F$22,L1319&lt;=Законод!$F$23),L1319-Законод!$E$23,IF('01_Доходи'!L1319&gt;=Законод!$G$22,Законод!$F$24,0)))),IF($B$1315="Лікар-педіатр",IF(L1319&lt;Законод!$C$18,0,(IF(AND(L1319&gt;=Законод!$F$18,L1319&lt;=Законод!$F$19),L1319-Законод!$E$19,IF('01_Доходи'!L1319&gt;=Законод!$G$18,Законод!$F$20,0)))),IF($B$1315="Лікар-терапевт",IF(L1319&lt;Законод!$C$26,0,(IF(AND(L1319&gt;=Законод!$F$26,L1319&lt;=Законод!$F$27),L1319-Законод!$E$27,IF('01_Доходи'!L1319&gt;=Законод!$G$26,Законод!$F$28,0)))),0)))</f>
        <v>0</v>
      </c>
      <c r="M1322" s="942"/>
      <c r="N1322" s="935" t="s">
        <v>423</v>
      </c>
      <c r="O1322" s="936"/>
      <c r="P1322" s="936"/>
      <c r="Q1322" s="936"/>
      <c r="R1322" s="937"/>
      <c r="S1322" s="196">
        <f ca="1">IF($B$1315="Лікар загальної практики - сімейний лікар",IF(S1319&lt;Законод!$C$22,0,(IF(AND(S1319&gt;=Законод!$F$22,S1319&lt;=Законод!$F$23),S1319-Законод!$E$23,IF('01_Доходи'!S1319&gt;=Законод!$G$22,Законод!$F$24,0)))),IF($B$1315="Лікар-педіатр",IF(S1319&lt;Законод!$C$18,0,(IF(AND(S1319&gt;=Законод!$F$18,S1319&lt;=Законод!$F$19),S1319-Законод!$E$19,IF('01_Доходи'!S1319&gt;=Законод!$G$18,Законод!$F$20,0)))),IF($B$1315="Лікар-терапевт",IF(S1319&lt;Законод!$C$26,0,(IF(AND(S1319&gt;=Законод!$F$26,S1319&lt;=Законод!$F$27),S1319-Законод!$E$27,IF('01_Доходи'!S1319&gt;=Законод!$G$26,Законод!$F$28,0)))),0)))</f>
        <v>0</v>
      </c>
      <c r="T1322" s="942"/>
      <c r="U1322" s="935" t="s">
        <v>423</v>
      </c>
      <c r="V1322" s="936"/>
      <c r="W1322" s="936"/>
      <c r="X1322" s="936"/>
      <c r="Y1322" s="937"/>
      <c r="Z1322" s="196">
        <f ca="1">IF($B$1315="Лікар загальної практики - сімейний лікар",IF(Z1319&lt;Законод!$C$22,0,(IF(AND(Z1319&gt;=Законод!$F$22,Z1319&lt;=Законод!$F$23),Z1319-Законод!$E$23,IF('01_Доходи'!Z1319&gt;=Законод!$G$22,Законод!$F$24,0)))),IF($B$1315="Лікар-педіатр",IF(Z1319&lt;Законод!$C$18,0,(IF(AND(Z1319&gt;=Законод!$F$18,Z1319&lt;=Законод!$F$19),Z1319-Законод!$E$19,IF('01_Доходи'!Z1319&gt;=Законод!$G$18,Законод!$F$20,0)))),IF($B$1315="Лікар-терапевт",IF(Z1319&lt;Законод!$C$26,0,(IF(AND(Z1319&gt;=Законод!$F$26,Z1319&lt;=Законод!$F$27),Z1319-Законод!$E$27,IF('01_Доходи'!Z1319&gt;=Законод!$G$26,Законод!$F$28,0)))),0)))</f>
        <v>0</v>
      </c>
      <c r="AA1322" s="942"/>
      <c r="AB1322" s="935" t="s">
        <v>423</v>
      </c>
      <c r="AC1322" s="936"/>
      <c r="AD1322" s="936"/>
      <c r="AE1322" s="936"/>
      <c r="AF1322" s="937"/>
      <c r="AG1322" s="196">
        <f ca="1">IF($B$1315="Лікар загальної практики - сімейний лікар",IF(AG1319&lt;Законод!$C$22,0,(IF(AND(AG1319&gt;=Законод!$F$22,AG1319&lt;=Законод!$F$23),AG1319-Законод!$E$23,IF('01_Доходи'!AG1319&gt;=Законод!$G$22,Законод!$F$24,0)))),IF($B$1315="Лікар-педіатр",IF(AG1319&lt;Законод!$C$18,0,(IF(AND(AG1319&gt;=Законод!$F$18,AG1319&lt;=Законод!$F$19),AG1319-Законод!$E$19,IF('01_Доходи'!AG1319&gt;=Законод!$G$18,Законод!$F$20,0)))),IF($B$1315="Лікар-терапевт",IF(AG1319&lt;Законод!$C$26,0,(IF(AND(AG1319&gt;=Законод!$F$26,AG1319&lt;=Законод!$F$27),AG1319-Законод!$E$27,IF('01_Доходи'!AG1319&gt;=Законод!$G$26,Законод!$F$28,0)))),0)))</f>
        <v>0</v>
      </c>
      <c r="AH1322" s="942"/>
      <c r="AI1322" s="201"/>
      <c r="AJ1322" s="945"/>
      <c r="AK1322" s="960"/>
      <c r="AL1322" s="960"/>
      <c r="AM1322" s="927"/>
      <c r="AN1322" s="210">
        <f ca="1">IF(B1315="Лікар загальної практики - сімейний лікар",L1322*Законод!$C$9/4*Законод!$F$16,IF(B1315="Лікар-педіатр",L1322*Законод!$C$9/4*Законод!$F$16,IF(B1315="Лікар-терапевт",L1322*Законод!$C$9/4*Законод!$F$16,0)))</f>
        <v>0</v>
      </c>
      <c r="AO1322" s="210">
        <f ca="1">IF(B1315="Лікар загальної практики - сімейний лікар",S1322*Законод!$C$9/4*Законод!$F$16,IF(B1315="Лікар-педіатр",S1322*Законод!$C$9/4*Законод!$F$16,IF(B1315="Лікар-терапевт",S1322*Законод!$C$9/4*Законод!$F$16,0)))</f>
        <v>0</v>
      </c>
      <c r="AP1322" s="210">
        <f ca="1">IF(B1315="Лікар загальної практики - сімейний лікар",Z1322*Законод!$C$9/4*Законод!$F$16,IF(B1315="Лікар-педіатр",Z1322*Законод!$C$9/4*Законод!$F$16,IF(B1315="Лікар-терапевт",Z1322*Законод!$C$9/4*Законод!$F$16,0)))</f>
        <v>0</v>
      </c>
      <c r="AQ1322" s="210">
        <f ca="1">IF(B1315="Лікар загальної практики - сімейний лікар",AG1322*Законод!$C$9/4*Законод!$F$16,IF(B1315="Лікар-педіатр",AG1322*Законод!$C$9/4*Законод!$F$16,IF(B1315="Лікар-терапевт",AG1322*Законод!$C$9/4*Законод!$F$16,0)))</f>
        <v>0</v>
      </c>
      <c r="AR1322" s="211">
        <f t="shared" si="141"/>
        <v>0</v>
      </c>
    </row>
    <row r="1323" spans="1:44" s="50" customFormat="1" ht="31.9" hidden="1" customHeight="1">
      <c r="A1323" s="197"/>
      <c r="B1323" s="951"/>
      <c r="C1323" s="954"/>
      <c r="D1323" s="957"/>
      <c r="E1323" s="939"/>
      <c r="F1323" s="238" t="str">
        <f ca="1">IF(B1315="Лікар-педіатр",Законод!$G$17,IF(B1315="Лікар загальної практики - сімейний лікар",Законод!$G$21,IF(B1315="Лікар-терапевт",Законод!$G$25,"х")))</f>
        <v>х</v>
      </c>
      <c r="G1323" s="935" t="s">
        <v>423</v>
      </c>
      <c r="H1323" s="936"/>
      <c r="I1323" s="936"/>
      <c r="J1323" s="936"/>
      <c r="K1323" s="937"/>
      <c r="L1323" s="196">
        <f ca="1">IF($B$1315="Лікар загальної практики - сімейний лікар",IF(L1319&lt;Законод!$C$22,0,(IF(AND(L1319&gt;=Законод!$G$22,L1319&lt;=Законод!$G$23),L1319-Законод!$F$23,IF('01_Доходи'!L1319&gt;=Законод!$H$22,Законод!$G$24,0)))),IF($B$1315="Лікар-педіатр",IF(L1319&lt;Законод!$C$18,0,(IF(AND(L1319&gt;=Законод!$G$18,L1319&lt;=Законод!$G$19),L1319-Законод!$F$19,IF('01_Доходи'!L1319&gt;=Законод!$H$18,Законод!$G$20,0)))),IF($B$1315="Лікар-терапевт",IF(L1319&lt;Законод!$C$26,0,(IF(AND(L1319&gt;=Законод!$G$26,L1319&lt;=Законод!$G$27),L1319-Законод!$F$27,IF('01_Доходи'!L1319&gt;=Законод!$H$26,Законод!$G$28,0)))),0)))</f>
        <v>0</v>
      </c>
      <c r="M1323" s="942"/>
      <c r="N1323" s="935" t="s">
        <v>423</v>
      </c>
      <c r="O1323" s="936"/>
      <c r="P1323" s="936"/>
      <c r="Q1323" s="936"/>
      <c r="R1323" s="937"/>
      <c r="S1323" s="196">
        <f ca="1">IF($B$1315="Лікар загальної практики - сімейний лікар",IF(S1319&lt;Законод!$C$22,0,(IF(AND(S1319&gt;=Законод!$G$22,S1319&lt;=Законод!$G$23),S1319-Законод!$F$23,IF('01_Доходи'!S1319&gt;=Законод!$H$22,Законод!$G$24,0)))),IF($B$1315="Лікар-педіатр",IF(S1319&lt;Законод!$C$18,0,(IF(AND(S1319&gt;=Законод!$G$18,S1319&lt;=Законод!$G$19),S1319-Законод!$F$19,IF('01_Доходи'!S1319&gt;=Законод!$H$18,Законод!$G$20,0)))),IF($B$1315="Лікар-терапевт",IF(S1319&lt;Законод!$C$26,0,(IF(AND(S1319&gt;=Законод!$G$26,S1319&lt;=Законод!$G$27),S1319-Законод!$F$27,IF('01_Доходи'!S1319&gt;=Законод!$H$26,Законод!$G$28,0)))),0)))</f>
        <v>0</v>
      </c>
      <c r="T1323" s="942"/>
      <c r="U1323" s="935" t="s">
        <v>423</v>
      </c>
      <c r="V1323" s="936"/>
      <c r="W1323" s="936"/>
      <c r="X1323" s="936"/>
      <c r="Y1323" s="937"/>
      <c r="Z1323" s="196">
        <f ca="1">IF($B$1315="Лікар загальної практики - сімейний лікар",IF(Z1319&lt;Законод!$C$22,0,(IF(AND(Z1319&gt;=Законод!$G$22,Z1319&lt;=Законод!$G$23),Z1319-Законод!$F$23,IF('01_Доходи'!Z1319&gt;=Законод!$H$22,Законод!$G$24,0)))),IF($B$1315="Лікар-педіатр",IF(Z1319&lt;Законод!$C$18,0,(IF(AND(Z1319&gt;=Законод!$G$18,Z1319&lt;=Законод!$G$19),Z1319-Законод!$F$19,IF('01_Доходи'!Z1319&gt;=Законод!$H$18,Законод!$G$20,0)))),IF($B$1315="Лікар-терапевт",IF(Z1319&lt;Законод!$C$26,0,(IF(AND(Z1319&gt;=Законод!$G$26,Z1319&lt;=Законод!$G$27),Z1319-Законод!$F$27,IF('01_Доходи'!Z1319&gt;=Законод!$H$26,Законод!$G$28,0)))),0)))</f>
        <v>0</v>
      </c>
      <c r="AA1323" s="942"/>
      <c r="AB1323" s="935" t="s">
        <v>423</v>
      </c>
      <c r="AC1323" s="936"/>
      <c r="AD1323" s="936"/>
      <c r="AE1323" s="936"/>
      <c r="AF1323" s="937"/>
      <c r="AG1323" s="196">
        <f ca="1">IF($B$1315="Лікар загальної практики - сімейний лікар",IF(AG1319&lt;Законод!$C$22,0,(IF(AND(AG1319&gt;=Законод!$G$22,AG1319&lt;=Законод!$G$23),AG1319-Законод!$F$23,IF('01_Доходи'!AG1319&gt;=Законод!$H$22,Законод!$G$24,0)))),IF($B$1315="Лікар-педіатр",IF(AG1319&lt;Законод!$C$18,0,(IF(AND(AG1319&gt;=Законод!$G$18,AG1319&lt;=Законод!$G$19),AG1319-Законод!$F$19,IF('01_Доходи'!AG1319&gt;=Законод!$H$18,Законод!$G$20,0)))),IF($B$1315="Лікар-терапевт",IF(AG1319&lt;Законод!$C$26,0,(IF(AND(AG1319&gt;=Законод!$G$26,AG1319&lt;=Законод!$G$27),AG1319-Законод!$F$27,IF('01_Доходи'!AG1319&gt;=Законод!$H$26,Законод!$G$28,0)))),0)))</f>
        <v>0</v>
      </c>
      <c r="AH1323" s="942"/>
      <c r="AI1323" s="201"/>
      <c r="AJ1323" s="945"/>
      <c r="AK1323" s="960"/>
      <c r="AL1323" s="960"/>
      <c r="AM1323" s="927"/>
      <c r="AN1323" s="210">
        <f ca="1">IF(B1315="Лікар загальної практики - сімейний лікар",L1323*Законод!$C$9/4*Законод!$G$16,IF(B1315="Лікар-педіатр",L1323*Законод!$C$9/4*Законод!$G$16,IF(B1315="Лікар-терапевт",L1323*Законод!$C$9/4*Законод!$G$16,0)))</f>
        <v>0</v>
      </c>
      <c r="AO1323" s="210">
        <f ca="1">IF(B1315="Лікар загальної практики - сімейний лікар",S1323*Законод!$C$9/4*Законод!$G$16,IF(B1315="Лікар-педіатр",S1323*Законод!$C$9/4*Законод!$G$16,IF(B1315="Лікар-терапевт",S1323*Законод!$C$9/4*Законод!$G$16,0)))</f>
        <v>0</v>
      </c>
      <c r="AP1323" s="210">
        <f ca="1">IF(B1315="Лікар загальної практики - сімейний лікар",Z1323*Законод!$C$9/4*Законод!$G$16,IF(B1315="Лікар-педіатр",Z1323*Законод!$C$9/4*Законод!$G$16,IF(B1315="Лікар-терапевт",Z1323*Законод!$C$9/4*Законод!$G$16,0)))</f>
        <v>0</v>
      </c>
      <c r="AQ1323" s="210">
        <f ca="1">IF(B1315="Лікар загальної практики - сімейний лікар",AG1323*Законод!$C$9/4*Законод!$G$16,IF(B1315="Лікар-педіатр",AG1323*Законод!$C$9/4*Законод!$G$16,IF(B1315="Лікар-терапевт",AG1323*Законод!$C$9/4*Законод!$G$16,0)))</f>
        <v>0</v>
      </c>
      <c r="AR1323" s="211">
        <f t="shared" si="141"/>
        <v>0</v>
      </c>
    </row>
    <row r="1324" spans="1:44" s="50" customFormat="1" ht="31.9" hidden="1" customHeight="1">
      <c r="A1324" s="197"/>
      <c r="B1324" s="951"/>
      <c r="C1324" s="954"/>
      <c r="D1324" s="957"/>
      <c r="E1324" s="939"/>
      <c r="F1324" s="238" t="str">
        <f ca="1">IF(B1315="Лікар-педіатр",Законод!$H$17,IF(B1315="Лікар загальної практики - сімейний лікар",Законод!$H$21,IF(B1315="Лікар-терапевт",Законод!$H$25,"х")))</f>
        <v>х</v>
      </c>
      <c r="G1324" s="935" t="s">
        <v>423</v>
      </c>
      <c r="H1324" s="936"/>
      <c r="I1324" s="936"/>
      <c r="J1324" s="936"/>
      <c r="K1324" s="937"/>
      <c r="L1324" s="196">
        <f ca="1">IF($B$1315="Лікар загальної практики - сімейний лікар",IF(L1319&lt;Законод!$C$22,0,(IF(AND(L1319&gt;=Законод!$H$22,L1319&lt;=Законод!$H$23),L1319-Законод!$G$23,IF('01_Доходи'!L1319&gt;=Законод!$I$22,Законод!$H$24,0)))),IF($B$1315="Лікар-педіатр",IF(L1319&lt;Законод!$C$18,0,(IF(AND(L1319&gt;=Законод!$H$18,L1319&lt;=Законод!$H$19),L1319-Законод!$G$19,IF('01_Доходи'!L1319&gt;=Законод!$I$18,Законод!$H$20,0)))),IF($B$1315="Лікар-терапевт",IF(L1319&lt;Законод!$C$26,0,(IF(AND(L1319&gt;=Законод!$H$26,L1319&lt;=Законод!$H$27),L1319-Законод!$G$27,IF(L1319&gt;=Законод!$I$26,Законод!$H$28,0)))),0)))</f>
        <v>0</v>
      </c>
      <c r="M1324" s="942"/>
      <c r="N1324" s="935" t="s">
        <v>423</v>
      </c>
      <c r="O1324" s="936"/>
      <c r="P1324" s="936"/>
      <c r="Q1324" s="936"/>
      <c r="R1324" s="937"/>
      <c r="S1324" s="196">
        <f ca="1">IF($B$1315="Лікар загальної практики - сімейний лікар",IF(S1319&lt;Законод!$C$22,0,(IF(AND(S1319&gt;=Законод!$H$22,S1319&lt;=Законод!$H$23),S1319-Законод!$G$23,IF('01_Доходи'!S1319&gt;=Законод!$I$22,Законод!$H$24,0)))),IF($B$1315="Лікар-педіатр",IF(S1319&lt;Законод!$C$18,0,(IF(AND(S1319&gt;=Законод!$H$18,S1319&lt;=Законод!$H$19),S1319-Законод!$G$19,IF('01_Доходи'!S1319&gt;=Законод!$I$18,Законод!$H$20,0)))),IF($B$1315="Лікар-терапевт",IF(S1319&lt;Законод!$C$26,0,(IF(AND(S1319&gt;=Законод!$H$26,S1319&lt;=Законод!$H$27),S1319-Законод!$G$27,IF(S1319&gt;=Законод!$I$26,Законод!$H$28,0)))),0)))</f>
        <v>0</v>
      </c>
      <c r="T1324" s="942"/>
      <c r="U1324" s="935" t="s">
        <v>423</v>
      </c>
      <c r="V1324" s="936"/>
      <c r="W1324" s="936"/>
      <c r="X1324" s="936"/>
      <c r="Y1324" s="937"/>
      <c r="Z1324" s="196">
        <f ca="1">IF($B$1315="Лікар загальної практики - сімейний лікар",IF(Z1319&lt;Законод!$C$22,0,(IF(AND(Z1319&gt;=Законод!$H$22,Z1319&lt;=Законод!$H$23),Z1319-Законод!$G$23,IF('01_Доходи'!Z1319&gt;=Законод!$I$22,Законод!$H$24,0)))),IF($B$1315="Лікар-педіатр",IF(Z1319&lt;Законод!$C$18,0,(IF(AND(Z1319&gt;=Законод!$H$18,Z1319&lt;=Законод!$H$19),Z1319-Законод!$G$19,IF('01_Доходи'!Z1319&gt;=Законод!$I$18,Законод!$H$20,0)))),IF($B$1315="Лікар-терапевт",IF(Z1319&lt;Законод!$C$26,0,(IF(AND(Z1319&gt;=Законод!$H$26,Z1319&lt;=Законод!$H$27),Z1319-Законод!$G$27,IF(Z1319&gt;=Законод!$I$26,Законод!$H$28,0)))),0)))</f>
        <v>0</v>
      </c>
      <c r="AA1324" s="942"/>
      <c r="AB1324" s="935" t="s">
        <v>423</v>
      </c>
      <c r="AC1324" s="936"/>
      <c r="AD1324" s="936"/>
      <c r="AE1324" s="936"/>
      <c r="AF1324" s="937"/>
      <c r="AG1324" s="196">
        <f ca="1">IF($B$1315="Лікар загальної практики - сімейний лікар",IF(AG1319&lt;Законод!$C$22,0,(IF(AND(AG1319&gt;=Законод!$H$22,AG1319&lt;=Законод!$H$23),AG1319-Законод!$G$23,IF('01_Доходи'!AG1319&gt;=Законод!$I$22,Законод!$H$24,0)))),IF($B$1315="Лікар-педіатр",IF(AG1319&lt;Законод!$C$18,0,(IF(AND(AG1319&gt;=Законод!$H$18,AG1319&lt;=Законод!$H$19),AG1319-Законод!$G$19,IF('01_Доходи'!AG1319&gt;=Законод!$I$18,Законод!$H$20,0)))),IF($B$1315="Лікар-терапевт",IF(AG1319&lt;Законод!$C$26,0,(IF(AND(AG1319&gt;=Законод!$H$26,AG1319&lt;=Законод!$H$27),AG1319-Законод!$G$27,IF(AG1319&gt;=Законод!$I$26,Законод!$H$28,0)))),0)))</f>
        <v>0</v>
      </c>
      <c r="AH1324" s="942"/>
      <c r="AI1324" s="201"/>
      <c r="AJ1324" s="945"/>
      <c r="AK1324" s="960"/>
      <c r="AL1324" s="960"/>
      <c r="AM1324" s="927"/>
      <c r="AN1324" s="210">
        <f ca="1">IF(B1315="Лікар загальної практики - сімейний лікар",L1324*Законод!$C$9/4*Законод!$H$16,IF(B1315="Лікар-педіатр",L1324*Законод!$C$9/4*Законод!$H$16,IF(B1315="Лікар-терапевт",L1324*Законод!$C$9/4*Законод!$H$16,0)))</f>
        <v>0</v>
      </c>
      <c r="AO1324" s="210">
        <f ca="1">IF(B1315="Лікар загальної практики - сімейний лікар",S1324*Законод!$C$9/4*Законод!$H$16,IF(B1315="Лікар-педіатр",S1324*Законод!$C$9/4*Законод!$H$16,IF(B1315="Лікар-терапевт",S1324*Законод!$C$9/4*Законод!$H$16,0)))</f>
        <v>0</v>
      </c>
      <c r="AP1324" s="210">
        <f ca="1">IF(B1315="Лікар загальної практики - сімейний лікар",Z1324*Законод!$C$9/4*Законод!$H$16,IF(B1315="Лікар-педіатр",Z1324*Законод!$C$9/4*Законод!$H$16,IF(B1315="Лікар-терапевт",Z1324*Законод!$C$9/4*Законод!$H$16,0)))</f>
        <v>0</v>
      </c>
      <c r="AQ1324" s="210">
        <f ca="1">IF(B1315="Лікар загальної практики - сімейний лікар",AG1324*Законод!$C$9/4*Законод!$H$16,IF(B1315="Лікар-педіатр",AG1324*Законод!$C$9/4*Законод!$H$16,IF(B1315="Лікар-терапевт",AG1324*Законод!$C$9/4*Законод!$H$16,0)))</f>
        <v>0</v>
      </c>
      <c r="AR1324" s="211">
        <f t="shared" si="141"/>
        <v>0</v>
      </c>
    </row>
    <row r="1325" spans="1:44" s="50" customFormat="1" ht="31.9" hidden="1" customHeight="1">
      <c r="A1325" s="197"/>
      <c r="B1325" s="951"/>
      <c r="C1325" s="954"/>
      <c r="D1325" s="957"/>
      <c r="E1325" s="939"/>
      <c r="F1325" s="238" t="str">
        <f ca="1">IF(B1315="Лікар-педіатр",Законод!$I$17,IF(B1315="Лікар загальної практики - сімейний лікар",Законод!$I$21,IF(B1315="Лікар-терапевт",Законод!$I$25,"х")))</f>
        <v>х</v>
      </c>
      <c r="G1325" s="935" t="s">
        <v>423</v>
      </c>
      <c r="H1325" s="936"/>
      <c r="I1325" s="936"/>
      <c r="J1325" s="936"/>
      <c r="K1325" s="937"/>
      <c r="L1325" s="196">
        <f ca="1">IF($B$1315="Лікар загальної практики - сімейний лікар",IF(L1319&lt;Законод!$C$22,0,(IF(AND(L1319&gt;=Законод!$I$22,L1319&lt;=Законод!$I$23),L1319-Законод!$H$23,IF('01_Доходи'!L1319&gt;=Законод!$I$22,Законод!$I$24,0)))),IF($B$1315="Лікар-педіатр",IF(L1319&lt;Законод!$C$18,0,(IF(AND(L1319&gt;=Законод!$I$18,L1319&lt;=Законод!$I$19),L1319-Законод!$H$19,IF('01_Доходи'!L1319&gt;=Законод!$I$18,Законод!$H$20,0)))),IF($B$1315="Лікар-терапевт",IF(L1319&lt;Законод!$C$26,0,(IF(AND(L1319&gt;=Законод!$I$26,L1319&lt;=Законод!$I$27),L1319-Законод!$H$27,IF('01_Доходи'!L1319&gt;=Законод!$I$26,Законод!$H$28,0)))),0)))</f>
        <v>0</v>
      </c>
      <c r="M1325" s="942"/>
      <c r="N1325" s="935" t="s">
        <v>423</v>
      </c>
      <c r="O1325" s="936"/>
      <c r="P1325" s="936"/>
      <c r="Q1325" s="936"/>
      <c r="R1325" s="937"/>
      <c r="S1325" s="196">
        <f ca="1">IF($B$1315="Лікар загальної практики - сімейний лікар",IF(S1319&lt;Законод!$C$22,0,(IF(AND(S1319&gt;=Законод!$I$22,S1319&lt;=Законод!$I$23),S1319-Законод!$H$23,IF('01_Доходи'!S1319&gt;=Законод!$I$22,Законод!$I$24,0)))),IF($B$1315="Лікар-педіатр",IF(S1319&lt;Законод!$C$18,0,(IF(AND(S1319&gt;=Законод!$I$18,S1319&lt;=Законод!$I$19),S1319-Законод!$H$19,IF('01_Доходи'!S1319&gt;=Законод!$I$18,Законод!$H$20,0)))),IF($B$1315="Лікар-терапевт",IF(S1319&lt;Законод!$C$26,0,(IF(AND(S1319&gt;=Законод!$I$26,S1319&lt;=Законод!$I$27),S1319-Законод!$H$27,IF('01_Доходи'!S1319&gt;=Законод!$I$26,Законод!$H$28,0)))),0)))</f>
        <v>0</v>
      </c>
      <c r="T1325" s="942"/>
      <c r="U1325" s="935" t="s">
        <v>423</v>
      </c>
      <c r="V1325" s="936"/>
      <c r="W1325" s="936"/>
      <c r="X1325" s="936"/>
      <c r="Y1325" s="937"/>
      <c r="Z1325" s="196">
        <f ca="1">IF($B$1315="Лікар загальної практики - сімейний лікар",IF(Z1319&lt;Законод!$C$22,0,(IF(AND(Z1319&gt;=Законод!$I$22,Z1319&lt;=Законод!$I$23),Z1319-Законод!$H$23,IF('01_Доходи'!Z1319&gt;=Законод!$I$22,Законод!$I$24,0)))),IF($B$1315="Лікар-педіатр",IF(Z1319&lt;Законод!$C$18,0,(IF(AND(Z1319&gt;=Законод!$I$18,Z1319&lt;=Законод!$I$19),Z1319-Законод!$H$19,IF('01_Доходи'!Z1319&gt;=Законод!$I$18,Законод!$H$20,0)))),IF($B$1315="Лікар-терапевт",IF(Z1319&lt;Законод!$C$26,0,(IF(AND(Z1319&gt;=Законод!$I$26,Z1319&lt;=Законод!$I$27),Z1319-Законод!$H$27,IF('01_Доходи'!Z1319&gt;=Законод!$I$26,Законод!$H$28,0)))),0)))</f>
        <v>0</v>
      </c>
      <c r="AA1325" s="942"/>
      <c r="AB1325" s="935" t="s">
        <v>423</v>
      </c>
      <c r="AC1325" s="936"/>
      <c r="AD1325" s="936"/>
      <c r="AE1325" s="936"/>
      <c r="AF1325" s="937"/>
      <c r="AG1325" s="196">
        <f ca="1">IF($B$1315="Лікар загальної практики - сімейний лікар",IF(AG1319&lt;Законод!$C$22,0,(IF(AND(AG1319&gt;=Законод!$I$22,AG1319&lt;=Законод!$I$23),AG1319-Законод!$H$23,IF('01_Доходи'!AG1319&gt;=Законод!$I$22,Законод!$I$24,0)))),IF($B$1315="Лікар-педіатр",IF(AG1319&lt;Законод!$C$18,0,(IF(AND(AG1319&gt;=Законод!$I$18,AG1319&lt;=Законод!$I$19),AG1319-Законод!$H$19,IF('01_Доходи'!AG1319&gt;=Законод!$I$18,Законод!$H$20,0)))),IF($B$1315="Лікар-терапевт",IF(AG1319&lt;Законод!$C$26,0,(IF(AND(AG1319&gt;=Законод!$I$26,AG1319&lt;=Законод!$I$27),AG1319-Законод!$H$27,IF('01_Доходи'!AG1319&gt;=Законод!$I$26,Законод!$H$28,0)))),0)))</f>
        <v>0</v>
      </c>
      <c r="AH1325" s="942"/>
      <c r="AI1325" s="201"/>
      <c r="AJ1325" s="945"/>
      <c r="AK1325" s="960"/>
      <c r="AL1325" s="960"/>
      <c r="AM1325" s="927"/>
      <c r="AN1325" s="210">
        <f ca="1">IF(B1315="Лікар загальної практики - сімейний лікар",L1325*Законод!$C$9/4*Законод!$I$16,IF(B1315="Лікар-педіатр",L1325*Законод!$C$9/4*Законод!$I$16,IF(B1315="Лікар-терапевт",L1325*Законод!$C$9/4*Законод!$I$16,0)))</f>
        <v>0</v>
      </c>
      <c r="AO1325" s="210">
        <f ca="1">IF(B1315="Лікар загальної практики - сімейний лікар",S1325*Законод!$C$9/4*Законод!$I$16,IF(B1315="Лікар-педіатр",S1325*Законод!$C$9/4*Законод!$I$16,IF(B1315="Лікар-терапевт",S1325*Законод!$C$9/4*Законод!$I$16,0)))</f>
        <v>0</v>
      </c>
      <c r="AP1325" s="210">
        <f ca="1">IF(B1315="Лікар загальної практики - сімейний лікар",Z1325*Законод!$C$9/4*Законод!$I$16,IF(B1315="Лікар-педіатр",Z1325*Законод!$C$9/4*Законод!$I$16,IF(B1315="Лікар-терапевт",Z1325*Законод!$C$9/4*Законод!$I$16,0)))</f>
        <v>0</v>
      </c>
      <c r="AQ1325" s="210">
        <f ca="1">IF(B1315="Лікар загальної практики - сімейний лікар",AG1325*Законод!$C$9/4*Законод!$I$16,IF(B1315="Лікар-педіатр",AG1325*Законод!$C$9/4*Законод!$I$16,IF(B1315="Лікар-терапевт",AG1325*Законод!$C$9/4*Законод!$I$16,0)))</f>
        <v>0</v>
      </c>
      <c r="AR1325" s="211">
        <f t="shared" si="141"/>
        <v>0</v>
      </c>
    </row>
    <row r="1326" spans="1:44" s="218" customFormat="1" ht="31.9" hidden="1" customHeight="1" thickBot="1">
      <c r="A1326" s="213"/>
      <c r="B1326" s="952"/>
      <c r="C1326" s="955"/>
      <c r="D1326" s="958"/>
      <c r="E1326" s="940"/>
      <c r="F1326" s="239" t="str">
        <f ca="1">IF(B1315="Лікар-педіатр",Законод!$J$17,IF(B1315="Лікар загальної практики - сімейний лікар",Законод!$J$21,IF(B1315="Лікар-терапевт",Законод!$J$25,"х")))</f>
        <v>х</v>
      </c>
      <c r="G1326" s="932" t="s">
        <v>423</v>
      </c>
      <c r="H1326" s="933"/>
      <c r="I1326" s="933"/>
      <c r="J1326" s="933"/>
      <c r="K1326" s="934"/>
      <c r="L1326" s="196">
        <f ca="1">IF($B$1315="Лікар загальної практики - сімейний лікар",IF(L1319&gt;=Законод!$J$22,'01_Доходи'!L1319-('01_Доходи'!L1320+'01_Доходи'!L1321+'01_Доходи'!L1322+'01_Доходи'!L1323+'01_Доходи'!L1324+'01_Доходи'!L1325),0),IF($B$1315="Лікар-педіатр",IF(L1319&gt;=Законод!$J$18,'01_Доходи'!L1319-('01_Доходи'!L1320+'01_Доходи'!L1321+'01_Доходи'!L1322+'01_Доходи'!L1323+'01_Доходи'!L1324+'01_Доходи'!L1325),0),IF($B$1315="Лікар-терапевт",IF('01_Доходи'!L1319&gt;=Законод!$J$26,L1319-Законод!$I$27,0),0)))</f>
        <v>0</v>
      </c>
      <c r="M1326" s="943"/>
      <c r="N1326" s="932" t="s">
        <v>423</v>
      </c>
      <c r="O1326" s="933"/>
      <c r="P1326" s="933"/>
      <c r="Q1326" s="933"/>
      <c r="R1326" s="934"/>
      <c r="S1326" s="196">
        <f ca="1">IF($B$1315="Лікар загальної практики - сімейний лікар",IF(S1319&gt;=Законод!$J$22,'01_Доходи'!S1319-('01_Доходи'!S1320+'01_Доходи'!S1321+'01_Доходи'!S1322+'01_Доходи'!S1323+'01_Доходи'!S1324+'01_Доходи'!S1325),0),IF($B$1315="Лікар-педіатр",IF(S1319&gt;=Законод!$J$18,'01_Доходи'!S1319-('01_Доходи'!S1320+'01_Доходи'!S1321+'01_Доходи'!S1322+'01_Доходи'!S1323+'01_Доходи'!S1324+'01_Доходи'!S1325),0),IF($B$1315="Лікар-терапевт",IF('01_Доходи'!S1319&gt;=Законод!$J$26,S1319-Законод!$I$27,0),0)))</f>
        <v>0</v>
      </c>
      <c r="T1326" s="943"/>
      <c r="U1326" s="932" t="s">
        <v>423</v>
      </c>
      <c r="V1326" s="933"/>
      <c r="W1326" s="933"/>
      <c r="X1326" s="933"/>
      <c r="Y1326" s="934"/>
      <c r="Z1326" s="196">
        <f ca="1">IF($B$1315="Лікар загальної практики - сімейний лікар",IF(Z1319&gt;=Законод!$J$22,'01_Доходи'!Z1319-('01_Доходи'!Z1320+'01_Доходи'!Z1321+'01_Доходи'!Z1322+'01_Доходи'!Z1323+'01_Доходи'!Z1324+'01_Доходи'!Z1325),0),IF($B$1315="Лікар-педіатр",IF(Z1319&gt;=Законод!$J$18,'01_Доходи'!Z1319-('01_Доходи'!Z1320+'01_Доходи'!Z1321+'01_Доходи'!Z1322+'01_Доходи'!Z1323+'01_Доходи'!Z1324+'01_Доходи'!Z1325),0),IF($B$1315="Лікар-терапевт",IF('01_Доходи'!Z1319&gt;=Законод!$J$26,Z1319-Законод!$I$27,0),0)))</f>
        <v>0</v>
      </c>
      <c r="AA1326" s="943"/>
      <c r="AB1326" s="932" t="s">
        <v>423</v>
      </c>
      <c r="AC1326" s="933"/>
      <c r="AD1326" s="933"/>
      <c r="AE1326" s="933"/>
      <c r="AF1326" s="934"/>
      <c r="AG1326" s="196">
        <f ca="1">IF($B$1315="Лікар загальної практики - сімейний лікар",IF(AG1319&gt;=Законод!$J$22,'01_Доходи'!AG1319-('01_Доходи'!AG1320+'01_Доходи'!AG1321+'01_Доходи'!AG1322+'01_Доходи'!AG1323+'01_Доходи'!AG1324+'01_Доходи'!AG1325),0),IF($B$1315="Лікар-педіатр",IF(AG1319&gt;=Законод!$J$18,'01_Доходи'!AG1319-('01_Доходи'!AG1320+'01_Доходи'!AG1321+'01_Доходи'!AG1322+'01_Доходи'!AG1323+'01_Доходи'!AG1324+'01_Доходи'!AG1325),0),IF($B$1315="Лікар-терапевт",IF('01_Доходи'!AG1319&gt;=Законод!$J$26,AG1319-Законод!$I$27,0),0)))</f>
        <v>0</v>
      </c>
      <c r="AH1326" s="943"/>
      <c r="AI1326" s="215"/>
      <c r="AJ1326" s="946"/>
      <c r="AK1326" s="961"/>
      <c r="AL1326" s="961"/>
      <c r="AM1326" s="928"/>
      <c r="AN1326" s="216">
        <f ca="1">IF(B1315="Лікар загальної практики - сімейний лікар",L1326*Законод!$C$9/4*Законод!$J$16,IF(B1315="Лікар-педіатр",L1326*Законод!$C$9/4*Законод!$J$16,IF(B1315="Лікар-терапевт",L1326*Законод!$C$9/4*Законод!$J$16,0)))</f>
        <v>0</v>
      </c>
      <c r="AO1326" s="216">
        <f ca="1">IF(B1315="Лікар загальної практики - сімейний лікар",S1326*Законод!$C$9/4*Законод!$J$16,IF(B1315="Лікар-педіатр",S1326*Законод!$C$9/4*Законод!$J$16,IF(B1315="Лікар-терапевт",S1326*Законод!$C$9/4*Законод!$J$16,0)))</f>
        <v>0</v>
      </c>
      <c r="AP1326" s="216">
        <f ca="1">IF(B1315="Лікар загальної практики - сімейний лікар",S1326*Законод!$C$9/4*Законод!$J$16,IF(B1315="Лікар-педіатр",S1326*Законод!$C$9/4*Законод!$J$16,IF(B1315="Лікар-терапевт",S1326*Законод!$C$9/4*Законод!$J$16,0)))</f>
        <v>0</v>
      </c>
      <c r="AQ1326" s="216">
        <f ca="1">IF(B1315="Лікар загальної практики - сімейний лікар",AG1326*Законод!$C$9/4*Законод!$J$16,IF(B1315="Лікар-педіатр",AG1326*Законод!$C$9/4*Законод!$J$16,IF(B1315="Лікар-терапевт",AG1326*Законод!$C$9/4*Законод!$J$16,0)))</f>
        <v>0</v>
      </c>
      <c r="AR1326" s="217">
        <f t="shared" si="141"/>
        <v>0</v>
      </c>
    </row>
    <row r="1327" spans="1:44" s="247" customFormat="1" ht="23.45" hidden="1" customHeight="1" thickBot="1">
      <c r="A1327" s="243"/>
      <c r="B1327" s="244"/>
      <c r="C1327" s="244"/>
      <c r="D1327" s="244"/>
      <c r="E1327" s="244"/>
      <c r="F1327" s="245"/>
      <c r="G1327" s="246"/>
      <c r="H1327" s="246"/>
      <c r="L1327" s="248"/>
      <c r="S1327" s="248"/>
      <c r="Z1327" s="248"/>
      <c r="AG1327" s="248"/>
      <c r="AM1327" s="249"/>
      <c r="AR1327" s="250"/>
    </row>
    <row r="1328" spans="1:44" s="191" customFormat="1" ht="24.6" hidden="1" customHeight="1">
      <c r="A1328" s="194">
        <f>A1315+1</f>
        <v>100</v>
      </c>
      <c r="B1328" s="950"/>
      <c r="C1328" s="953"/>
      <c r="D1328" s="956"/>
      <c r="E1328" s="938"/>
      <c r="F1328" s="234" t="s">
        <v>659</v>
      </c>
      <c r="G1328" s="196">
        <f>IF($B$1328="Лікар-педіатр",G1331*L1328,IF($B$1328="Лікар-терапевт","х",IF($B$1328="Лікар загальної практики - сімейний лікар",G1331*L1328,0)))</f>
        <v>0</v>
      </c>
      <c r="H1328" s="196">
        <f>IF($B$1328="Лікар-педіатр",H1331*L1328,IF($B$1328="Лікар-терапевт","х",IF($B$1328="Лікар загальної практики - сімейний лікар",H1331*L1328,0)))</f>
        <v>0</v>
      </c>
      <c r="I1328" s="196">
        <f>IF($B$1328="Лікар-педіатр","x",IF($B$1328="Лікар-терапевт",I1331*L1328,IF($B$1328="Лікар загальної практики - сімейний лікар",I1331*L1328,0)))</f>
        <v>0</v>
      </c>
      <c r="J1328" s="196">
        <f>IF($B$1328="Лікар-педіатр","x",IF($B$1328="Лікар-терапевт",J1331*L1328,IF($B$1328="Лікар загальної практики - сімейний лікар",J1331*L1328,0)))</f>
        <v>0</v>
      </c>
      <c r="K1328" s="196">
        <f>IF($B$1328="Лікар-педіатр","x",IF($B$1328="Лікар-терапевт",K1331*L1328,IF($B$1328="Лікар загальної практики - сімейний лікар",K1331*L1328,0)))</f>
        <v>0</v>
      </c>
      <c r="L1328" s="557"/>
      <c r="M1328" s="941"/>
      <c r="N1328" s="196">
        <f>IF($B$1328="Лікар-педіатр",N1331*S1328,IF($B$1328="Лікар-терапевт","х",IF($B$1328="Лікар загальної практики - сімейний лікар",N1331*S1328,0)))</f>
        <v>0</v>
      </c>
      <c r="O1328" s="196">
        <f>IF($B$1328="Лікар-педіатр",O1331*S1328,IF($B$1328="Лікар-терапевт","х",IF($B$1328="Лікар загальної практики - сімейний лікар",O1331*S1328,0)))</f>
        <v>0</v>
      </c>
      <c r="P1328" s="196">
        <f>IF($B$1328="Лікар-педіатр","x",IF($B$1328="Лікар-терапевт",P1331*S1328,IF($B$1328="Лікар загальної практики - сімейний лікар",P1331*S1328,0)))</f>
        <v>0</v>
      </c>
      <c r="Q1328" s="196">
        <f>IF($B$1328="Лікар-педіатр","x",IF($B$1328="Лікар-терапевт",Q1331*S1328,IF($B$1328="Лікар загальної практики - сімейний лікар",Q1331*S1328,0)))</f>
        <v>0</v>
      </c>
      <c r="R1328" s="196">
        <f>IF($B$1328="Лікар-педіатр","x",IF($B$1328="Лікар-терапевт",R1331*S1328,IF($B$1328="Лікар загальної практики - сімейний лікар",R1331*S1328,0)))</f>
        <v>0</v>
      </c>
      <c r="S1328" s="557"/>
      <c r="T1328" s="941"/>
      <c r="U1328" s="196">
        <f>IF($B$1328="Лікар-педіатр",U1331*Z1328,IF($B$1328="Лікар-терапевт","х",IF($B$1328="Лікар загальної практики - сімейний лікар",U1331*Z1328,0)))</f>
        <v>0</v>
      </c>
      <c r="V1328" s="196">
        <f>IF($B$1328="Лікар-педіатр",V1331*Z1328,IF($B$1328="Лікар-терапевт","х",IF($B$1328="Лікар загальної практики - сімейний лікар",V1331*Z1328,0)))</f>
        <v>0</v>
      </c>
      <c r="W1328" s="196">
        <f>IF($B$1328="Лікар-педіатр","x",IF($B$1328="Лікар-терапевт",W1331*Z1328,IF($B$1328="Лікар загальної практики - сімейний лікар",W1331*Z1328,0)))</f>
        <v>0</v>
      </c>
      <c r="X1328" s="196">
        <f>IF($B$1328="Лікар-педіатр","x",IF($B$1328="Лікар-терапевт",X1331*Z1328,IF($B$1328="Лікар загальної практики - сімейний лікар",X1331*Z1328,0)))</f>
        <v>0</v>
      </c>
      <c r="Y1328" s="196">
        <f>IF($B$1328="Лікар-педіатр","x",IF($B$1328="Лікар-терапевт",Y1331*Z1328,IF($B$1328="Лікар загальної практики - сімейний лікар",Y1331*Z1328,0)))</f>
        <v>0</v>
      </c>
      <c r="Z1328" s="557"/>
      <c r="AA1328" s="941"/>
      <c r="AB1328" s="196">
        <f>IF($B$1328="Лікар-педіатр",AB1331*AG1328,IF($B$1328="Лікар-терапевт","х",IF($B$1328="Лікар загальної практики - сімейний лікар",AB1331*AG1328,0)))</f>
        <v>0</v>
      </c>
      <c r="AC1328" s="196">
        <f>IF($B$1328="Лікар-педіатр",AC1331*AG1328,IF($B$1328="Лікар-терапевт","х",IF($B$1328="Лікар загальної практики - сімейний лікар",AC1331*AG1328,0)))</f>
        <v>0</v>
      </c>
      <c r="AD1328" s="196">
        <f>IF($B$1328="Лікар-педіатр","x",IF($B$1328="Лікар-терапевт",AD1331*AG1328,IF($B$1328="Лікар загальної практики - сімейний лікар",AD1331*AG1328,0)))</f>
        <v>0</v>
      </c>
      <c r="AE1328" s="196">
        <f>IF($B$1328="Лікар-педіатр","x",IF($B$1328="Лікар-терапевт",AE1331*AG1328,IF($B$1328="Лікар загальної практики - сімейний лікар",AE1331*AG1328,0)))</f>
        <v>0</v>
      </c>
      <c r="AF1328" s="196">
        <f>IF($B$1328="Лікар-педіатр","x",IF($B$1328="Лікар-терапевт",AF1331*AG1328,IF($B$1328="Лікар загальної практики - сімейний лікар",AF1331*AG1328,0)))</f>
        <v>0</v>
      </c>
      <c r="AG1328" s="557"/>
      <c r="AH1328" s="941"/>
      <c r="AI1328" s="540">
        <f>A1328</f>
        <v>100</v>
      </c>
      <c r="AJ1328" s="944">
        <f>B1328</f>
        <v>0</v>
      </c>
      <c r="AK1328" s="959">
        <f>C1328</f>
        <v>0</v>
      </c>
      <c r="AL1328" s="959">
        <f>D1328</f>
        <v>0</v>
      </c>
      <c r="AM1328" s="929" t="s">
        <v>79</v>
      </c>
      <c r="AN1328" s="947">
        <f>SUM(AN1333:AN1339)</f>
        <v>0</v>
      </c>
      <c r="AO1328" s="947">
        <f>SUM(AO1333:AO1339)</f>
        <v>0</v>
      </c>
      <c r="AP1328" s="947">
        <f>SUM(AP1333:AP1339)</f>
        <v>0</v>
      </c>
      <c r="AQ1328" s="947">
        <f>SUM(AQ1333:AQ1339)</f>
        <v>0</v>
      </c>
      <c r="AR1328" s="962">
        <f>SUM(AN1328:AQ1332)</f>
        <v>0</v>
      </c>
    </row>
    <row r="1329" spans="1:44" s="50" customFormat="1" ht="28.15" hidden="1" customHeight="1">
      <c r="A1329" s="197"/>
      <c r="B1329" s="951"/>
      <c r="C1329" s="954"/>
      <c r="D1329" s="957"/>
      <c r="E1329" s="939"/>
      <c r="F1329" s="234" t="s">
        <v>660</v>
      </c>
      <c r="G1329" s="196">
        <f>IF($B$1328="Лікар-педіатр",G1331*L1329,IF($B$1328="Лікар-терапевт","х",IF($B$1328="Лікар загальної практики - сімейний лікар",G1331*L1329,0)))</f>
        <v>0</v>
      </c>
      <c r="H1329" s="196">
        <f>IF($B$1328="Лікар-педіатр",H1331*L1329,IF($B$1328="Лікар-терапевт","х",IF($B$1328="Лікар загальної практики - сімейний лікар",H1331*L1329,0)))</f>
        <v>0</v>
      </c>
      <c r="I1329" s="196">
        <f>IF($B$1328="Лікар-педіатр","x",IF($B$1328="Лікар-терапевт",I1331*L1329,IF($B$1328="Лікар загальної практики - сімейний лікар",I1331*L1329,0)))</f>
        <v>0</v>
      </c>
      <c r="J1329" s="196">
        <f>IF($B$1328="Лікар-педіатр","x",IF($B$1328="Лікар-терапевт",J1331*L1329,IF($B$1328="Лікар загальної практики - сімейний лікар",J1331*L1329,0)))</f>
        <v>0</v>
      </c>
      <c r="K1329" s="196">
        <f>IF($B$1328="Лікар-педіатр","x",IF($B$1328="Лікар-терапевт",K1331*L1329,IF($B$1328="Лікар загальної практики - сімейний лікар",K1331*L1329,0)))</f>
        <v>0</v>
      </c>
      <c r="L1329" s="557"/>
      <c r="M1329" s="942"/>
      <c r="N1329" s="196">
        <f>IF($B$1328="Лікар-педіатр",N1331*S1329,IF($B$1328="Лікар-терапевт","х",IF($B$1328="Лікар загальної практики - сімейний лікар",N1331*S1329,0)))</f>
        <v>0</v>
      </c>
      <c r="O1329" s="196">
        <f>IF($B$1328="Лікар-педіатр",O1331*S1329,IF($B$1328="Лікар-терапевт","х",IF($B$1328="Лікар загальної практики - сімейний лікар",O1331*S1329,0)))</f>
        <v>0</v>
      </c>
      <c r="P1329" s="196">
        <f>IF($B$1328="Лікар-педіатр","x",IF($B$1328="Лікар-терапевт",P1331*S1329,IF($B$1328="Лікар загальної практики - сімейний лікар",P1331*S1329,0)))</f>
        <v>0</v>
      </c>
      <c r="Q1329" s="196">
        <f>IF($B$1328="Лікар-педіатр","x",IF($B$1328="Лікар-терапевт",Q1331*S1329,IF($B$1328="Лікар загальної практики - сімейний лікар",Q1331*S1329,0)))</f>
        <v>0</v>
      </c>
      <c r="R1329" s="196">
        <f>IF($B$1328="Лікар-педіатр","x",IF($B$1328="Лікар-терапевт",R1331*S1329,IF($B$1328="Лікар загальної практики - сімейний лікар",R1331*S1329,0)))</f>
        <v>0</v>
      </c>
      <c r="S1329" s="557"/>
      <c r="T1329" s="942"/>
      <c r="U1329" s="196">
        <f>IF($B$1328="Лікар-педіатр",U1331*Z1329,IF($B$1328="Лікар-терапевт","х",IF($B$1328="Лікар загальної практики - сімейний лікар",U1331*Z1329,0)))</f>
        <v>0</v>
      </c>
      <c r="V1329" s="196">
        <f>IF($B$1328="Лікар-педіатр",V1331*Z1329,IF($B$1328="Лікар-терапевт","х",IF($B$1328="Лікар загальної практики - сімейний лікар",V1331*Z1329,0)))</f>
        <v>0</v>
      </c>
      <c r="W1329" s="196">
        <f>IF($B$1328="Лікар-педіатр","x",IF($B$1328="Лікар-терапевт",W1331*Z1329,IF($B$1328="Лікар загальної практики - сімейний лікар",W1331*Z1329,0)))</f>
        <v>0</v>
      </c>
      <c r="X1329" s="196">
        <f>IF($B$1328="Лікар-педіатр","x",IF($B$1328="Лікар-терапевт",X1331*Z1329,IF($B$1328="Лікар загальної практики - сімейний лікар",X1331*Z1329,0)))</f>
        <v>0</v>
      </c>
      <c r="Y1329" s="196">
        <f>IF($B$1328="Лікар-педіатр","x",IF($B$1328="Лікар-терапевт",Y1331*Z1329,IF($B$1328="Лікар загальної практики - сімейний лікар",Y1331*Z1329,0)))</f>
        <v>0</v>
      </c>
      <c r="Z1329" s="557"/>
      <c r="AA1329" s="942"/>
      <c r="AB1329" s="196">
        <f>IF($B$1328="Лікар-педіатр",AB1331*AG1329,IF($B$1328="Лікар-терапевт","х",IF($B$1328="Лікар загальної практики - сімейний лікар",AB1331*AG1329,0)))</f>
        <v>0</v>
      </c>
      <c r="AC1329" s="196">
        <f>IF($B$1328="Лікар-педіатр",AC1331*AG1329,IF($B$1328="Лікар-терапевт","х",IF($B$1328="Лікар загальної практики - сімейний лікар",AC1331*AG1329,0)))</f>
        <v>0</v>
      </c>
      <c r="AD1329" s="196">
        <f>IF($B$1328="Лікар-педіатр","x",IF($B$1328="Лікар-терапевт",AD1331*AG1329,IF($B$1328="Лікар загальної практики - сімейний лікар",AD1331*AG1329,0)))</f>
        <v>0</v>
      </c>
      <c r="AE1329" s="196">
        <f>IF($B$1328="Лікар-педіатр","x",IF($B$1328="Лікар-терапевт",AE1331*AG1329,IF($B$1328="Лікар загальної практики - сімейний лікар",AE1331*AG1329,0)))</f>
        <v>0</v>
      </c>
      <c r="AF1329" s="196">
        <f>IF($B$1328="Лікар-педіатр","x",IF($B$1328="Лікар-терапевт",AF1331*AG1329,IF($B$1328="Лікар загальної практики - сімейний лікар",AF1331*AG1329,0)))</f>
        <v>0</v>
      </c>
      <c r="AG1329" s="557"/>
      <c r="AH1329" s="942"/>
      <c r="AI1329" s="198"/>
      <c r="AJ1329" s="945"/>
      <c r="AK1329" s="960"/>
      <c r="AL1329" s="960"/>
      <c r="AM1329" s="930"/>
      <c r="AN1329" s="948"/>
      <c r="AO1329" s="948"/>
      <c r="AP1329" s="948"/>
      <c r="AQ1329" s="948"/>
      <c r="AR1329" s="963"/>
    </row>
    <row r="1330" spans="1:44" s="90" customFormat="1" ht="31.15" hidden="1" customHeight="1">
      <c r="A1330" s="240"/>
      <c r="B1330" s="951"/>
      <c r="C1330" s="954"/>
      <c r="D1330" s="957"/>
      <c r="E1330" s="939"/>
      <c r="F1330" s="241" t="s">
        <v>661</v>
      </c>
      <c r="G1330" s="199">
        <f>IF(B1328="Лікар загальної практики - сімейний лікар"," ",IF(B1328="Лікар-педіатр"," ",IF(B1328="Лікар-терапевт","х",0)))</f>
        <v>0</v>
      </c>
      <c r="H1330" s="199">
        <f>IF(B1328="Лікар загальної практики - сімейний лікар"," ",IF(B1328="Лікар-педіатр"," ",IF(B1328="Лікар-терапевт","х",0)))</f>
        <v>0</v>
      </c>
      <c r="I1330" s="199">
        <f>IF(B1328="Лікар загальної практики - сімейний лікар"," ",IF(B1328="Лікар-педіатр","х",IF(B1328="Лікар-терапевт"," ",0)))</f>
        <v>0</v>
      </c>
      <c r="J1330" s="199">
        <f>IF(B1328="Лікар загальної практики - сімейний лікар"," ",IF(B1328="Лікар-педіатр","х",IF(B1328="Лікар-терапевт"," ",0)))</f>
        <v>0</v>
      </c>
      <c r="K1330" s="199">
        <f>IF(B1328="Лікар загальної практики - сімейний лікар"," ",IF(B1328="Лікар-педіатр","х",IF(B1328="Лікар-терапевт"," ",0)))</f>
        <v>0</v>
      </c>
      <c r="L1330" s="200">
        <f>SUM(G1330:K1330)</f>
        <v>0</v>
      </c>
      <c r="M1330" s="942"/>
      <c r="N1330" s="199">
        <f>IF(B1328="Лікар загальної практики - сімейний лікар"," ",IF(B1328="Лікар-педіатр"," ",IF(B1328="Лікар-терапевт","х",0)))</f>
        <v>0</v>
      </c>
      <c r="O1330" s="199">
        <f>IF(B1328="Лікар загальної практики - сімейний лікар"," ",IF(B1328="Лікар-педіатр"," ",IF(B1328="Лікар-терапевт","х",0)))</f>
        <v>0</v>
      </c>
      <c r="P1330" s="199">
        <f>IF(B1328="Лікар загальної практики - сімейний лікар"," ",IF(B1328="Лікар-педіатр","х",IF(B1328="Лікар-терапевт"," ",0)))</f>
        <v>0</v>
      </c>
      <c r="Q1330" s="199">
        <f>IF(B1328="Лікар загальної практики - сімейний лікар"," ",IF(B1328="Лікар-педіатр","х",IF(B1328="Лікар-терапевт"," ",0)))</f>
        <v>0</v>
      </c>
      <c r="R1330" s="199">
        <f>IF(B1328="Лікар загальної практики - сімейний лікар"," ",IF(B1328="Лікар-педіатр","х",IF(B1328="Лікар-терапевт"," ",0)))</f>
        <v>0</v>
      </c>
      <c r="S1330" s="200">
        <f>SUM(N1330:R1330)</f>
        <v>0</v>
      </c>
      <c r="T1330" s="942"/>
      <c r="U1330" s="199">
        <f>IF(B1328="Лікар загальної практики - сімейний лікар"," ",IF(B1328="Лікар-педіатр"," ",IF(B1328="Лікар-терапевт","х",0)))</f>
        <v>0</v>
      </c>
      <c r="V1330" s="199">
        <f>IF(B1328="Лікар загальної практики - сімейний лікар"," ",IF(B1328="Лікар-педіатр"," ",IF(B1328="Лікар-терапевт","х",0)))</f>
        <v>0</v>
      </c>
      <c r="W1330" s="199">
        <f>IF(B1328="Лікар загальної практики - сімейний лікар"," ",IF(B1328="Лікар-педіатр","х",IF(B1328="Лікар-терапевт"," ",0)))</f>
        <v>0</v>
      </c>
      <c r="X1330" s="199">
        <f>IF(B1328="Лікар загальної практики - сімейний лікар"," ",IF(B1328="Лікар-педіатр","х",IF(B1328="Лікар-терапевт"," ",0)))</f>
        <v>0</v>
      </c>
      <c r="Y1330" s="199">
        <f>IF(B1328="Лікар загальної практики - сімейний лікар"," ",IF(B1328="Лікар-педіатр","х",IF(B1328="Лікар-терапевт"," ",0)))</f>
        <v>0</v>
      </c>
      <c r="Z1330" s="200">
        <f>SUM(U1330:Y1330)</f>
        <v>0</v>
      </c>
      <c r="AA1330" s="942"/>
      <c r="AB1330" s="199">
        <f>IF(B1328="Лікар загальної практики - сімейний лікар"," ",IF(B1328="Лікар-педіатр"," ",IF(B1328="Лікар-терапевт","х",0)))</f>
        <v>0</v>
      </c>
      <c r="AC1330" s="199">
        <f>IF(B1328="Лікар загальної практики - сімейний лікар"," ",IF(B1328="Лікар-педіатр"," ",IF(B1328="Лікар-терапевт","х",0)))</f>
        <v>0</v>
      </c>
      <c r="AD1330" s="199">
        <f>IF(B1328="Лікар загальної практики - сімейний лікар"," ",IF(B1328="Лікар-педіатр","х",IF(B1328="Лікар-терапевт"," ",0)))</f>
        <v>0</v>
      </c>
      <c r="AE1330" s="199">
        <f>IF(B1328="Лікар загальної практики - сімейний лікар"," ",IF(B1328="Лікар-педіатр","х",IF(B1328="Лікар-терапевт"," ",0)))</f>
        <v>0</v>
      </c>
      <c r="AF1330" s="199">
        <f>IF(B1328="Лікар загальної практики - сімейний лікар"," ",IF(B1328="Лікар-педіатр","х",IF(B1328="Лікар-терапевт"," ",0)))</f>
        <v>0</v>
      </c>
      <c r="AG1330" s="200">
        <f>SUM(AB1330:AF1330)</f>
        <v>0</v>
      </c>
      <c r="AH1330" s="942"/>
      <c r="AI1330" s="242"/>
      <c r="AJ1330" s="945"/>
      <c r="AK1330" s="960"/>
      <c r="AL1330" s="960"/>
      <c r="AM1330" s="930"/>
      <c r="AN1330" s="948"/>
      <c r="AO1330" s="948"/>
      <c r="AP1330" s="948"/>
      <c r="AQ1330" s="948"/>
      <c r="AR1330" s="963"/>
    </row>
    <row r="1331" spans="1:44" s="50" customFormat="1" ht="31.9" hidden="1" customHeight="1" thickBot="1">
      <c r="A1331" s="197"/>
      <c r="B1331" s="951"/>
      <c r="C1331" s="954"/>
      <c r="D1331" s="957"/>
      <c r="E1331" s="939"/>
      <c r="F1331" s="236" t="s">
        <v>426</v>
      </c>
      <c r="G1331" s="203">
        <f>IF($B$1328="Лікар-педіатр",G1330/L1330,IF($B$1328="Лікар-терапевт","х",IF($B$1328="Лікар загальної практики - сімейний лікар",G1330/L1330,0)))</f>
        <v>0</v>
      </c>
      <c r="H1331" s="203">
        <f>IF($B$1328="Лікар-педіатр",H1330/L1330,IF($B$1328="Лікар-терапевт","х",IF($B$1328="Лікар загальної практики - сімейний лікар",H1330/L1330,0)))</f>
        <v>0</v>
      </c>
      <c r="I1331" s="203">
        <f>IF($B$1328="Лікар-педіатр","x",IF($B$1328="Лікар-терапевт",I1330/L1330,IF($B$1328="Лікар загальної практики - сімейний лікар",I1330/L1330,0)))</f>
        <v>0</v>
      </c>
      <c r="J1331" s="203">
        <f>IF($B$1328="Лікар-педіатр","x",IF($B$1328="Лікар-терапевт",J1330/L1330,IF($B$1328="Лікар загальної практики - сімейний лікар",J1330/L1330,0)))</f>
        <v>0</v>
      </c>
      <c r="K1331" s="203">
        <f>IF($B$1328="Лікар-педіатр","x",IF($B$1328="Лікар-терапевт",K1330/L1330,IF($B$1328="Лікар загальної практики - сімейний лікар",K1330/L1330,0)))</f>
        <v>0</v>
      </c>
      <c r="L1331" s="203">
        <f>SUM(G1331:K1331)</f>
        <v>0</v>
      </c>
      <c r="M1331" s="942"/>
      <c r="N1331" s="203">
        <f>IF($B$1328="Лікар-педіатр",N1330/S1330,IF($B$1328="Лікар-терапевт","х",IF($B$1328="Лікар загальної практики - сімейний лікар",N1330/S1330,0)))</f>
        <v>0</v>
      </c>
      <c r="O1331" s="203">
        <f>IF($B$1328="Лікар-педіатр",O1330/S1330,IF($B$1328="Лікар-терапевт","х",IF($B$1328="Лікар загальної практики - сімейний лікар",O1330/S1330,0)))</f>
        <v>0</v>
      </c>
      <c r="P1331" s="203">
        <f>IF($B$1328="Лікар-педіатр","x",IF($B$1328="Лікар-терапевт",P1330/S1330,IF($B$1328="Лікар загальної практики - сімейний лікар",P1330/S1330,0)))</f>
        <v>0</v>
      </c>
      <c r="Q1331" s="203">
        <f>IF($B$1328="Лікар-педіатр","x",IF($B$1328="Лікар-терапевт",Q1330/S1330,IF($B$1328="Лікар загальної практики - сімейний лікар",Q1330/S1330,0)))</f>
        <v>0</v>
      </c>
      <c r="R1331" s="203">
        <f>IF($B$1328="Лікар-педіатр","x",IF($B$1328="Лікар-терапевт",R1330/S1330,IF($B$1328="Лікар загальної практики - сімейний лікар",R1330/S1330,0)))</f>
        <v>0</v>
      </c>
      <c r="S1331" s="203">
        <f>SUM(N1331:R1331)</f>
        <v>0</v>
      </c>
      <c r="T1331" s="942"/>
      <c r="U1331" s="203">
        <f>IF($B$1328="Лікар-педіатр",U1330/Z1330,IF($B$1328="Лікар-терапевт","х",IF($B$1328="Лікар загальної практики - сімейний лікар",U1330/Z1330,0)))</f>
        <v>0</v>
      </c>
      <c r="V1331" s="203">
        <f>IF($B$1328="Лікар-педіатр",V1330/Z1330,IF($B$1328="Лікар-терапевт","х",IF($B$1328="Лікар загальної практики - сімейний лікар",V1330/Z1330,0)))</f>
        <v>0</v>
      </c>
      <c r="W1331" s="203">
        <f>IF($B$1328="Лікар-педіатр","x",IF($B$1328="Лікар-терапевт",W1330/Z1330,IF($B$1328="Лікар загальної практики - сімейний лікар",W1330/Z1330,0)))</f>
        <v>0</v>
      </c>
      <c r="X1331" s="203">
        <f>IF($B$1328="Лікар-педіатр","x",IF($B$1328="Лікар-терапевт",X1330/Z1330,IF($B$1328="Лікар загальної практики - сімейний лікар",X1330/Z1330,0)))</f>
        <v>0</v>
      </c>
      <c r="Y1331" s="203">
        <f>IF($B$1328="Лікар-педіатр","x",IF($B$1328="Лікар-терапевт",Y1330/Z1330,IF($B$1328="Лікар загальної практики - сімейний лікар",Y1330/Z1330,0)))</f>
        <v>0</v>
      </c>
      <c r="Z1331" s="203">
        <f>SUM(U1331:Y1331)</f>
        <v>0</v>
      </c>
      <c r="AA1331" s="942"/>
      <c r="AB1331" s="203">
        <f>IF($B$1328="Лікар-педіатр",AB1330/AG1330,IF($B$1328="Лікар-терапевт","х",IF($B$1328="Лікар загальної практики - сімейний лікар",AB1330/AG1330,0)))</f>
        <v>0</v>
      </c>
      <c r="AC1331" s="203">
        <f>IF($B$1328="Лікар-педіатр",AC1330/AG1330,IF($B$1328="Лікар-терапевт","х",IF($B$1328="Лікар загальної практики - сімейний лікар",AC1330/AG1330,0)))</f>
        <v>0</v>
      </c>
      <c r="AD1331" s="203">
        <f>IF($B$1328="Лікар-педіатр","x",IF($B$1328="Лікар-терапевт",AD1330/AG1330,IF($B$1328="Лікар загальної практики - сімейний лікар",AD1330/AG1330,0)))</f>
        <v>0</v>
      </c>
      <c r="AE1331" s="203">
        <f>IF($B$1328="Лікар-педіатр","x",IF($B$1328="Лікар-терапевт",AE1330/AG1330,IF($B$1328="Лікар загальної практики - сімейний лікар",AE1330/AG1330,0)))</f>
        <v>0</v>
      </c>
      <c r="AF1331" s="203">
        <f>IF($B$1328="Лікар-педіатр","x",IF($B$1328="Лікар-терапевт",AF1330/AG1330,IF($B$1328="Лікар загальної практики - сімейний лікар",AF1330/AG1330,0)))</f>
        <v>0</v>
      </c>
      <c r="AG1331" s="203">
        <f>SUM(AB1331:AF1331)</f>
        <v>0</v>
      </c>
      <c r="AH1331" s="942"/>
      <c r="AI1331" s="201"/>
      <c r="AJ1331" s="945"/>
      <c r="AK1331" s="960"/>
      <c r="AL1331" s="960"/>
      <c r="AM1331" s="930"/>
      <c r="AN1331" s="948"/>
      <c r="AO1331" s="948"/>
      <c r="AP1331" s="948"/>
      <c r="AQ1331" s="948"/>
      <c r="AR1331" s="963"/>
    </row>
    <row r="1332" spans="1:44" s="50" customFormat="1" ht="45" hidden="1" customHeight="1" thickBot="1">
      <c r="A1332" s="197"/>
      <c r="B1332" s="951"/>
      <c r="C1332" s="954"/>
      <c r="D1332" s="957"/>
      <c r="E1332" s="939"/>
      <c r="F1332" s="204" t="s">
        <v>662</v>
      </c>
      <c r="G1332" s="205">
        <f>IF($B$1328="Лікар загальної практики - сімейний лікар",AVERAGE(G1328:G1330),IF($B$1328="Лікар-педіатр",AVERAGE(G1328:G1330),IF($B$1328="Лікар-терапевт","х",0)))</f>
        <v>0</v>
      </c>
      <c r="H1332" s="205">
        <f>IF($B$1328="Лікар загальної практики - сімейний лікар",AVERAGE(H1328:H1330),IF($B$1328="Лікар-педіатр",AVERAGE(H1328:H1330),IF($B$1328="Лікар-терапевт","х",0)))</f>
        <v>0</v>
      </c>
      <c r="I1332" s="205">
        <f>IF($B$1328="Лікар загальної практики - сімейний лікар",AVERAGE(I1328:I1330),IF($B$1328="Лікар-педіатр","x",IF($B$1328="Лікар-терапевт",AVERAGE(I1328:I1330),0)))</f>
        <v>0</v>
      </c>
      <c r="J1332" s="205">
        <f>IF($B$1328="Лікар загальної практики - сімейний лікар",AVERAGE(J1328:J1330),IF($B$1328="Лікар-педіатр","x",IF($B$1328="Лікар-терапевт",AVERAGE(J1328:J1330),0)))</f>
        <v>0</v>
      </c>
      <c r="K1332" s="205">
        <f>IF($B$1328="Лікар загальної практики - сімейний лікар",AVERAGE(K1328:K1330),IF($B$1328="Лікар-педіатр","x",IF($B$1328="Лікар-терапевт",AVERAGE(K1328:K1330),0)))</f>
        <v>0</v>
      </c>
      <c r="L1332" s="206">
        <f>SUM(G1332:K1332)</f>
        <v>0</v>
      </c>
      <c r="M1332" s="942"/>
      <c r="N1332" s="205">
        <f>IF($B$1328="Лікар загальної практики - сімейний лікар",AVERAGE(N1328:N1330),IF($B$1328="Лікар-педіатр",AVERAGE(N1328:N1330),IF($B$1328="Лікар-терапевт","х",0)))</f>
        <v>0</v>
      </c>
      <c r="O1332" s="205">
        <f>IF($B$1328="Лікар загальної практики - сімейний лікар",AVERAGE(O1328:O1330),IF($B$1328="Лікар-педіатр",AVERAGE(O1328:O1330),IF($B$1328="Лікар-терапевт","х",0)))</f>
        <v>0</v>
      </c>
      <c r="P1332" s="205">
        <f>IF($B$1328="Лікар загальної практики - сімейний лікар",AVERAGE(P1328:P1330),IF($B$1328="Лікар-педіатр","x",IF($B$1328="Лікар-терапевт",AVERAGE(P1328:P1330),0)))</f>
        <v>0</v>
      </c>
      <c r="Q1332" s="205">
        <f>IF($B$1328="Лікар загальної практики - сімейний лікар",AVERAGE(Q1328:Q1330),IF($B$1328="Лікар-педіатр","x",IF($B$1328="Лікар-терапевт",AVERAGE(Q1328:Q1330),0)))</f>
        <v>0</v>
      </c>
      <c r="R1332" s="205">
        <f>IF($B$1328="Лікар загальної практики - сімейний лікар",AVERAGE(R1328:R1330),IF($B$1328="Лікар-педіатр","x",IF($B$1328="Лікар-терапевт",AVERAGE(R1328:R1330),0)))</f>
        <v>0</v>
      </c>
      <c r="S1332" s="206">
        <f>SUM(N1332:R1332)</f>
        <v>0</v>
      </c>
      <c r="T1332" s="942"/>
      <c r="U1332" s="205">
        <f>IF($B$1328="Лікар загальної практики - сімейний лікар",AVERAGE(U1328:U1330),IF($B$1328="Лікар-педіатр",AVERAGE(U1328:U1330),IF($B$1328="Лікар-терапевт","х",0)))</f>
        <v>0</v>
      </c>
      <c r="V1332" s="205">
        <f>IF($B$1328="Лікар загальної практики - сімейний лікар",AVERAGE(V1328:V1330),IF($B$1328="Лікар-педіатр",AVERAGE(V1328:V1330),IF($B$1328="Лікар-терапевт","х",0)))</f>
        <v>0</v>
      </c>
      <c r="W1332" s="205">
        <f>IF($B$1328="Лікар загальної практики - сімейний лікар",AVERAGE(W1328:W1330),IF($B$1328="Лікар-педіатр","x",IF($B$1328="Лікар-терапевт",AVERAGE(W1328:W1330),0)))</f>
        <v>0</v>
      </c>
      <c r="X1332" s="205">
        <f>IF($B$1328="Лікар загальної практики - сімейний лікар",AVERAGE(X1328:X1330),IF($B$1328="Лікар-педіатр","x",IF($B$1328="Лікар-терапевт",AVERAGE(X1328:X1330),0)))</f>
        <v>0</v>
      </c>
      <c r="Y1332" s="205">
        <f>IF($B$1328="Лікар загальної практики - сімейний лікар",AVERAGE(Y1328:Y1330),IF($B$1328="Лікар-педіатр","x",IF($B$1328="Лікар-терапевт",AVERAGE(Y1328:Y1330),0)))</f>
        <v>0</v>
      </c>
      <c r="Z1332" s="206">
        <f>SUM(U1332:Y1332)</f>
        <v>0</v>
      </c>
      <c r="AA1332" s="942"/>
      <c r="AB1332" s="205">
        <f>IF($B$1328="Лікар загальної практики - сімейний лікар",AVERAGE(AB1328:AB1330),IF($B$1328="Лікар-педіатр",AVERAGE(AB1328:AB1330),IF($B$1328="Лікар-терапевт","х",0)))</f>
        <v>0</v>
      </c>
      <c r="AC1332" s="205">
        <f>IF($B$1328="Лікар загальної практики - сімейний лікар",AVERAGE(AC1328:AC1330),IF($B$1328="Лікар-педіатр",AVERAGE(AC1328:AC1330),IF($B$1328="Лікар-терапевт","х",0)))</f>
        <v>0</v>
      </c>
      <c r="AD1332" s="205">
        <f>IF($B$1328="Лікар загальної практики - сімейний лікар",AVERAGE(AD1328:AD1330),IF($B$1328="Лікар-педіатр","x",IF($B$1328="Лікар-терапевт",AVERAGE(AD1328:AD1330),0)))</f>
        <v>0</v>
      </c>
      <c r="AE1332" s="205">
        <f>IF($B$1328="Лікар загальної практики - сімейний лікар",AVERAGE(AE1328:AE1330),IF($B$1328="Лікар-педіатр","x",IF($B$1328="Лікар-терапевт",AVERAGE(AE1328:AE1330),0)))</f>
        <v>0</v>
      </c>
      <c r="AF1332" s="205">
        <f>IF($B$1328="Лікар загальної практики - сімейний лікар",AVERAGE(AF1328:AF1330),IF($B$1328="Лікар-педіатр","x",IF($B$1328="Лікар-терапевт",AVERAGE(AF1328:AF1330),0)))</f>
        <v>0</v>
      </c>
      <c r="AG1332" s="206">
        <f>SUM(AB1332:AF1332)</f>
        <v>0</v>
      </c>
      <c r="AH1332" s="942"/>
      <c r="AI1332" s="201"/>
      <c r="AJ1332" s="945"/>
      <c r="AK1332" s="960"/>
      <c r="AL1332" s="960"/>
      <c r="AM1332" s="931"/>
      <c r="AN1332" s="949"/>
      <c r="AO1332" s="949"/>
      <c r="AP1332" s="949"/>
      <c r="AQ1332" s="949"/>
      <c r="AR1332" s="964"/>
    </row>
    <row r="1333" spans="1:44" s="50" customFormat="1" ht="40.5" hidden="1">
      <c r="A1333" s="197"/>
      <c r="B1333" s="951"/>
      <c r="C1333" s="954"/>
      <c r="D1333" s="957"/>
      <c r="E1333" s="939"/>
      <c r="F1333" s="237" t="str">
        <f ca="1">IF(B1328="Лікар-педіатр",Законод!$C$17,IF(B1328="Лікар загальної практики - сімейний лікар",Законод!$C$21,IF(B1328="Лікар-терапевт",Законод!$C$25,"х")))</f>
        <v>х</v>
      </c>
      <c r="G1333" s="208">
        <f ca="1">IF($B$1328="Лікар загальної практики - сімейний лікар",IF(L1332&lt;=Законод!$C$22,G1332,Законод!$C$22*'01_Доходи'!G1331),IF($B$1328="Лікар-педіатр",IF(L1332&lt;=Законод!$C$18,G1332,Законод!$C$18*'01_Доходи'!G1331),IF($B$1328="Лікар-терапевт","x",0)))</f>
        <v>0</v>
      </c>
      <c r="H1333" s="208">
        <f ca="1">IF($B$1328="Лікар загальної практики - сімейний лікар",IF(L1332&lt;=Законод!$C$22,H1332,Законод!$C$22*'01_Доходи'!H1331),IF($B$1328="Лікар-педіатр",IF(L1332&lt;=Законод!$C$18,H1332,Законод!$C$18*'01_Доходи'!H1331),IF($B$1328="Лікар-терапевт","x",0)))</f>
        <v>0</v>
      </c>
      <c r="I1333" s="208">
        <f ca="1">IF($B$1328="Лікар загальної практики - сімейний лікар",IF(L1332&lt;=Законод!$C$22,I1332,Законод!$C$22*'01_Доходи'!I1331),IF($B$1328="Лікар-педіатр","x",IF($B$1328="Лікар-терапевт",IF(L1332&lt;=Законод!$C$26,I1332,Законод!$C$26*'01_Доходи'!I1331),0)))</f>
        <v>0</v>
      </c>
      <c r="J1333" s="208">
        <f ca="1">IF($B$1328="Лікар загальної практики - сімейний лікар",IF(L1332&lt;=Законод!$C$22,J1332,Законод!$C$22*'01_Доходи'!J1331),IF($B$1328="Лікар-педіатр","x",IF($B$1328="Лікар-терапевт",IF(L1332&lt;=Законод!$C$26,J1332,Законод!$C$26*'01_Доходи'!J1331),0)))</f>
        <v>0</v>
      </c>
      <c r="K1333" s="208">
        <f ca="1">IF($B$1328="Лікар загальної практики - сімейний лікар",IF(L1332&lt;=Законод!$C$22,K1332,Законод!$C$22*'01_Доходи'!K1331),IF($B$1328="Лікар-педіатр","x",IF($B$1328="Лікар-терапевт",IF(L1332&lt;=Законод!$C$26,K1332,Законод!$C$26*'01_Доходи'!K1331),0)))</f>
        <v>0</v>
      </c>
      <c r="L1333" s="209">
        <f ca="1">SUM(G1333:K1333)</f>
        <v>0</v>
      </c>
      <c r="M1333" s="942"/>
      <c r="N1333" s="208">
        <f ca="1">IF($B$1328="Лікар загальної практики - сімейний лікар",IF(S1332&lt;=Законод!$C$22,N1332,Законод!$C$22*'01_Доходи'!N1331),IF($B$1328="Лікар-педіатр",IF(S1332&lt;=Законод!$C$18,N1332,Законод!$C$18*'01_Доходи'!N1331),IF($B$1328="Лікар-терапевт","x",0)))</f>
        <v>0</v>
      </c>
      <c r="O1333" s="208">
        <f ca="1">IF($B$1328="Лікар загальної практики - сімейний лікар",IF(S1332&lt;=Законод!$C$22,O1332,Законод!$C$22*'01_Доходи'!O1331),IF($B$1328="Лікар-педіатр",IF(S1332&lt;=Законод!$C$18,O1332,Законод!$C$18*'01_Доходи'!O1331),IF($B$1328="Лікар-терапевт","x",0)))</f>
        <v>0</v>
      </c>
      <c r="P1333" s="208">
        <f ca="1">IF($B$1328="Лікар загальної практики - сімейний лікар",IF(S1332&lt;=Законод!$C$22,P1332,Законод!$C$22*'01_Доходи'!P1331),IF($B$1328="Лікар-педіатр","x",IF($B$1328="Лікар-терапевт",IF(S1332&lt;=Законод!$C$26,P1332,Законод!$C$26*'01_Доходи'!P1331),0)))</f>
        <v>0</v>
      </c>
      <c r="Q1333" s="208">
        <f ca="1">IF($B$1328="Лікар загальної практики - сімейний лікар",IF(S1332&lt;=Законод!$C$22,Q1332,Законод!$C$22*'01_Доходи'!Q1331),IF($B$1328="Лікар-педіатр","x",IF($B$1328="Лікар-терапевт",IF(S1332&lt;=Законод!$C$26,Q1332,Законод!$C$26*'01_Доходи'!Q1331),0)))</f>
        <v>0</v>
      </c>
      <c r="R1333" s="208">
        <f ca="1">IF($B$1328="Лікар загальної практики - сімейний лікар",IF(S1332&lt;=Законод!$C$22,R1332,Законод!$C$22*'01_Доходи'!R1331),IF($B$1328="Лікар-педіатр","x",IF($B$1328="Лікар-терапевт",IF(S1332&lt;=Законод!$C$26,R1332,Законод!$C$26*'01_Доходи'!R1331),0)))</f>
        <v>0</v>
      </c>
      <c r="S1333" s="209">
        <f ca="1">SUM(N1333:R1333)</f>
        <v>0</v>
      </c>
      <c r="T1333" s="942"/>
      <c r="U1333" s="208">
        <f ca="1">IF($B$1328="Лікар загальної практики - сімейний лікар",IF(Z1332&lt;=Законод!$C$22,U1332,Законод!$C$22*'01_Доходи'!U1331),IF($B$1328="Лікар-педіатр",IF(Z1332&lt;=Законод!$C$18,U1332,Законод!$C$18*'01_Доходи'!U1331),IF($B$1328="Лікар-терапевт","x",0)))</f>
        <v>0</v>
      </c>
      <c r="V1333" s="208">
        <f ca="1">IF($B$1328="Лікар загальної практики - сімейний лікар",IF(Z1332&lt;=Законод!$C$22,V1332,Законод!$C$22*'01_Доходи'!V1331),IF($B$1328="Лікар-педіатр",IF(Z1332&lt;=Законод!$C$18,V1332,Законод!$C$18*'01_Доходи'!V1331),IF($B$1328="Лікар-терапевт","x",0)))</f>
        <v>0</v>
      </c>
      <c r="W1333" s="208">
        <f ca="1">IF($B$1328="Лікар загальної практики - сімейний лікар",IF(Z1332&lt;=Законод!$C$22,W1332,Законод!$C$22*'01_Доходи'!W1331),IF($B$1328="Лікар-педіатр","x",IF($B$1328="Лікар-терапевт",IF(Z1332&lt;=Законод!$C$26,W1332,Законод!$C$26*'01_Доходи'!W1331),0)))</f>
        <v>0</v>
      </c>
      <c r="X1333" s="208">
        <f ca="1">IF($B$1328="Лікар загальної практики - сімейний лікар",IF(Z1332&lt;=Законод!$C$22,X1332,Законод!$C$22*'01_Доходи'!X1331),IF($B$1328="Лікар-педіатр","x",IF($B$1328="Лікар-терапевт",IF(Z1332&lt;=Законод!$C$26,X1332,Законод!$C$26*'01_Доходи'!X1331),0)))</f>
        <v>0</v>
      </c>
      <c r="Y1333" s="208">
        <f ca="1">IF($B$1328="Лікар загальної практики - сімейний лікар",IF(Z1332&lt;=Законод!$C$22,Y1332,Законод!$C$22*'01_Доходи'!Y1331),IF($B$1328="Лікар-педіатр","x",IF($B$1328="Лікар-терапевт",IF(Z1332&lt;=Законод!$C$26,Y1332,Законод!$C$26*'01_Доходи'!Y1331),0)))</f>
        <v>0</v>
      </c>
      <c r="Z1333" s="209">
        <f ca="1">SUM(U1333:Y1333)</f>
        <v>0</v>
      </c>
      <c r="AA1333" s="942"/>
      <c r="AB1333" s="208">
        <f ca="1">IF($B$1328="Лікар загальної практики - сімейний лікар",IF(AG1332&lt;=Законод!$C$22,AB1332,Законод!$C$22*'01_Доходи'!AB1331),IF($B$1328="Лікар-педіатр",IF(AG1332&lt;=Законод!$C$18,AB1332,Законод!$C$18*'01_Доходи'!AB1331),IF($B$1328="Лікар-терапевт","x",0)))</f>
        <v>0</v>
      </c>
      <c r="AC1333" s="208">
        <f ca="1">IF($B$1328="Лікар загальної практики - сімейний лікар",IF(AG1332&lt;=Законод!$C$22,AC1332,Законод!$C$22*'01_Доходи'!AC1331),IF($B$1328="Лікар-педіатр",IF(AG1332&lt;=Законод!$C$18,AC1332,Законод!$C$18*'01_Доходи'!AC1331),IF($B$1328="Лікар-терапевт","x",0)))</f>
        <v>0</v>
      </c>
      <c r="AD1333" s="208">
        <f ca="1">IF($B$1328="Лікар загальної практики - сімейний лікар",IF(AG1332&lt;=Законод!$C$22,AD1332,Законод!$C$22*'01_Доходи'!AD1331),IF($B$1328="Лікар-педіатр","x",IF($B$1328="Лікар-терапевт",IF(AG1332&lt;=Законод!$C$26,AD1332,Законод!$C$26*'01_Доходи'!AD1331),0)))</f>
        <v>0</v>
      </c>
      <c r="AE1333" s="208">
        <f ca="1">IF($B$1328="Лікар загальної практики - сімейний лікар",IF(AG1332&lt;=Законод!$C$22,AE1332,Законод!$C$22*'01_Доходи'!AE1331),IF($B$1328="Лікар-педіатр","x",IF($B$1328="Лікар-терапевт",IF(AG1332&lt;=Законод!$C$26,AE1332,Законод!$C$26*'01_Доходи'!AE1331),0)))</f>
        <v>0</v>
      </c>
      <c r="AF1333" s="208">
        <f ca="1">IF($B$1328="Лікар загальної практики - сімейний лікар",IF(AG1332&lt;=Законод!$C$22,AF1332,Законод!$C$22*'01_Доходи'!AF1331),IF($B$1328="Лікар-педіатр","x",IF($B$1328="Лікар-терапевт",IF(AG1332&lt;=Законод!$C$26,AF1332,Законод!$C$26*'01_Доходи'!AF1331),0)))</f>
        <v>0</v>
      </c>
      <c r="AG1333" s="209">
        <f ca="1">SUM(AB1333:AF1333)</f>
        <v>0</v>
      </c>
      <c r="AH1333" s="942"/>
      <c r="AI1333" s="201"/>
      <c r="AJ1333" s="945"/>
      <c r="AK1333" s="960"/>
      <c r="AL1333" s="960"/>
      <c r="AM1333" s="348" t="s">
        <v>451</v>
      </c>
      <c r="AN1333" s="210">
        <f ca="1">IF(B1328="Лікар загальної практики - сімейний лікар",G1333*Законод!$C$11+'01_Доходи'!H1333*Законод!$D$11+'01_Доходи'!I1333*Законод!$E$11+'01_Доходи'!J1333*Законод!$F$11+'01_Доходи'!K1333*Законод!$G$11,IF(B1328="Лікар-педіатр",G1333*Законод!$C$11+'01_Доходи'!H1333*Законод!$D$11,IF(B1328="Лікар-терапевт",'01_Доходи'!I1333*Законод!$E$11+'01_Доходи'!J1333*Законод!$F$11+'01_Доходи'!K1333*Законод!$G$11,0)))</f>
        <v>0</v>
      </c>
      <c r="AO1333" s="210">
        <f ca="1">IF(B1328="Лікар загальної практики - сімейний лікар",N1333*Законод!$C$11+'01_Доходи'!O1333*Законод!$D$11+'01_Доходи'!P1333*Законод!$E$11+'01_Доходи'!Q1333*Законод!$F$11+'01_Доходи'!R1333*Законод!$G$11,IF(B1328="Лікар-педіатр",N1333*Законод!$C$11+'01_Доходи'!O1333*Законод!$D$11,IF(B1328="Лікар-терапевт",'01_Доходи'!P1333*Законод!$E$11+'01_Доходи'!Q1333*Законод!$F$11+'01_Доходи'!R1333*Законод!$G$11,0)))</f>
        <v>0</v>
      </c>
      <c r="AP1333" s="210">
        <f ca="1">IF(B1328="Лікар загальної практики - сімейний лікар",U1333*Законод!$C$11+'01_Доходи'!V1333*Законод!$D$11+'01_Доходи'!W1333*Законод!$E$11+'01_Доходи'!X1333*Законод!$F$11+'01_Доходи'!Y1333*Законод!$G$11,IF(B1328="Лікар-педіатр",U1333*Законод!$C$11+'01_Доходи'!V1333*Законод!$D$11,IF(B1328="Лікар-терапевт",'01_Доходи'!W1333*Законод!$E$11+'01_Доходи'!X1333*Законод!$F$11+'01_Доходи'!Y1333*Законод!$G$11,0)))</f>
        <v>0</v>
      </c>
      <c r="AQ1333" s="210">
        <f ca="1">IF(B1328="Лікар загальної практики - сімейний лікар",AB1333*Законод!$C$11+'01_Доходи'!AC1333*Законод!$D$11+'01_Доходи'!AD1333*Законод!$E$11+'01_Доходи'!AE1333*Законод!$F$11+'01_Доходи'!AF1333*Законод!$G$11,IF(B1328="Лікар-педіатр",AB1333*Законод!$C$11+'01_Доходи'!AC1333*Законод!$D$11,IF(B1328="Лікар-терапевт",'01_Доходи'!AD1333*Законод!$E$11+'01_Доходи'!AE1333*Законод!$F$11+'01_Доходи'!AF1333*Законод!$G$11,0)))</f>
        <v>0</v>
      </c>
      <c r="AR1333" s="211">
        <f t="shared" ref="AR1333:AR1339" si="142">SUM(AN1333:AQ1333)</f>
        <v>0</v>
      </c>
    </row>
    <row r="1334" spans="1:44" s="50" customFormat="1" ht="31.9" hidden="1" customHeight="1">
      <c r="A1334" s="197"/>
      <c r="B1334" s="951"/>
      <c r="C1334" s="954"/>
      <c r="D1334" s="957"/>
      <c r="E1334" s="939"/>
      <c r="F1334" s="238" t="str">
        <f ca="1">IF(B1328="Лікар-педіатр",Законод!$E$17,IF(B1328="Лікар загальної практики - сімейний лікар",Законод!$E$21,IF(B1328="Лікар-терапевт",Законод!$E$25,"х")))</f>
        <v>х</v>
      </c>
      <c r="G1334" s="935" t="s">
        <v>423</v>
      </c>
      <c r="H1334" s="936"/>
      <c r="I1334" s="936"/>
      <c r="J1334" s="936"/>
      <c r="K1334" s="937"/>
      <c r="L1334" s="196">
        <f ca="1">IF($B$1328="Лікар загальної практики - сімейний лікар",IF(L1332&lt;Законод!$C$22,0,(IF(AND(L1332&gt;=Законод!$E$22,L1332&lt;=Законод!$E$23),L1332-Законод!$C$22,IF('01_Доходи'!L1332&gt;=Законод!$F$22,Законод!$E$24,0)))),IF($B$1328="Лікар-педіатр",IF(L1332&lt;Законод!$C$18,0,(IF(AND(L1332&gt;=Законод!$E$18,L1332&lt;=Законод!$E$19),L1332-Законод!$C$18,IF('01_Доходи'!L1332&gt;=Законод!$F$18,Законод!$E$20,0)))),IF($B$1328="Лікар-терапевт",IF(L1332&lt;Законод!$C$26,0,(IF(AND(L1332&gt;=Законод!$E$26,L1332&lt;=Законод!$E$27),L1332-Законод!$C$26,IF('01_Доходи'!L1332&gt;=Законод!$F$26,Законод!$E$28,0)))),0)))</f>
        <v>0</v>
      </c>
      <c r="M1334" s="942"/>
      <c r="N1334" s="935" t="s">
        <v>423</v>
      </c>
      <c r="O1334" s="936"/>
      <c r="P1334" s="936"/>
      <c r="Q1334" s="936"/>
      <c r="R1334" s="937"/>
      <c r="S1334" s="196">
        <f ca="1">IF($B$1328="Лікар загальної практики - сімейний лікар",IF(S1332&lt;Законод!$C$22,0,(IF(AND(S1332&gt;=Законод!$E$22,S1332&lt;=Законод!$E$23),S1332-Законод!$C$22,IF('01_Доходи'!S1332&gt;=Законод!$F$22,Законод!$E$24,0)))),IF($B$1328="Лікар-педіатр",IF(S1332&lt;Законод!$C$18,0,(IF(AND(S1332&gt;=Законод!$E$18,S1332&lt;=Законод!$E$19),S1332-Законод!$C$18,IF('01_Доходи'!S1332&gt;=Законод!$F$18,Законод!$E$20,0)))),IF($B$1328="Лікар-терапевт",IF(S1332&lt;Законод!$C$26,0,(IF(AND(S1332&gt;=Законод!$E$26,S1332&lt;=Законод!$E$27),S1332-Законод!$C$26,IF('01_Доходи'!S1332&gt;=Законод!$F$26,Законод!$E$28,0)))),0)))</f>
        <v>0</v>
      </c>
      <c r="T1334" s="942"/>
      <c r="U1334" s="935" t="s">
        <v>423</v>
      </c>
      <c r="V1334" s="936"/>
      <c r="W1334" s="936"/>
      <c r="X1334" s="936"/>
      <c r="Y1334" s="937"/>
      <c r="Z1334" s="196">
        <f ca="1">IF($B$1328="Лікар загальної практики - сімейний лікар",IF(Z1332&lt;Законод!$C$22,0,(IF(AND(Z1332&gt;=Законод!$E$22,Z1332&lt;=Законод!$E$23),Z1332-Законод!$C$22,IF('01_Доходи'!Z1332&gt;=Законод!$F$22,Законод!$E$24,0)))),IF($B$1328="Лікар-педіатр",IF(Z1332&lt;Законод!$C$18,0,(IF(AND(Z1332&gt;=Законод!$E$18,Z1332&lt;=Законод!$E$19),Z1332-Законод!$C$18,IF('01_Доходи'!Z1332&gt;=Законод!$F$18,Законод!$E$20,0)))),IF($B$1328="Лікар-терапевт",IF(Z1332&lt;Законод!$C$26,0,(IF(AND(Z1332&gt;=Законод!$E$26,Z1332&lt;=Законод!$E$27),Z1332-Законод!$C$26,IF('01_Доходи'!Z1332&gt;=Законод!$F$26,Законод!$E$28,0)))),0)))</f>
        <v>0</v>
      </c>
      <c r="AA1334" s="942"/>
      <c r="AB1334" s="935" t="s">
        <v>423</v>
      </c>
      <c r="AC1334" s="936"/>
      <c r="AD1334" s="936"/>
      <c r="AE1334" s="936"/>
      <c r="AF1334" s="937"/>
      <c r="AG1334" s="196">
        <f ca="1">IF($B$1328="Лікар загальної практики - сімейний лікар",IF(AG1332&lt;Законод!$C$22,0,(IF(AND(AG1332&gt;=Законод!$E$22,AG1332&lt;=Законод!$E$23),AG1332-Законод!$C$22,IF('01_Доходи'!AG1332&gt;=Законод!$F$22,Законод!$E$24,0)))),IF($B$1328="Лікар-педіатр",IF(AG1332&lt;Законод!$C$18,0,(IF(AND(AG1332&gt;=Законод!$E$18,AG1332&lt;=Законод!$E$19),AG1332-Законод!$C$18,IF('01_Доходи'!AG1332&gt;=Законод!$F$18,Законод!$E$20,0)))),IF($B$1328="Лікар-терапевт",IF(AG1332&lt;Законод!$C$26,0,(IF(AND(AG1332&gt;=Законод!$E$26,AG1332&lt;=Законод!$E$27),AG1332-Законод!$C$26,IF('01_Доходи'!AG1332&gt;=Законод!$F$26,Законод!$E$28,0)))),0)))</f>
        <v>0</v>
      </c>
      <c r="AH1334" s="942"/>
      <c r="AI1334" s="201"/>
      <c r="AJ1334" s="945"/>
      <c r="AK1334" s="960"/>
      <c r="AL1334" s="960"/>
      <c r="AM1334" s="926" t="s">
        <v>452</v>
      </c>
      <c r="AN1334" s="210">
        <f ca="1">IF(B1328="Лікар загальної практики - сімейний лікар",L1334*Законод!$C$9/4*Законод!$E$16,IF(B1328="Лікар-педіатр",L1334*Законод!$C$9/4*Законод!$E$16,IF(B1328="Лікар-терапевт",L1334*Законод!$C$9/4*Законод!$E$16,0)))</f>
        <v>0</v>
      </c>
      <c r="AO1334" s="210">
        <f ca="1">IF(B1328="Лікар загальної практики - сімейний лікар",S1334*Законод!$C$9/4*Законод!$E$16,IF(B1328="Лікар-педіатр",S1334*Законод!$C$9/4*Законод!$E$16,IF(B1328="Лікар-терапевт",S1334*Законод!$C$9/4*Законод!$E$16,0)))</f>
        <v>0</v>
      </c>
      <c r="AP1334" s="210">
        <f ca="1">IF(B1328="Лікар загальної практики - сімейний лікар",Z1334*Законод!$C$9/4*Законод!$E$16,IF(B1328="Лікар-педіатр",Z1334*Законод!$C$9/4*Законод!$E$16,IF(B1328="Лікар-терапевт",Z1334*Законод!$C$9/4*Законод!$E$16,0)))</f>
        <v>0</v>
      </c>
      <c r="AQ1334" s="210">
        <f ca="1">IF(B1328="Лікар загальної практики - сімейний лікар",AG1334*Законод!$C$9/4*Законод!$E$16,IF(B1328="Лікар-педіатр",AG1334*Законод!$C$9/4*Законод!$E$16,IF(B1328="Лікар-терапевт",AG1334*Законод!$C$9/4*Законод!$E$16,0)))</f>
        <v>0</v>
      </c>
      <c r="AR1334" s="211">
        <f t="shared" si="142"/>
        <v>0</v>
      </c>
    </row>
    <row r="1335" spans="1:44" s="50" customFormat="1" ht="31.9" hidden="1" customHeight="1">
      <c r="A1335" s="197"/>
      <c r="B1335" s="951"/>
      <c r="C1335" s="954"/>
      <c r="D1335" s="957"/>
      <c r="E1335" s="939"/>
      <c r="F1335" s="238" t="str">
        <f ca="1">IF(B1328="Лікар-педіатр",Законод!$F$17,IF(B1328="Лікар загальної практики - сімейний лікар",Законод!$F$21,IF(B1328="Лікар-терапевт",Законод!$F$25,"х")))</f>
        <v>х</v>
      </c>
      <c r="G1335" s="935" t="s">
        <v>423</v>
      </c>
      <c r="H1335" s="936"/>
      <c r="I1335" s="936"/>
      <c r="J1335" s="936"/>
      <c r="K1335" s="937"/>
      <c r="L1335" s="196">
        <f ca="1">IF($B$1328="Лікар загальної практики - сімейний лікар",IF(L1332&lt;Законод!$C$22,0,(IF(AND(L1332&gt;=Законод!$F$22,L1332&lt;=Законод!$F$23),L1332-Законод!$E$23,IF('01_Доходи'!L1332&gt;=Законод!$G$22,Законод!$F$24,0)))),IF($B$1328="Лікар-педіатр",IF(L1332&lt;Законод!$C$18,0,(IF(AND(L1332&gt;=Законод!$F$18,L1332&lt;=Законод!$F$19),L1332-Законод!$E$19,IF('01_Доходи'!L1332&gt;=Законод!$G$18,Законод!$F$20,0)))),IF($B$1328="Лікар-терапевт",IF(L1332&lt;Законод!$C$26,0,(IF(AND(L1332&gt;=Законод!$F$26,L1332&lt;=Законод!$F$27),L1332-Законод!$E$27,IF('01_Доходи'!L1332&gt;=Законод!$G$26,Законод!$F$28,0)))),0)))</f>
        <v>0</v>
      </c>
      <c r="M1335" s="942"/>
      <c r="N1335" s="935" t="s">
        <v>423</v>
      </c>
      <c r="O1335" s="936"/>
      <c r="P1335" s="936"/>
      <c r="Q1335" s="936"/>
      <c r="R1335" s="937"/>
      <c r="S1335" s="196">
        <f ca="1">IF($B$1328="Лікар загальної практики - сімейний лікар",IF(S1332&lt;Законод!$C$22,0,(IF(AND(S1332&gt;=Законод!$F$22,S1332&lt;=Законод!$F$23),S1332-Законод!$E$23,IF('01_Доходи'!S1332&gt;=Законод!$G$22,Законод!$F$24,0)))),IF($B$1328="Лікар-педіатр",IF(S1332&lt;Законод!$C$18,0,(IF(AND(S1332&gt;=Законод!$F$18,S1332&lt;=Законод!$F$19),S1332-Законод!$E$19,IF('01_Доходи'!S1332&gt;=Законод!$G$18,Законод!$F$20,0)))),IF($B$1328="Лікар-терапевт",IF(S1332&lt;Законод!$C$26,0,(IF(AND(S1332&gt;=Законод!$F$26,S1332&lt;=Законод!$F$27),S1332-Законод!$E$27,IF('01_Доходи'!S1332&gt;=Законод!$G$26,Законод!$F$28,0)))),0)))</f>
        <v>0</v>
      </c>
      <c r="T1335" s="942"/>
      <c r="U1335" s="935" t="s">
        <v>423</v>
      </c>
      <c r="V1335" s="936"/>
      <c r="W1335" s="936"/>
      <c r="X1335" s="936"/>
      <c r="Y1335" s="937"/>
      <c r="Z1335" s="196">
        <f ca="1">IF($B$1328="Лікар загальної практики - сімейний лікар",IF(Z1332&lt;Законод!$C$22,0,(IF(AND(Z1332&gt;=Законод!$F$22,Z1332&lt;=Законод!$F$23),Z1332-Законод!$E$23,IF('01_Доходи'!Z1332&gt;=Законод!$G$22,Законод!$F$24,0)))),IF($B$1328="Лікар-педіатр",IF(Z1332&lt;Законод!$C$18,0,(IF(AND(Z1332&gt;=Законод!$F$18,Z1332&lt;=Законод!$F$19),Z1332-Законод!$E$19,IF('01_Доходи'!Z1332&gt;=Законод!$G$18,Законод!$F$20,0)))),IF($B$1328="Лікар-терапевт",IF(Z1332&lt;Законод!$C$26,0,(IF(AND(Z1332&gt;=Законод!$F$26,Z1332&lt;=Законод!$F$27),Z1332-Законод!$E$27,IF('01_Доходи'!Z1332&gt;=Законод!$G$26,Законод!$F$28,0)))),0)))</f>
        <v>0</v>
      </c>
      <c r="AA1335" s="942"/>
      <c r="AB1335" s="935" t="s">
        <v>423</v>
      </c>
      <c r="AC1335" s="936"/>
      <c r="AD1335" s="936"/>
      <c r="AE1335" s="936"/>
      <c r="AF1335" s="937"/>
      <c r="AG1335" s="196">
        <f ca="1">IF($B$1328="Лікар загальної практики - сімейний лікар",IF(AG1332&lt;Законод!$C$22,0,(IF(AND(AG1332&gt;=Законод!$F$22,AG1332&lt;=Законод!$F$23),AG1332-Законод!$E$23,IF('01_Доходи'!AG1332&gt;=Законод!$G$22,Законод!$F$24,0)))),IF($B$1328="Лікар-педіатр",IF(AG1332&lt;Законод!$C$18,0,(IF(AND(AG1332&gt;=Законод!$F$18,AG1332&lt;=Законод!$F$19),AG1332-Законод!$E$19,IF('01_Доходи'!AG1332&gt;=Законод!$G$18,Законод!$F$20,0)))),IF($B$1328="Лікар-терапевт",IF(AG1332&lt;Законод!$C$26,0,(IF(AND(AG1332&gt;=Законод!$F$26,AG1332&lt;=Законод!$F$27),AG1332-Законод!$E$27,IF('01_Доходи'!AG1332&gt;=Законод!$G$26,Законод!$F$28,0)))),0)))</f>
        <v>0</v>
      </c>
      <c r="AH1335" s="942"/>
      <c r="AI1335" s="201"/>
      <c r="AJ1335" s="945"/>
      <c r="AK1335" s="960"/>
      <c r="AL1335" s="960"/>
      <c r="AM1335" s="927"/>
      <c r="AN1335" s="210">
        <f ca="1">IF(B1328="Лікар загальної практики - сімейний лікар",L1335*Законод!$C$9/4*Законод!$F$16,IF(B1328="Лікар-педіатр",L1335*Законод!$C$9/4*Законод!$F$16,IF(B1328="Лікар-терапевт",L1335*Законод!$C$9/4*Законод!$F$16,0)))</f>
        <v>0</v>
      </c>
      <c r="AO1335" s="210">
        <f ca="1">IF(B1328="Лікар загальної практики - сімейний лікар",S1335*Законод!$C$9/4*Законод!$F$16,IF(B1328="Лікар-педіатр",S1335*Законод!$C$9/4*Законод!$F$16,IF(B1328="Лікар-терапевт",S1335*Законод!$C$9/4*Законод!$F$16,0)))</f>
        <v>0</v>
      </c>
      <c r="AP1335" s="210">
        <f ca="1">IF(B1328="Лікар загальної практики - сімейний лікар",Z1335*Законод!$C$9/4*Законод!$F$16,IF(B1328="Лікар-педіатр",Z1335*Законод!$C$9/4*Законод!$F$16,IF(B1328="Лікар-терапевт",Z1335*Законод!$C$9/4*Законод!$F$16,0)))</f>
        <v>0</v>
      </c>
      <c r="AQ1335" s="210">
        <f ca="1">IF(B1328="Лікар загальної практики - сімейний лікар",AG1335*Законод!$C$9/4*Законод!$F$16,IF(B1328="Лікар-педіатр",AG1335*Законод!$C$9/4*Законод!$F$16,IF(B1328="Лікар-терапевт",AG1335*Законод!$C$9/4*Законод!$F$16,0)))</f>
        <v>0</v>
      </c>
      <c r="AR1335" s="211">
        <f t="shared" si="142"/>
        <v>0</v>
      </c>
    </row>
    <row r="1336" spans="1:44" s="50" customFormat="1" ht="31.9" hidden="1" customHeight="1">
      <c r="A1336" s="197"/>
      <c r="B1336" s="951"/>
      <c r="C1336" s="954"/>
      <c r="D1336" s="957"/>
      <c r="E1336" s="939"/>
      <c r="F1336" s="238" t="str">
        <f ca="1">IF(B1328="Лікар-педіатр",Законод!$G$17,IF(B1328="Лікар загальної практики - сімейний лікар",Законод!$G$21,IF(B1328="Лікар-терапевт",Законод!$G$25,"х")))</f>
        <v>х</v>
      </c>
      <c r="G1336" s="935" t="s">
        <v>423</v>
      </c>
      <c r="H1336" s="936"/>
      <c r="I1336" s="936"/>
      <c r="J1336" s="936"/>
      <c r="K1336" s="937"/>
      <c r="L1336" s="196">
        <f ca="1">IF($B$1328="Лікар загальної практики - сімейний лікар",IF(L1332&lt;Законод!$C$22,0,(IF(AND(L1332&gt;=Законод!$G$22,L1332&lt;=Законод!$G$23),L1332-Законод!$F$23,IF('01_Доходи'!L1332&gt;=Законод!$H$22,Законод!$G$24,0)))),IF($B$1328="Лікар-педіатр",IF(L1332&lt;Законод!$C$18,0,(IF(AND(L1332&gt;=Законод!$G$18,L1332&lt;=Законод!$G$19),L1332-Законод!$F$19,IF('01_Доходи'!L1332&gt;=Законод!$H$18,Законод!$G$20,0)))),IF($B$1328="Лікар-терапевт",IF(L1332&lt;Законод!$C$26,0,(IF(AND(L1332&gt;=Законод!$G$26,L1332&lt;=Законод!$G$27),L1332-Законод!$F$27,IF('01_Доходи'!L1332&gt;=Законод!$H$26,Законод!$G$28,0)))),0)))</f>
        <v>0</v>
      </c>
      <c r="M1336" s="942"/>
      <c r="N1336" s="935" t="s">
        <v>423</v>
      </c>
      <c r="O1336" s="936"/>
      <c r="P1336" s="936"/>
      <c r="Q1336" s="936"/>
      <c r="R1336" s="937"/>
      <c r="S1336" s="196">
        <f ca="1">IF($B$1328="Лікар загальної практики - сімейний лікар",IF(S1332&lt;Законод!$C$22,0,(IF(AND(S1332&gt;=Законод!$G$22,S1332&lt;=Законод!$G$23),S1332-Законод!$F$23,IF('01_Доходи'!S1332&gt;=Законод!$H$22,Законод!$G$24,0)))),IF($B$1328="Лікар-педіатр",IF(S1332&lt;Законод!$C$18,0,(IF(AND(S1332&gt;=Законод!$G$18,S1332&lt;=Законод!$G$19),S1332-Законод!$F$19,IF('01_Доходи'!S1332&gt;=Законод!$H$18,Законод!$G$20,0)))),IF($B$1328="Лікар-терапевт",IF(S1332&lt;Законод!$C$26,0,(IF(AND(S1332&gt;=Законод!$G$26,S1332&lt;=Законод!$G$27),S1332-Законод!$F$27,IF('01_Доходи'!S1332&gt;=Законод!$H$26,Законод!$G$28,0)))),0)))</f>
        <v>0</v>
      </c>
      <c r="T1336" s="942"/>
      <c r="U1336" s="935" t="s">
        <v>423</v>
      </c>
      <c r="V1336" s="936"/>
      <c r="W1336" s="936"/>
      <c r="X1336" s="936"/>
      <c r="Y1336" s="937"/>
      <c r="Z1336" s="196">
        <f ca="1">IF($B$1328="Лікар загальної практики - сімейний лікар",IF(Z1332&lt;Законод!$C$22,0,(IF(AND(Z1332&gt;=Законод!$G$22,Z1332&lt;=Законод!$G$23),Z1332-Законод!$F$23,IF('01_Доходи'!Z1332&gt;=Законод!$H$22,Законод!$G$24,0)))),IF($B$1328="Лікар-педіатр",IF(Z1332&lt;Законод!$C$18,0,(IF(AND(Z1332&gt;=Законод!$G$18,Z1332&lt;=Законод!$G$19),Z1332-Законод!$F$19,IF('01_Доходи'!Z1332&gt;=Законод!$H$18,Законод!$G$20,0)))),IF($B$1328="Лікар-терапевт",IF(Z1332&lt;Законод!$C$26,0,(IF(AND(Z1332&gt;=Законод!$G$26,Z1332&lt;=Законод!$G$27),Z1332-Законод!$F$27,IF('01_Доходи'!Z1332&gt;=Законод!$H$26,Законод!$G$28,0)))),0)))</f>
        <v>0</v>
      </c>
      <c r="AA1336" s="942"/>
      <c r="AB1336" s="935" t="s">
        <v>423</v>
      </c>
      <c r="AC1336" s="936"/>
      <c r="AD1336" s="936"/>
      <c r="AE1336" s="936"/>
      <c r="AF1336" s="937"/>
      <c r="AG1336" s="196">
        <f ca="1">IF($B$1328="Лікар загальної практики - сімейний лікар",IF(AG1332&lt;Законод!$C$22,0,(IF(AND(AG1332&gt;=Законод!$G$22,AG1332&lt;=Законод!$G$23),AG1332-Законод!$F$23,IF('01_Доходи'!AG1332&gt;=Законод!$H$22,Законод!$G$24,0)))),IF($B$1328="Лікар-педіатр",IF(AG1332&lt;Законод!$C$18,0,(IF(AND(AG1332&gt;=Законод!$G$18,AG1332&lt;=Законод!$G$19),AG1332-Законод!$F$19,IF('01_Доходи'!AG1332&gt;=Законод!$H$18,Законод!$G$20,0)))),IF($B$1328="Лікар-терапевт",IF(AG1332&lt;Законод!$C$26,0,(IF(AND(AG1332&gt;=Законод!$G$26,AG1332&lt;=Законод!$G$27),AG1332-Законод!$F$27,IF('01_Доходи'!AG1332&gt;=Законод!$H$26,Законод!$G$28,0)))),0)))</f>
        <v>0</v>
      </c>
      <c r="AH1336" s="942"/>
      <c r="AI1336" s="201"/>
      <c r="AJ1336" s="945"/>
      <c r="AK1336" s="960"/>
      <c r="AL1336" s="960"/>
      <c r="AM1336" s="927"/>
      <c r="AN1336" s="210">
        <f ca="1">IF(B1328="Лікар загальної практики - сімейний лікар",L1336*Законод!$C$9/4*Законод!$G$16,IF(B1328="Лікар-педіатр",L1336*Законод!$C$9/4*Законод!$G$16,IF(B1328="Лікар-терапевт",L1336*Законод!$C$9/4*Законод!$G$16,0)))</f>
        <v>0</v>
      </c>
      <c r="AO1336" s="210">
        <f ca="1">IF(B1328="Лікар загальної практики - сімейний лікар",S1336*Законод!$C$9/4*Законод!$G$16,IF(B1328="Лікар-педіатр",S1336*Законод!$C$9/4*Законод!$G$16,IF(B1328="Лікар-терапевт",S1336*Законод!$C$9/4*Законод!$G$16,0)))</f>
        <v>0</v>
      </c>
      <c r="AP1336" s="210">
        <f ca="1">IF(B1328="Лікар загальної практики - сімейний лікар",Z1336*Законод!$C$9/4*Законод!$G$16,IF(B1328="Лікар-педіатр",Z1336*Законод!$C$9/4*Законод!$G$16,IF(B1328="Лікар-терапевт",Z1336*Законод!$C$9/4*Законод!$G$16,0)))</f>
        <v>0</v>
      </c>
      <c r="AQ1336" s="210">
        <f ca="1">IF(B1328="Лікар загальної практики - сімейний лікар",AG1336*Законод!$C$9/4*Законод!$G$16,IF(B1328="Лікар-педіатр",AG1336*Законод!$C$9/4*Законод!$G$16,IF(B1328="Лікар-терапевт",AG1336*Законод!$C$9/4*Законод!$G$16,0)))</f>
        <v>0</v>
      </c>
      <c r="AR1336" s="211">
        <f t="shared" si="142"/>
        <v>0</v>
      </c>
    </row>
    <row r="1337" spans="1:44" s="50" customFormat="1" ht="31.9" hidden="1" customHeight="1">
      <c r="A1337" s="197"/>
      <c r="B1337" s="951"/>
      <c r="C1337" s="954"/>
      <c r="D1337" s="957"/>
      <c r="E1337" s="939"/>
      <c r="F1337" s="238" t="str">
        <f ca="1">IF(B1328="Лікар-педіатр",Законод!$H$17,IF(B1328="Лікар загальної практики - сімейний лікар",Законод!$H$21,IF(B1328="Лікар-терапевт",Законод!$H$25,"х")))</f>
        <v>х</v>
      </c>
      <c r="G1337" s="935" t="s">
        <v>423</v>
      </c>
      <c r="H1337" s="936"/>
      <c r="I1337" s="936"/>
      <c r="J1337" s="936"/>
      <c r="K1337" s="937"/>
      <c r="L1337" s="196">
        <f ca="1">IF($B$1328="Лікар загальної практики - сімейний лікар",IF(L1332&lt;Законод!$C$22,0,(IF(AND(L1332&gt;=Законод!$H$22,L1332&lt;=Законод!$H$23),L1332-Законод!$G$23,IF('01_Доходи'!L1332&gt;=Законод!$I$22,Законод!$H$24,0)))),IF($B$1328="Лікар-педіатр",IF(L1332&lt;Законод!$C$18,0,(IF(AND(L1332&gt;=Законод!$H$18,L1332&lt;=Законод!$H$19),L1332-Законод!$G$19,IF('01_Доходи'!L1332&gt;=Законод!$I$18,Законод!$H$20,0)))),IF($B$1328="Лікар-терапевт",IF(L1332&lt;Законод!$C$26,0,(IF(AND(L1332&gt;=Законод!$H$26,L1332&lt;=Законод!$H$27),L1332-Законод!$G$27,IF(L1332&gt;=Законод!$I$26,Законод!$H$28,0)))),0)))</f>
        <v>0</v>
      </c>
      <c r="M1337" s="942"/>
      <c r="N1337" s="935" t="s">
        <v>423</v>
      </c>
      <c r="O1337" s="936"/>
      <c r="P1337" s="936"/>
      <c r="Q1337" s="936"/>
      <c r="R1337" s="937"/>
      <c r="S1337" s="196">
        <f ca="1">IF($B$1328="Лікар загальної практики - сімейний лікар",IF(S1332&lt;Законод!$C$22,0,(IF(AND(S1332&gt;=Законод!$H$22,S1332&lt;=Законод!$H$23),S1332-Законод!$G$23,IF('01_Доходи'!S1332&gt;=Законод!$I$22,Законод!$H$24,0)))),IF($B$1328="Лікар-педіатр",IF(S1332&lt;Законод!$C$18,0,(IF(AND(S1332&gt;=Законод!$H$18,S1332&lt;=Законод!$H$19),S1332-Законод!$G$19,IF('01_Доходи'!S1332&gt;=Законод!$I$18,Законод!$H$20,0)))),IF($B$1328="Лікар-терапевт",IF(S1332&lt;Законод!$C$26,0,(IF(AND(S1332&gt;=Законод!$H$26,S1332&lt;=Законод!$H$27),S1332-Законод!$G$27,IF(S1332&gt;=Законод!$I$26,Законод!$H$28,0)))),0)))</f>
        <v>0</v>
      </c>
      <c r="T1337" s="942"/>
      <c r="U1337" s="935" t="s">
        <v>423</v>
      </c>
      <c r="V1337" s="936"/>
      <c r="W1337" s="936"/>
      <c r="X1337" s="936"/>
      <c r="Y1337" s="937"/>
      <c r="Z1337" s="196">
        <f ca="1">IF($B$1328="Лікар загальної практики - сімейний лікар",IF(Z1332&lt;Законод!$C$22,0,(IF(AND(Z1332&gt;=Законод!$H$22,Z1332&lt;=Законод!$H$23),Z1332-Законод!$G$23,IF('01_Доходи'!Z1332&gt;=Законод!$I$22,Законод!$H$24,0)))),IF($B$1328="Лікар-педіатр",IF(Z1332&lt;Законод!$C$18,0,(IF(AND(Z1332&gt;=Законод!$H$18,Z1332&lt;=Законод!$H$19),Z1332-Законод!$G$19,IF('01_Доходи'!Z1332&gt;=Законод!$I$18,Законод!$H$20,0)))),IF($B$1328="Лікар-терапевт",IF(Z1332&lt;Законод!$C$26,0,(IF(AND(Z1332&gt;=Законод!$H$26,Z1332&lt;=Законод!$H$27),Z1332-Законод!$G$27,IF(Z1332&gt;=Законод!$I$26,Законод!$H$28,0)))),0)))</f>
        <v>0</v>
      </c>
      <c r="AA1337" s="942"/>
      <c r="AB1337" s="935" t="s">
        <v>423</v>
      </c>
      <c r="AC1337" s="936"/>
      <c r="AD1337" s="936"/>
      <c r="AE1337" s="936"/>
      <c r="AF1337" s="937"/>
      <c r="AG1337" s="196">
        <f ca="1">IF($B$1328="Лікар загальної практики - сімейний лікар",IF(AG1332&lt;Законод!$C$22,0,(IF(AND(AG1332&gt;=Законод!$H$22,AG1332&lt;=Законод!$H$23),AG1332-Законод!$G$23,IF('01_Доходи'!AG1332&gt;=Законод!$I$22,Законод!$H$24,0)))),IF($B$1328="Лікар-педіатр",IF(AG1332&lt;Законод!$C$18,0,(IF(AND(AG1332&gt;=Законод!$H$18,AG1332&lt;=Законод!$H$19),AG1332-Законод!$G$19,IF('01_Доходи'!AG1332&gt;=Законод!$I$18,Законод!$H$20,0)))),IF($B$1328="Лікар-терапевт",IF(AG1332&lt;Законод!$C$26,0,(IF(AND(AG1332&gt;=Законод!$H$26,AG1332&lt;=Законод!$H$27),AG1332-Законод!$G$27,IF(AG1332&gt;=Законод!$I$26,Законод!$H$28,0)))),0)))</f>
        <v>0</v>
      </c>
      <c r="AH1337" s="942"/>
      <c r="AI1337" s="201"/>
      <c r="AJ1337" s="945"/>
      <c r="AK1337" s="960"/>
      <c r="AL1337" s="960"/>
      <c r="AM1337" s="927"/>
      <c r="AN1337" s="210">
        <f ca="1">IF(B1328="Лікар загальної практики - сімейний лікар",L1337*Законод!$C$9/4*Законод!$H$16,IF(B1328="Лікар-педіатр",L1337*Законод!$C$9/4*Законод!$H$16,IF(B1328="Лікар-терапевт",L1337*Законод!$C$9/4*Законод!$H$16,0)))</f>
        <v>0</v>
      </c>
      <c r="AO1337" s="210">
        <f ca="1">IF(B1328="Лікар загальної практики - сімейний лікар",S1337*Законод!$C$9/4*Законод!$H$16,IF(B1328="Лікар-педіатр",S1337*Законод!$C$9/4*Законод!$H$16,IF(B1328="Лікар-терапевт",S1337*Законод!$C$9/4*Законод!$H$16,0)))</f>
        <v>0</v>
      </c>
      <c r="AP1337" s="210">
        <f ca="1">IF(B1328="Лікар загальної практики - сімейний лікар",Z1337*Законод!$C$9/4*Законод!$H$16,IF(B1328="Лікар-педіатр",Z1337*Законод!$C$9/4*Законод!$H$16,IF(B1328="Лікар-терапевт",Z1337*Законод!$C$9/4*Законод!$H$16,0)))</f>
        <v>0</v>
      </c>
      <c r="AQ1337" s="210">
        <f ca="1">IF(B1328="Лікар загальної практики - сімейний лікар",AG1337*Законод!$C$9/4*Законод!$H$16,IF(B1328="Лікар-педіатр",AG1337*Законод!$C$9/4*Законод!$H$16,IF(B1328="Лікар-терапевт",AG1337*Законод!$C$9/4*Законод!$H$16,0)))</f>
        <v>0</v>
      </c>
      <c r="AR1337" s="211">
        <f t="shared" si="142"/>
        <v>0</v>
      </c>
    </row>
    <row r="1338" spans="1:44" s="50" customFormat="1" ht="31.9" hidden="1" customHeight="1">
      <c r="A1338" s="197"/>
      <c r="B1338" s="951"/>
      <c r="C1338" s="954"/>
      <c r="D1338" s="957"/>
      <c r="E1338" s="939"/>
      <c r="F1338" s="238" t="str">
        <f ca="1">IF(B1328="Лікар-педіатр",Законод!$I$17,IF(B1328="Лікар загальної практики - сімейний лікар",Законод!$I$21,IF(B1328="Лікар-терапевт",Законод!$I$25,"х")))</f>
        <v>х</v>
      </c>
      <c r="G1338" s="935" t="s">
        <v>423</v>
      </c>
      <c r="H1338" s="936"/>
      <c r="I1338" s="936"/>
      <c r="J1338" s="936"/>
      <c r="K1338" s="937"/>
      <c r="L1338" s="196">
        <f ca="1">IF($B$1328="Лікар загальної практики - сімейний лікар",IF(L1332&lt;Законод!$C$22,0,(IF(AND(L1332&gt;=Законод!$I$22,L1332&lt;=Законод!$I$23),L1332-Законод!$H$23,IF('01_Доходи'!L1332&gt;=Законод!$I$22,Законод!$I$24,0)))),IF($B$1328="Лікар-педіатр",IF(L1332&lt;Законод!$C$18,0,(IF(AND(L1332&gt;=Законод!$I$18,L1332&lt;=Законод!$I$19),L1332-Законод!$H$19,IF('01_Доходи'!L1332&gt;=Законод!$I$18,Законод!$H$20,0)))),IF($B$1328="Лікар-терапевт",IF(L1332&lt;Законод!$C$26,0,(IF(AND(L1332&gt;=Законод!$I$26,L1332&lt;=Законод!$I$27),L1332-Законод!$H$27,IF('01_Доходи'!L1332&gt;=Законод!$I$26,Законод!$H$28,0)))),0)))</f>
        <v>0</v>
      </c>
      <c r="M1338" s="942"/>
      <c r="N1338" s="935" t="s">
        <v>423</v>
      </c>
      <c r="O1338" s="936"/>
      <c r="P1338" s="936"/>
      <c r="Q1338" s="936"/>
      <c r="R1338" s="937"/>
      <c r="S1338" s="196">
        <f ca="1">IF($B$1328="Лікар загальної практики - сімейний лікар",IF(S1332&lt;Законод!$C$22,0,(IF(AND(S1332&gt;=Законод!$I$22,S1332&lt;=Законод!$I$23),S1332-Законод!$H$23,IF('01_Доходи'!S1332&gt;=Законод!$I$22,Законод!$I$24,0)))),IF($B$1328="Лікар-педіатр",IF(S1332&lt;Законод!$C$18,0,(IF(AND(S1332&gt;=Законод!$I$18,S1332&lt;=Законод!$I$19),S1332-Законод!$H$19,IF('01_Доходи'!S1332&gt;=Законод!$I$18,Законод!$H$20,0)))),IF($B$1328="Лікар-терапевт",IF(S1332&lt;Законод!$C$26,0,(IF(AND(S1332&gt;=Законод!$I$26,S1332&lt;=Законод!$I$27),S1332-Законод!$H$27,IF('01_Доходи'!S1332&gt;=Законод!$I$26,Законод!$H$28,0)))),0)))</f>
        <v>0</v>
      </c>
      <c r="T1338" s="942"/>
      <c r="U1338" s="935" t="s">
        <v>423</v>
      </c>
      <c r="V1338" s="936"/>
      <c r="W1338" s="936"/>
      <c r="X1338" s="936"/>
      <c r="Y1338" s="937"/>
      <c r="Z1338" s="196">
        <f ca="1">IF($B$1328="Лікар загальної практики - сімейний лікар",IF(Z1332&lt;Законод!$C$22,0,(IF(AND(Z1332&gt;=Законод!$I$22,Z1332&lt;=Законод!$I$23),Z1332-Законод!$H$23,IF('01_Доходи'!Z1332&gt;=Законод!$I$22,Законод!$I$24,0)))),IF($B$1328="Лікар-педіатр",IF(Z1332&lt;Законод!$C$18,0,(IF(AND(Z1332&gt;=Законод!$I$18,Z1332&lt;=Законод!$I$19),Z1332-Законод!$H$19,IF('01_Доходи'!Z1332&gt;=Законод!$I$18,Законод!$H$20,0)))),IF($B$1328="Лікар-терапевт",IF(Z1332&lt;Законод!$C$26,0,(IF(AND(Z1332&gt;=Законод!$I$26,Z1332&lt;=Законод!$I$27),Z1332-Законод!$H$27,IF('01_Доходи'!Z1332&gt;=Законод!$I$26,Законод!$H$28,0)))),0)))</f>
        <v>0</v>
      </c>
      <c r="AA1338" s="942"/>
      <c r="AB1338" s="935" t="s">
        <v>423</v>
      </c>
      <c r="AC1338" s="936"/>
      <c r="AD1338" s="936"/>
      <c r="AE1338" s="936"/>
      <c r="AF1338" s="937"/>
      <c r="AG1338" s="196">
        <f ca="1">IF($B$1328="Лікар загальної практики - сімейний лікар",IF(AG1332&lt;Законод!$C$22,0,(IF(AND(AG1332&gt;=Законод!$I$22,AG1332&lt;=Законод!$I$23),AG1332-Законод!$H$23,IF('01_Доходи'!AG1332&gt;=Законод!$I$22,Законод!$I$24,0)))),IF($B$1328="Лікар-педіатр",IF(AG1332&lt;Законод!$C$18,0,(IF(AND(AG1332&gt;=Законод!$I$18,AG1332&lt;=Законод!$I$19),AG1332-Законод!$H$19,IF('01_Доходи'!AG1332&gt;=Законод!$I$18,Законод!$H$20,0)))),IF($B$1328="Лікар-терапевт",IF(AG1332&lt;Законод!$C$26,0,(IF(AND(AG1332&gt;=Законод!$I$26,AG1332&lt;=Законод!$I$27),AG1332-Законод!$H$27,IF('01_Доходи'!AG1332&gt;=Законод!$I$26,Законод!$H$28,0)))),0)))</f>
        <v>0</v>
      </c>
      <c r="AH1338" s="942"/>
      <c r="AI1338" s="201"/>
      <c r="AJ1338" s="945"/>
      <c r="AK1338" s="960"/>
      <c r="AL1338" s="960"/>
      <c r="AM1338" s="927"/>
      <c r="AN1338" s="210">
        <f ca="1">IF(B1328="Лікар загальної практики - сімейний лікар",L1338*Законод!$C$9/4*Законод!$I$16,IF(B1328="Лікар-педіатр",L1338*Законод!$C$9/4*Законод!$I$16,IF(B1328="Лікар-терапевт",L1338*Законод!$C$9/4*Законод!$I$16,0)))</f>
        <v>0</v>
      </c>
      <c r="AO1338" s="210">
        <f ca="1">IF(B1328="Лікар загальної практики - сімейний лікар",S1338*Законод!$C$9/4*Законод!$I$16,IF(B1328="Лікар-педіатр",S1338*Законод!$C$9/4*Законод!$I$16,IF(B1328="Лікар-терапевт",S1338*Законод!$C$9/4*Законод!$I$16,0)))</f>
        <v>0</v>
      </c>
      <c r="AP1338" s="210">
        <f ca="1">IF(B1328="Лікар загальної практики - сімейний лікар",Z1338*Законод!$C$9/4*Законод!$I$16,IF(B1328="Лікар-педіатр",Z1338*Законод!$C$9/4*Законод!$I$16,IF(B1328="Лікар-терапевт",Z1338*Законод!$C$9/4*Законод!$I$16,0)))</f>
        <v>0</v>
      </c>
      <c r="AQ1338" s="210">
        <f ca="1">IF(B1328="Лікар загальної практики - сімейний лікар",AG1338*Законод!$C$9/4*Законод!$I$16,IF(B1328="Лікар-педіатр",AG1338*Законод!$C$9/4*Законод!$I$16,IF(B1328="Лікар-терапевт",AG1338*Законод!$C$9/4*Законод!$I$16,0)))</f>
        <v>0</v>
      </c>
      <c r="AR1338" s="211">
        <f t="shared" si="142"/>
        <v>0</v>
      </c>
    </row>
    <row r="1339" spans="1:44" s="218" customFormat="1" ht="31.9" hidden="1" customHeight="1" thickBot="1">
      <c r="A1339" s="213"/>
      <c r="B1339" s="952"/>
      <c r="C1339" s="955"/>
      <c r="D1339" s="958"/>
      <c r="E1339" s="940"/>
      <c r="F1339" s="239" t="str">
        <f ca="1">IF(B1328="Лікар-педіатр",Законод!$J$17,IF(B1328="Лікар загальної практики - сімейний лікар",Законод!$J$21,IF(B1328="Лікар-терапевт",Законод!$J$25,"х")))</f>
        <v>х</v>
      </c>
      <c r="G1339" s="932" t="s">
        <v>423</v>
      </c>
      <c r="H1339" s="933"/>
      <c r="I1339" s="933"/>
      <c r="J1339" s="933"/>
      <c r="K1339" s="934"/>
      <c r="L1339" s="196">
        <f ca="1">IF($B$1328="Лікар загальної практики - сімейний лікар",IF(L1332&gt;=Законод!$J$22,'01_Доходи'!L1332-('01_Доходи'!L1333+'01_Доходи'!L1334+'01_Доходи'!L1335+'01_Доходи'!L1336+'01_Доходи'!L1337+'01_Доходи'!L1338),0),IF($B$1328="Лікар-педіатр",IF(L1332&gt;=Законод!$J$18,'01_Доходи'!L1332-('01_Доходи'!L1333+'01_Доходи'!L1334+'01_Доходи'!L1335+'01_Доходи'!L1336+'01_Доходи'!L1337+'01_Доходи'!L1338),0),IF($B$1328="Лікар-терапевт",IF('01_Доходи'!L1332&gt;=Законод!$J$26,L1332-Законод!$I$27,0),0)))</f>
        <v>0</v>
      </c>
      <c r="M1339" s="943"/>
      <c r="N1339" s="932" t="s">
        <v>423</v>
      </c>
      <c r="O1339" s="933"/>
      <c r="P1339" s="933"/>
      <c r="Q1339" s="933"/>
      <c r="R1339" s="934"/>
      <c r="S1339" s="196">
        <f ca="1">IF($B$1328="Лікар загальної практики - сімейний лікар",IF(S1332&gt;=Законод!$J$22,'01_Доходи'!S1332-('01_Доходи'!S1333+'01_Доходи'!S1334+'01_Доходи'!S1335+'01_Доходи'!S1336+'01_Доходи'!S1337+'01_Доходи'!S1338),0),IF($B$1328="Лікар-педіатр",IF(S1332&gt;=Законод!$J$18,'01_Доходи'!S1332-('01_Доходи'!S1333+'01_Доходи'!S1334+'01_Доходи'!S1335+'01_Доходи'!S1336+'01_Доходи'!S1337+'01_Доходи'!S1338),0),IF($B$1328="Лікар-терапевт",IF('01_Доходи'!S1332&gt;=Законод!$J$26,S1332-Законод!$I$27,0),0)))</f>
        <v>0</v>
      </c>
      <c r="T1339" s="943"/>
      <c r="U1339" s="932" t="s">
        <v>423</v>
      </c>
      <c r="V1339" s="933"/>
      <c r="W1339" s="933"/>
      <c r="X1339" s="933"/>
      <c r="Y1339" s="934"/>
      <c r="Z1339" s="196">
        <f ca="1">IF($B$1328="Лікар загальної практики - сімейний лікар",IF(Z1332&gt;=Законод!$J$22,'01_Доходи'!Z1332-('01_Доходи'!Z1333+'01_Доходи'!Z1334+'01_Доходи'!Z1335+'01_Доходи'!Z1336+'01_Доходи'!Z1337+'01_Доходи'!Z1338),0),IF($B$1328="Лікар-педіатр",IF(Z1332&gt;=Законод!$J$18,'01_Доходи'!Z1332-('01_Доходи'!Z1333+'01_Доходи'!Z1334+'01_Доходи'!Z1335+'01_Доходи'!Z1336+'01_Доходи'!Z1337+'01_Доходи'!Z1338),0),IF($B$1328="Лікар-терапевт",IF('01_Доходи'!Z1332&gt;=Законод!$J$26,Z1332-Законод!$I$27,0),0)))</f>
        <v>0</v>
      </c>
      <c r="AA1339" s="943"/>
      <c r="AB1339" s="932" t="s">
        <v>423</v>
      </c>
      <c r="AC1339" s="933"/>
      <c r="AD1339" s="933"/>
      <c r="AE1339" s="933"/>
      <c r="AF1339" s="934"/>
      <c r="AG1339" s="196">
        <f ca="1">IF($B$1328="Лікар загальної практики - сімейний лікар",IF(AG1332&gt;=Законод!$J$22,'01_Доходи'!AG1332-('01_Доходи'!AG1333+'01_Доходи'!AG1334+'01_Доходи'!AG1335+'01_Доходи'!AG1336+'01_Доходи'!AG1337+'01_Доходи'!AG1338),0),IF($B$1328="Лікар-педіатр",IF(AG1332&gt;=Законод!$J$18,'01_Доходи'!AG1332-('01_Доходи'!AG1333+'01_Доходи'!AG1334+'01_Доходи'!AG1335+'01_Доходи'!AG1336+'01_Доходи'!AG1337+'01_Доходи'!AG1338),0),IF($B$1328="Лікар-терапевт",IF('01_Доходи'!AG1332&gt;=Законод!$J$26,AG1332-Законод!$I$27,0),0)))</f>
        <v>0</v>
      </c>
      <c r="AH1339" s="943"/>
      <c r="AI1339" s="215"/>
      <c r="AJ1339" s="946"/>
      <c r="AK1339" s="961"/>
      <c r="AL1339" s="961"/>
      <c r="AM1339" s="928"/>
      <c r="AN1339" s="216">
        <f ca="1">IF(B1328="Лікар загальної практики - сімейний лікар",L1339*Законод!$C$9/4*Законод!$J$16,IF(B1328="Лікар-педіатр",L1339*Законод!$C$9/4*Законод!$J$16,IF(B1328="Лікар-терапевт",L1339*Законод!$C$9/4*Законод!$J$16,0)))</f>
        <v>0</v>
      </c>
      <c r="AO1339" s="216">
        <f ca="1">IF(B1328="Лікар загальної практики - сімейний лікар",S1339*Законод!$C$9/4*Законод!$J$16,IF(B1328="Лікар-педіатр",S1339*Законод!$C$9/4*Законод!$J$16,IF(B1328="Лікар-терапевт",S1339*Законод!$C$9/4*Законод!$J$16,0)))</f>
        <v>0</v>
      </c>
      <c r="AP1339" s="216">
        <f ca="1">IF(B1328="Лікар загальної практики - сімейний лікар",S1339*Законод!$C$9/4*Законод!$J$16,IF(B1328="Лікар-педіатр",S1339*Законод!$C$9/4*Законод!$J$16,IF(B1328="Лікар-терапевт",S1339*Законод!$C$9/4*Законод!$J$16,0)))</f>
        <v>0</v>
      </c>
      <c r="AQ1339" s="216">
        <f ca="1">IF(B1328="Лікар загальної практики - сімейний лікар",AG1339*Законод!$C$9/4*Законод!$J$16,IF(B1328="Лікар-педіатр",AG1339*Законод!$C$9/4*Законод!$J$16,IF(B1328="Лікар-терапевт",AG1339*Законод!$C$9/4*Законод!$J$16,0)))</f>
        <v>0</v>
      </c>
      <c r="AR1339" s="217">
        <f t="shared" si="142"/>
        <v>0</v>
      </c>
    </row>
    <row r="1340" spans="1:44" s="218" customFormat="1" ht="31.9" customHeight="1">
      <c r="A1340" s="213"/>
      <c r="B1340" s="251"/>
      <c r="C1340" s="252"/>
      <c r="D1340" s="253"/>
      <c r="E1340" s="253"/>
      <c r="F1340" s="254"/>
      <c r="G1340" s="255" t="e">
        <f>#VALUE!</f>
        <v>#VALUE!</v>
      </c>
      <c r="H1340" s="255" t="e">
        <f>#VALUE!</f>
        <v>#VALUE!</v>
      </c>
      <c r="I1340" s="255" t="e">
        <f>#VALUE!</f>
        <v>#VALUE!</v>
      </c>
      <c r="J1340" s="255" t="e">
        <f>#VALUE!</f>
        <v>#VALUE!</v>
      </c>
      <c r="K1340" s="255" t="e">
        <f>#VALUE!</f>
        <v>#VALUE!</v>
      </c>
      <c r="L1340" s="256"/>
      <c r="M1340" s="257"/>
      <c r="N1340" s="255" t="e">
        <f>#VALUE!</f>
        <v>#VALUE!</v>
      </c>
      <c r="O1340" s="255" t="e">
        <f>#VALUE!</f>
        <v>#VALUE!</v>
      </c>
      <c r="P1340" s="255" t="e">
        <f>#VALUE!</f>
        <v>#VALUE!</v>
      </c>
      <c r="Q1340" s="255" t="e">
        <f>#VALUE!</f>
        <v>#VALUE!</v>
      </c>
      <c r="R1340" s="255" t="e">
        <f>#VALUE!</f>
        <v>#VALUE!</v>
      </c>
      <c r="S1340" s="256"/>
      <c r="T1340" s="257"/>
      <c r="U1340" s="255" t="e">
        <f>#VALUE!</f>
        <v>#VALUE!</v>
      </c>
      <c r="V1340" s="255" t="e">
        <f>#VALUE!</f>
        <v>#VALUE!</v>
      </c>
      <c r="W1340" s="255" t="e">
        <f>#VALUE!</f>
        <v>#VALUE!</v>
      </c>
      <c r="X1340" s="255" t="e">
        <f>#VALUE!</f>
        <v>#VALUE!</v>
      </c>
      <c r="Y1340" s="255" t="e">
        <f>#VALUE!</f>
        <v>#VALUE!</v>
      </c>
      <c r="Z1340" s="256"/>
      <c r="AA1340" s="257"/>
      <c r="AB1340" s="255" t="e">
        <f>#VALUE!</f>
        <v>#VALUE!</v>
      </c>
      <c r="AC1340" s="255" t="e">
        <f>#VALUE!</f>
        <v>#VALUE!</v>
      </c>
      <c r="AD1340" s="255" t="e">
        <f>#VALUE!</f>
        <v>#VALUE!</v>
      </c>
      <c r="AE1340" s="255" t="e">
        <f>#VALUE!</f>
        <v>#VALUE!</v>
      </c>
      <c r="AF1340" s="255" t="e">
        <f>#VALUE!</f>
        <v>#VALUE!</v>
      </c>
      <c r="AG1340" s="256"/>
      <c r="AH1340" s="257"/>
      <c r="AI1340" s="215"/>
      <c r="AJ1340" s="258"/>
      <c r="AK1340" s="258"/>
      <c r="AL1340" s="258"/>
      <c r="AM1340" s="259"/>
      <c r="AN1340" s="260">
        <f>AN41+AN54+AN67+AN80+AN93+AN106+AN119+AN132+AN145+AN158+AN171+AN184+AN197+AN210+AN223+AN236+AN249+AN262+AN275+AN288+AN301+AN314+AN327+AN340+AN353+AN366+AN379+AN392+AN405+AN418+AN431+AN444+AN457+AN470+AN483+AN496+AN509+AN522+AN535+AN548+AN561+AN574+AN587+AN600+AN613+AN626+AN639+AN652+AN665+AN678+AN691+AN704+AN717+AN730+AN743+AN756+AN769+AN782+AN795+AN808+AN821+AN834+AN847+AN860+AN873+AN886+AN899+AN912+AN925+AN938+AN951+AN964+AN977+AN990+AN1003+AN1016+AN1029+AN1042+AN1055+AN1068+AN1081+AN1094+AN1107+AN1120+AN1133+AN1146+AN1159+AN1172+AN1185+AN1198+AN1211+AN1224+AN1237+AN1250+AN1263+AN1276+AN1289+AN1302+AN1315+AN1328</f>
        <v>5190638.3874162696</v>
      </c>
      <c r="AO1340" s="260">
        <f>AO41+AO54+AO67+AO80+AO93+AO106+AO119+AO132+AO145+AO158+AO171+AO184+AO197+AO210+AO223+AO236+AO249+AO262+AO275+AO288+AO301+AO314+AO327+AO340+AO353+AO366+AO379+AO392+AO405+AO418+AO431+AO444+AO457+AO470+AO483+AO496+AO509+AO522+AO535+AO548+AO561+AO574+AO587+AO600+AO613+AO626+AO639+AO652+AO665+AO678+AO691+AO704+AO717+AO730+AO743+AO756+AO769+AO782+AO795+AO808+AO821+AO834+AO847+AO860+AO873+AO886+AO899+AO912+AO925+AO938+AO951+AO964+AO977+AO990+AO1003+AO1016+AO1029+AO1042+AO1055+AO1068+AO1081+AO1094+AO1107+AO1120+AO1133+AO1146+AO1159+AO1172+AO1185+AO1198+AO1211+AO1224+AO1237+AO1250+AO1263+AO1276+AO1289+AO1302+AO1315+AO1328</f>
        <v>5190638.3874162696</v>
      </c>
      <c r="AP1340" s="260">
        <f>AP41+AP54+AP67+AP80+AP93+AP106+AP119+AP132+AP145+AP158+AP171+AP184+AP197+AP210+AP223+AP236+AP249+AP262+AP275+AP288+AP301+AP314+AP327+AP340+AP353+AP366+AP379+AP392+AP405+AP418+AP431+AP444+AP457+AP470+AP483+AP496+AP509+AP522+AP535+AP548+AP561+AP574+AP587+AP600+AP613+AP626+AP639+AP652+AP665+AP678+AP691+AP704+AP717+AP730+AP743+AP756+AP769+AP782+AP795+AP808+AP821+AP834+AP847+AP860+AP873+AP886+AP899+AP912+AP925+AP938+AP951+AP964+AP977+AP990+AP1003+AP1016+AP1029+AP1042+AP1055+AP1068+AP1081+AP1094+AP1107+AP1120+AP1133+AP1146+AP1159+AP1172+AP1185+AP1198+AP1211+AP1224+AP1237+AP1250+AP1263+AP1276+AP1289+AP1302+AP1315+AP1328</f>
        <v>5190638.3874162696</v>
      </c>
      <c r="AQ1340" s="260">
        <f>AQ41+AQ54+AQ67+AQ80+AQ93+AQ106+AQ119+AQ132+AQ145+AQ158+AQ171+AQ184+AQ197+AQ210+AQ223+AQ236+AQ249+AQ262+AQ275+AQ288+AQ301+AQ314+AQ327+AQ340+AQ353+AQ366+AQ379+AQ392+AQ405+AQ418+AQ431+AQ444+AQ457+AQ470+AQ483+AQ496+AQ509+AQ522+AQ535+AQ548+AQ561+AQ574+AQ587+AQ600+AQ613+AQ626+AQ639+AQ652+AQ665+AQ678+AQ691+AQ704+AQ717+AQ730+AQ743+AQ756+AQ769+AQ782+AQ795+AQ808+AQ821+AQ834+AQ847+AQ860+AQ873+AQ886+AQ899+AQ912+AQ925+AQ938+AQ951+AQ964+AQ977+AQ990+AQ1003+AQ1016+AQ1029+AQ1042+AQ1055+AQ1068+AQ1081+AQ1094+AQ1107+AQ1120+AQ1133+AQ1146+AQ1159+AQ1172+AQ1185+AQ1198+AQ1211+AQ1224+AQ1237+AQ1250+AQ1263+AQ1276+AQ1289+AQ1302+AQ1315+AQ1328</f>
        <v>5190638.3874162696</v>
      </c>
      <c r="AR1340" s="260">
        <f>AR41+AR54+AR67+AR80+AR93+AR106+AR119+AR132+AR145+AR158+AR171+AR184+AR197+AR210+AR223+AR236+AR249+AR262+AR275+AR288+AR301+AR314+AR327+AR340+AR353+AR366+AR379+AR392+AR405+AR418+AR431+AR444+AR457+AR470+AR483+AR496+AR509+AR522+AR535+AR548+AR561+AR574+AR587+AR600+AR613+AR626+AR639+AR652+AR665+AR678+AR691+AR704+AR717+AR730+AR743+AR756+AR769+AR782+AR795+AR808+AR821+AR834+AR847+AR860+AR873+AR886+AR899+AR912+AR925+AR938+AR951+AR964+AR977+AR990+AR1003+AR1016+AR1029+AR1042+AR1055+AR1068+AR1081+AR1094+AR1107+AR1120+AR1133+AR1146+AR1159+AR1172+AR1185+AR1198+AR1211+AR1224+AR1237+AR1250+AR1263+AR1276+AR1289+AR1302+AR1315+AR1328</f>
        <v>20762553.549665079</v>
      </c>
    </row>
    <row r="1341" spans="1:44" s="218" customFormat="1" ht="31.9" customHeight="1">
      <c r="A1341" s="213"/>
      <c r="B1341" s="251"/>
      <c r="C1341" s="252"/>
      <c r="D1341" s="253"/>
      <c r="E1341" s="253"/>
      <c r="F1341" s="254"/>
      <c r="G1341" s="255" t="e">
        <f>#VALUE!</f>
        <v>#VALUE!</v>
      </c>
      <c r="H1341" s="255" t="e">
        <f>#VALUE!</f>
        <v>#VALUE!</v>
      </c>
      <c r="I1341" s="255" t="e">
        <f>#VALUE!</f>
        <v>#VALUE!</v>
      </c>
      <c r="J1341" s="255" t="e">
        <f>#VALUE!</f>
        <v>#VALUE!</v>
      </c>
      <c r="K1341" s="255" t="e">
        <f>#VALUE!</f>
        <v>#VALUE!</v>
      </c>
      <c r="L1341" s="256"/>
      <c r="M1341" s="257"/>
      <c r="N1341" s="255" t="e">
        <f>#VALUE!</f>
        <v>#VALUE!</v>
      </c>
      <c r="O1341" s="255" t="e">
        <f>#VALUE!</f>
        <v>#VALUE!</v>
      </c>
      <c r="P1341" s="255" t="e">
        <f>#VALUE!</f>
        <v>#VALUE!</v>
      </c>
      <c r="Q1341" s="255" t="e">
        <f>#VALUE!</f>
        <v>#VALUE!</v>
      </c>
      <c r="R1341" s="255" t="e">
        <f>#VALUE!</f>
        <v>#VALUE!</v>
      </c>
      <c r="S1341" s="256"/>
      <c r="T1341" s="257"/>
      <c r="U1341" s="255" t="e">
        <f>#VALUE!</f>
        <v>#VALUE!</v>
      </c>
      <c r="V1341" s="255" t="e">
        <f>#VALUE!</f>
        <v>#VALUE!</v>
      </c>
      <c r="W1341" s="255" t="e">
        <f>#VALUE!</f>
        <v>#VALUE!</v>
      </c>
      <c r="X1341" s="255" t="e">
        <f>#VALUE!</f>
        <v>#VALUE!</v>
      </c>
      <c r="Y1341" s="255" t="e">
        <f>#VALUE!</f>
        <v>#VALUE!</v>
      </c>
      <c r="Z1341" s="256"/>
      <c r="AA1341" s="257"/>
      <c r="AB1341" s="255" t="e">
        <f>#VALUE!</f>
        <v>#VALUE!</v>
      </c>
      <c r="AC1341" s="255" t="e">
        <f>#VALUE!</f>
        <v>#VALUE!</v>
      </c>
      <c r="AD1341" s="255" t="e">
        <f>#VALUE!</f>
        <v>#VALUE!</v>
      </c>
      <c r="AE1341" s="255" t="e">
        <f>#VALUE!</f>
        <v>#VALUE!</v>
      </c>
      <c r="AF1341" s="255" t="e">
        <f>#VALUE!</f>
        <v>#VALUE!</v>
      </c>
      <c r="AG1341" s="256"/>
      <c r="AH1341" s="257"/>
      <c r="AI1341" s="215"/>
      <c r="AJ1341" s="258"/>
      <c r="AK1341" s="258"/>
      <c r="AL1341" s="258"/>
      <c r="AM1341" s="259"/>
      <c r="AN1341" s="260"/>
      <c r="AO1341" s="260"/>
      <c r="AP1341" s="260"/>
      <c r="AQ1341" s="260"/>
      <c r="AR1341" s="261"/>
    </row>
    <row r="1342" spans="1:44" s="268" customFormat="1" ht="31.9" customHeight="1">
      <c r="A1342" s="262"/>
      <c r="B1342" s="263"/>
      <c r="C1342" s="264"/>
      <c r="D1342" s="260"/>
      <c r="E1342" s="260"/>
      <c r="F1342" s="265"/>
      <c r="G1342" s="255" t="e">
        <f>#VALUE!</f>
        <v>#VALUE!</v>
      </c>
      <c r="H1342" s="255" t="e">
        <f>#VALUE!</f>
        <v>#VALUE!</v>
      </c>
      <c r="I1342" s="255" t="e">
        <f>#VALUE!</f>
        <v>#VALUE!</v>
      </c>
      <c r="J1342" s="255" t="e">
        <f>#VALUE!</f>
        <v>#VALUE!</v>
      </c>
      <c r="K1342" s="255" t="e">
        <f>#VALUE!</f>
        <v>#VALUE!</v>
      </c>
      <c r="L1342" s="256"/>
      <c r="M1342" s="265"/>
      <c r="N1342" s="255" t="e">
        <f>#VALUE!</f>
        <v>#VALUE!</v>
      </c>
      <c r="O1342" s="255" t="e">
        <f>#VALUE!</f>
        <v>#VALUE!</v>
      </c>
      <c r="P1342" s="255" t="e">
        <f>#VALUE!</f>
        <v>#VALUE!</v>
      </c>
      <c r="Q1342" s="255" t="e">
        <f>#VALUE!</f>
        <v>#VALUE!</v>
      </c>
      <c r="R1342" s="255" t="e">
        <f>#VALUE!</f>
        <v>#VALUE!</v>
      </c>
      <c r="S1342" s="256"/>
      <c r="T1342" s="265"/>
      <c r="U1342" s="255" t="e">
        <f>#VALUE!</f>
        <v>#VALUE!</v>
      </c>
      <c r="V1342" s="255" t="e">
        <f>#VALUE!</f>
        <v>#VALUE!</v>
      </c>
      <c r="W1342" s="255" t="e">
        <f>#VALUE!</f>
        <v>#VALUE!</v>
      </c>
      <c r="X1342" s="255" t="e">
        <f>#VALUE!</f>
        <v>#VALUE!</v>
      </c>
      <c r="Y1342" s="255" t="e">
        <f>#VALUE!</f>
        <v>#VALUE!</v>
      </c>
      <c r="Z1342" s="256"/>
      <c r="AA1342" s="265"/>
      <c r="AB1342" s="255" t="e">
        <f>#VALUE!</f>
        <v>#VALUE!</v>
      </c>
      <c r="AC1342" s="255" t="e">
        <f>#VALUE!</f>
        <v>#VALUE!</v>
      </c>
      <c r="AD1342" s="255" t="e">
        <f>#VALUE!</f>
        <v>#VALUE!</v>
      </c>
      <c r="AE1342" s="255" t="e">
        <f>#VALUE!</f>
        <v>#VALUE!</v>
      </c>
      <c r="AF1342" s="255" t="e">
        <f>#VALUE!</f>
        <v>#VALUE!</v>
      </c>
      <c r="AG1342" s="256"/>
      <c r="AH1342" s="265"/>
      <c r="AI1342" s="266"/>
      <c r="AJ1342" s="267"/>
      <c r="AK1342" s="267"/>
      <c r="AL1342" s="267"/>
      <c r="AM1342" s="264"/>
      <c r="AN1342" s="260"/>
      <c r="AO1342" s="260"/>
      <c r="AP1342" s="260"/>
      <c r="AQ1342" s="260"/>
      <c r="AR1342" s="261"/>
    </row>
    <row r="1343" spans="1:44" s="268" customFormat="1" ht="31.9" customHeight="1">
      <c r="A1343" s="262"/>
      <c r="B1343" s="263"/>
      <c r="C1343" s="264"/>
      <c r="D1343" s="260"/>
      <c r="E1343" s="260"/>
      <c r="F1343" s="265"/>
      <c r="G1343" s="255" t="e">
        <f>#VALUE!</f>
        <v>#VALUE!</v>
      </c>
      <c r="H1343" s="255" t="e">
        <f>#VALUE!</f>
        <v>#VALUE!</v>
      </c>
      <c r="I1343" s="255" t="e">
        <f>#VALUE!</f>
        <v>#VALUE!</v>
      </c>
      <c r="J1343" s="255" t="e">
        <f>#VALUE!</f>
        <v>#VALUE!</v>
      </c>
      <c r="K1343" s="255" t="e">
        <f>#VALUE!</f>
        <v>#VALUE!</v>
      </c>
      <c r="L1343" s="256"/>
      <c r="M1343" s="265"/>
      <c r="N1343" s="255" t="e">
        <f>#VALUE!</f>
        <v>#VALUE!</v>
      </c>
      <c r="O1343" s="255" t="e">
        <f>#VALUE!</f>
        <v>#VALUE!</v>
      </c>
      <c r="P1343" s="255" t="e">
        <f>#VALUE!</f>
        <v>#VALUE!</v>
      </c>
      <c r="Q1343" s="255" t="e">
        <f>#VALUE!</f>
        <v>#VALUE!</v>
      </c>
      <c r="R1343" s="255" t="e">
        <f>#VALUE!</f>
        <v>#VALUE!</v>
      </c>
      <c r="S1343" s="256"/>
      <c r="T1343" s="265"/>
      <c r="U1343" s="255" t="e">
        <f>#VALUE!</f>
        <v>#VALUE!</v>
      </c>
      <c r="V1343" s="255" t="e">
        <f>#VALUE!</f>
        <v>#VALUE!</v>
      </c>
      <c r="W1343" s="255" t="e">
        <f>#VALUE!</f>
        <v>#VALUE!</v>
      </c>
      <c r="X1343" s="255" t="e">
        <f>#VALUE!</f>
        <v>#VALUE!</v>
      </c>
      <c r="Y1343" s="255" t="e">
        <f>#VALUE!</f>
        <v>#VALUE!</v>
      </c>
      <c r="Z1343" s="256"/>
      <c r="AA1343" s="265"/>
      <c r="AB1343" s="255" t="e">
        <f>#VALUE!</f>
        <v>#VALUE!</v>
      </c>
      <c r="AC1343" s="255" t="e">
        <f>#VALUE!</f>
        <v>#VALUE!</v>
      </c>
      <c r="AD1343" s="255" t="e">
        <f>#VALUE!</f>
        <v>#VALUE!</v>
      </c>
      <c r="AE1343" s="255" t="e">
        <f>#VALUE!</f>
        <v>#VALUE!</v>
      </c>
      <c r="AF1343" s="255" t="e">
        <f>#VALUE!</f>
        <v>#VALUE!</v>
      </c>
      <c r="AG1343" s="256"/>
      <c r="AH1343" s="265"/>
      <c r="AI1343" s="266"/>
      <c r="AJ1343" s="267"/>
      <c r="AK1343" s="267"/>
      <c r="AL1343" s="267"/>
      <c r="AM1343" s="264"/>
      <c r="AN1343" s="260"/>
      <c r="AO1343" s="260"/>
      <c r="AP1343" s="260"/>
      <c r="AQ1343" s="260"/>
      <c r="AR1343" s="261"/>
    </row>
    <row r="1344" spans="1:44" s="218" customFormat="1" ht="31.9" customHeight="1">
      <c r="A1344" s="213"/>
      <c r="B1344" s="251"/>
      <c r="C1344" s="252"/>
      <c r="D1344" s="253"/>
      <c r="E1344" s="75"/>
      <c r="F1344" s="254"/>
      <c r="G1344" s="269"/>
      <c r="H1344" s="269"/>
      <c r="I1344" s="269"/>
      <c r="J1344" s="269"/>
      <c r="K1344" s="269"/>
      <c r="L1344" s="256"/>
      <c r="M1344" s="257"/>
      <c r="N1344" s="269"/>
      <c r="O1344" s="269"/>
      <c r="P1344" s="269"/>
      <c r="Q1344" s="269"/>
      <c r="R1344" s="269"/>
      <c r="S1344" s="256"/>
      <c r="T1344" s="257"/>
      <c r="U1344" s="269"/>
      <c r="V1344" s="269"/>
      <c r="W1344" s="269"/>
      <c r="X1344" s="269"/>
      <c r="Y1344" s="269"/>
      <c r="Z1344" s="256"/>
      <c r="AA1344" s="257"/>
      <c r="AB1344" s="269"/>
      <c r="AC1344" s="269"/>
      <c r="AD1344" s="269"/>
      <c r="AE1344" s="269"/>
      <c r="AF1344" s="269"/>
      <c r="AG1344" s="256"/>
      <c r="AH1344" s="257"/>
      <c r="AI1344" s="215"/>
      <c r="AJ1344" s="258"/>
      <c r="AK1344" s="258"/>
      <c r="AL1344" s="258"/>
      <c r="AM1344" s="259"/>
      <c r="AN1344" s="270"/>
      <c r="AO1344" s="270"/>
      <c r="AP1344" s="270"/>
      <c r="AQ1344" s="270"/>
      <c r="AR1344" s="271"/>
    </row>
    <row r="1345" spans="1:44" s="218" customFormat="1" ht="117" customHeight="1">
      <c r="A1345" s="213"/>
      <c r="B1345" s="251"/>
      <c r="C1345" s="252"/>
      <c r="D1345" s="253"/>
      <c r="E1345" s="253"/>
      <c r="F1345" s="254"/>
      <c r="G1345" s="269"/>
      <c r="H1345" s="269"/>
      <c r="I1345" s="269"/>
      <c r="J1345" s="269"/>
      <c r="K1345" s="269"/>
      <c r="L1345" s="256"/>
      <c r="M1345" s="257"/>
      <c r="N1345" s="269"/>
      <c r="O1345" s="269"/>
      <c r="P1345" s="269"/>
      <c r="Q1345" s="269"/>
      <c r="R1345" s="269"/>
      <c r="S1345" s="256"/>
      <c r="T1345" s="257"/>
      <c r="U1345" s="269"/>
      <c r="V1345" s="269"/>
      <c r="W1345" s="269"/>
      <c r="X1345" s="269"/>
      <c r="Y1345" s="269"/>
      <c r="Z1345" s="256"/>
      <c r="AA1345" s="257"/>
      <c r="AB1345" s="269"/>
      <c r="AC1345" s="269"/>
      <c r="AD1345" s="269"/>
      <c r="AE1345" s="269"/>
      <c r="AF1345" s="269"/>
      <c r="AG1345" s="256"/>
      <c r="AH1345" s="257"/>
      <c r="AI1345" s="215"/>
      <c r="AJ1345" s="258"/>
      <c r="AK1345" s="258"/>
      <c r="AL1345" s="258"/>
      <c r="AM1345" s="259"/>
      <c r="AN1345" s="270"/>
      <c r="AO1345" s="270"/>
      <c r="AP1345" s="270"/>
      <c r="AQ1345" s="270"/>
      <c r="AR1345" s="271"/>
    </row>
    <row r="1346" spans="1:44" s="218" customFormat="1" ht="31.9" customHeight="1">
      <c r="A1346" s="213"/>
      <c r="B1346" s="251"/>
      <c r="C1346" s="252"/>
      <c r="D1346" s="253"/>
      <c r="E1346" s="253"/>
      <c r="F1346" s="254"/>
      <c r="G1346" s="269"/>
      <c r="H1346" s="269"/>
      <c r="I1346" s="269"/>
      <c r="J1346" s="269"/>
      <c r="K1346" s="269"/>
      <c r="L1346" s="256"/>
      <c r="M1346" s="257"/>
      <c r="N1346" s="269"/>
      <c r="O1346" s="269"/>
      <c r="P1346" s="269"/>
      <c r="Q1346" s="269"/>
      <c r="R1346" s="269"/>
      <c r="S1346" s="256"/>
      <c r="T1346" s="257"/>
      <c r="U1346" s="269"/>
      <c r="V1346" s="269"/>
      <c r="W1346" s="269"/>
      <c r="X1346" s="269"/>
      <c r="Y1346" s="269"/>
      <c r="Z1346" s="256"/>
      <c r="AA1346" s="257"/>
      <c r="AB1346" s="269"/>
      <c r="AC1346" s="269"/>
      <c r="AD1346" s="269"/>
      <c r="AE1346" s="269"/>
      <c r="AF1346" s="269"/>
      <c r="AG1346" s="256"/>
      <c r="AH1346" s="257"/>
      <c r="AI1346" s="215"/>
      <c r="AJ1346" s="258"/>
      <c r="AK1346" s="258"/>
      <c r="AL1346" s="258"/>
      <c r="AM1346" s="259"/>
      <c r="AN1346" s="270"/>
      <c r="AO1346" s="270"/>
      <c r="AP1346" s="270"/>
      <c r="AQ1346" s="270"/>
      <c r="AR1346" s="271"/>
    </row>
    <row r="1347" spans="1:44" s="618" customFormat="1" ht="31.9" customHeight="1">
      <c r="A1347" s="608"/>
      <c r="B1347" s="640"/>
      <c r="C1347" s="640"/>
      <c r="D1347" s="640"/>
      <c r="E1347" s="640"/>
      <c r="F1347" s="609"/>
      <c r="G1347" s="610"/>
      <c r="H1347" s="610"/>
      <c r="I1347" s="610"/>
      <c r="J1347" s="610"/>
      <c r="K1347" s="610"/>
      <c r="L1347" s="611"/>
      <c r="M1347" s="612"/>
      <c r="N1347" s="610"/>
      <c r="O1347" s="610"/>
      <c r="P1347" s="610"/>
      <c r="Q1347" s="610"/>
      <c r="R1347" s="610"/>
      <c r="S1347" s="611"/>
      <c r="T1347" s="612"/>
      <c r="U1347" s="610"/>
      <c r="V1347" s="610"/>
      <c r="W1347" s="610"/>
      <c r="X1347" s="610"/>
      <c r="Y1347" s="610"/>
      <c r="Z1347" s="611"/>
      <c r="AA1347" s="612"/>
      <c r="AB1347" s="610"/>
      <c r="AC1347" s="610"/>
      <c r="AD1347" s="610"/>
      <c r="AE1347" s="610"/>
      <c r="AF1347" s="610"/>
      <c r="AG1347" s="611"/>
      <c r="AH1347" s="612"/>
      <c r="AI1347" s="613"/>
      <c r="AJ1347" s="614"/>
      <c r="AK1347" s="614"/>
      <c r="AL1347" s="614"/>
      <c r="AM1347" s="615"/>
      <c r="AN1347" s="616"/>
      <c r="AO1347" s="616"/>
      <c r="AP1347" s="616"/>
      <c r="AQ1347" s="616"/>
      <c r="AR1347" s="617"/>
    </row>
    <row r="1348" spans="1:44" s="618" customFormat="1" ht="21" customHeight="1">
      <c r="A1348" s="608"/>
      <c r="B1348" s="619"/>
      <c r="C1348" s="620"/>
      <c r="D1348" s="621"/>
      <c r="E1348" s="621"/>
      <c r="F1348" s="609"/>
      <c r="G1348" s="610"/>
      <c r="H1348" s="610"/>
      <c r="I1348" s="610"/>
      <c r="J1348" s="610"/>
      <c r="K1348" s="610"/>
      <c r="L1348" s="611"/>
      <c r="M1348" s="612"/>
      <c r="N1348" s="610"/>
      <c r="O1348" s="610"/>
      <c r="P1348" s="610"/>
      <c r="Q1348" s="610"/>
      <c r="R1348" s="610"/>
      <c r="S1348" s="611"/>
      <c r="T1348" s="612"/>
      <c r="U1348" s="610"/>
      <c r="V1348" s="610"/>
      <c r="W1348" s="610"/>
      <c r="X1348" s="610"/>
      <c r="Y1348" s="610"/>
      <c r="Z1348" s="611"/>
      <c r="AA1348" s="612"/>
      <c r="AB1348" s="610"/>
      <c r="AC1348" s="610"/>
      <c r="AD1348" s="610"/>
      <c r="AE1348" s="610"/>
      <c r="AF1348" s="610"/>
      <c r="AG1348" s="611"/>
      <c r="AH1348" s="612"/>
      <c r="AI1348" s="613"/>
      <c r="AJ1348" s="614"/>
      <c r="AK1348" s="614"/>
      <c r="AL1348" s="614"/>
      <c r="AM1348" s="615"/>
      <c r="AN1348" s="616"/>
      <c r="AO1348" s="616"/>
      <c r="AP1348" s="616"/>
      <c r="AQ1348" s="616"/>
      <c r="AR1348" s="617"/>
    </row>
    <row r="1349" spans="1:44" s="626" customFormat="1" ht="23.45" customHeight="1">
      <c r="A1349" s="622"/>
      <c r="B1349" s="623"/>
      <c r="C1349" s="623"/>
      <c r="D1349" s="623"/>
      <c r="E1349" s="623"/>
      <c r="F1349" s="624"/>
      <c r="G1349" s="625"/>
      <c r="H1349" s="625"/>
      <c r="L1349" s="627"/>
      <c r="S1349" s="627"/>
      <c r="Z1349" s="627"/>
      <c r="AG1349" s="627"/>
      <c r="AM1349" s="628"/>
      <c r="AR1349" s="629"/>
    </row>
    <row r="1350" spans="1:44" s="636" customFormat="1" ht="58.15" customHeight="1">
      <c r="A1350" s="630"/>
      <c r="B1350" s="641"/>
      <c r="C1350" s="641"/>
      <c r="D1350" s="641"/>
      <c r="E1350" s="631"/>
      <c r="F1350" s="632"/>
      <c r="G1350" s="632"/>
      <c r="H1350" s="624"/>
      <c r="I1350" s="624"/>
      <c r="J1350" s="633"/>
      <c r="K1350" s="633"/>
      <c r="L1350" s="634"/>
      <c r="M1350" s="635"/>
      <c r="N1350" s="635"/>
      <c r="O1350" s="635"/>
      <c r="P1350" s="635"/>
      <c r="S1350" s="637"/>
      <c r="Z1350" s="637"/>
      <c r="AG1350" s="637"/>
      <c r="AM1350" s="638"/>
      <c r="AR1350" s="639"/>
    </row>
    <row r="1354" spans="1:44" ht="64.900000000000006" customHeight="1">
      <c r="B1354" s="991" t="s">
        <v>81</v>
      </c>
      <c r="C1354" s="991"/>
      <c r="D1354" s="991"/>
      <c r="E1354" s="991"/>
      <c r="F1354" s="991"/>
      <c r="G1354" s="991"/>
      <c r="H1354" s="991"/>
    </row>
    <row r="1355" spans="1:44" ht="17.25" thickBot="1">
      <c r="B1355" s="277"/>
      <c r="C1355" s="277"/>
      <c r="D1355" s="277"/>
      <c r="E1355" s="277"/>
      <c r="F1355" s="277"/>
      <c r="G1355" s="277"/>
    </row>
    <row r="1356" spans="1:44" ht="37.9" customHeight="1" thickBot="1">
      <c r="B1356" s="1002" t="s">
        <v>273</v>
      </c>
      <c r="C1356" s="1003"/>
      <c r="D1356" s="278" t="s">
        <v>456</v>
      </c>
      <c r="E1356" s="278" t="s">
        <v>457</v>
      </c>
      <c r="F1356" s="278" t="s">
        <v>458</v>
      </c>
      <c r="G1356" s="278" t="s">
        <v>459</v>
      </c>
      <c r="H1356" s="279" t="s">
        <v>460</v>
      </c>
      <c r="J1356" s="988"/>
      <c r="K1356" s="988"/>
      <c r="L1356" s="988"/>
      <c r="M1356" s="988"/>
    </row>
    <row r="1357" spans="1:44" ht="88.9" customHeight="1" thickBot="1">
      <c r="B1357" s="1004" t="s">
        <v>110</v>
      </c>
      <c r="C1357" s="1005"/>
      <c r="D1357" s="280">
        <f>D1358+D1359+D1360+D1361</f>
        <v>1214238.3300439999</v>
      </c>
      <c r="E1357" s="280">
        <f>E1358+E1359+E1360+E1361</f>
        <v>848204.91687199997</v>
      </c>
      <c r="F1357" s="280">
        <f>F1358+F1359+F1360+F1361</f>
        <v>461330.96136800002</v>
      </c>
      <c r="G1357" s="280">
        <f>G1358+G1359+G1360+G1361</f>
        <v>1061966.8926039999</v>
      </c>
      <c r="H1357" s="281">
        <f t="shared" ref="H1357:H1364" si="143">SUM(D1357:G1357)</f>
        <v>3585741.1008879999</v>
      </c>
      <c r="I1357" s="282"/>
      <c r="J1357" s="283"/>
      <c r="N1357" s="748"/>
      <c r="O1357" s="748"/>
      <c r="P1357" s="748"/>
      <c r="Q1357" s="748"/>
      <c r="R1357" s="749"/>
      <c r="S1357" s="750"/>
    </row>
    <row r="1358" spans="1:44" ht="117" customHeight="1" thickBot="1">
      <c r="B1358" s="994" t="s">
        <v>233</v>
      </c>
      <c r="C1358" s="995"/>
      <c r="D1358" s="284">
        <f ca="1">'02_Видатки'!E138+'02_Видатки'!E147+'02_Видатки'!E150+'02_Видатки'!E163+'02_Видатки'!E174+'02_Видатки'!E185</f>
        <v>818992.59004399995</v>
      </c>
      <c r="E1358" s="284">
        <f ca="1">'02_Видатки'!F138+'02_Видатки'!F147+'02_Видатки'!F150+'02_Видатки'!F163+'02_Видатки'!F174+'02_Видатки'!F185</f>
        <v>471494.08687200001</v>
      </c>
      <c r="F1358" s="284">
        <f ca="1">'02_Видатки'!G138+'02_Видатки'!G147+'02_Видатки'!G150+'02_Видатки'!G163+'02_Видатки'!G174+'02_Видатки'!G185</f>
        <v>93966.501367999997</v>
      </c>
      <c r="G1358" s="284">
        <f ca="1">'02_Видатки'!H138+'02_Видатки'!H147+'02_Видатки'!H150+'02_Видатки'!H163+'02_Видатки'!H174+'02_Видатки'!H185</f>
        <v>668304.41260399995</v>
      </c>
      <c r="H1358" s="281">
        <f t="shared" si="143"/>
        <v>2052757.5908879999</v>
      </c>
      <c r="I1358" s="282"/>
      <c r="J1358" s="730"/>
      <c r="L1358" s="140" t="s">
        <v>211</v>
      </c>
      <c r="N1358" s="748"/>
      <c r="O1358" s="748"/>
      <c r="P1358" s="748"/>
      <c r="Q1358" s="748"/>
      <c r="R1358" s="749"/>
      <c r="S1358" s="750"/>
    </row>
    <row r="1359" spans="1:44" ht="135.75" customHeight="1">
      <c r="B1359" s="994" t="s">
        <v>91</v>
      </c>
      <c r="C1359" s="995"/>
      <c r="D1359" s="284">
        <f>24999.99+3825+41948.26+3300</f>
        <v>74073.25</v>
      </c>
      <c r="E1359" s="284">
        <f>24999.99+3825+23413.35+3300</f>
        <v>55538.34</v>
      </c>
      <c r="F1359" s="284">
        <f>24999.99+3825+14066.98+3300</f>
        <v>46191.97</v>
      </c>
      <c r="G1359" s="284">
        <f>24999.99+3825+40591+3300-226</f>
        <v>72489.990000000005</v>
      </c>
      <c r="H1359" s="281">
        <f t="shared" si="143"/>
        <v>248293.55</v>
      </c>
      <c r="I1359" s="282"/>
    </row>
    <row r="1360" spans="1:44" ht="156" customHeight="1">
      <c r="B1360" s="994" t="s">
        <v>92</v>
      </c>
      <c r="C1360" s="995"/>
      <c r="D1360" s="284">
        <f>111172.5+17499.99</f>
        <v>128672.49</v>
      </c>
      <c r="E1360" s="284">
        <f>111172.5+17499.99</f>
        <v>128672.49</v>
      </c>
      <c r="F1360" s="284">
        <f>111172.5+17499.99</f>
        <v>128672.49</v>
      </c>
      <c r="G1360" s="284">
        <f>111172.5+17499.99</f>
        <v>128672.49</v>
      </c>
      <c r="H1360" s="285">
        <f t="shared" si="143"/>
        <v>514689.96</v>
      </c>
      <c r="I1360" s="282"/>
    </row>
    <row r="1361" spans="1:44" ht="150" customHeight="1">
      <c r="B1361" s="994" t="s">
        <v>93</v>
      </c>
      <c r="C1361" s="995"/>
      <c r="D1361" s="284">
        <v>192500</v>
      </c>
      <c r="E1361" s="284">
        <v>192500</v>
      </c>
      <c r="F1361" s="284">
        <v>192500</v>
      </c>
      <c r="G1361" s="284">
        <v>192500</v>
      </c>
      <c r="H1361" s="285">
        <f t="shared" si="143"/>
        <v>770000</v>
      </c>
      <c r="I1361" s="282"/>
    </row>
    <row r="1362" spans="1:44" ht="30.6" customHeight="1">
      <c r="B1362" s="996" t="s">
        <v>351</v>
      </c>
      <c r="C1362" s="997"/>
      <c r="D1362" s="284">
        <v>0</v>
      </c>
      <c r="E1362" s="284">
        <v>0</v>
      </c>
      <c r="F1362" s="284">
        <v>0</v>
      </c>
      <c r="G1362" s="284">
        <v>0</v>
      </c>
      <c r="H1362" s="285">
        <f t="shared" si="143"/>
        <v>0</v>
      </c>
      <c r="I1362" s="282"/>
    </row>
    <row r="1363" spans="1:44" ht="28.9" customHeight="1">
      <c r="B1363" s="996" t="s">
        <v>351</v>
      </c>
      <c r="C1363" s="997"/>
      <c r="D1363" s="284">
        <v>0</v>
      </c>
      <c r="E1363" s="284">
        <v>0</v>
      </c>
      <c r="F1363" s="284">
        <v>0</v>
      </c>
      <c r="G1363" s="284">
        <v>0</v>
      </c>
      <c r="H1363" s="285">
        <f t="shared" si="143"/>
        <v>0</v>
      </c>
      <c r="I1363" s="282"/>
    </row>
    <row r="1364" spans="1:44" ht="85.9" customHeight="1">
      <c r="B1364" s="998" t="s">
        <v>453</v>
      </c>
      <c r="C1364" s="999"/>
      <c r="D1364" s="284">
        <v>0</v>
      </c>
      <c r="E1364" s="284">
        <v>0</v>
      </c>
      <c r="F1364" s="284">
        <v>0</v>
      </c>
      <c r="G1364" s="284">
        <v>0</v>
      </c>
      <c r="H1364" s="285">
        <f t="shared" si="143"/>
        <v>0</v>
      </c>
      <c r="I1364" s="282"/>
    </row>
    <row r="1365" spans="1:44" ht="103.9" customHeight="1">
      <c r="B1365" s="998" t="s">
        <v>454</v>
      </c>
      <c r="C1365" s="999"/>
      <c r="D1365" s="284">
        <v>0</v>
      </c>
      <c r="E1365" s="284">
        <v>0</v>
      </c>
      <c r="F1365" s="284">
        <v>0</v>
      </c>
      <c r="G1365" s="284">
        <v>0</v>
      </c>
      <c r="H1365" s="285">
        <f t="shared" ref="H1365:H1371" si="144">SUM(D1365:G1365)</f>
        <v>0</v>
      </c>
      <c r="I1365" s="282"/>
    </row>
    <row r="1366" spans="1:44" ht="87.6" customHeight="1">
      <c r="B1366" s="998" t="s">
        <v>562</v>
      </c>
      <c r="C1366" s="999"/>
      <c r="D1366" s="819">
        <f>9450*3</f>
        <v>28350</v>
      </c>
      <c r="E1366" s="819">
        <f>9450*3</f>
        <v>28350</v>
      </c>
      <c r="F1366" s="819">
        <f>9450*3</f>
        <v>28350</v>
      </c>
      <c r="G1366" s="819">
        <f>9450*3</f>
        <v>28350</v>
      </c>
      <c r="H1366" s="285">
        <f t="shared" si="144"/>
        <v>113400</v>
      </c>
      <c r="I1366" s="282"/>
    </row>
    <row r="1367" spans="1:44" s="140" customFormat="1" ht="87.6" customHeight="1">
      <c r="A1367" s="286"/>
      <c r="B1367" s="992" t="s">
        <v>529</v>
      </c>
      <c r="C1367" s="993"/>
      <c r="D1367" s="284">
        <f>115000*3</f>
        <v>345000</v>
      </c>
      <c r="E1367" s="284">
        <f>115000*3</f>
        <v>345000</v>
      </c>
      <c r="F1367" s="284">
        <f>115000*3</f>
        <v>345000</v>
      </c>
      <c r="G1367" s="284">
        <f>115000*3</f>
        <v>345000</v>
      </c>
      <c r="H1367" s="285">
        <f t="shared" si="144"/>
        <v>1380000</v>
      </c>
      <c r="I1367" s="282"/>
      <c r="J1367" s="137"/>
      <c r="AR1367" s="287"/>
    </row>
    <row r="1368" spans="1:44" s="140" customFormat="1" ht="87.6" customHeight="1">
      <c r="A1368" s="286"/>
      <c r="B1368" s="992" t="s">
        <v>530</v>
      </c>
      <c r="C1368" s="993"/>
      <c r="D1368" s="284">
        <v>5000</v>
      </c>
      <c r="E1368" s="284">
        <v>0</v>
      </c>
      <c r="F1368" s="284">
        <v>0</v>
      </c>
      <c r="G1368" s="284">
        <v>0</v>
      </c>
      <c r="H1368" s="285">
        <f t="shared" si="144"/>
        <v>5000</v>
      </c>
      <c r="I1368" s="288"/>
      <c r="J1368" s="137"/>
      <c r="AR1368" s="287"/>
    </row>
    <row r="1369" spans="1:44" ht="46.9" customHeight="1">
      <c r="B1369" s="998" t="s">
        <v>455</v>
      </c>
      <c r="C1369" s="999"/>
      <c r="D1369" s="284">
        <v>0</v>
      </c>
      <c r="E1369" s="284">
        <v>0</v>
      </c>
      <c r="F1369" s="284">
        <v>0</v>
      </c>
      <c r="G1369" s="284">
        <v>0</v>
      </c>
      <c r="H1369" s="285">
        <f t="shared" si="144"/>
        <v>0</v>
      </c>
      <c r="I1369" s="282"/>
    </row>
    <row r="1370" spans="1:44" ht="73.900000000000006" customHeight="1">
      <c r="B1370" s="998" t="s">
        <v>209</v>
      </c>
      <c r="C1370" s="999"/>
      <c r="D1370" s="819">
        <v>21500</v>
      </c>
      <c r="E1370" s="819">
        <v>7215</v>
      </c>
      <c r="F1370" s="819">
        <v>7215</v>
      </c>
      <c r="G1370" s="819">
        <v>21500</v>
      </c>
      <c r="H1370" s="285">
        <f t="shared" si="144"/>
        <v>57430</v>
      </c>
      <c r="I1370" s="282"/>
    </row>
    <row r="1371" spans="1:44" ht="73.900000000000006" customHeight="1">
      <c r="B1371" s="992" t="s">
        <v>210</v>
      </c>
      <c r="C1371" s="993"/>
      <c r="D1371" s="284">
        <v>0</v>
      </c>
      <c r="E1371" s="284">
        <v>0</v>
      </c>
      <c r="F1371" s="284">
        <v>0</v>
      </c>
      <c r="G1371" s="284">
        <v>0</v>
      </c>
      <c r="H1371" s="285">
        <f t="shared" si="144"/>
        <v>0</v>
      </c>
      <c r="I1371" s="289"/>
    </row>
    <row r="1372" spans="1:44" ht="52.9" customHeight="1" thickBot="1">
      <c r="B1372" s="1000" t="s">
        <v>465</v>
      </c>
      <c r="C1372" s="1001"/>
      <c r="D1372" s="290">
        <f>D1357+D1364+D1365+D1366+D1367+D1368+D1369+D1370+D1371</f>
        <v>1614088.3300439999</v>
      </c>
      <c r="E1372" s="290">
        <f>E1357+E1364+E1365+E1366+E1367+E1368+E1369+E1370+E1371</f>
        <v>1228769.9168719999</v>
      </c>
      <c r="F1372" s="290">
        <f>F1357+F1364+F1365+F1366+F1367+F1368+F1369+F1370+F1371</f>
        <v>841895.96136800002</v>
      </c>
      <c r="G1372" s="290">
        <f>G1357+G1364+G1365+G1366+G1367+G1368+G1369+G1370+G1371</f>
        <v>1456816.8926039999</v>
      </c>
      <c r="H1372" s="291">
        <f>SUM(D1372:G1372)</f>
        <v>5141571.1008879999</v>
      </c>
    </row>
  </sheetData>
  <mergeCells count="4316">
    <mergeCell ref="AR366:AR370"/>
    <mergeCell ref="B20:D21"/>
    <mergeCell ref="E20:E21"/>
    <mergeCell ref="F20:F21"/>
    <mergeCell ref="G20:G21"/>
    <mergeCell ref="H20:H21"/>
    <mergeCell ref="I20:I21"/>
    <mergeCell ref="B22:D23"/>
    <mergeCell ref="E22:E23"/>
    <mergeCell ref="F22:F23"/>
    <mergeCell ref="AM372:AM377"/>
    <mergeCell ref="U360:Y360"/>
    <mergeCell ref="H22:H23"/>
    <mergeCell ref="I22:I23"/>
    <mergeCell ref="G153:K153"/>
    <mergeCell ref="AK366:AK377"/>
    <mergeCell ref="AL366:AL377"/>
    <mergeCell ref="AM366:AM370"/>
    <mergeCell ref="AB362:AF362"/>
    <mergeCell ref="U363:Y363"/>
    <mergeCell ref="G360:K360"/>
    <mergeCell ref="AA353:AA364"/>
    <mergeCell ref="T353:T364"/>
    <mergeCell ref="M353:M364"/>
    <mergeCell ref="U359:Y359"/>
    <mergeCell ref="N359:R359"/>
    <mergeCell ref="G359:K359"/>
    <mergeCell ref="N363:R363"/>
    <mergeCell ref="B366:B377"/>
    <mergeCell ref="C353:C364"/>
    <mergeCell ref="B353:B364"/>
    <mergeCell ref="C366:C377"/>
    <mergeCell ref="E353:E364"/>
    <mergeCell ref="D353:D364"/>
    <mergeCell ref="AQ132:AQ136"/>
    <mergeCell ref="AR132:AR136"/>
    <mergeCell ref="B145:B156"/>
    <mergeCell ref="C145:C156"/>
    <mergeCell ref="AK145:AK156"/>
    <mergeCell ref="AL145:AL156"/>
    <mergeCell ref="AM145:AM149"/>
    <mergeCell ref="AN145:AN149"/>
    <mergeCell ref="AM151:AM156"/>
    <mergeCell ref="G155:K155"/>
    <mergeCell ref="AR1185:AR1189"/>
    <mergeCell ref="AH1172:AH1183"/>
    <mergeCell ref="AJ1172:AJ1183"/>
    <mergeCell ref="AK1172:AK1183"/>
    <mergeCell ref="AL1172:AL1183"/>
    <mergeCell ref="AR1172:AR1176"/>
    <mergeCell ref="AP1172:AP1176"/>
    <mergeCell ref="AQ1172:AQ1176"/>
    <mergeCell ref="AN1185:AN1189"/>
    <mergeCell ref="AO1185:AO1189"/>
    <mergeCell ref="AB1179:AF1179"/>
    <mergeCell ref="T1172:T1183"/>
    <mergeCell ref="AA1172:AA1183"/>
    <mergeCell ref="G1178:K1178"/>
    <mergeCell ref="G1183:K1183"/>
    <mergeCell ref="N1183:R1183"/>
    <mergeCell ref="G1180:K1180"/>
    <mergeCell ref="AO366:AO370"/>
    <mergeCell ref="AR353:AR357"/>
    <mergeCell ref="AQ353:AQ357"/>
    <mergeCell ref="AJ353:AJ364"/>
    <mergeCell ref="AH353:AH364"/>
    <mergeCell ref="AB1178:AF1178"/>
    <mergeCell ref="AM1172:AM1176"/>
    <mergeCell ref="AN1172:AN1176"/>
    <mergeCell ref="AO1172:AO1176"/>
    <mergeCell ref="AM1178:AM1183"/>
    <mergeCell ref="M1198:M1209"/>
    <mergeCell ref="AB1191:AF1191"/>
    <mergeCell ref="G1192:K1192"/>
    <mergeCell ref="AB363:AF363"/>
    <mergeCell ref="N360:R360"/>
    <mergeCell ref="AB359:AF359"/>
    <mergeCell ref="AB1180:AF1180"/>
    <mergeCell ref="G1179:K1179"/>
    <mergeCell ref="N1179:R1179"/>
    <mergeCell ref="U1179:Y1179"/>
    <mergeCell ref="G1206:K1206"/>
    <mergeCell ref="G1209:K1209"/>
    <mergeCell ref="N1205:R1205"/>
    <mergeCell ref="AP366:AP370"/>
    <mergeCell ref="AK353:AK364"/>
    <mergeCell ref="AL353:AL364"/>
    <mergeCell ref="G1205:K1205"/>
    <mergeCell ref="AM476:AM481"/>
    <mergeCell ref="AM463:AM468"/>
    <mergeCell ref="AB1204:AF1204"/>
    <mergeCell ref="AQ1185:AQ1189"/>
    <mergeCell ref="AH1185:AH1196"/>
    <mergeCell ref="AJ1185:AJ1196"/>
    <mergeCell ref="AK1185:AK1196"/>
    <mergeCell ref="AL1185:AL1196"/>
    <mergeCell ref="U1204:Y1204"/>
    <mergeCell ref="AP1198:AP1202"/>
    <mergeCell ref="AQ1198:AQ1202"/>
    <mergeCell ref="AB1183:AF1183"/>
    <mergeCell ref="AB1192:AF1192"/>
    <mergeCell ref="AO1198:AO1202"/>
    <mergeCell ref="AN1198:AN1202"/>
    <mergeCell ref="AM1198:AM1202"/>
    <mergeCell ref="AL1198:AL1209"/>
    <mergeCell ref="AK1198:AK1209"/>
    <mergeCell ref="AP1185:AP1189"/>
    <mergeCell ref="AB1169:AF1169"/>
    <mergeCell ref="AR1198:AR1202"/>
    <mergeCell ref="G1207:K1207"/>
    <mergeCell ref="N1207:R1207"/>
    <mergeCell ref="U1207:Y1207"/>
    <mergeCell ref="AB1207:AF1207"/>
    <mergeCell ref="AA1198:AA1209"/>
    <mergeCell ref="T1198:T1209"/>
    <mergeCell ref="AB1193:AF1193"/>
    <mergeCell ref="AB1209:AF1209"/>
    <mergeCell ref="N1208:R1208"/>
    <mergeCell ref="G1208:K1208"/>
    <mergeCell ref="E1198:E1209"/>
    <mergeCell ref="D1198:D1209"/>
    <mergeCell ref="C1198:C1209"/>
    <mergeCell ref="B1198:B1209"/>
    <mergeCell ref="N1204:R1204"/>
    <mergeCell ref="G1204:K1204"/>
    <mergeCell ref="N1209:R1209"/>
    <mergeCell ref="N1206:R1206"/>
    <mergeCell ref="AB1206:AF1206"/>
    <mergeCell ref="U1206:Y1206"/>
    <mergeCell ref="AJ1198:AJ1209"/>
    <mergeCell ref="AH1198:AH1209"/>
    <mergeCell ref="AB1205:AF1205"/>
    <mergeCell ref="U1205:Y1205"/>
    <mergeCell ref="AB1208:AF1208"/>
    <mergeCell ref="U1208:Y1208"/>
    <mergeCell ref="U1209:Y1209"/>
    <mergeCell ref="N1191:R1191"/>
    <mergeCell ref="AB1194:AF1194"/>
    <mergeCell ref="AB1196:AF1196"/>
    <mergeCell ref="AB1195:AF1195"/>
    <mergeCell ref="C1172:C1183"/>
    <mergeCell ref="D1172:D1183"/>
    <mergeCell ref="E1172:E1183"/>
    <mergeCell ref="AA1185:AA1196"/>
    <mergeCell ref="N1192:R1192"/>
    <mergeCell ref="U1192:Y1192"/>
    <mergeCell ref="U1191:Y1191"/>
    <mergeCell ref="B1185:B1196"/>
    <mergeCell ref="U1183:Y1183"/>
    <mergeCell ref="N1178:R1178"/>
    <mergeCell ref="U1178:Y1178"/>
    <mergeCell ref="G1196:K1196"/>
    <mergeCell ref="N1196:R1196"/>
    <mergeCell ref="U1196:Y1196"/>
    <mergeCell ref="G1195:K1195"/>
    <mergeCell ref="G1191:K1191"/>
    <mergeCell ref="C1185:C1196"/>
    <mergeCell ref="D1185:D1196"/>
    <mergeCell ref="E1185:E1196"/>
    <mergeCell ref="N1182:R1182"/>
    <mergeCell ref="N1195:R1195"/>
    <mergeCell ref="U1195:Y1195"/>
    <mergeCell ref="U1194:Y1194"/>
    <mergeCell ref="M1185:M1196"/>
    <mergeCell ref="T1185:T1196"/>
    <mergeCell ref="U1193:Y1193"/>
    <mergeCell ref="A2:L2"/>
    <mergeCell ref="G1194:K1194"/>
    <mergeCell ref="N1194:R1194"/>
    <mergeCell ref="G22:G23"/>
    <mergeCell ref="B1146:B1157"/>
    <mergeCell ref="C1146:C1157"/>
    <mergeCell ref="D1146:D1157"/>
    <mergeCell ref="G1193:K1193"/>
    <mergeCell ref="N1193:R1193"/>
    <mergeCell ref="G374:K374"/>
    <mergeCell ref="N374:R374"/>
    <mergeCell ref="U374:Y374"/>
    <mergeCell ref="D366:D377"/>
    <mergeCell ref="E366:E377"/>
    <mergeCell ref="G375:K375"/>
    <mergeCell ref="M366:M377"/>
    <mergeCell ref="N372:R372"/>
    <mergeCell ref="U372:Y372"/>
    <mergeCell ref="U1180:Y1180"/>
    <mergeCell ref="G1169:K1169"/>
    <mergeCell ref="N1169:R1169"/>
    <mergeCell ref="U1169:Y1169"/>
    <mergeCell ref="N1170:R1170"/>
    <mergeCell ref="U1170:Y1170"/>
    <mergeCell ref="N1180:R1180"/>
    <mergeCell ref="M1172:M1183"/>
    <mergeCell ref="B1172:B1183"/>
    <mergeCell ref="B1159:B1170"/>
    <mergeCell ref="C1159:C1170"/>
    <mergeCell ref="D1159:D1170"/>
    <mergeCell ref="G1142:K1142"/>
    <mergeCell ref="N1142:R1142"/>
    <mergeCell ref="B1133:B1144"/>
    <mergeCell ref="C1133:C1144"/>
    <mergeCell ref="E1159:E1170"/>
    <mergeCell ref="E1146:E1157"/>
    <mergeCell ref="M1146:M1157"/>
    <mergeCell ref="G1182:K1182"/>
    <mergeCell ref="G1153:K1153"/>
    <mergeCell ref="G1154:K1154"/>
    <mergeCell ref="G1157:K1157"/>
    <mergeCell ref="G1168:K1168"/>
    <mergeCell ref="U1182:Y1182"/>
    <mergeCell ref="AB1182:AF1182"/>
    <mergeCell ref="G1181:K1181"/>
    <mergeCell ref="N1181:R1181"/>
    <mergeCell ref="U1181:Y1181"/>
    <mergeCell ref="AB1181:AF1181"/>
    <mergeCell ref="AR1159:AR1163"/>
    <mergeCell ref="G1165:K1165"/>
    <mergeCell ref="N1165:R1165"/>
    <mergeCell ref="U1165:Y1165"/>
    <mergeCell ref="AB1165:AF1165"/>
    <mergeCell ref="AK1159:AK1170"/>
    <mergeCell ref="AL1159:AL1170"/>
    <mergeCell ref="AM1159:AM1163"/>
    <mergeCell ref="AN1159:AN1163"/>
    <mergeCell ref="AB1168:AF1168"/>
    <mergeCell ref="AB1166:AF1166"/>
    <mergeCell ref="G1167:K1167"/>
    <mergeCell ref="N1167:R1167"/>
    <mergeCell ref="U1167:Y1167"/>
    <mergeCell ref="AB1167:AF1167"/>
    <mergeCell ref="AQ1159:AQ1163"/>
    <mergeCell ref="AP1159:AP1163"/>
    <mergeCell ref="AO1159:AO1163"/>
    <mergeCell ref="U1166:Y1166"/>
    <mergeCell ref="G1166:K1166"/>
    <mergeCell ref="N1166:R1166"/>
    <mergeCell ref="M1159:M1170"/>
    <mergeCell ref="T1159:T1170"/>
    <mergeCell ref="AA1159:AA1170"/>
    <mergeCell ref="G1170:K1170"/>
    <mergeCell ref="AB1170:AF1170"/>
    <mergeCell ref="AO1146:AO1150"/>
    <mergeCell ref="AP1146:AP1150"/>
    <mergeCell ref="AQ1146:AQ1150"/>
    <mergeCell ref="AH1146:AH1157"/>
    <mergeCell ref="AJ1146:AJ1157"/>
    <mergeCell ref="AK1146:AK1157"/>
    <mergeCell ref="AL1146:AL1157"/>
    <mergeCell ref="N1153:R1153"/>
    <mergeCell ref="U1153:Y1153"/>
    <mergeCell ref="AB1153:AF1153"/>
    <mergeCell ref="AH1159:AH1170"/>
    <mergeCell ref="AB1155:AF1155"/>
    <mergeCell ref="N1154:R1154"/>
    <mergeCell ref="U1154:Y1154"/>
    <mergeCell ref="AB1154:AF1154"/>
    <mergeCell ref="N1157:R1157"/>
    <mergeCell ref="U1157:Y1157"/>
    <mergeCell ref="AJ1159:AJ1170"/>
    <mergeCell ref="AR1146:AR1150"/>
    <mergeCell ref="G1152:K1152"/>
    <mergeCell ref="N1152:R1152"/>
    <mergeCell ref="U1152:Y1152"/>
    <mergeCell ref="AB1152:AF1152"/>
    <mergeCell ref="AN1146:AN1150"/>
    <mergeCell ref="G1155:K1155"/>
    <mergeCell ref="N1155:R1155"/>
    <mergeCell ref="U1155:Y1155"/>
    <mergeCell ref="B1120:B1131"/>
    <mergeCell ref="C1120:C1131"/>
    <mergeCell ref="D1120:D1131"/>
    <mergeCell ref="E1120:E1131"/>
    <mergeCell ref="AB1157:AF1157"/>
    <mergeCell ref="G1156:K1156"/>
    <mergeCell ref="N1156:R1156"/>
    <mergeCell ref="U1156:Y1156"/>
    <mergeCell ref="T1146:T1157"/>
    <mergeCell ref="AA1146:AA1157"/>
    <mergeCell ref="AR1133:AR1137"/>
    <mergeCell ref="G1139:K1139"/>
    <mergeCell ref="N1139:R1139"/>
    <mergeCell ref="U1139:Y1139"/>
    <mergeCell ref="AB1139:AF1139"/>
    <mergeCell ref="AN1133:AN1137"/>
    <mergeCell ref="AO1133:AO1137"/>
    <mergeCell ref="AP1133:AP1137"/>
    <mergeCell ref="AQ1133:AQ1137"/>
    <mergeCell ref="AH1133:AH1144"/>
    <mergeCell ref="AB1142:AF1142"/>
    <mergeCell ref="G1143:K1143"/>
    <mergeCell ref="N1143:R1143"/>
    <mergeCell ref="U1143:Y1143"/>
    <mergeCell ref="AB1143:AF1143"/>
    <mergeCell ref="AB1140:AF1140"/>
    <mergeCell ref="G1141:K1141"/>
    <mergeCell ref="N1141:R1141"/>
    <mergeCell ref="D1133:D1144"/>
    <mergeCell ref="E1133:E1144"/>
    <mergeCell ref="AA1120:AA1131"/>
    <mergeCell ref="G1140:K1140"/>
    <mergeCell ref="N1140:R1140"/>
    <mergeCell ref="M1133:M1144"/>
    <mergeCell ref="T1133:T1144"/>
    <mergeCell ref="M1120:M1131"/>
    <mergeCell ref="T1120:T1131"/>
    <mergeCell ref="U1142:Y1142"/>
    <mergeCell ref="AA1133:AA1144"/>
    <mergeCell ref="G1144:K1144"/>
    <mergeCell ref="N1144:R1144"/>
    <mergeCell ref="U1144:Y1144"/>
    <mergeCell ref="U1140:Y1140"/>
    <mergeCell ref="AB1141:AF1141"/>
    <mergeCell ref="U1141:Y1141"/>
    <mergeCell ref="G1127:K1127"/>
    <mergeCell ref="N1127:R1127"/>
    <mergeCell ref="U1127:Y1127"/>
    <mergeCell ref="AB1127:AF1127"/>
    <mergeCell ref="G1129:K1129"/>
    <mergeCell ref="N1129:R1129"/>
    <mergeCell ref="AB1144:AF1144"/>
    <mergeCell ref="AO1120:AO1124"/>
    <mergeCell ref="AP1120:AP1124"/>
    <mergeCell ref="AH1120:AH1131"/>
    <mergeCell ref="AJ1120:AJ1131"/>
    <mergeCell ref="AK1120:AK1131"/>
    <mergeCell ref="AL1120:AL1131"/>
    <mergeCell ref="AM1120:AM1124"/>
    <mergeCell ref="AN1120:AN1124"/>
    <mergeCell ref="AB1130:AF1130"/>
    <mergeCell ref="G1128:K1128"/>
    <mergeCell ref="N1128:R1128"/>
    <mergeCell ref="U1128:Y1128"/>
    <mergeCell ref="AB1128:AF1128"/>
    <mergeCell ref="AQ1120:AQ1124"/>
    <mergeCell ref="AR1120:AR1124"/>
    <mergeCell ref="G1126:K1126"/>
    <mergeCell ref="N1126:R1126"/>
    <mergeCell ref="U1126:Y1126"/>
    <mergeCell ref="AB1126:AF1126"/>
    <mergeCell ref="G1131:K1131"/>
    <mergeCell ref="N1131:R1131"/>
    <mergeCell ref="U1131:Y1131"/>
    <mergeCell ref="AB1131:AF1131"/>
    <mergeCell ref="U1129:Y1129"/>
    <mergeCell ref="AB1129:AF1129"/>
    <mergeCell ref="G1130:K1130"/>
    <mergeCell ref="N1130:R1130"/>
    <mergeCell ref="U1130:Y1130"/>
    <mergeCell ref="AQ1107:AQ1111"/>
    <mergeCell ref="AR1107:AR1111"/>
    <mergeCell ref="G1113:K1113"/>
    <mergeCell ref="N1113:R1113"/>
    <mergeCell ref="U1113:Y1113"/>
    <mergeCell ref="AB1113:AF1113"/>
    <mergeCell ref="AM1107:AM1111"/>
    <mergeCell ref="AN1107:AN1111"/>
    <mergeCell ref="AO1107:AO1111"/>
    <mergeCell ref="AP1107:AP1111"/>
    <mergeCell ref="B1107:B1118"/>
    <mergeCell ref="C1107:C1118"/>
    <mergeCell ref="D1107:D1118"/>
    <mergeCell ref="E1107:E1118"/>
    <mergeCell ref="AB1114:AF1114"/>
    <mergeCell ref="G1115:K1115"/>
    <mergeCell ref="N1115:R1115"/>
    <mergeCell ref="U1115:Y1115"/>
    <mergeCell ref="AB1115:AF1115"/>
    <mergeCell ref="U1114:Y1114"/>
    <mergeCell ref="G1114:K1114"/>
    <mergeCell ref="N1114:R1114"/>
    <mergeCell ref="M1107:M1118"/>
    <mergeCell ref="T1107:T1118"/>
    <mergeCell ref="AA1107:AA1118"/>
    <mergeCell ref="G1118:K1118"/>
    <mergeCell ref="N1118:R1118"/>
    <mergeCell ref="U1118:Y1118"/>
    <mergeCell ref="G1117:K1117"/>
    <mergeCell ref="N1117:R1117"/>
    <mergeCell ref="AH1107:AH1118"/>
    <mergeCell ref="AJ1107:AJ1118"/>
    <mergeCell ref="AK1107:AK1118"/>
    <mergeCell ref="AB1118:AF1118"/>
    <mergeCell ref="T1094:T1105"/>
    <mergeCell ref="AA1094:AA1105"/>
    <mergeCell ref="AB1116:AF1116"/>
    <mergeCell ref="U1117:Y1117"/>
    <mergeCell ref="AB1117:AF1117"/>
    <mergeCell ref="U1116:Y1116"/>
    <mergeCell ref="M1094:M1105"/>
    <mergeCell ref="AB1104:AF1104"/>
    <mergeCell ref="AO1094:AO1098"/>
    <mergeCell ref="AP1094:AP1098"/>
    <mergeCell ref="B1094:B1105"/>
    <mergeCell ref="C1094:C1105"/>
    <mergeCell ref="D1094:D1105"/>
    <mergeCell ref="E1094:E1105"/>
    <mergeCell ref="N1101:R1101"/>
    <mergeCell ref="U1101:Y1101"/>
    <mergeCell ref="AB1101:AF1101"/>
    <mergeCell ref="AQ1094:AQ1098"/>
    <mergeCell ref="AH1094:AH1105"/>
    <mergeCell ref="AJ1094:AJ1105"/>
    <mergeCell ref="AK1094:AK1105"/>
    <mergeCell ref="AL1094:AL1105"/>
    <mergeCell ref="U1103:Y1103"/>
    <mergeCell ref="AB1103:AF1103"/>
    <mergeCell ref="AR1094:AR1098"/>
    <mergeCell ref="G1100:K1100"/>
    <mergeCell ref="N1100:R1100"/>
    <mergeCell ref="U1100:Y1100"/>
    <mergeCell ref="AB1100:AF1100"/>
    <mergeCell ref="AN1094:AN1098"/>
    <mergeCell ref="AM1100:AM1105"/>
    <mergeCell ref="G1101:K1101"/>
    <mergeCell ref="G1105:K1105"/>
    <mergeCell ref="N1105:R1105"/>
    <mergeCell ref="U1105:Y1105"/>
    <mergeCell ref="AB1105:AF1105"/>
    <mergeCell ref="G1102:K1102"/>
    <mergeCell ref="N1102:R1102"/>
    <mergeCell ref="U1102:Y1102"/>
    <mergeCell ref="AB1102:AF1102"/>
    <mergeCell ref="G1103:K1103"/>
    <mergeCell ref="N1103:R1103"/>
    <mergeCell ref="G1104:K1104"/>
    <mergeCell ref="N1104:R1104"/>
    <mergeCell ref="U1104:Y1104"/>
    <mergeCell ref="AR1081:AR1085"/>
    <mergeCell ref="G1087:K1087"/>
    <mergeCell ref="N1087:R1087"/>
    <mergeCell ref="U1087:Y1087"/>
    <mergeCell ref="AB1087:AF1087"/>
    <mergeCell ref="AN1081:AN1085"/>
    <mergeCell ref="AO1081:AO1085"/>
    <mergeCell ref="AP1081:AP1085"/>
    <mergeCell ref="AQ1081:AQ1085"/>
    <mergeCell ref="AH1081:AH1092"/>
    <mergeCell ref="AB1090:AF1090"/>
    <mergeCell ref="AB1088:AF1088"/>
    <mergeCell ref="AJ1081:AJ1092"/>
    <mergeCell ref="AK1081:AK1092"/>
    <mergeCell ref="AL1081:AL1092"/>
    <mergeCell ref="AB1092:AF1092"/>
    <mergeCell ref="AM1087:AM1092"/>
    <mergeCell ref="U1089:Y1089"/>
    <mergeCell ref="AB1089:AF1089"/>
    <mergeCell ref="G1091:K1091"/>
    <mergeCell ref="N1091:R1091"/>
    <mergeCell ref="U1091:Y1091"/>
    <mergeCell ref="AB1091:AF1091"/>
    <mergeCell ref="G1092:K1092"/>
    <mergeCell ref="N1092:R1092"/>
    <mergeCell ref="U1092:Y1092"/>
    <mergeCell ref="U1088:Y1088"/>
    <mergeCell ref="B1081:B1092"/>
    <mergeCell ref="C1081:C1092"/>
    <mergeCell ref="D1081:D1092"/>
    <mergeCell ref="E1081:E1092"/>
    <mergeCell ref="G1089:K1089"/>
    <mergeCell ref="N1089:R1089"/>
    <mergeCell ref="B1068:B1079"/>
    <mergeCell ref="C1068:C1079"/>
    <mergeCell ref="D1068:D1079"/>
    <mergeCell ref="E1068:E1079"/>
    <mergeCell ref="AA1068:AA1079"/>
    <mergeCell ref="G1088:K1088"/>
    <mergeCell ref="N1088:R1088"/>
    <mergeCell ref="M1081:M1092"/>
    <mergeCell ref="T1081:T1092"/>
    <mergeCell ref="AA1081:AA1092"/>
    <mergeCell ref="U1075:Y1075"/>
    <mergeCell ref="AB1075:AF1075"/>
    <mergeCell ref="AO1068:AO1072"/>
    <mergeCell ref="AP1068:AP1072"/>
    <mergeCell ref="AQ1068:AQ1072"/>
    <mergeCell ref="AH1068:AH1079"/>
    <mergeCell ref="AJ1068:AJ1079"/>
    <mergeCell ref="AK1068:AK1079"/>
    <mergeCell ref="AL1068:AL1079"/>
    <mergeCell ref="AM1074:AM1079"/>
    <mergeCell ref="AR1068:AR1072"/>
    <mergeCell ref="G1074:K1074"/>
    <mergeCell ref="N1074:R1074"/>
    <mergeCell ref="U1074:Y1074"/>
    <mergeCell ref="AB1074:AF1074"/>
    <mergeCell ref="AN1068:AN1072"/>
    <mergeCell ref="M1068:M1079"/>
    <mergeCell ref="T1068:T1079"/>
    <mergeCell ref="U1078:Y1078"/>
    <mergeCell ref="AB1078:AF1078"/>
    <mergeCell ref="G1079:K1079"/>
    <mergeCell ref="N1079:R1079"/>
    <mergeCell ref="U1079:Y1079"/>
    <mergeCell ref="AB1079:AF1079"/>
    <mergeCell ref="G1076:K1076"/>
    <mergeCell ref="N1076:R1076"/>
    <mergeCell ref="U1076:Y1076"/>
    <mergeCell ref="AB1076:AF1076"/>
    <mergeCell ref="G1077:K1077"/>
    <mergeCell ref="N1077:R1077"/>
    <mergeCell ref="AQ1055:AQ1059"/>
    <mergeCell ref="AR1055:AR1059"/>
    <mergeCell ref="G1061:K1061"/>
    <mergeCell ref="N1061:R1061"/>
    <mergeCell ref="U1061:Y1061"/>
    <mergeCell ref="AB1061:AF1061"/>
    <mergeCell ref="AM1055:AM1059"/>
    <mergeCell ref="AN1055:AN1059"/>
    <mergeCell ref="AB1065:AF1065"/>
    <mergeCell ref="AB1062:AF1062"/>
    <mergeCell ref="G1063:K1063"/>
    <mergeCell ref="N1063:R1063"/>
    <mergeCell ref="G1078:K1078"/>
    <mergeCell ref="N1078:R1078"/>
    <mergeCell ref="U1077:Y1077"/>
    <mergeCell ref="AB1077:AF1077"/>
    <mergeCell ref="G1075:K1075"/>
    <mergeCell ref="N1075:R1075"/>
    <mergeCell ref="AB1063:AF1063"/>
    <mergeCell ref="U1062:Y1062"/>
    <mergeCell ref="G1064:K1064"/>
    <mergeCell ref="N1064:R1064"/>
    <mergeCell ref="AO1055:AO1059"/>
    <mergeCell ref="AP1055:AP1059"/>
    <mergeCell ref="AB1064:AF1064"/>
    <mergeCell ref="N1066:R1066"/>
    <mergeCell ref="U1066:Y1066"/>
    <mergeCell ref="B1055:B1066"/>
    <mergeCell ref="C1055:C1066"/>
    <mergeCell ref="D1055:D1066"/>
    <mergeCell ref="E1055:E1066"/>
    <mergeCell ref="U1063:Y1063"/>
    <mergeCell ref="G1065:K1065"/>
    <mergeCell ref="N1065:R1065"/>
    <mergeCell ref="U1065:Y1065"/>
    <mergeCell ref="AL1055:AL1066"/>
    <mergeCell ref="AM1061:AM1066"/>
    <mergeCell ref="T1042:T1053"/>
    <mergeCell ref="AA1042:AA1053"/>
    <mergeCell ref="G1062:K1062"/>
    <mergeCell ref="N1062:R1062"/>
    <mergeCell ref="M1055:M1066"/>
    <mergeCell ref="T1055:T1066"/>
    <mergeCell ref="AA1055:AA1066"/>
    <mergeCell ref="G1066:K1066"/>
    <mergeCell ref="AB1066:AF1066"/>
    <mergeCell ref="B1042:B1053"/>
    <mergeCell ref="C1042:C1053"/>
    <mergeCell ref="D1042:D1053"/>
    <mergeCell ref="E1042:E1053"/>
    <mergeCell ref="M1042:M1053"/>
    <mergeCell ref="AB1052:AF1052"/>
    <mergeCell ref="G1049:K1049"/>
    <mergeCell ref="N1049:R1049"/>
    <mergeCell ref="U1049:Y1049"/>
    <mergeCell ref="AH1055:AH1066"/>
    <mergeCell ref="AJ1055:AJ1066"/>
    <mergeCell ref="AQ1042:AQ1046"/>
    <mergeCell ref="AH1042:AH1053"/>
    <mergeCell ref="AJ1042:AJ1053"/>
    <mergeCell ref="AK1042:AK1053"/>
    <mergeCell ref="AL1042:AL1053"/>
    <mergeCell ref="AO1042:AO1046"/>
    <mergeCell ref="AP1042:AP1046"/>
    <mergeCell ref="AK1055:AK1066"/>
    <mergeCell ref="AB1049:AF1049"/>
    <mergeCell ref="AR1042:AR1046"/>
    <mergeCell ref="G1048:K1048"/>
    <mergeCell ref="N1048:R1048"/>
    <mergeCell ref="U1048:Y1048"/>
    <mergeCell ref="AB1048:AF1048"/>
    <mergeCell ref="AN1042:AN1046"/>
    <mergeCell ref="AM1042:AM1046"/>
    <mergeCell ref="G1053:K1053"/>
    <mergeCell ref="N1053:R1053"/>
    <mergeCell ref="U1053:Y1053"/>
    <mergeCell ref="AB1053:AF1053"/>
    <mergeCell ref="G1050:K1050"/>
    <mergeCell ref="N1050:R1050"/>
    <mergeCell ref="U1050:Y1050"/>
    <mergeCell ref="AB1050:AF1050"/>
    <mergeCell ref="G1051:K1051"/>
    <mergeCell ref="N1051:R1051"/>
    <mergeCell ref="U1052:Y1052"/>
    <mergeCell ref="AL1029:AL1040"/>
    <mergeCell ref="AB1040:AF1040"/>
    <mergeCell ref="U1037:Y1037"/>
    <mergeCell ref="AB1037:AF1037"/>
    <mergeCell ref="U1038:Y1038"/>
    <mergeCell ref="AJ1029:AJ1040"/>
    <mergeCell ref="AK1029:AK1040"/>
    <mergeCell ref="U1051:Y1051"/>
    <mergeCell ref="AB1051:AF1051"/>
    <mergeCell ref="B1016:B1027"/>
    <mergeCell ref="C1016:C1027"/>
    <mergeCell ref="D1016:D1027"/>
    <mergeCell ref="E1016:E1027"/>
    <mergeCell ref="G1052:K1052"/>
    <mergeCell ref="N1052:R1052"/>
    <mergeCell ref="AR1029:AR1033"/>
    <mergeCell ref="G1035:K1035"/>
    <mergeCell ref="N1035:R1035"/>
    <mergeCell ref="U1035:Y1035"/>
    <mergeCell ref="AB1035:AF1035"/>
    <mergeCell ref="AN1029:AN1033"/>
    <mergeCell ref="AO1029:AO1033"/>
    <mergeCell ref="AP1029:AP1033"/>
    <mergeCell ref="AQ1029:AQ1033"/>
    <mergeCell ref="AH1029:AH1040"/>
    <mergeCell ref="AB1038:AF1038"/>
    <mergeCell ref="G1039:K1039"/>
    <mergeCell ref="N1039:R1039"/>
    <mergeCell ref="U1039:Y1039"/>
    <mergeCell ref="AB1039:AF1039"/>
    <mergeCell ref="AB1036:AF1036"/>
    <mergeCell ref="G1037:K1037"/>
    <mergeCell ref="N1037:R1037"/>
    <mergeCell ref="G1040:K1040"/>
    <mergeCell ref="N1040:R1040"/>
    <mergeCell ref="U1040:Y1040"/>
    <mergeCell ref="U1036:Y1036"/>
    <mergeCell ref="B1029:B1040"/>
    <mergeCell ref="C1029:C1040"/>
    <mergeCell ref="D1029:D1040"/>
    <mergeCell ref="E1029:E1040"/>
    <mergeCell ref="AN158:AN162"/>
    <mergeCell ref="N169:R169"/>
    <mergeCell ref="U166:Y166"/>
    <mergeCell ref="AB166:AF166"/>
    <mergeCell ref="N167:R167"/>
    <mergeCell ref="U167:Y167"/>
    <mergeCell ref="AB207:AF207"/>
    <mergeCell ref="G208:K208"/>
    <mergeCell ref="N205:R205"/>
    <mergeCell ref="N155:R155"/>
    <mergeCell ref="U155:Y155"/>
    <mergeCell ref="AB155:AF155"/>
    <mergeCell ref="AB156:AF156"/>
    <mergeCell ref="T145:T156"/>
    <mergeCell ref="AA145:AA156"/>
    <mergeCell ref="AH145:AH156"/>
    <mergeCell ref="G207:K207"/>
    <mergeCell ref="N207:R207"/>
    <mergeCell ref="U206:Y206"/>
    <mergeCell ref="AB206:AF206"/>
    <mergeCell ref="T197:T208"/>
    <mergeCell ref="AA197:AA208"/>
    <mergeCell ref="G1022:K1022"/>
    <mergeCell ref="N1022:R1022"/>
    <mergeCell ref="U1022:Y1022"/>
    <mergeCell ref="AB1022:AF1022"/>
    <mergeCell ref="AJ1016:AJ1027"/>
    <mergeCell ref="AK1016:AK1027"/>
    <mergeCell ref="AA1016:AA1027"/>
    <mergeCell ref="M1016:M1027"/>
    <mergeCell ref="T1016:T1027"/>
    <mergeCell ref="AN1016:AN1020"/>
    <mergeCell ref="AO1016:AO1020"/>
    <mergeCell ref="AP1016:AP1020"/>
    <mergeCell ref="U168:Y168"/>
    <mergeCell ref="AN353:AN357"/>
    <mergeCell ref="AO353:AO357"/>
    <mergeCell ref="AP353:AP357"/>
    <mergeCell ref="AM359:AM364"/>
    <mergeCell ref="AN366:AN370"/>
    <mergeCell ref="AH184:AH195"/>
    <mergeCell ref="AP171:AP175"/>
    <mergeCell ref="AO184:AO188"/>
    <mergeCell ref="AB182:AF182"/>
    <mergeCell ref="AK171:AK182"/>
    <mergeCell ref="AL171:AL182"/>
    <mergeCell ref="AM171:AM175"/>
    <mergeCell ref="AN171:AN175"/>
    <mergeCell ref="D145:D156"/>
    <mergeCell ref="E145:E156"/>
    <mergeCell ref="M145:M156"/>
    <mergeCell ref="N154:R154"/>
    <mergeCell ref="G168:K168"/>
    <mergeCell ref="N168:R168"/>
    <mergeCell ref="M158:M169"/>
    <mergeCell ref="G156:K156"/>
    <mergeCell ref="N156:R156"/>
    <mergeCell ref="AQ145:AQ149"/>
    <mergeCell ref="AR145:AR149"/>
    <mergeCell ref="AO145:AO149"/>
    <mergeCell ref="AP145:AP149"/>
    <mergeCell ref="U154:Y154"/>
    <mergeCell ref="AB154:AF154"/>
    <mergeCell ref="AJ145:AJ156"/>
    <mergeCell ref="U151:Y151"/>
    <mergeCell ref="AB151:AF151"/>
    <mergeCell ref="U156:Y156"/>
    <mergeCell ref="G154:K154"/>
    <mergeCell ref="N140:R140"/>
    <mergeCell ref="U142:Y142"/>
    <mergeCell ref="AB142:AF142"/>
    <mergeCell ref="G141:K141"/>
    <mergeCell ref="N141:R141"/>
    <mergeCell ref="U141:Y141"/>
    <mergeCell ref="AB141:AF141"/>
    <mergeCell ref="G151:K151"/>
    <mergeCell ref="N151:R151"/>
    <mergeCell ref="G139:K139"/>
    <mergeCell ref="N139:R139"/>
    <mergeCell ref="U139:Y139"/>
    <mergeCell ref="AB139:AF139"/>
    <mergeCell ref="G140:K140"/>
    <mergeCell ref="U153:Y153"/>
    <mergeCell ref="AB153:AF153"/>
    <mergeCell ref="G152:K152"/>
    <mergeCell ref="N152:R152"/>
    <mergeCell ref="N153:R153"/>
    <mergeCell ref="AL119:AL130"/>
    <mergeCell ref="G143:K143"/>
    <mergeCell ref="N143:R143"/>
    <mergeCell ref="G142:K142"/>
    <mergeCell ref="N142:R142"/>
    <mergeCell ref="M132:M143"/>
    <mergeCell ref="T132:T143"/>
    <mergeCell ref="AA132:AA143"/>
    <mergeCell ref="U143:Y143"/>
    <mergeCell ref="U140:Y140"/>
    <mergeCell ref="AR106:AR110"/>
    <mergeCell ref="G112:K112"/>
    <mergeCell ref="N112:R112"/>
    <mergeCell ref="U112:Y112"/>
    <mergeCell ref="AB112:AF112"/>
    <mergeCell ref="G130:K130"/>
    <mergeCell ref="N130:R130"/>
    <mergeCell ref="U130:Y130"/>
    <mergeCell ref="AR119:AR123"/>
    <mergeCell ref="AB128:AF128"/>
    <mergeCell ref="B132:B143"/>
    <mergeCell ref="C132:C143"/>
    <mergeCell ref="D132:D143"/>
    <mergeCell ref="E132:E143"/>
    <mergeCell ref="AB115:AF115"/>
    <mergeCell ref="AM125:AM130"/>
    <mergeCell ref="AH119:AH130"/>
    <mergeCell ref="AJ119:AJ130"/>
    <mergeCell ref="AB125:AF125"/>
    <mergeCell ref="AB127:AF127"/>
    <mergeCell ref="B119:B130"/>
    <mergeCell ref="C119:C130"/>
    <mergeCell ref="D119:D130"/>
    <mergeCell ref="E119:E130"/>
    <mergeCell ref="M119:M130"/>
    <mergeCell ref="T119:T130"/>
    <mergeCell ref="AB117:AF117"/>
    <mergeCell ref="AB130:AF130"/>
    <mergeCell ref="G129:K129"/>
    <mergeCell ref="G114:K114"/>
    <mergeCell ref="N114:R114"/>
    <mergeCell ref="AB143:AF143"/>
    <mergeCell ref="AA119:AA130"/>
    <mergeCell ref="G138:K138"/>
    <mergeCell ref="N138:R138"/>
    <mergeCell ref="U138:Y138"/>
    <mergeCell ref="AQ119:AQ123"/>
    <mergeCell ref="AK106:AK117"/>
    <mergeCell ref="AL106:AL117"/>
    <mergeCell ref="AM106:AM110"/>
    <mergeCell ref="AM119:AM123"/>
    <mergeCell ref="AN119:AN123"/>
    <mergeCell ref="AO119:AO123"/>
    <mergeCell ref="AP106:AP110"/>
    <mergeCell ref="AQ106:AQ110"/>
    <mergeCell ref="AK119:AK130"/>
    <mergeCell ref="G126:K126"/>
    <mergeCell ref="N126:R126"/>
    <mergeCell ref="U126:Y126"/>
    <mergeCell ref="AB126:AF126"/>
    <mergeCell ref="G127:K127"/>
    <mergeCell ref="N127:R127"/>
    <mergeCell ref="U127:Y127"/>
    <mergeCell ref="AN106:AN110"/>
    <mergeCell ref="AO106:AO110"/>
    <mergeCell ref="AB114:AF114"/>
    <mergeCell ref="AJ106:AJ117"/>
    <mergeCell ref="AB116:AF116"/>
    <mergeCell ref="N129:R129"/>
    <mergeCell ref="U129:Y129"/>
    <mergeCell ref="AB129:AF129"/>
    <mergeCell ref="AM112:AM117"/>
    <mergeCell ref="N113:R113"/>
    <mergeCell ref="B106:B117"/>
    <mergeCell ref="C106:C117"/>
    <mergeCell ref="D106:D117"/>
    <mergeCell ref="E106:E117"/>
    <mergeCell ref="N117:R117"/>
    <mergeCell ref="AH106:AH117"/>
    <mergeCell ref="G113:K113"/>
    <mergeCell ref="U113:Y113"/>
    <mergeCell ref="AB113:AF113"/>
    <mergeCell ref="U117:Y117"/>
    <mergeCell ref="M106:M117"/>
    <mergeCell ref="T106:T117"/>
    <mergeCell ref="AA106:AA117"/>
    <mergeCell ref="U103:Y103"/>
    <mergeCell ref="U114:Y114"/>
    <mergeCell ref="U116:Y116"/>
    <mergeCell ref="U115:Y115"/>
    <mergeCell ref="N99:R99"/>
    <mergeCell ref="U99:Y99"/>
    <mergeCell ref="AB99:AF99"/>
    <mergeCell ref="G100:K100"/>
    <mergeCell ref="N100:R100"/>
    <mergeCell ref="U100:Y100"/>
    <mergeCell ref="AB100:AF100"/>
    <mergeCell ref="U102:Y102"/>
    <mergeCell ref="G102:K102"/>
    <mergeCell ref="AB103:AF103"/>
    <mergeCell ref="G104:K104"/>
    <mergeCell ref="N104:R104"/>
    <mergeCell ref="U104:Y104"/>
    <mergeCell ref="AB104:AF104"/>
    <mergeCell ref="AB102:AF102"/>
    <mergeCell ref="AP80:AP84"/>
    <mergeCell ref="AQ80:AQ84"/>
    <mergeCell ref="M93:M104"/>
    <mergeCell ref="T93:T104"/>
    <mergeCell ref="AA93:AA104"/>
    <mergeCell ref="AB101:AF101"/>
    <mergeCell ref="AP93:AP97"/>
    <mergeCell ref="AQ93:AQ97"/>
    <mergeCell ref="N101:R101"/>
    <mergeCell ref="U101:Y101"/>
    <mergeCell ref="B93:B104"/>
    <mergeCell ref="C93:C104"/>
    <mergeCell ref="D93:D104"/>
    <mergeCell ref="E93:E104"/>
    <mergeCell ref="G115:K115"/>
    <mergeCell ref="N115:R115"/>
    <mergeCell ref="G101:K101"/>
    <mergeCell ref="G103:K103"/>
    <mergeCell ref="N103:R103"/>
    <mergeCell ref="G99:K99"/>
    <mergeCell ref="B80:B91"/>
    <mergeCell ref="C80:C91"/>
    <mergeCell ref="D80:D91"/>
    <mergeCell ref="E80:E91"/>
    <mergeCell ref="AM99:AM104"/>
    <mergeCell ref="AM86:AM91"/>
    <mergeCell ref="AH93:AH104"/>
    <mergeCell ref="AJ93:AJ104"/>
    <mergeCell ref="AK93:AK104"/>
    <mergeCell ref="AL93:AL104"/>
    <mergeCell ref="AO93:AO97"/>
    <mergeCell ref="AO80:AO84"/>
    <mergeCell ref="U88:Y88"/>
    <mergeCell ref="AB88:AF88"/>
    <mergeCell ref="AB86:AF86"/>
    <mergeCell ref="AM80:AM84"/>
    <mergeCell ref="AN80:AN84"/>
    <mergeCell ref="AM93:AM97"/>
    <mergeCell ref="AH80:AH91"/>
    <mergeCell ref="G90:K90"/>
    <mergeCell ref="M80:M91"/>
    <mergeCell ref="T80:T91"/>
    <mergeCell ref="N102:R102"/>
    <mergeCell ref="G91:K91"/>
    <mergeCell ref="G87:K87"/>
    <mergeCell ref="N87:R87"/>
    <mergeCell ref="G88:K88"/>
    <mergeCell ref="N88:R88"/>
    <mergeCell ref="G89:K89"/>
    <mergeCell ref="AR93:AR97"/>
    <mergeCell ref="U87:Y87"/>
    <mergeCell ref="AB87:AF87"/>
    <mergeCell ref="AB90:AF90"/>
    <mergeCell ref="AB89:AF89"/>
    <mergeCell ref="U39:Y39"/>
    <mergeCell ref="AB60:AF60"/>
    <mergeCell ref="AM73:AM78"/>
    <mergeCell ref="U75:Y75"/>
    <mergeCell ref="AB75:AF75"/>
    <mergeCell ref="AB76:AF76"/>
    <mergeCell ref="G77:K77"/>
    <mergeCell ref="N77:R77"/>
    <mergeCell ref="U77:Y77"/>
    <mergeCell ref="AB77:AF77"/>
    <mergeCell ref="AJ38:AR38"/>
    <mergeCell ref="AB38:AH38"/>
    <mergeCell ref="G75:K75"/>
    <mergeCell ref="N75:R75"/>
    <mergeCell ref="AR67:AR71"/>
    <mergeCell ref="AQ67:AQ71"/>
    <mergeCell ref="AR80:AR84"/>
    <mergeCell ref="G86:K86"/>
    <mergeCell ref="AA67:AA78"/>
    <mergeCell ref="AB73:AF73"/>
    <mergeCell ref="AJ80:AJ91"/>
    <mergeCell ref="N91:R91"/>
    <mergeCell ref="U91:Y91"/>
    <mergeCell ref="AB91:AF91"/>
    <mergeCell ref="G76:K76"/>
    <mergeCell ref="D67:D78"/>
    <mergeCell ref="E67:E78"/>
    <mergeCell ref="M67:M78"/>
    <mergeCell ref="T67:T78"/>
    <mergeCell ref="N74:R74"/>
    <mergeCell ref="G74:K74"/>
    <mergeCell ref="G78:K78"/>
    <mergeCell ref="N76:R76"/>
    <mergeCell ref="G73:K73"/>
    <mergeCell ref="N73:R73"/>
    <mergeCell ref="N38:T38"/>
    <mergeCell ref="N90:R90"/>
    <mergeCell ref="U90:Y90"/>
    <mergeCell ref="N89:R89"/>
    <mergeCell ref="U89:Y89"/>
    <mergeCell ref="U38:AA38"/>
    <mergeCell ref="N63:R63"/>
    <mergeCell ref="U63:Y63"/>
    <mergeCell ref="N78:R78"/>
    <mergeCell ref="U76:Y76"/>
    <mergeCell ref="N86:R86"/>
    <mergeCell ref="U86:Y86"/>
    <mergeCell ref="AA80:AA91"/>
    <mergeCell ref="U47:Y47"/>
    <mergeCell ref="U48:Y48"/>
    <mergeCell ref="U49:Y49"/>
    <mergeCell ref="U50:Y50"/>
    <mergeCell ref="N62:R62"/>
    <mergeCell ref="U62:Y62"/>
    <mergeCell ref="U73:Y73"/>
    <mergeCell ref="B36:E36"/>
    <mergeCell ref="F36:J36"/>
    <mergeCell ref="L36:P36"/>
    <mergeCell ref="B32:E32"/>
    <mergeCell ref="B33:E33"/>
    <mergeCell ref="B34:E34"/>
    <mergeCell ref="B35:E35"/>
    <mergeCell ref="B4:H4"/>
    <mergeCell ref="B16:D16"/>
    <mergeCell ref="B26:D26"/>
    <mergeCell ref="B27:D27"/>
    <mergeCell ref="B8:D8"/>
    <mergeCell ref="H11:H13"/>
    <mergeCell ref="B7:D7"/>
    <mergeCell ref="E6:H6"/>
    <mergeCell ref="E7:H7"/>
    <mergeCell ref="B6:D6"/>
    <mergeCell ref="G62:K62"/>
    <mergeCell ref="F39:F40"/>
    <mergeCell ref="AQ54:AQ58"/>
    <mergeCell ref="AR54:AR58"/>
    <mergeCell ref="AH41:AH52"/>
    <mergeCell ref="AP41:AP45"/>
    <mergeCell ref="AQ41:AQ45"/>
    <mergeCell ref="AR41:AR45"/>
    <mergeCell ref="AA39:AA40"/>
    <mergeCell ref="AK54:AK65"/>
    <mergeCell ref="L35:P35"/>
    <mergeCell ref="R36:V36"/>
    <mergeCell ref="X36:AB36"/>
    <mergeCell ref="E54:E65"/>
    <mergeCell ref="M41:M52"/>
    <mergeCell ref="T41:T52"/>
    <mergeCell ref="AA41:AA52"/>
    <mergeCell ref="G65:K65"/>
    <mergeCell ref="G63:K63"/>
    <mergeCell ref="E41:E52"/>
    <mergeCell ref="B30:E31"/>
    <mergeCell ref="I11:I12"/>
    <mergeCell ref="B24:D25"/>
    <mergeCell ref="R35:V35"/>
    <mergeCell ref="X35:AB35"/>
    <mergeCell ref="L30:P30"/>
    <mergeCell ref="K30:K31"/>
    <mergeCell ref="R30:V30"/>
    <mergeCell ref="W30:W31"/>
    <mergeCell ref="X30:AB30"/>
    <mergeCell ref="E8:H8"/>
    <mergeCell ref="B13:F13"/>
    <mergeCell ref="B14:F14"/>
    <mergeCell ref="B12:F12"/>
    <mergeCell ref="B19:D19"/>
    <mergeCell ref="B10:F10"/>
    <mergeCell ref="AC30:AC31"/>
    <mergeCell ref="F17:F18"/>
    <mergeCell ref="G17:G18"/>
    <mergeCell ref="H17:H18"/>
    <mergeCell ref="I17:I18"/>
    <mergeCell ref="Q30:Q31"/>
    <mergeCell ref="I24:I25"/>
    <mergeCell ref="F30:J30"/>
    <mergeCell ref="B38:F38"/>
    <mergeCell ref="C39:C40"/>
    <mergeCell ref="M39:M40"/>
    <mergeCell ref="L39:L40"/>
    <mergeCell ref="G39:K39"/>
    <mergeCell ref="E39:E40"/>
    <mergeCell ref="D39:D40"/>
    <mergeCell ref="B39:B40"/>
    <mergeCell ref="G38:M38"/>
    <mergeCell ref="AN67:AN71"/>
    <mergeCell ref="AO67:AO71"/>
    <mergeCell ref="B17:D18"/>
    <mergeCell ref="E17:E18"/>
    <mergeCell ref="B11:F11"/>
    <mergeCell ref="F35:J35"/>
    <mergeCell ref="E24:E25"/>
    <mergeCell ref="F24:F25"/>
    <mergeCell ref="G24:G25"/>
    <mergeCell ref="H24:H25"/>
    <mergeCell ref="AK67:AK78"/>
    <mergeCell ref="U74:Y74"/>
    <mergeCell ref="AB74:AF74"/>
    <mergeCell ref="B1361:C1361"/>
    <mergeCell ref="B1362:C1362"/>
    <mergeCell ref="AP67:AP71"/>
    <mergeCell ref="AH67:AH78"/>
    <mergeCell ref="AJ67:AJ78"/>
    <mergeCell ref="AL67:AL78"/>
    <mergeCell ref="AM67:AM71"/>
    <mergeCell ref="N64:R64"/>
    <mergeCell ref="N65:R65"/>
    <mergeCell ref="U65:Y65"/>
    <mergeCell ref="AB65:AF65"/>
    <mergeCell ref="AM54:AM58"/>
    <mergeCell ref="AN54:AN58"/>
    <mergeCell ref="AH54:AH65"/>
    <mergeCell ref="AJ54:AJ65"/>
    <mergeCell ref="AM60:AM65"/>
    <mergeCell ref="AL54:AL65"/>
    <mergeCell ref="N61:R61"/>
    <mergeCell ref="AR39:AR40"/>
    <mergeCell ref="AM39:AM40"/>
    <mergeCell ref="AQ39:AQ40"/>
    <mergeCell ref="AN39:AN40"/>
    <mergeCell ref="AO39:AO40"/>
    <mergeCell ref="AP39:AP40"/>
    <mergeCell ref="AN41:AN45"/>
    <mergeCell ref="AO54:AO58"/>
    <mergeCell ref="AP54:AP58"/>
    <mergeCell ref="AO41:AO45"/>
    <mergeCell ref="T39:T40"/>
    <mergeCell ref="AK158:AK169"/>
    <mergeCell ref="AL158:AL169"/>
    <mergeCell ref="AM158:AM162"/>
    <mergeCell ref="U64:Y64"/>
    <mergeCell ref="AB64:AF64"/>
    <mergeCell ref="T54:T65"/>
    <mergeCell ref="AA54:AA65"/>
    <mergeCell ref="AM41:AM45"/>
    <mergeCell ref="B1372:C1372"/>
    <mergeCell ref="B1356:C1356"/>
    <mergeCell ref="B1358:C1358"/>
    <mergeCell ref="B1364:C1364"/>
    <mergeCell ref="B1365:C1365"/>
    <mergeCell ref="B1366:C1366"/>
    <mergeCell ref="B1369:C1369"/>
    <mergeCell ref="B1357:C1357"/>
    <mergeCell ref="B1354:H1354"/>
    <mergeCell ref="B1368:C1368"/>
    <mergeCell ref="B1371:C1371"/>
    <mergeCell ref="B1359:C1359"/>
    <mergeCell ref="B1363:C1363"/>
    <mergeCell ref="B1370:C1370"/>
    <mergeCell ref="B1367:C1367"/>
    <mergeCell ref="B1360:C1360"/>
    <mergeCell ref="J1356:M1356"/>
    <mergeCell ref="AL39:AL40"/>
    <mergeCell ref="N52:R52"/>
    <mergeCell ref="N48:R48"/>
    <mergeCell ref="AJ41:AJ52"/>
    <mergeCell ref="AK41:AK52"/>
    <mergeCell ref="AL41:AL52"/>
    <mergeCell ref="N39:R39"/>
    <mergeCell ref="AB49:AF49"/>
    <mergeCell ref="AB50:AF50"/>
    <mergeCell ref="AM47:AM52"/>
    <mergeCell ref="AK39:AK40"/>
    <mergeCell ref="U52:Y52"/>
    <mergeCell ref="AB51:AF51"/>
    <mergeCell ref="AB52:AF52"/>
    <mergeCell ref="Z39:Z40"/>
    <mergeCell ref="AB47:AF47"/>
    <mergeCell ref="AB48:AF48"/>
    <mergeCell ref="AH39:AH40"/>
    <mergeCell ref="AB39:AF39"/>
    <mergeCell ref="U60:Y60"/>
    <mergeCell ref="G49:K49"/>
    <mergeCell ref="G50:K50"/>
    <mergeCell ref="U51:Y51"/>
    <mergeCell ref="N51:R51"/>
    <mergeCell ref="AJ39:AJ40"/>
    <mergeCell ref="AG39:AG40"/>
    <mergeCell ref="S39:S40"/>
    <mergeCell ref="AO158:AO162"/>
    <mergeCell ref="AP158:AP162"/>
    <mergeCell ref="AQ158:AQ162"/>
    <mergeCell ref="AM138:AM143"/>
    <mergeCell ref="U61:Y61"/>
    <mergeCell ref="AB61:AF61"/>
    <mergeCell ref="AB62:AF62"/>
    <mergeCell ref="AB63:AF63"/>
    <mergeCell ref="U78:Y78"/>
    <mergeCell ref="AB78:AF78"/>
    <mergeCell ref="AH158:AH169"/>
    <mergeCell ref="AJ158:AJ169"/>
    <mergeCell ref="U165:Y165"/>
    <mergeCell ref="AB165:AF165"/>
    <mergeCell ref="AM164:AM169"/>
    <mergeCell ref="AM132:AM136"/>
    <mergeCell ref="AB140:AF140"/>
    <mergeCell ref="AH132:AH143"/>
    <mergeCell ref="AJ132:AJ143"/>
    <mergeCell ref="AB138:AF138"/>
    <mergeCell ref="AB152:AF152"/>
    <mergeCell ref="AK80:AK91"/>
    <mergeCell ref="AL80:AL91"/>
    <mergeCell ref="AO132:AO136"/>
    <mergeCell ref="AP132:AP136"/>
    <mergeCell ref="AK132:AK143"/>
    <mergeCell ref="AL132:AL143"/>
    <mergeCell ref="AP119:AP123"/>
    <mergeCell ref="AN132:AN136"/>
    <mergeCell ref="AN93:AN97"/>
    <mergeCell ref="N49:R49"/>
    <mergeCell ref="N50:R50"/>
    <mergeCell ref="G128:K128"/>
    <mergeCell ref="B158:B169"/>
    <mergeCell ref="C158:C169"/>
    <mergeCell ref="D158:D169"/>
    <mergeCell ref="E158:E169"/>
    <mergeCell ref="G60:K60"/>
    <mergeCell ref="N60:R60"/>
    <mergeCell ref="G61:K61"/>
    <mergeCell ref="D54:D65"/>
    <mergeCell ref="M54:M65"/>
    <mergeCell ref="G64:K64"/>
    <mergeCell ref="G169:K169"/>
    <mergeCell ref="G167:K167"/>
    <mergeCell ref="N47:R47"/>
    <mergeCell ref="G51:K51"/>
    <mergeCell ref="G52:K52"/>
    <mergeCell ref="G48:K48"/>
    <mergeCell ref="G47:K47"/>
    <mergeCell ref="G116:K116"/>
    <mergeCell ref="N116:R116"/>
    <mergeCell ref="G117:K117"/>
    <mergeCell ref="D41:D52"/>
    <mergeCell ref="B67:B78"/>
    <mergeCell ref="C67:C78"/>
    <mergeCell ref="B41:B52"/>
    <mergeCell ref="C41:C52"/>
    <mergeCell ref="B54:B65"/>
    <mergeCell ref="C54:C65"/>
    <mergeCell ref="U182:Y182"/>
    <mergeCell ref="G181:K181"/>
    <mergeCell ref="N181:R181"/>
    <mergeCell ref="U181:Y181"/>
    <mergeCell ref="N128:R128"/>
    <mergeCell ref="G125:K125"/>
    <mergeCell ref="N125:R125"/>
    <mergeCell ref="U152:Y152"/>
    <mergeCell ref="U128:Y128"/>
    <mergeCell ref="U125:Y125"/>
    <mergeCell ref="AR158:AR162"/>
    <mergeCell ref="G164:K164"/>
    <mergeCell ref="N164:R164"/>
    <mergeCell ref="U164:Y164"/>
    <mergeCell ref="AB164:AF164"/>
    <mergeCell ref="C171:C182"/>
    <mergeCell ref="D171:D182"/>
    <mergeCell ref="E171:E182"/>
    <mergeCell ref="U179:Y179"/>
    <mergeCell ref="G182:K182"/>
    <mergeCell ref="AB167:AF167"/>
    <mergeCell ref="T158:T169"/>
    <mergeCell ref="AA158:AA169"/>
    <mergeCell ref="U169:Y169"/>
    <mergeCell ref="AB169:AF169"/>
    <mergeCell ref="G165:K165"/>
    <mergeCell ref="N165:R165"/>
    <mergeCell ref="G166:K166"/>
    <mergeCell ref="N166:R166"/>
    <mergeCell ref="AB168:AF168"/>
    <mergeCell ref="AQ171:AQ175"/>
    <mergeCell ref="M171:M182"/>
    <mergeCell ref="T171:T182"/>
    <mergeCell ref="AA171:AA182"/>
    <mergeCell ref="AH171:AH182"/>
    <mergeCell ref="AB181:AF181"/>
    <mergeCell ref="N177:R177"/>
    <mergeCell ref="U177:Y177"/>
    <mergeCell ref="AB177:AF177"/>
    <mergeCell ref="N182:R182"/>
    <mergeCell ref="AR171:AR175"/>
    <mergeCell ref="B184:B195"/>
    <mergeCell ref="C184:C195"/>
    <mergeCell ref="D184:D195"/>
    <mergeCell ref="E184:E195"/>
    <mergeCell ref="M184:M195"/>
    <mergeCell ref="G192:K192"/>
    <mergeCell ref="N192:R192"/>
    <mergeCell ref="U192:Y192"/>
    <mergeCell ref="AB192:AF192"/>
    <mergeCell ref="G191:K191"/>
    <mergeCell ref="N191:R191"/>
    <mergeCell ref="U191:Y191"/>
    <mergeCell ref="AB191:AF191"/>
    <mergeCell ref="T184:T195"/>
    <mergeCell ref="AA184:AA195"/>
    <mergeCell ref="G190:K190"/>
    <mergeCell ref="N190:R190"/>
    <mergeCell ref="U190:Y190"/>
    <mergeCell ref="AB190:AF190"/>
    <mergeCell ref="U178:Y178"/>
    <mergeCell ref="AB178:AF178"/>
    <mergeCell ref="G177:K177"/>
    <mergeCell ref="G180:K180"/>
    <mergeCell ref="N180:R180"/>
    <mergeCell ref="U180:Y180"/>
    <mergeCell ref="AB180:AF180"/>
    <mergeCell ref="AB194:AF194"/>
    <mergeCell ref="U195:Y195"/>
    <mergeCell ref="AB195:AF195"/>
    <mergeCell ref="B171:B182"/>
    <mergeCell ref="AN184:AN188"/>
    <mergeCell ref="AO171:AO175"/>
    <mergeCell ref="AJ171:AJ182"/>
    <mergeCell ref="AB179:AF179"/>
    <mergeCell ref="G178:K178"/>
    <mergeCell ref="N178:R178"/>
    <mergeCell ref="AK184:AK195"/>
    <mergeCell ref="AL184:AL195"/>
    <mergeCell ref="U193:Y193"/>
    <mergeCell ref="AB193:AF193"/>
    <mergeCell ref="AJ184:AJ195"/>
    <mergeCell ref="G179:K179"/>
    <mergeCell ref="N179:R179"/>
    <mergeCell ref="G194:K194"/>
    <mergeCell ref="N194:R194"/>
    <mergeCell ref="U194:Y194"/>
    <mergeCell ref="AM184:AM188"/>
    <mergeCell ref="AM177:AM182"/>
    <mergeCell ref="AQ210:AQ214"/>
    <mergeCell ref="AR210:AR214"/>
    <mergeCell ref="AP184:AP188"/>
    <mergeCell ref="AQ184:AQ188"/>
    <mergeCell ref="AR184:AR188"/>
    <mergeCell ref="AM197:AM201"/>
    <mergeCell ref="AN197:AN201"/>
    <mergeCell ref="AO210:AO214"/>
    <mergeCell ref="AH210:AH221"/>
    <mergeCell ref="AJ210:AJ221"/>
    <mergeCell ref="AQ197:AQ201"/>
    <mergeCell ref="AR197:AR201"/>
    <mergeCell ref="AH197:AH208"/>
    <mergeCell ref="AJ197:AJ208"/>
    <mergeCell ref="AO197:AO201"/>
    <mergeCell ref="AP197:AP201"/>
    <mergeCell ref="AK197:AK208"/>
    <mergeCell ref="AL197:AL208"/>
    <mergeCell ref="AB205:AF205"/>
    <mergeCell ref="B197:B208"/>
    <mergeCell ref="C197:C208"/>
    <mergeCell ref="D197:D208"/>
    <mergeCell ref="E197:E208"/>
    <mergeCell ref="G203:K203"/>
    <mergeCell ref="N203:R203"/>
    <mergeCell ref="U203:Y203"/>
    <mergeCell ref="AB203:AF203"/>
    <mergeCell ref="U207:Y207"/>
    <mergeCell ref="G193:K193"/>
    <mergeCell ref="N193:R193"/>
    <mergeCell ref="G195:K195"/>
    <mergeCell ref="N195:R195"/>
    <mergeCell ref="G204:K204"/>
    <mergeCell ref="N204:R204"/>
    <mergeCell ref="G206:K206"/>
    <mergeCell ref="N208:R208"/>
    <mergeCell ref="U208:Y208"/>
    <mergeCell ref="AB208:AF208"/>
    <mergeCell ref="N206:R206"/>
    <mergeCell ref="M197:M208"/>
    <mergeCell ref="G205:K205"/>
    <mergeCell ref="U204:Y204"/>
    <mergeCell ref="AB204:AF204"/>
    <mergeCell ref="U205:Y205"/>
    <mergeCell ref="B210:B221"/>
    <mergeCell ref="C210:C221"/>
    <mergeCell ref="D210:D221"/>
    <mergeCell ref="E210:E221"/>
    <mergeCell ref="G216:K216"/>
    <mergeCell ref="G220:K220"/>
    <mergeCell ref="G219:K219"/>
    <mergeCell ref="AB216:AF216"/>
    <mergeCell ref="G217:K217"/>
    <mergeCell ref="N217:R217"/>
    <mergeCell ref="U217:Y217"/>
    <mergeCell ref="T210:T221"/>
    <mergeCell ref="AA210:AA221"/>
    <mergeCell ref="G221:K221"/>
    <mergeCell ref="U218:Y218"/>
    <mergeCell ref="M210:M221"/>
    <mergeCell ref="B223:B234"/>
    <mergeCell ref="C223:C234"/>
    <mergeCell ref="D223:D234"/>
    <mergeCell ref="E223:E234"/>
    <mergeCell ref="M223:M234"/>
    <mergeCell ref="T223:T234"/>
    <mergeCell ref="G231:K231"/>
    <mergeCell ref="AJ223:AJ234"/>
    <mergeCell ref="G229:K229"/>
    <mergeCell ref="N229:R229"/>
    <mergeCell ref="U229:Y229"/>
    <mergeCell ref="AB229:AF229"/>
    <mergeCell ref="G230:K230"/>
    <mergeCell ref="N230:R230"/>
    <mergeCell ref="U230:Y230"/>
    <mergeCell ref="AA223:AA234"/>
    <mergeCell ref="AB233:AF233"/>
    <mergeCell ref="AL223:AL234"/>
    <mergeCell ref="AB230:AF230"/>
    <mergeCell ref="U231:Y231"/>
    <mergeCell ref="AB231:AF231"/>
    <mergeCell ref="G232:K232"/>
    <mergeCell ref="N232:R232"/>
    <mergeCell ref="U232:Y232"/>
    <mergeCell ref="N231:R231"/>
    <mergeCell ref="AH223:AH234"/>
    <mergeCell ref="AL210:AL221"/>
    <mergeCell ref="AM210:AM214"/>
    <mergeCell ref="AN210:AN214"/>
    <mergeCell ref="AM216:AM221"/>
    <mergeCell ref="G234:K234"/>
    <mergeCell ref="N234:R234"/>
    <mergeCell ref="AB232:AF232"/>
    <mergeCell ref="G233:K233"/>
    <mergeCell ref="N233:R233"/>
    <mergeCell ref="U233:Y233"/>
    <mergeCell ref="AB219:AF219"/>
    <mergeCell ref="N220:R220"/>
    <mergeCell ref="U220:Y220"/>
    <mergeCell ref="AB220:AF220"/>
    <mergeCell ref="N219:R219"/>
    <mergeCell ref="AK210:AK221"/>
    <mergeCell ref="AB218:AF218"/>
    <mergeCell ref="U219:Y219"/>
    <mergeCell ref="N216:R216"/>
    <mergeCell ref="U216:Y216"/>
    <mergeCell ref="AB217:AF217"/>
    <mergeCell ref="G218:K218"/>
    <mergeCell ref="N218:R218"/>
    <mergeCell ref="AB234:AF234"/>
    <mergeCell ref="U234:Y234"/>
    <mergeCell ref="AP210:AP214"/>
    <mergeCell ref="AK223:AK234"/>
    <mergeCell ref="N221:R221"/>
    <mergeCell ref="U221:Y221"/>
    <mergeCell ref="AB221:AF221"/>
    <mergeCell ref="B236:B247"/>
    <mergeCell ref="C236:C247"/>
    <mergeCell ref="D236:D247"/>
    <mergeCell ref="E236:E247"/>
    <mergeCell ref="M236:M247"/>
    <mergeCell ref="T236:T247"/>
    <mergeCell ref="N243:R243"/>
    <mergeCell ref="U243:Y243"/>
    <mergeCell ref="AB243:AF243"/>
    <mergeCell ref="G245:K245"/>
    <mergeCell ref="AQ223:AQ227"/>
    <mergeCell ref="AR223:AR227"/>
    <mergeCell ref="AA236:AA247"/>
    <mergeCell ref="AH236:AH247"/>
    <mergeCell ref="AO223:AO227"/>
    <mergeCell ref="AP223:AP227"/>
    <mergeCell ref="G244:K244"/>
    <mergeCell ref="N244:R244"/>
    <mergeCell ref="U244:Y244"/>
    <mergeCell ref="AB244:AF244"/>
    <mergeCell ref="AJ236:AJ247"/>
    <mergeCell ref="G242:K242"/>
    <mergeCell ref="N242:R242"/>
    <mergeCell ref="U242:Y242"/>
    <mergeCell ref="AB242:AF242"/>
    <mergeCell ref="G243:K243"/>
    <mergeCell ref="AP236:AP240"/>
    <mergeCell ref="AM242:AM247"/>
    <mergeCell ref="AM223:AM227"/>
    <mergeCell ref="AN223:AN227"/>
    <mergeCell ref="G246:K246"/>
    <mergeCell ref="AQ236:AQ240"/>
    <mergeCell ref="AM229:AM234"/>
    <mergeCell ref="N245:R245"/>
    <mergeCell ref="U245:Y245"/>
    <mergeCell ref="AB245:AF245"/>
    <mergeCell ref="B249:B260"/>
    <mergeCell ref="C249:C260"/>
    <mergeCell ref="D249:D260"/>
    <mergeCell ref="E249:E260"/>
    <mergeCell ref="AR236:AR240"/>
    <mergeCell ref="AK236:AK247"/>
    <mergeCell ref="AL236:AL247"/>
    <mergeCell ref="AM236:AM240"/>
    <mergeCell ref="AN236:AN240"/>
    <mergeCell ref="AO236:AO240"/>
    <mergeCell ref="AB258:AF258"/>
    <mergeCell ref="AA249:AA260"/>
    <mergeCell ref="G255:K255"/>
    <mergeCell ref="N255:R255"/>
    <mergeCell ref="M249:M260"/>
    <mergeCell ref="N256:R256"/>
    <mergeCell ref="U256:Y256"/>
    <mergeCell ref="AB256:AF256"/>
    <mergeCell ref="U255:Y255"/>
    <mergeCell ref="AB255:AF255"/>
    <mergeCell ref="AR249:AR253"/>
    <mergeCell ref="N246:R246"/>
    <mergeCell ref="U246:Y246"/>
    <mergeCell ref="N257:R257"/>
    <mergeCell ref="U257:Y257"/>
    <mergeCell ref="AB257:AF257"/>
    <mergeCell ref="AH249:AH260"/>
    <mergeCell ref="AJ249:AJ260"/>
    <mergeCell ref="AB246:AF246"/>
    <mergeCell ref="T249:T260"/>
    <mergeCell ref="AB270:AF270"/>
    <mergeCell ref="G271:K271"/>
    <mergeCell ref="N271:R271"/>
    <mergeCell ref="N269:R269"/>
    <mergeCell ref="B262:B273"/>
    <mergeCell ref="C262:C273"/>
    <mergeCell ref="D262:D273"/>
    <mergeCell ref="E262:E273"/>
    <mergeCell ref="G247:K247"/>
    <mergeCell ref="N247:R247"/>
    <mergeCell ref="U247:Y247"/>
    <mergeCell ref="AB247:AF247"/>
    <mergeCell ref="AB272:AF272"/>
    <mergeCell ref="G273:K273"/>
    <mergeCell ref="N273:R273"/>
    <mergeCell ref="U273:Y273"/>
    <mergeCell ref="AB273:AF273"/>
    <mergeCell ref="M262:M273"/>
    <mergeCell ref="G270:K270"/>
    <mergeCell ref="N270:R270"/>
    <mergeCell ref="G258:K258"/>
    <mergeCell ref="N258:R258"/>
    <mergeCell ref="U258:Y258"/>
    <mergeCell ref="T262:T273"/>
    <mergeCell ref="N260:R260"/>
    <mergeCell ref="G259:K259"/>
    <mergeCell ref="N259:R259"/>
    <mergeCell ref="G268:K268"/>
    <mergeCell ref="N268:R268"/>
    <mergeCell ref="G257:K257"/>
    <mergeCell ref="G272:K272"/>
    <mergeCell ref="N272:R272"/>
    <mergeCell ref="U272:Y272"/>
    <mergeCell ref="U268:Y268"/>
    <mergeCell ref="G269:K269"/>
    <mergeCell ref="G260:K260"/>
    <mergeCell ref="U269:Y269"/>
    <mergeCell ref="AQ249:AQ253"/>
    <mergeCell ref="AL262:AL273"/>
    <mergeCell ref="AB269:AF269"/>
    <mergeCell ref="U270:Y270"/>
    <mergeCell ref="AB259:AF259"/>
    <mergeCell ref="AP262:AP266"/>
    <mergeCell ref="U260:Y260"/>
    <mergeCell ref="AB260:AF260"/>
    <mergeCell ref="U259:Y259"/>
    <mergeCell ref="AA262:AA273"/>
    <mergeCell ref="G256:K256"/>
    <mergeCell ref="AK249:AK260"/>
    <mergeCell ref="AM255:AM260"/>
    <mergeCell ref="AR262:AR266"/>
    <mergeCell ref="AQ262:AQ266"/>
    <mergeCell ref="AL249:AL260"/>
    <mergeCell ref="AM249:AM253"/>
    <mergeCell ref="AN249:AN253"/>
    <mergeCell ref="AO249:AO253"/>
    <mergeCell ref="AP249:AP253"/>
    <mergeCell ref="G286:K286"/>
    <mergeCell ref="G281:K281"/>
    <mergeCell ref="B275:B286"/>
    <mergeCell ref="C275:C286"/>
    <mergeCell ref="D275:D286"/>
    <mergeCell ref="E275:E286"/>
    <mergeCell ref="G282:K282"/>
    <mergeCell ref="N282:R282"/>
    <mergeCell ref="U282:Y282"/>
    <mergeCell ref="AB282:AF282"/>
    <mergeCell ref="T275:T286"/>
    <mergeCell ref="AA275:AA286"/>
    <mergeCell ref="G285:K285"/>
    <mergeCell ref="N285:R285"/>
    <mergeCell ref="U285:Y285"/>
    <mergeCell ref="M275:M286"/>
    <mergeCell ref="AB285:AF285"/>
    <mergeCell ref="G284:K284"/>
    <mergeCell ref="N284:R284"/>
    <mergeCell ref="U284:Y284"/>
    <mergeCell ref="AB284:AF284"/>
    <mergeCell ref="AB283:AF283"/>
    <mergeCell ref="G283:K283"/>
    <mergeCell ref="N283:R283"/>
    <mergeCell ref="U283:Y283"/>
    <mergeCell ref="U271:Y271"/>
    <mergeCell ref="AB271:AF271"/>
    <mergeCell ref="AN262:AN266"/>
    <mergeCell ref="AO262:AO266"/>
    <mergeCell ref="AK262:AK273"/>
    <mergeCell ref="AH262:AH273"/>
    <mergeCell ref="AJ262:AJ273"/>
    <mergeCell ref="AB268:AF268"/>
    <mergeCell ref="AM268:AM273"/>
    <mergeCell ref="AM262:AM266"/>
    <mergeCell ref="M288:M299"/>
    <mergeCell ref="T288:T299"/>
    <mergeCell ref="AA288:AA299"/>
    <mergeCell ref="AH288:AH299"/>
    <mergeCell ref="U298:Y298"/>
    <mergeCell ref="B288:B299"/>
    <mergeCell ref="C288:C299"/>
    <mergeCell ref="D288:D299"/>
    <mergeCell ref="E288:E299"/>
    <mergeCell ref="AH275:AH286"/>
    <mergeCell ref="AJ275:AJ286"/>
    <mergeCell ref="N294:R294"/>
    <mergeCell ref="U294:Y294"/>
    <mergeCell ref="AB294:AF294"/>
    <mergeCell ref="N281:R281"/>
    <mergeCell ref="U281:Y281"/>
    <mergeCell ref="AB281:AF281"/>
    <mergeCell ref="N286:R286"/>
    <mergeCell ref="U286:Y286"/>
    <mergeCell ref="AL275:AL286"/>
    <mergeCell ref="AJ288:AJ299"/>
    <mergeCell ref="AB297:AF297"/>
    <mergeCell ref="AM275:AM279"/>
    <mergeCell ref="AB286:AF286"/>
    <mergeCell ref="N297:R297"/>
    <mergeCell ref="U297:Y297"/>
    <mergeCell ref="AK275:AK286"/>
    <mergeCell ref="N295:R295"/>
    <mergeCell ref="U295:Y295"/>
    <mergeCell ref="AN275:AN279"/>
    <mergeCell ref="AO275:AO279"/>
    <mergeCell ref="AP275:AP279"/>
    <mergeCell ref="AK288:AK299"/>
    <mergeCell ref="AL288:AL299"/>
    <mergeCell ref="AM294:AM299"/>
    <mergeCell ref="AM281:AM286"/>
    <mergeCell ref="AN288:AN292"/>
    <mergeCell ref="AO288:AO292"/>
    <mergeCell ref="AP288:AP292"/>
    <mergeCell ref="AQ275:AQ279"/>
    <mergeCell ref="AR275:AR279"/>
    <mergeCell ref="G296:K296"/>
    <mergeCell ref="G310:K310"/>
    <mergeCell ref="N310:R310"/>
    <mergeCell ref="U310:Y310"/>
    <mergeCell ref="N296:R296"/>
    <mergeCell ref="U296:Y296"/>
    <mergeCell ref="G298:K298"/>
    <mergeCell ref="N298:R298"/>
    <mergeCell ref="G294:K294"/>
    <mergeCell ref="AB298:AF298"/>
    <mergeCell ref="G299:K299"/>
    <mergeCell ref="N299:R299"/>
    <mergeCell ref="U299:Y299"/>
    <mergeCell ref="AB299:AF299"/>
    <mergeCell ref="AB296:AF296"/>
    <mergeCell ref="G297:K297"/>
    <mergeCell ref="G295:K295"/>
    <mergeCell ref="AB295:AF295"/>
    <mergeCell ref="AQ288:AQ292"/>
    <mergeCell ref="AR288:AR292"/>
    <mergeCell ref="AM301:AM305"/>
    <mergeCell ref="AN301:AN305"/>
    <mergeCell ref="AO301:AO305"/>
    <mergeCell ref="AQ301:AQ305"/>
    <mergeCell ref="AP301:AP305"/>
    <mergeCell ref="B301:B312"/>
    <mergeCell ref="C301:C312"/>
    <mergeCell ref="D301:D312"/>
    <mergeCell ref="E301:E312"/>
    <mergeCell ref="U312:Y312"/>
    <mergeCell ref="AB312:AF312"/>
    <mergeCell ref="N309:R309"/>
    <mergeCell ref="U309:Y309"/>
    <mergeCell ref="AB309:AF309"/>
    <mergeCell ref="G309:K309"/>
    <mergeCell ref="M301:M312"/>
    <mergeCell ref="T301:T312"/>
    <mergeCell ref="AA301:AA312"/>
    <mergeCell ref="G312:K312"/>
    <mergeCell ref="N312:R312"/>
    <mergeCell ref="AH301:AH312"/>
    <mergeCell ref="G308:K308"/>
    <mergeCell ref="U325:Y325"/>
    <mergeCell ref="AB310:AF310"/>
    <mergeCell ref="G311:K311"/>
    <mergeCell ref="N311:R311"/>
    <mergeCell ref="U311:Y311"/>
    <mergeCell ref="AK301:AK312"/>
    <mergeCell ref="G307:K307"/>
    <mergeCell ref="N307:R307"/>
    <mergeCell ref="U307:Y307"/>
    <mergeCell ref="AB307:AF307"/>
    <mergeCell ref="AB311:AF311"/>
    <mergeCell ref="AR301:AR305"/>
    <mergeCell ref="U308:Y308"/>
    <mergeCell ref="AB308:AF308"/>
    <mergeCell ref="N308:R308"/>
    <mergeCell ref="AL301:AL312"/>
    <mergeCell ref="AJ301:AJ312"/>
    <mergeCell ref="AP314:AP318"/>
    <mergeCell ref="AQ314:AQ318"/>
    <mergeCell ref="M314:M325"/>
    <mergeCell ref="T314:T325"/>
    <mergeCell ref="AA314:AA325"/>
    <mergeCell ref="AH314:AH325"/>
    <mergeCell ref="U320:Y320"/>
    <mergeCell ref="AB320:AF320"/>
    <mergeCell ref="U322:Y322"/>
    <mergeCell ref="U321:Y321"/>
    <mergeCell ref="AR314:AR318"/>
    <mergeCell ref="B327:B338"/>
    <mergeCell ref="C327:C338"/>
    <mergeCell ref="D327:D338"/>
    <mergeCell ref="E327:E338"/>
    <mergeCell ref="M327:M338"/>
    <mergeCell ref="T327:T338"/>
    <mergeCell ref="AA327:AA338"/>
    <mergeCell ref="U335:Y335"/>
    <mergeCell ref="AB335:AF335"/>
    <mergeCell ref="B314:B325"/>
    <mergeCell ref="C314:C325"/>
    <mergeCell ref="D314:D325"/>
    <mergeCell ref="E314:E325"/>
    <mergeCell ref="G334:K334"/>
    <mergeCell ref="N334:R334"/>
    <mergeCell ref="G325:K325"/>
    <mergeCell ref="N325:R325"/>
    <mergeCell ref="G324:K324"/>
    <mergeCell ref="N324:R324"/>
    <mergeCell ref="G321:K321"/>
    <mergeCell ref="N321:R321"/>
    <mergeCell ref="G335:K335"/>
    <mergeCell ref="N335:R335"/>
    <mergeCell ref="G333:K333"/>
    <mergeCell ref="N333:R333"/>
    <mergeCell ref="G323:K323"/>
    <mergeCell ref="N323:R323"/>
    <mergeCell ref="U323:Y323"/>
    <mergeCell ref="AB323:AF323"/>
    <mergeCell ref="G320:K320"/>
    <mergeCell ref="N320:R320"/>
    <mergeCell ref="N337:R337"/>
    <mergeCell ref="AK327:AK338"/>
    <mergeCell ref="AL327:AL338"/>
    <mergeCell ref="AM327:AM331"/>
    <mergeCell ref="AN327:AN331"/>
    <mergeCell ref="U333:Y333"/>
    <mergeCell ref="AB333:AF333"/>
    <mergeCell ref="U334:Y334"/>
    <mergeCell ref="AB334:AF334"/>
    <mergeCell ref="AJ314:AJ325"/>
    <mergeCell ref="AB322:AF322"/>
    <mergeCell ref="AB321:AF321"/>
    <mergeCell ref="G338:K338"/>
    <mergeCell ref="N338:R338"/>
    <mergeCell ref="U324:Y324"/>
    <mergeCell ref="AB324:AF324"/>
    <mergeCell ref="U338:Y338"/>
    <mergeCell ref="AB338:AF338"/>
    <mergeCell ref="G337:K337"/>
    <mergeCell ref="N336:R336"/>
    <mergeCell ref="U336:Y336"/>
    <mergeCell ref="AB336:AF336"/>
    <mergeCell ref="AO327:AO331"/>
    <mergeCell ref="AB325:AF325"/>
    <mergeCell ref="AK314:AK325"/>
    <mergeCell ref="AL314:AL325"/>
    <mergeCell ref="AM314:AM318"/>
    <mergeCell ref="AN314:AN318"/>
    <mergeCell ref="AO314:AO318"/>
    <mergeCell ref="N349:R349"/>
    <mergeCell ref="U349:Y349"/>
    <mergeCell ref="AB349:AF349"/>
    <mergeCell ref="AH327:AH338"/>
    <mergeCell ref="AJ327:AJ338"/>
    <mergeCell ref="G322:K322"/>
    <mergeCell ref="N322:R322"/>
    <mergeCell ref="U337:Y337"/>
    <mergeCell ref="AB337:AF337"/>
    <mergeCell ref="G336:K336"/>
    <mergeCell ref="T340:T351"/>
    <mergeCell ref="AA340:AA351"/>
    <mergeCell ref="G349:K349"/>
    <mergeCell ref="AP327:AP331"/>
    <mergeCell ref="AJ340:AJ351"/>
    <mergeCell ref="G346:K346"/>
    <mergeCell ref="N346:R346"/>
    <mergeCell ref="U346:Y346"/>
    <mergeCell ref="AB346:AF346"/>
    <mergeCell ref="AB348:AF348"/>
    <mergeCell ref="G348:K348"/>
    <mergeCell ref="N348:R348"/>
    <mergeCell ref="U348:Y348"/>
    <mergeCell ref="AQ327:AQ331"/>
    <mergeCell ref="AR327:AR331"/>
    <mergeCell ref="B340:B351"/>
    <mergeCell ref="C340:C351"/>
    <mergeCell ref="D340:D351"/>
    <mergeCell ref="E340:E351"/>
    <mergeCell ref="M340:M351"/>
    <mergeCell ref="AQ366:AQ370"/>
    <mergeCell ref="N375:R375"/>
    <mergeCell ref="U375:Y375"/>
    <mergeCell ref="U376:Y376"/>
    <mergeCell ref="AB376:AF376"/>
    <mergeCell ref="AH366:AH377"/>
    <mergeCell ref="AJ366:AJ377"/>
    <mergeCell ref="AB377:AF377"/>
    <mergeCell ref="T366:T377"/>
    <mergeCell ref="AA366:AA377"/>
    <mergeCell ref="G350:K350"/>
    <mergeCell ref="N350:R350"/>
    <mergeCell ref="AO340:AO344"/>
    <mergeCell ref="AP340:AP344"/>
    <mergeCell ref="G347:K347"/>
    <mergeCell ref="G351:K351"/>
    <mergeCell ref="N351:R351"/>
    <mergeCell ref="U351:Y351"/>
    <mergeCell ref="AB351:AF351"/>
    <mergeCell ref="N347:R347"/>
    <mergeCell ref="AQ340:AQ344"/>
    <mergeCell ref="AR340:AR344"/>
    <mergeCell ref="AK340:AK351"/>
    <mergeCell ref="AL340:AL351"/>
    <mergeCell ref="AM340:AM344"/>
    <mergeCell ref="AN340:AN344"/>
    <mergeCell ref="AB372:AF372"/>
    <mergeCell ref="U350:Y350"/>
    <mergeCell ref="AB350:AF350"/>
    <mergeCell ref="AH340:AH351"/>
    <mergeCell ref="AB364:AF364"/>
    <mergeCell ref="AB360:AF360"/>
    <mergeCell ref="U347:Y347"/>
    <mergeCell ref="AB347:AF347"/>
    <mergeCell ref="G361:K361"/>
    <mergeCell ref="N361:R361"/>
    <mergeCell ref="U361:Y361"/>
    <mergeCell ref="AB361:AF361"/>
    <mergeCell ref="G364:K364"/>
    <mergeCell ref="N364:R364"/>
    <mergeCell ref="U364:Y364"/>
    <mergeCell ref="G373:K373"/>
    <mergeCell ref="N373:R373"/>
    <mergeCell ref="U373:Y373"/>
    <mergeCell ref="AB373:AF373"/>
    <mergeCell ref="AB374:AF374"/>
    <mergeCell ref="G362:K362"/>
    <mergeCell ref="N362:R362"/>
    <mergeCell ref="U362:Y362"/>
    <mergeCell ref="G363:K363"/>
    <mergeCell ref="G372:K372"/>
    <mergeCell ref="B379:B390"/>
    <mergeCell ref="C379:C390"/>
    <mergeCell ref="D379:D390"/>
    <mergeCell ref="E379:E390"/>
    <mergeCell ref="AB375:AF375"/>
    <mergeCell ref="G376:K376"/>
    <mergeCell ref="N376:R376"/>
    <mergeCell ref="G377:K377"/>
    <mergeCell ref="N377:R377"/>
    <mergeCell ref="U377:Y377"/>
    <mergeCell ref="AK392:AK403"/>
    <mergeCell ref="G400:K400"/>
    <mergeCell ref="G390:K390"/>
    <mergeCell ref="N390:R390"/>
    <mergeCell ref="U390:Y390"/>
    <mergeCell ref="M379:M390"/>
    <mergeCell ref="AH379:AH390"/>
    <mergeCell ref="AJ379:AJ390"/>
    <mergeCell ref="G385:K385"/>
    <mergeCell ref="N385:R385"/>
    <mergeCell ref="U385:Y385"/>
    <mergeCell ref="AB385:AF385"/>
    <mergeCell ref="G386:K386"/>
    <mergeCell ref="N386:R386"/>
    <mergeCell ref="U386:Y386"/>
    <mergeCell ref="AB386:AF386"/>
    <mergeCell ref="U387:Y387"/>
    <mergeCell ref="AB387:AF387"/>
    <mergeCell ref="G388:K388"/>
    <mergeCell ref="N388:R388"/>
    <mergeCell ref="U388:Y388"/>
    <mergeCell ref="AB388:AF388"/>
    <mergeCell ref="T379:T390"/>
    <mergeCell ref="AA379:AA390"/>
    <mergeCell ref="G387:K387"/>
    <mergeCell ref="N387:R387"/>
    <mergeCell ref="G389:K389"/>
    <mergeCell ref="N389:R389"/>
    <mergeCell ref="AB403:AF403"/>
    <mergeCell ref="M392:M403"/>
    <mergeCell ref="T392:T403"/>
    <mergeCell ref="AB389:AF389"/>
    <mergeCell ref="AB390:AF390"/>
    <mergeCell ref="U389:Y389"/>
    <mergeCell ref="G401:K401"/>
    <mergeCell ref="G403:K403"/>
    <mergeCell ref="AK379:AK390"/>
    <mergeCell ref="AL379:AL390"/>
    <mergeCell ref="AM379:AM383"/>
    <mergeCell ref="AN379:AN383"/>
    <mergeCell ref="AO379:AO383"/>
    <mergeCell ref="AP379:AP383"/>
    <mergeCell ref="AM385:AM390"/>
    <mergeCell ref="AM398:AM403"/>
    <mergeCell ref="AP405:AP409"/>
    <mergeCell ref="AQ405:AQ409"/>
    <mergeCell ref="AP392:AP396"/>
    <mergeCell ref="AQ392:AQ396"/>
    <mergeCell ref="AR379:AR383"/>
    <mergeCell ref="AQ379:AQ383"/>
    <mergeCell ref="AA392:AA403"/>
    <mergeCell ref="AR405:AR409"/>
    <mergeCell ref="AL392:AL403"/>
    <mergeCell ref="AM392:AM396"/>
    <mergeCell ref="AN392:AN396"/>
    <mergeCell ref="AO392:AO396"/>
    <mergeCell ref="AR392:AR396"/>
    <mergeCell ref="AN405:AN409"/>
    <mergeCell ref="AO405:AO409"/>
    <mergeCell ref="AM405:AM409"/>
    <mergeCell ref="B392:B403"/>
    <mergeCell ref="C392:C403"/>
    <mergeCell ref="D392:D403"/>
    <mergeCell ref="E392:E403"/>
    <mergeCell ref="N413:R413"/>
    <mergeCell ref="U413:Y413"/>
    <mergeCell ref="U412:Y412"/>
    <mergeCell ref="AH392:AH403"/>
    <mergeCell ref="N402:R402"/>
    <mergeCell ref="U402:Y402"/>
    <mergeCell ref="AB402:AF402"/>
    <mergeCell ref="N400:R400"/>
    <mergeCell ref="U400:Y400"/>
    <mergeCell ref="AB400:AF400"/>
    <mergeCell ref="N401:R401"/>
    <mergeCell ref="U401:Y401"/>
    <mergeCell ref="AB401:AF401"/>
    <mergeCell ref="AJ392:AJ403"/>
    <mergeCell ref="G398:K398"/>
    <mergeCell ref="N398:R398"/>
    <mergeCell ref="U398:Y398"/>
    <mergeCell ref="AB398:AF398"/>
    <mergeCell ref="G399:K399"/>
    <mergeCell ref="N399:R399"/>
    <mergeCell ref="U399:Y399"/>
    <mergeCell ref="AB399:AF399"/>
    <mergeCell ref="G402:K402"/>
    <mergeCell ref="N403:R403"/>
    <mergeCell ref="U403:Y403"/>
    <mergeCell ref="G416:K416"/>
    <mergeCell ref="N416:R416"/>
    <mergeCell ref="U416:Y416"/>
    <mergeCell ref="G411:K411"/>
    <mergeCell ref="N411:R411"/>
    <mergeCell ref="U411:Y411"/>
    <mergeCell ref="AK405:AK416"/>
    <mergeCell ref="AL405:AL416"/>
    <mergeCell ref="M405:M416"/>
    <mergeCell ref="T405:T416"/>
    <mergeCell ref="AB413:AF413"/>
    <mergeCell ref="G414:K414"/>
    <mergeCell ref="N414:R414"/>
    <mergeCell ref="AJ405:AJ416"/>
    <mergeCell ref="AB416:AF416"/>
    <mergeCell ref="G415:K415"/>
    <mergeCell ref="B405:B416"/>
    <mergeCell ref="C405:C416"/>
    <mergeCell ref="D405:D416"/>
    <mergeCell ref="E405:E416"/>
    <mergeCell ref="AB412:AF412"/>
    <mergeCell ref="G413:K413"/>
    <mergeCell ref="N415:R415"/>
    <mergeCell ref="U415:Y415"/>
    <mergeCell ref="AB415:AF415"/>
    <mergeCell ref="AA405:AA416"/>
    <mergeCell ref="AJ431:AJ442"/>
    <mergeCell ref="AB411:AF411"/>
    <mergeCell ref="G412:K412"/>
    <mergeCell ref="N412:R412"/>
    <mergeCell ref="U414:Y414"/>
    <mergeCell ref="AB414:AF414"/>
    <mergeCell ref="AH405:AH416"/>
    <mergeCell ref="G438:K438"/>
    <mergeCell ref="N438:R438"/>
    <mergeCell ref="U438:Y438"/>
    <mergeCell ref="AB438:AF438"/>
    <mergeCell ref="AR418:AR422"/>
    <mergeCell ref="B431:B442"/>
    <mergeCell ref="C431:C442"/>
    <mergeCell ref="D431:D442"/>
    <mergeCell ref="E431:E442"/>
    <mergeCell ref="M431:M442"/>
    <mergeCell ref="AH418:AH429"/>
    <mergeCell ref="N426:R426"/>
    <mergeCell ref="U426:Y426"/>
    <mergeCell ref="AB426:AF426"/>
    <mergeCell ref="U437:Y437"/>
    <mergeCell ref="AB437:AF437"/>
    <mergeCell ref="T431:T442"/>
    <mergeCell ref="AA431:AA442"/>
    <mergeCell ref="AH431:AH442"/>
    <mergeCell ref="AJ418:AJ429"/>
    <mergeCell ref="G424:K424"/>
    <mergeCell ref="N424:R424"/>
    <mergeCell ref="U424:Y424"/>
    <mergeCell ref="AB424:AF424"/>
    <mergeCell ref="G425:K425"/>
    <mergeCell ref="N429:R429"/>
    <mergeCell ref="U429:Y429"/>
    <mergeCell ref="AB429:AF429"/>
    <mergeCell ref="AA418:AA429"/>
    <mergeCell ref="AQ418:AQ422"/>
    <mergeCell ref="AK418:AK429"/>
    <mergeCell ref="AL418:AL429"/>
    <mergeCell ref="G437:K437"/>
    <mergeCell ref="N437:R437"/>
    <mergeCell ref="AK431:AK442"/>
    <mergeCell ref="AL431:AL442"/>
    <mergeCell ref="N425:R425"/>
    <mergeCell ref="U425:Y425"/>
    <mergeCell ref="AB425:AF425"/>
    <mergeCell ref="AM431:AM435"/>
    <mergeCell ref="AN431:AN435"/>
    <mergeCell ref="AO431:AO435"/>
    <mergeCell ref="AP431:AP435"/>
    <mergeCell ref="AN418:AN422"/>
    <mergeCell ref="AO418:AO422"/>
    <mergeCell ref="AP418:AP422"/>
    <mergeCell ref="U427:Y427"/>
    <mergeCell ref="AB427:AF427"/>
    <mergeCell ref="M418:M429"/>
    <mergeCell ref="T418:T429"/>
    <mergeCell ref="G428:K428"/>
    <mergeCell ref="N428:R428"/>
    <mergeCell ref="U428:Y428"/>
    <mergeCell ref="AB428:AF428"/>
    <mergeCell ref="G426:K426"/>
    <mergeCell ref="G429:K429"/>
    <mergeCell ref="B444:B455"/>
    <mergeCell ref="C444:C455"/>
    <mergeCell ref="D444:D455"/>
    <mergeCell ref="E444:E455"/>
    <mergeCell ref="G427:K427"/>
    <mergeCell ref="N427:R427"/>
    <mergeCell ref="B418:B429"/>
    <mergeCell ref="C418:C429"/>
    <mergeCell ref="D418:D429"/>
    <mergeCell ref="E418:E429"/>
    <mergeCell ref="AK444:AK455"/>
    <mergeCell ref="AL444:AL455"/>
    <mergeCell ref="AB452:AF452"/>
    <mergeCell ref="AM450:AM455"/>
    <mergeCell ref="AJ444:AJ455"/>
    <mergeCell ref="AB453:AF453"/>
    <mergeCell ref="AB450:AF450"/>
    <mergeCell ref="M444:M455"/>
    <mergeCell ref="T444:T455"/>
    <mergeCell ref="AA444:AA455"/>
    <mergeCell ref="N455:R455"/>
    <mergeCell ref="N452:R452"/>
    <mergeCell ref="U452:Y452"/>
    <mergeCell ref="U455:Y455"/>
    <mergeCell ref="AB455:AF455"/>
    <mergeCell ref="U467:Y467"/>
    <mergeCell ref="G453:K453"/>
    <mergeCell ref="N453:R453"/>
    <mergeCell ref="U453:Y453"/>
    <mergeCell ref="G452:K452"/>
    <mergeCell ref="G451:K451"/>
    <mergeCell ref="N451:R451"/>
    <mergeCell ref="U451:Y451"/>
    <mergeCell ref="G454:K454"/>
    <mergeCell ref="N454:R454"/>
    <mergeCell ref="U454:Y454"/>
    <mergeCell ref="AB454:AF454"/>
    <mergeCell ref="G455:K455"/>
    <mergeCell ref="AH444:AH455"/>
    <mergeCell ref="AB451:AF451"/>
    <mergeCell ref="G450:K450"/>
    <mergeCell ref="N450:R450"/>
    <mergeCell ref="U450:Y450"/>
    <mergeCell ref="AQ431:AQ435"/>
    <mergeCell ref="AR431:AR435"/>
    <mergeCell ref="AN444:AN448"/>
    <mergeCell ref="AO444:AO448"/>
    <mergeCell ref="AP444:AP448"/>
    <mergeCell ref="AQ444:AQ448"/>
    <mergeCell ref="AR444:AR448"/>
    <mergeCell ref="G442:K442"/>
    <mergeCell ref="N442:R442"/>
    <mergeCell ref="U442:Y442"/>
    <mergeCell ref="AB442:AF442"/>
    <mergeCell ref="G439:K439"/>
    <mergeCell ref="N439:R439"/>
    <mergeCell ref="U439:Y439"/>
    <mergeCell ref="G441:K441"/>
    <mergeCell ref="N441:R441"/>
    <mergeCell ref="U441:Y441"/>
    <mergeCell ref="AB439:AF439"/>
    <mergeCell ref="G440:K440"/>
    <mergeCell ref="N440:R440"/>
    <mergeCell ref="U440:Y440"/>
    <mergeCell ref="AB440:AF440"/>
    <mergeCell ref="AB441:AF441"/>
    <mergeCell ref="G478:K478"/>
    <mergeCell ref="N478:R478"/>
    <mergeCell ref="AP457:AP461"/>
    <mergeCell ref="AH470:AH481"/>
    <mergeCell ref="AJ470:AJ481"/>
    <mergeCell ref="B470:B481"/>
    <mergeCell ref="C470:C481"/>
    <mergeCell ref="D470:D481"/>
    <mergeCell ref="E470:E481"/>
    <mergeCell ref="M470:M481"/>
    <mergeCell ref="B457:B468"/>
    <mergeCell ref="C457:C468"/>
    <mergeCell ref="D457:D468"/>
    <mergeCell ref="E457:E468"/>
    <mergeCell ref="U478:Y478"/>
    <mergeCell ref="AB478:AF478"/>
    <mergeCell ref="G477:K477"/>
    <mergeCell ref="N477:R477"/>
    <mergeCell ref="U477:Y477"/>
    <mergeCell ref="AB477:AF477"/>
    <mergeCell ref="G463:K463"/>
    <mergeCell ref="N463:R463"/>
    <mergeCell ref="G464:K464"/>
    <mergeCell ref="N464:R464"/>
    <mergeCell ref="G465:K465"/>
    <mergeCell ref="N465:R465"/>
    <mergeCell ref="G466:K466"/>
    <mergeCell ref="N466:R466"/>
    <mergeCell ref="U466:Y466"/>
    <mergeCell ref="AB466:AF466"/>
    <mergeCell ref="G476:K476"/>
    <mergeCell ref="N476:R476"/>
    <mergeCell ref="G467:K467"/>
    <mergeCell ref="N467:R467"/>
    <mergeCell ref="T470:T481"/>
    <mergeCell ref="AA470:AA481"/>
    <mergeCell ref="G468:K468"/>
    <mergeCell ref="N468:R468"/>
    <mergeCell ref="U468:Y468"/>
    <mergeCell ref="AJ457:AJ468"/>
    <mergeCell ref="AH457:AH468"/>
    <mergeCell ref="G480:K480"/>
    <mergeCell ref="N480:R480"/>
    <mergeCell ref="U480:Y480"/>
    <mergeCell ref="AB480:AF480"/>
    <mergeCell ref="AB467:AF467"/>
    <mergeCell ref="M457:M468"/>
    <mergeCell ref="T457:T468"/>
    <mergeCell ref="AA457:AA468"/>
    <mergeCell ref="U476:Y476"/>
    <mergeCell ref="AB476:AF476"/>
    <mergeCell ref="U463:Y463"/>
    <mergeCell ref="AB463:AF463"/>
    <mergeCell ref="U465:Y465"/>
    <mergeCell ref="U464:Y464"/>
    <mergeCell ref="AB464:AF464"/>
    <mergeCell ref="AP470:AP474"/>
    <mergeCell ref="AQ470:AQ474"/>
    <mergeCell ref="AR470:AR474"/>
    <mergeCell ref="AK470:AK481"/>
    <mergeCell ref="AL470:AL481"/>
    <mergeCell ref="U479:Y479"/>
    <mergeCell ref="AB479:AF479"/>
    <mergeCell ref="U481:Y481"/>
    <mergeCell ref="AB481:AF481"/>
    <mergeCell ref="AN470:AN474"/>
    <mergeCell ref="AH496:AH507"/>
    <mergeCell ref="AJ496:AJ507"/>
    <mergeCell ref="AQ483:AQ487"/>
    <mergeCell ref="AR483:AR487"/>
    <mergeCell ref="AN483:AN487"/>
    <mergeCell ref="AM502:AM507"/>
    <mergeCell ref="AQ496:AQ500"/>
    <mergeCell ref="AR496:AR500"/>
    <mergeCell ref="AM457:AM461"/>
    <mergeCell ref="AN457:AN461"/>
    <mergeCell ref="AO457:AO461"/>
    <mergeCell ref="AB465:AF465"/>
    <mergeCell ref="AB489:AF489"/>
    <mergeCell ref="AM470:AM474"/>
    <mergeCell ref="AH483:AH494"/>
    <mergeCell ref="AB491:AF491"/>
    <mergeCell ref="AB493:AF493"/>
    <mergeCell ref="AM483:AM487"/>
    <mergeCell ref="N490:R490"/>
    <mergeCell ref="U490:Y490"/>
    <mergeCell ref="AB490:AF490"/>
    <mergeCell ref="AO483:AO487"/>
    <mergeCell ref="AP483:AP487"/>
    <mergeCell ref="AK483:AK494"/>
    <mergeCell ref="AL483:AL494"/>
    <mergeCell ref="U491:Y491"/>
    <mergeCell ref="U493:Y493"/>
    <mergeCell ref="G479:K479"/>
    <mergeCell ref="N479:R479"/>
    <mergeCell ref="G481:K481"/>
    <mergeCell ref="N481:R481"/>
    <mergeCell ref="AQ457:AQ461"/>
    <mergeCell ref="AR457:AR461"/>
    <mergeCell ref="AO470:AO474"/>
    <mergeCell ref="AB468:AF468"/>
    <mergeCell ref="AK457:AK468"/>
    <mergeCell ref="AL457:AL468"/>
    <mergeCell ref="AB492:AF492"/>
    <mergeCell ref="T483:T494"/>
    <mergeCell ref="AA483:AA494"/>
    <mergeCell ref="N491:R491"/>
    <mergeCell ref="G494:K494"/>
    <mergeCell ref="N494:R494"/>
    <mergeCell ref="U494:Y494"/>
    <mergeCell ref="AB494:AF494"/>
    <mergeCell ref="G491:K491"/>
    <mergeCell ref="G490:K490"/>
    <mergeCell ref="AB502:AF502"/>
    <mergeCell ref="B496:B507"/>
    <mergeCell ref="C496:C507"/>
    <mergeCell ref="D496:D507"/>
    <mergeCell ref="E496:E507"/>
    <mergeCell ref="G493:K493"/>
    <mergeCell ref="N493:R493"/>
    <mergeCell ref="AA496:AA507"/>
    <mergeCell ref="G503:K503"/>
    <mergeCell ref="N503:R503"/>
    <mergeCell ref="U503:Y503"/>
    <mergeCell ref="G492:K492"/>
    <mergeCell ref="N492:R492"/>
    <mergeCell ref="M483:M494"/>
    <mergeCell ref="G502:K502"/>
    <mergeCell ref="N502:R502"/>
    <mergeCell ref="U502:Y502"/>
    <mergeCell ref="U492:Y492"/>
    <mergeCell ref="AB504:AF504"/>
    <mergeCell ref="G507:K507"/>
    <mergeCell ref="N507:R507"/>
    <mergeCell ref="AM489:AM494"/>
    <mergeCell ref="AJ483:AJ494"/>
    <mergeCell ref="G489:K489"/>
    <mergeCell ref="N489:R489"/>
    <mergeCell ref="U489:Y489"/>
    <mergeCell ref="U507:Y507"/>
    <mergeCell ref="AB507:AF507"/>
    <mergeCell ref="B509:B520"/>
    <mergeCell ref="C509:C520"/>
    <mergeCell ref="D509:D520"/>
    <mergeCell ref="E509:E520"/>
    <mergeCell ref="B483:B494"/>
    <mergeCell ref="C483:C494"/>
    <mergeCell ref="D483:D494"/>
    <mergeCell ref="E483:E494"/>
    <mergeCell ref="U520:Y520"/>
    <mergeCell ref="AB520:AF520"/>
    <mergeCell ref="G515:K515"/>
    <mergeCell ref="N515:R515"/>
    <mergeCell ref="U515:Y515"/>
    <mergeCell ref="AB515:AF515"/>
    <mergeCell ref="M509:M520"/>
    <mergeCell ref="T509:T520"/>
    <mergeCell ref="AA509:AA520"/>
    <mergeCell ref="G517:K517"/>
    <mergeCell ref="N517:R517"/>
    <mergeCell ref="U517:Y517"/>
    <mergeCell ref="AB517:AF517"/>
    <mergeCell ref="G516:K516"/>
    <mergeCell ref="N516:R516"/>
    <mergeCell ref="U516:Y516"/>
    <mergeCell ref="AB516:AF516"/>
    <mergeCell ref="AP496:AP500"/>
    <mergeCell ref="AM509:AM513"/>
    <mergeCell ref="AK509:AK520"/>
    <mergeCell ref="AL509:AL520"/>
    <mergeCell ref="G520:K520"/>
    <mergeCell ref="N520:R520"/>
    <mergeCell ref="AN509:AN513"/>
    <mergeCell ref="AO509:AO513"/>
    <mergeCell ref="AJ509:AJ520"/>
    <mergeCell ref="AM515:AM520"/>
    <mergeCell ref="AB506:AF506"/>
    <mergeCell ref="G505:K505"/>
    <mergeCell ref="N505:R505"/>
    <mergeCell ref="U505:Y505"/>
    <mergeCell ref="AP509:AP513"/>
    <mergeCell ref="AK496:AK507"/>
    <mergeCell ref="AL496:AL507"/>
    <mergeCell ref="AM496:AM500"/>
    <mergeCell ref="AN496:AN500"/>
    <mergeCell ref="AO496:AO500"/>
    <mergeCell ref="AB503:AF503"/>
    <mergeCell ref="G504:K504"/>
    <mergeCell ref="N504:R504"/>
    <mergeCell ref="U504:Y504"/>
    <mergeCell ref="M496:M507"/>
    <mergeCell ref="T496:T507"/>
    <mergeCell ref="AB505:AF505"/>
    <mergeCell ref="G506:K506"/>
    <mergeCell ref="N506:R506"/>
    <mergeCell ref="U506:Y506"/>
    <mergeCell ref="AR509:AR513"/>
    <mergeCell ref="AR522:AR526"/>
    <mergeCell ref="B522:B533"/>
    <mergeCell ref="C522:C533"/>
    <mergeCell ref="D522:D533"/>
    <mergeCell ref="E522:E533"/>
    <mergeCell ref="M522:M533"/>
    <mergeCell ref="T522:T533"/>
    <mergeCell ref="AA522:AA533"/>
    <mergeCell ref="AH509:AH520"/>
    <mergeCell ref="G529:K529"/>
    <mergeCell ref="N529:R529"/>
    <mergeCell ref="U529:Y529"/>
    <mergeCell ref="AB529:AF529"/>
    <mergeCell ref="G530:K530"/>
    <mergeCell ref="AQ509:AQ513"/>
    <mergeCell ref="G518:K518"/>
    <mergeCell ref="N519:R519"/>
    <mergeCell ref="U519:Y519"/>
    <mergeCell ref="AB519:AF519"/>
    <mergeCell ref="AB530:AF530"/>
    <mergeCell ref="G531:K531"/>
    <mergeCell ref="N531:R531"/>
    <mergeCell ref="U531:Y531"/>
    <mergeCell ref="AB531:AF531"/>
    <mergeCell ref="AH522:AH533"/>
    <mergeCell ref="G528:K528"/>
    <mergeCell ref="N528:R528"/>
    <mergeCell ref="U528:Y528"/>
    <mergeCell ref="AB528:AF528"/>
    <mergeCell ref="G532:K532"/>
    <mergeCell ref="N518:R518"/>
    <mergeCell ref="U518:Y518"/>
    <mergeCell ref="AB518:AF518"/>
    <mergeCell ref="G519:K519"/>
    <mergeCell ref="N532:R532"/>
    <mergeCell ref="U532:Y532"/>
    <mergeCell ref="AB532:AF532"/>
    <mergeCell ref="N530:R530"/>
    <mergeCell ref="U530:Y530"/>
    <mergeCell ref="AP522:AP526"/>
    <mergeCell ref="AQ522:AQ526"/>
    <mergeCell ref="AJ522:AJ533"/>
    <mergeCell ref="AK522:AK533"/>
    <mergeCell ref="AL522:AL533"/>
    <mergeCell ref="AM522:AM526"/>
    <mergeCell ref="AN522:AN526"/>
    <mergeCell ref="AO522:AO526"/>
    <mergeCell ref="G533:K533"/>
    <mergeCell ref="N533:R533"/>
    <mergeCell ref="U533:Y533"/>
    <mergeCell ref="AB533:AF533"/>
    <mergeCell ref="B535:B546"/>
    <mergeCell ref="C535:C546"/>
    <mergeCell ref="D535:D546"/>
    <mergeCell ref="E535:E546"/>
    <mergeCell ref="T535:T546"/>
    <mergeCell ref="AA535:AA546"/>
    <mergeCell ref="G541:K541"/>
    <mergeCell ref="N541:R541"/>
    <mergeCell ref="U541:Y541"/>
    <mergeCell ref="AB541:AF541"/>
    <mergeCell ref="G542:K542"/>
    <mergeCell ref="N542:R542"/>
    <mergeCell ref="U542:Y542"/>
    <mergeCell ref="AB542:AF542"/>
    <mergeCell ref="AM528:AM533"/>
    <mergeCell ref="AR535:AR539"/>
    <mergeCell ref="G546:K546"/>
    <mergeCell ref="N546:R546"/>
    <mergeCell ref="U546:Y546"/>
    <mergeCell ref="AB546:AF546"/>
    <mergeCell ref="M535:M546"/>
    <mergeCell ref="G545:K545"/>
    <mergeCell ref="N545:R545"/>
    <mergeCell ref="U545:Y545"/>
    <mergeCell ref="B548:B559"/>
    <mergeCell ref="C548:C559"/>
    <mergeCell ref="D548:D559"/>
    <mergeCell ref="E548:E559"/>
    <mergeCell ref="U556:Y556"/>
    <mergeCell ref="AB556:AF556"/>
    <mergeCell ref="G557:K557"/>
    <mergeCell ref="N558:R558"/>
    <mergeCell ref="U558:Y558"/>
    <mergeCell ref="AM554:AM559"/>
    <mergeCell ref="AM541:AM546"/>
    <mergeCell ref="AK548:AK559"/>
    <mergeCell ref="AM548:AM552"/>
    <mergeCell ref="AL535:AL546"/>
    <mergeCell ref="AM535:AM539"/>
    <mergeCell ref="AH548:AH559"/>
    <mergeCell ref="AJ548:AJ559"/>
    <mergeCell ref="G554:K554"/>
    <mergeCell ref="N554:R554"/>
    <mergeCell ref="U554:Y554"/>
    <mergeCell ref="AB554:AF554"/>
    <mergeCell ref="G555:K555"/>
    <mergeCell ref="N555:R555"/>
    <mergeCell ref="U555:Y555"/>
    <mergeCell ref="AB555:AF555"/>
    <mergeCell ref="AB557:AF557"/>
    <mergeCell ref="AB558:AF558"/>
    <mergeCell ref="AN548:AN552"/>
    <mergeCell ref="G559:K559"/>
    <mergeCell ref="N559:R559"/>
    <mergeCell ref="U559:Y559"/>
    <mergeCell ref="AB559:AF559"/>
    <mergeCell ref="M548:M559"/>
    <mergeCell ref="T548:T559"/>
    <mergeCell ref="AA548:AA559"/>
    <mergeCell ref="AO535:AO539"/>
    <mergeCell ref="AP535:AP539"/>
    <mergeCell ref="AQ535:AQ539"/>
    <mergeCell ref="N556:R556"/>
    <mergeCell ref="AO548:AO552"/>
    <mergeCell ref="AP548:AP552"/>
    <mergeCell ref="AQ548:AQ552"/>
    <mergeCell ref="AL548:AL559"/>
    <mergeCell ref="N557:R557"/>
    <mergeCell ref="U557:Y557"/>
    <mergeCell ref="AB544:AF544"/>
    <mergeCell ref="G543:K543"/>
    <mergeCell ref="N543:R543"/>
    <mergeCell ref="U543:Y543"/>
    <mergeCell ref="AB543:AF543"/>
    <mergeCell ref="AN535:AN539"/>
    <mergeCell ref="AK535:AK546"/>
    <mergeCell ref="AB545:AF545"/>
    <mergeCell ref="AH535:AH546"/>
    <mergeCell ref="AJ535:AJ546"/>
    <mergeCell ref="G567:K567"/>
    <mergeCell ref="N567:R567"/>
    <mergeCell ref="U567:Y567"/>
    <mergeCell ref="G544:K544"/>
    <mergeCell ref="N544:R544"/>
    <mergeCell ref="U544:Y544"/>
    <mergeCell ref="G556:K556"/>
    <mergeCell ref="AR548:AR552"/>
    <mergeCell ref="B561:B572"/>
    <mergeCell ref="C561:C572"/>
    <mergeCell ref="D561:D572"/>
    <mergeCell ref="E561:E572"/>
    <mergeCell ref="M561:M572"/>
    <mergeCell ref="G569:K569"/>
    <mergeCell ref="N569:R569"/>
    <mergeCell ref="U569:Y569"/>
    <mergeCell ref="G572:K572"/>
    <mergeCell ref="G568:K568"/>
    <mergeCell ref="N568:R568"/>
    <mergeCell ref="U568:Y568"/>
    <mergeCell ref="AB568:AF568"/>
    <mergeCell ref="T561:T572"/>
    <mergeCell ref="AA561:AA572"/>
    <mergeCell ref="G571:K571"/>
    <mergeCell ref="N571:R571"/>
    <mergeCell ref="U571:Y571"/>
    <mergeCell ref="AB567:AF567"/>
    <mergeCell ref="G558:K558"/>
    <mergeCell ref="N572:R572"/>
    <mergeCell ref="U572:Y572"/>
    <mergeCell ref="AB572:AF572"/>
    <mergeCell ref="AB571:AF571"/>
    <mergeCell ref="G570:K570"/>
    <mergeCell ref="N570:R570"/>
    <mergeCell ref="U570:Y570"/>
    <mergeCell ref="AB570:AF570"/>
    <mergeCell ref="AB569:AF569"/>
    <mergeCell ref="AJ574:AJ585"/>
    <mergeCell ref="AB583:AF583"/>
    <mergeCell ref="AK574:AK585"/>
    <mergeCell ref="AL574:AL585"/>
    <mergeCell ref="AH561:AH572"/>
    <mergeCell ref="AJ561:AJ572"/>
    <mergeCell ref="AB584:AF584"/>
    <mergeCell ref="AB582:AF582"/>
    <mergeCell ref="AM561:AM565"/>
    <mergeCell ref="AN561:AN565"/>
    <mergeCell ref="AO561:AO565"/>
    <mergeCell ref="AP561:AP565"/>
    <mergeCell ref="AK561:AK572"/>
    <mergeCell ref="AL561:AL572"/>
    <mergeCell ref="AQ561:AQ565"/>
    <mergeCell ref="AR561:AR565"/>
    <mergeCell ref="B574:B585"/>
    <mergeCell ref="C574:C585"/>
    <mergeCell ref="D574:D585"/>
    <mergeCell ref="E574:E585"/>
    <mergeCell ref="M574:M585"/>
    <mergeCell ref="T574:T585"/>
    <mergeCell ref="AA574:AA585"/>
    <mergeCell ref="AH574:AH585"/>
    <mergeCell ref="U584:Y584"/>
    <mergeCell ref="G595:K595"/>
    <mergeCell ref="N580:R580"/>
    <mergeCell ref="U580:Y580"/>
    <mergeCell ref="AB580:AF580"/>
    <mergeCell ref="G581:K581"/>
    <mergeCell ref="N581:R581"/>
    <mergeCell ref="U581:Y581"/>
    <mergeCell ref="AB581:AF581"/>
    <mergeCell ref="G580:K580"/>
    <mergeCell ref="U585:Y585"/>
    <mergeCell ref="AB585:AF585"/>
    <mergeCell ref="G582:K582"/>
    <mergeCell ref="G596:K596"/>
    <mergeCell ref="N596:R596"/>
    <mergeCell ref="U596:Y596"/>
    <mergeCell ref="N582:R582"/>
    <mergeCell ref="U582:Y582"/>
    <mergeCell ref="G584:K584"/>
    <mergeCell ref="N584:R584"/>
    <mergeCell ref="AR587:AR591"/>
    <mergeCell ref="AH587:AH598"/>
    <mergeCell ref="U598:Y598"/>
    <mergeCell ref="AB598:AF598"/>
    <mergeCell ref="AK587:AK598"/>
    <mergeCell ref="G593:K593"/>
    <mergeCell ref="N593:R593"/>
    <mergeCell ref="AP587:AP591"/>
    <mergeCell ref="AM574:AM578"/>
    <mergeCell ref="AN574:AN578"/>
    <mergeCell ref="AO574:AO578"/>
    <mergeCell ref="AP574:AP578"/>
    <mergeCell ref="G583:K583"/>
    <mergeCell ref="N583:R583"/>
    <mergeCell ref="U583:Y583"/>
    <mergeCell ref="G585:K585"/>
    <mergeCell ref="N585:R585"/>
    <mergeCell ref="B587:B598"/>
    <mergeCell ref="C587:C598"/>
    <mergeCell ref="D587:D598"/>
    <mergeCell ref="E587:E598"/>
    <mergeCell ref="AQ574:AQ578"/>
    <mergeCell ref="AR574:AR578"/>
    <mergeCell ref="AM587:AM591"/>
    <mergeCell ref="AN587:AN591"/>
    <mergeCell ref="AO587:AO591"/>
    <mergeCell ref="AQ587:AQ591"/>
    <mergeCell ref="U593:Y593"/>
    <mergeCell ref="AB593:AF593"/>
    <mergeCell ref="M587:M598"/>
    <mergeCell ref="T587:T598"/>
    <mergeCell ref="AA587:AA598"/>
    <mergeCell ref="AB595:AF595"/>
    <mergeCell ref="U609:Y609"/>
    <mergeCell ref="AB609:AF609"/>
    <mergeCell ref="G610:K610"/>
    <mergeCell ref="N610:R610"/>
    <mergeCell ref="U610:Y610"/>
    <mergeCell ref="AB610:AF610"/>
    <mergeCell ref="AL587:AL598"/>
    <mergeCell ref="AJ587:AJ598"/>
    <mergeCell ref="G611:K611"/>
    <mergeCell ref="N611:R611"/>
    <mergeCell ref="U611:Y611"/>
    <mergeCell ref="AB596:AF596"/>
    <mergeCell ref="G597:K597"/>
    <mergeCell ref="N597:R597"/>
    <mergeCell ref="U597:Y597"/>
    <mergeCell ref="AB597:AF597"/>
    <mergeCell ref="U608:Y608"/>
    <mergeCell ref="U607:Y607"/>
    <mergeCell ref="G594:K594"/>
    <mergeCell ref="N594:R594"/>
    <mergeCell ref="U594:Y594"/>
    <mergeCell ref="AB594:AF594"/>
    <mergeCell ref="G598:K598"/>
    <mergeCell ref="N598:R598"/>
    <mergeCell ref="N595:R595"/>
    <mergeCell ref="U595:Y595"/>
    <mergeCell ref="T613:T624"/>
    <mergeCell ref="AA613:AA624"/>
    <mergeCell ref="AP600:AP604"/>
    <mergeCell ref="AQ600:AQ604"/>
    <mergeCell ref="M600:M611"/>
    <mergeCell ref="T600:T611"/>
    <mergeCell ref="AA600:AA611"/>
    <mergeCell ref="AH600:AH611"/>
    <mergeCell ref="U606:Y606"/>
    <mergeCell ref="AB606:AF606"/>
    <mergeCell ref="G621:K621"/>
    <mergeCell ref="N621:R621"/>
    <mergeCell ref="U619:Y619"/>
    <mergeCell ref="AB619:AF619"/>
    <mergeCell ref="AR600:AR604"/>
    <mergeCell ref="B613:B624"/>
    <mergeCell ref="C613:C624"/>
    <mergeCell ref="D613:D624"/>
    <mergeCell ref="E613:E624"/>
    <mergeCell ref="M613:M624"/>
    <mergeCell ref="B600:B611"/>
    <mergeCell ref="C600:C611"/>
    <mergeCell ref="D600:D611"/>
    <mergeCell ref="E600:E611"/>
    <mergeCell ref="U621:Y621"/>
    <mergeCell ref="AB621:AF621"/>
    <mergeCell ref="G620:K620"/>
    <mergeCell ref="N620:R620"/>
    <mergeCell ref="U620:Y620"/>
    <mergeCell ref="AB620:AF620"/>
    <mergeCell ref="G619:K619"/>
    <mergeCell ref="N619:R619"/>
    <mergeCell ref="G606:K606"/>
    <mergeCell ref="N606:R606"/>
    <mergeCell ref="G607:K607"/>
    <mergeCell ref="N607:R607"/>
    <mergeCell ref="G608:K608"/>
    <mergeCell ref="N608:R608"/>
    <mergeCell ref="G609:K609"/>
    <mergeCell ref="N609:R609"/>
    <mergeCell ref="U622:Y622"/>
    <mergeCell ref="AB622:AF622"/>
    <mergeCell ref="AK613:AK624"/>
    <mergeCell ref="AL613:AL624"/>
    <mergeCell ref="U623:Y623"/>
    <mergeCell ref="AB623:AF623"/>
    <mergeCell ref="AM613:AM617"/>
    <mergeCell ref="AN613:AN617"/>
    <mergeCell ref="G624:K624"/>
    <mergeCell ref="N624:R624"/>
    <mergeCell ref="U624:Y624"/>
    <mergeCell ref="AB624:AF624"/>
    <mergeCell ref="G623:K623"/>
    <mergeCell ref="N623:R623"/>
    <mergeCell ref="AH613:AH624"/>
    <mergeCell ref="AJ613:AJ624"/>
    <mergeCell ref="AO613:AO617"/>
    <mergeCell ref="AB611:AF611"/>
    <mergeCell ref="AK600:AK611"/>
    <mergeCell ref="AL600:AL611"/>
    <mergeCell ref="AM600:AM604"/>
    <mergeCell ref="AN600:AN604"/>
    <mergeCell ref="AO600:AO604"/>
    <mergeCell ref="AJ600:AJ611"/>
    <mergeCell ref="AB608:AF608"/>
    <mergeCell ref="AB607:AF607"/>
    <mergeCell ref="AP613:AP617"/>
    <mergeCell ref="AQ613:AQ617"/>
    <mergeCell ref="AR613:AR617"/>
    <mergeCell ref="B626:B637"/>
    <mergeCell ref="C626:C637"/>
    <mergeCell ref="D626:D637"/>
    <mergeCell ref="E626:E637"/>
    <mergeCell ref="M626:M637"/>
    <mergeCell ref="T626:T637"/>
    <mergeCell ref="AA626:AA637"/>
    <mergeCell ref="AJ626:AJ637"/>
    <mergeCell ref="G632:K632"/>
    <mergeCell ref="N632:R632"/>
    <mergeCell ref="U632:Y632"/>
    <mergeCell ref="AB632:AF632"/>
    <mergeCell ref="G633:K633"/>
    <mergeCell ref="N633:R633"/>
    <mergeCell ref="U633:Y633"/>
    <mergeCell ref="AB633:AF633"/>
    <mergeCell ref="G634:K634"/>
    <mergeCell ref="N634:R634"/>
    <mergeCell ref="U634:Y634"/>
    <mergeCell ref="AB634:AF634"/>
    <mergeCell ref="G635:K635"/>
    <mergeCell ref="N635:R635"/>
    <mergeCell ref="U635:Y635"/>
    <mergeCell ref="AB635:AF635"/>
    <mergeCell ref="G622:K622"/>
    <mergeCell ref="N622:R622"/>
    <mergeCell ref="AR626:AR630"/>
    <mergeCell ref="AK626:AK637"/>
    <mergeCell ref="AL626:AL637"/>
    <mergeCell ref="AM626:AM630"/>
    <mergeCell ref="AN626:AN630"/>
    <mergeCell ref="G637:K637"/>
    <mergeCell ref="N637:R637"/>
    <mergeCell ref="U637:Y637"/>
    <mergeCell ref="B639:B650"/>
    <mergeCell ref="C639:C650"/>
    <mergeCell ref="D639:D650"/>
    <mergeCell ref="E639:E650"/>
    <mergeCell ref="G646:K646"/>
    <mergeCell ref="N646:R646"/>
    <mergeCell ref="N647:R647"/>
    <mergeCell ref="G636:K636"/>
    <mergeCell ref="N636:R636"/>
    <mergeCell ref="AK639:AK650"/>
    <mergeCell ref="G649:K649"/>
    <mergeCell ref="AH639:AH650"/>
    <mergeCell ref="AJ639:AJ650"/>
    <mergeCell ref="G645:K645"/>
    <mergeCell ref="N645:R645"/>
    <mergeCell ref="U645:Y645"/>
    <mergeCell ref="AB645:AF645"/>
    <mergeCell ref="AN639:AN643"/>
    <mergeCell ref="U636:Y636"/>
    <mergeCell ref="AB636:AF636"/>
    <mergeCell ref="AM645:AM650"/>
    <mergeCell ref="AM632:AM637"/>
    <mergeCell ref="AB637:AF637"/>
    <mergeCell ref="U649:Y649"/>
    <mergeCell ref="AB649:AF649"/>
    <mergeCell ref="U646:Y646"/>
    <mergeCell ref="AH626:AH637"/>
    <mergeCell ref="AO626:AO630"/>
    <mergeCell ref="AP626:AP630"/>
    <mergeCell ref="AQ626:AQ630"/>
    <mergeCell ref="G647:K647"/>
    <mergeCell ref="AO639:AO643"/>
    <mergeCell ref="AP639:AP643"/>
    <mergeCell ref="AQ639:AQ643"/>
    <mergeCell ref="AB646:AF646"/>
    <mergeCell ref="AL639:AL650"/>
    <mergeCell ref="AM639:AM643"/>
    <mergeCell ref="G648:K648"/>
    <mergeCell ref="N661:R661"/>
    <mergeCell ref="U661:Y661"/>
    <mergeCell ref="AB661:AF661"/>
    <mergeCell ref="N648:R648"/>
    <mergeCell ref="U648:Y648"/>
    <mergeCell ref="AB648:AF648"/>
    <mergeCell ref="N649:R649"/>
    <mergeCell ref="G650:K650"/>
    <mergeCell ref="N650:R650"/>
    <mergeCell ref="U650:Y650"/>
    <mergeCell ref="AB650:AF650"/>
    <mergeCell ref="M639:M650"/>
    <mergeCell ref="T639:T650"/>
    <mergeCell ref="AA639:AA650"/>
    <mergeCell ref="U647:Y647"/>
    <mergeCell ref="AB647:AF647"/>
    <mergeCell ref="AB662:AF662"/>
    <mergeCell ref="AR639:AR643"/>
    <mergeCell ref="AR665:AR669"/>
    <mergeCell ref="AQ678:AQ682"/>
    <mergeCell ref="AR678:AR682"/>
    <mergeCell ref="AQ652:AQ656"/>
    <mergeCell ref="AR652:AR656"/>
    <mergeCell ref="AO652:AO656"/>
    <mergeCell ref="AB660:AF660"/>
    <mergeCell ref="AH652:AH663"/>
    <mergeCell ref="B652:B663"/>
    <mergeCell ref="C652:C663"/>
    <mergeCell ref="D652:D663"/>
    <mergeCell ref="E652:E663"/>
    <mergeCell ref="G659:K659"/>
    <mergeCell ref="N659:R659"/>
    <mergeCell ref="G662:K662"/>
    <mergeCell ref="AJ652:AJ663"/>
    <mergeCell ref="G658:K658"/>
    <mergeCell ref="N658:R658"/>
    <mergeCell ref="U658:Y658"/>
    <mergeCell ref="AB658:AF658"/>
    <mergeCell ref="G661:K661"/>
    <mergeCell ref="N662:R662"/>
    <mergeCell ref="U662:Y662"/>
    <mergeCell ref="G660:K660"/>
    <mergeCell ref="N660:R660"/>
    <mergeCell ref="G663:K663"/>
    <mergeCell ref="N663:R663"/>
    <mergeCell ref="U663:Y663"/>
    <mergeCell ref="AB663:AF663"/>
    <mergeCell ref="M652:M663"/>
    <mergeCell ref="T652:T663"/>
    <mergeCell ref="AA652:AA663"/>
    <mergeCell ref="U660:Y660"/>
    <mergeCell ref="U659:Y659"/>
    <mergeCell ref="AB659:AF659"/>
    <mergeCell ref="AP652:AP656"/>
    <mergeCell ref="AP665:AP669"/>
    <mergeCell ref="AQ665:AQ669"/>
    <mergeCell ref="AK652:AK663"/>
    <mergeCell ref="AL652:AL663"/>
    <mergeCell ref="AM652:AM656"/>
    <mergeCell ref="AN652:AN656"/>
    <mergeCell ref="AN665:AN669"/>
    <mergeCell ref="AL665:AL676"/>
    <mergeCell ref="AM665:AM669"/>
    <mergeCell ref="AH665:AH676"/>
    <mergeCell ref="AJ665:AJ676"/>
    <mergeCell ref="G671:K671"/>
    <mergeCell ref="AK665:AK676"/>
    <mergeCell ref="AB675:AF675"/>
    <mergeCell ref="G676:K676"/>
    <mergeCell ref="N676:R676"/>
    <mergeCell ref="U676:Y676"/>
    <mergeCell ref="N672:R672"/>
    <mergeCell ref="U672:Y672"/>
    <mergeCell ref="AB671:AF671"/>
    <mergeCell ref="G672:K672"/>
    <mergeCell ref="B665:B676"/>
    <mergeCell ref="C665:C676"/>
    <mergeCell ref="D665:D676"/>
    <mergeCell ref="E665:E676"/>
    <mergeCell ref="AB674:AF674"/>
    <mergeCell ref="G673:K673"/>
    <mergeCell ref="N673:R673"/>
    <mergeCell ref="U673:Y673"/>
    <mergeCell ref="AB673:AF673"/>
    <mergeCell ref="AO665:AO669"/>
    <mergeCell ref="G675:K675"/>
    <mergeCell ref="N675:R675"/>
    <mergeCell ref="U675:Y675"/>
    <mergeCell ref="M665:M676"/>
    <mergeCell ref="T665:T676"/>
    <mergeCell ref="N671:R671"/>
    <mergeCell ref="U671:Y671"/>
    <mergeCell ref="B678:B689"/>
    <mergeCell ref="C678:C689"/>
    <mergeCell ref="D678:D689"/>
    <mergeCell ref="E678:E689"/>
    <mergeCell ref="AB672:AF672"/>
    <mergeCell ref="AA665:AA676"/>
    <mergeCell ref="AB676:AF676"/>
    <mergeCell ref="G674:K674"/>
    <mergeCell ref="N674:R674"/>
    <mergeCell ref="U674:Y674"/>
    <mergeCell ref="G686:K686"/>
    <mergeCell ref="M678:M689"/>
    <mergeCell ref="T678:T689"/>
    <mergeCell ref="AA678:AA689"/>
    <mergeCell ref="AH678:AH689"/>
    <mergeCell ref="N686:R686"/>
    <mergeCell ref="U686:Y686"/>
    <mergeCell ref="AB686:AF686"/>
    <mergeCell ref="U688:Y688"/>
    <mergeCell ref="AB688:AF688"/>
    <mergeCell ref="AN678:AN682"/>
    <mergeCell ref="G687:K687"/>
    <mergeCell ref="N687:R687"/>
    <mergeCell ref="U687:Y687"/>
    <mergeCell ref="AB687:AF687"/>
    <mergeCell ref="AJ678:AJ689"/>
    <mergeCell ref="G684:K684"/>
    <mergeCell ref="N684:R684"/>
    <mergeCell ref="U684:Y684"/>
    <mergeCell ref="AB684:AF684"/>
    <mergeCell ref="G689:K689"/>
    <mergeCell ref="N689:R689"/>
    <mergeCell ref="U689:Y689"/>
    <mergeCell ref="AB689:AF689"/>
    <mergeCell ref="AK678:AK689"/>
    <mergeCell ref="AL678:AL689"/>
    <mergeCell ref="G685:K685"/>
    <mergeCell ref="N685:R685"/>
    <mergeCell ref="U685:Y685"/>
    <mergeCell ref="AB685:AF685"/>
    <mergeCell ref="G700:K700"/>
    <mergeCell ref="N700:R700"/>
    <mergeCell ref="N699:R699"/>
    <mergeCell ref="U700:Y700"/>
    <mergeCell ref="U697:Y697"/>
    <mergeCell ref="AB697:AF697"/>
    <mergeCell ref="M691:M702"/>
    <mergeCell ref="G701:K701"/>
    <mergeCell ref="G697:K697"/>
    <mergeCell ref="N697:R697"/>
    <mergeCell ref="AO678:AO682"/>
    <mergeCell ref="AP678:AP682"/>
    <mergeCell ref="AO691:AO695"/>
    <mergeCell ref="AP691:AP695"/>
    <mergeCell ref="G688:K688"/>
    <mergeCell ref="N688:R688"/>
    <mergeCell ref="AB701:AF701"/>
    <mergeCell ref="AA691:AA702"/>
    <mergeCell ref="U699:Y699"/>
    <mergeCell ref="AB699:AF699"/>
    <mergeCell ref="AQ691:AQ695"/>
    <mergeCell ref="AR691:AR695"/>
    <mergeCell ref="G702:K702"/>
    <mergeCell ref="N702:R702"/>
    <mergeCell ref="U702:Y702"/>
    <mergeCell ref="AB702:AF702"/>
    <mergeCell ref="AB700:AF700"/>
    <mergeCell ref="AN691:AN695"/>
    <mergeCell ref="N698:R698"/>
    <mergeCell ref="U698:Y698"/>
    <mergeCell ref="AB698:AF698"/>
    <mergeCell ref="AH691:AH702"/>
    <mergeCell ref="AJ691:AJ702"/>
    <mergeCell ref="AK691:AK702"/>
    <mergeCell ref="AL691:AL702"/>
    <mergeCell ref="U701:Y701"/>
    <mergeCell ref="T691:T702"/>
    <mergeCell ref="G714:K714"/>
    <mergeCell ref="N713:R713"/>
    <mergeCell ref="U713:Y713"/>
    <mergeCell ref="N712:R712"/>
    <mergeCell ref="U712:Y712"/>
    <mergeCell ref="B691:B702"/>
    <mergeCell ref="C691:C702"/>
    <mergeCell ref="D691:D702"/>
    <mergeCell ref="E691:E702"/>
    <mergeCell ref="N701:R701"/>
    <mergeCell ref="AN704:AN708"/>
    <mergeCell ref="G698:K698"/>
    <mergeCell ref="G699:K699"/>
    <mergeCell ref="B704:B715"/>
    <mergeCell ref="C704:C715"/>
    <mergeCell ref="D704:D715"/>
    <mergeCell ref="E704:E715"/>
    <mergeCell ref="G711:K711"/>
    <mergeCell ref="G712:K712"/>
    <mergeCell ref="G713:K713"/>
    <mergeCell ref="AP717:AP721"/>
    <mergeCell ref="AQ717:AQ721"/>
    <mergeCell ref="AJ704:AJ715"/>
    <mergeCell ref="AK704:AK715"/>
    <mergeCell ref="AL704:AL715"/>
    <mergeCell ref="AB714:AF714"/>
    <mergeCell ref="AB712:AF712"/>
    <mergeCell ref="AO704:AO708"/>
    <mergeCell ref="AP704:AP708"/>
    <mergeCell ref="AQ704:AQ708"/>
    <mergeCell ref="N711:R711"/>
    <mergeCell ref="U711:Y711"/>
    <mergeCell ref="AB711:AF711"/>
    <mergeCell ref="AM710:AM715"/>
    <mergeCell ref="AH704:AH715"/>
    <mergeCell ref="G710:K710"/>
    <mergeCell ref="N710:R710"/>
    <mergeCell ref="U710:Y710"/>
    <mergeCell ref="AB710:AF710"/>
    <mergeCell ref="M704:M715"/>
    <mergeCell ref="B717:B728"/>
    <mergeCell ref="C717:C728"/>
    <mergeCell ref="D717:D728"/>
    <mergeCell ref="E717:E728"/>
    <mergeCell ref="M717:M728"/>
    <mergeCell ref="U715:Y715"/>
    <mergeCell ref="N715:R715"/>
    <mergeCell ref="G715:K715"/>
    <mergeCell ref="T704:T715"/>
    <mergeCell ref="N714:R714"/>
    <mergeCell ref="U725:Y725"/>
    <mergeCell ref="G724:K724"/>
    <mergeCell ref="N724:R724"/>
    <mergeCell ref="U724:Y724"/>
    <mergeCell ref="AR717:AR721"/>
    <mergeCell ref="AB715:AF715"/>
    <mergeCell ref="AA704:AA715"/>
    <mergeCell ref="AB713:AF713"/>
    <mergeCell ref="U714:Y714"/>
    <mergeCell ref="AR704:AR708"/>
    <mergeCell ref="G723:K723"/>
    <mergeCell ref="G727:K727"/>
    <mergeCell ref="N727:R727"/>
    <mergeCell ref="U727:Y727"/>
    <mergeCell ref="G726:K726"/>
    <mergeCell ref="N726:R726"/>
    <mergeCell ref="U726:Y726"/>
    <mergeCell ref="T717:T728"/>
    <mergeCell ref="G725:K725"/>
    <mergeCell ref="N725:R725"/>
    <mergeCell ref="AB727:AF727"/>
    <mergeCell ref="AJ717:AJ728"/>
    <mergeCell ref="AK717:AK728"/>
    <mergeCell ref="AL717:AL728"/>
    <mergeCell ref="AM717:AM721"/>
    <mergeCell ref="AH730:AH741"/>
    <mergeCell ref="AJ730:AJ741"/>
    <mergeCell ref="AB726:AF726"/>
    <mergeCell ref="AB725:AF725"/>
    <mergeCell ref="AB724:AF724"/>
    <mergeCell ref="B730:B741"/>
    <mergeCell ref="C730:C741"/>
    <mergeCell ref="D730:D741"/>
    <mergeCell ref="E730:E741"/>
    <mergeCell ref="AK730:AK741"/>
    <mergeCell ref="AL730:AL741"/>
    <mergeCell ref="AN717:AN721"/>
    <mergeCell ref="AO717:AO721"/>
    <mergeCell ref="G728:K728"/>
    <mergeCell ref="N728:R728"/>
    <mergeCell ref="U728:Y728"/>
    <mergeCell ref="AB728:AF728"/>
    <mergeCell ref="AA717:AA728"/>
    <mergeCell ref="AH717:AH728"/>
    <mergeCell ref="N723:R723"/>
    <mergeCell ref="U723:Y723"/>
    <mergeCell ref="AB736:AF736"/>
    <mergeCell ref="G737:K737"/>
    <mergeCell ref="N737:R737"/>
    <mergeCell ref="U737:Y737"/>
    <mergeCell ref="AB737:AF737"/>
    <mergeCell ref="U736:Y736"/>
    <mergeCell ref="AB723:AF723"/>
    <mergeCell ref="G740:K740"/>
    <mergeCell ref="N740:R740"/>
    <mergeCell ref="U740:Y740"/>
    <mergeCell ref="AB740:AF740"/>
    <mergeCell ref="U738:Y738"/>
    <mergeCell ref="AB738:AF738"/>
    <mergeCell ref="G739:K739"/>
    <mergeCell ref="N739:R739"/>
    <mergeCell ref="U739:Y739"/>
    <mergeCell ref="AB739:AF739"/>
    <mergeCell ref="G741:K741"/>
    <mergeCell ref="N741:R741"/>
    <mergeCell ref="U741:Y741"/>
    <mergeCell ref="AB741:AF741"/>
    <mergeCell ref="M730:M741"/>
    <mergeCell ref="T730:T741"/>
    <mergeCell ref="AA730:AA741"/>
    <mergeCell ref="G736:K736"/>
    <mergeCell ref="N736:R736"/>
    <mergeCell ref="AO743:AO747"/>
    <mergeCell ref="AP743:AP747"/>
    <mergeCell ref="AQ743:AQ747"/>
    <mergeCell ref="AR730:AR734"/>
    <mergeCell ref="AR743:AR747"/>
    <mergeCell ref="AN730:AN734"/>
    <mergeCell ref="AO730:AO734"/>
    <mergeCell ref="AP730:AP734"/>
    <mergeCell ref="AQ730:AQ734"/>
    <mergeCell ref="AH743:AH754"/>
    <mergeCell ref="AB752:AF752"/>
    <mergeCell ref="B743:B754"/>
    <mergeCell ref="C743:C754"/>
    <mergeCell ref="D743:D754"/>
    <mergeCell ref="E743:E754"/>
    <mergeCell ref="G750:K750"/>
    <mergeCell ref="N750:R750"/>
    <mergeCell ref="U750:Y750"/>
    <mergeCell ref="AB750:AF750"/>
    <mergeCell ref="G749:K749"/>
    <mergeCell ref="N749:R749"/>
    <mergeCell ref="U749:Y749"/>
    <mergeCell ref="AB749:AF749"/>
    <mergeCell ref="M743:M754"/>
    <mergeCell ref="T743:T754"/>
    <mergeCell ref="AK743:AK754"/>
    <mergeCell ref="AL743:AL754"/>
    <mergeCell ref="AM743:AM747"/>
    <mergeCell ref="AN743:AN747"/>
    <mergeCell ref="G738:K738"/>
    <mergeCell ref="N738:R738"/>
    <mergeCell ref="G752:K752"/>
    <mergeCell ref="N752:R752"/>
    <mergeCell ref="G751:K751"/>
    <mergeCell ref="AJ743:AJ754"/>
    <mergeCell ref="N751:R751"/>
    <mergeCell ref="U751:Y751"/>
    <mergeCell ref="AB751:AF751"/>
    <mergeCell ref="N753:R753"/>
    <mergeCell ref="U753:Y753"/>
    <mergeCell ref="AB753:AF753"/>
    <mergeCell ref="U752:Y752"/>
    <mergeCell ref="AA743:AA754"/>
    <mergeCell ref="AR756:AR760"/>
    <mergeCell ref="AK756:AK767"/>
    <mergeCell ref="AL756:AL767"/>
    <mergeCell ref="AP756:AP760"/>
    <mergeCell ref="AQ756:AQ760"/>
    <mergeCell ref="G753:K753"/>
    <mergeCell ref="G754:K754"/>
    <mergeCell ref="N754:R754"/>
    <mergeCell ref="U754:Y754"/>
    <mergeCell ref="AB754:AF754"/>
    <mergeCell ref="T756:T767"/>
    <mergeCell ref="G767:K767"/>
    <mergeCell ref="G762:K762"/>
    <mergeCell ref="N762:R762"/>
    <mergeCell ref="U762:Y762"/>
    <mergeCell ref="AB762:AF762"/>
    <mergeCell ref="G763:K763"/>
    <mergeCell ref="N763:R763"/>
    <mergeCell ref="U763:Y763"/>
    <mergeCell ref="AB763:AF763"/>
    <mergeCell ref="AO782:AO786"/>
    <mergeCell ref="AJ782:AJ793"/>
    <mergeCell ref="AH756:AH767"/>
    <mergeCell ref="G765:K765"/>
    <mergeCell ref="N765:R765"/>
    <mergeCell ref="AR769:AR773"/>
    <mergeCell ref="G764:K764"/>
    <mergeCell ref="N764:R764"/>
    <mergeCell ref="AB764:AF764"/>
    <mergeCell ref="M756:M767"/>
    <mergeCell ref="AK782:AK793"/>
    <mergeCell ref="AL782:AL793"/>
    <mergeCell ref="AM782:AM786"/>
    <mergeCell ref="AP769:AP773"/>
    <mergeCell ref="AR782:AR786"/>
    <mergeCell ref="U779:Y779"/>
    <mergeCell ref="AB779:AF779"/>
    <mergeCell ref="U778:Y778"/>
    <mergeCell ref="AQ782:AQ786"/>
    <mergeCell ref="AN782:AN786"/>
    <mergeCell ref="AB777:AF777"/>
    <mergeCell ref="AB778:AF778"/>
    <mergeCell ref="AK769:AK780"/>
    <mergeCell ref="AL769:AL780"/>
    <mergeCell ref="AO769:AO773"/>
    <mergeCell ref="AH769:AH780"/>
    <mergeCell ref="AJ769:AJ780"/>
    <mergeCell ref="AA769:AA780"/>
    <mergeCell ref="G775:K775"/>
    <mergeCell ref="N775:R775"/>
    <mergeCell ref="G777:K777"/>
    <mergeCell ref="N777:R777"/>
    <mergeCell ref="U777:Y777"/>
    <mergeCell ref="G778:K778"/>
    <mergeCell ref="N778:R778"/>
    <mergeCell ref="N767:R767"/>
    <mergeCell ref="U767:Y767"/>
    <mergeCell ref="U764:Y764"/>
    <mergeCell ref="G776:K776"/>
    <mergeCell ref="AQ769:AQ773"/>
    <mergeCell ref="B769:B780"/>
    <mergeCell ref="C769:C780"/>
    <mergeCell ref="D769:D780"/>
    <mergeCell ref="E769:E780"/>
    <mergeCell ref="T769:T780"/>
    <mergeCell ref="U766:Y766"/>
    <mergeCell ref="AB766:AF766"/>
    <mergeCell ref="AB767:AF767"/>
    <mergeCell ref="U775:Y775"/>
    <mergeCell ref="AB775:AF775"/>
    <mergeCell ref="B756:B767"/>
    <mergeCell ref="C756:C767"/>
    <mergeCell ref="D756:D767"/>
    <mergeCell ref="E756:E767"/>
    <mergeCell ref="AA756:AA767"/>
    <mergeCell ref="N789:R789"/>
    <mergeCell ref="U789:Y789"/>
    <mergeCell ref="AB789:AF789"/>
    <mergeCell ref="U765:Y765"/>
    <mergeCell ref="AB765:AF765"/>
    <mergeCell ref="AO756:AO760"/>
    <mergeCell ref="AJ756:AJ767"/>
    <mergeCell ref="AN756:AN760"/>
    <mergeCell ref="N776:R776"/>
    <mergeCell ref="U776:Y776"/>
    <mergeCell ref="AP782:AP786"/>
    <mergeCell ref="M769:M780"/>
    <mergeCell ref="AN769:AN773"/>
    <mergeCell ref="G780:K780"/>
    <mergeCell ref="N780:R780"/>
    <mergeCell ref="U780:Y780"/>
    <mergeCell ref="AB780:AF780"/>
    <mergeCell ref="G779:K779"/>
    <mergeCell ref="N779:R779"/>
    <mergeCell ref="AB776:AF776"/>
    <mergeCell ref="G766:K766"/>
    <mergeCell ref="N766:R766"/>
    <mergeCell ref="B782:B793"/>
    <mergeCell ref="C782:C793"/>
    <mergeCell ref="D782:D793"/>
    <mergeCell ref="E782:E793"/>
    <mergeCell ref="G793:K793"/>
    <mergeCell ref="N793:R793"/>
    <mergeCell ref="G791:K791"/>
    <mergeCell ref="N791:R791"/>
    <mergeCell ref="AH782:AH793"/>
    <mergeCell ref="G788:K788"/>
    <mergeCell ref="N788:R788"/>
    <mergeCell ref="U788:Y788"/>
    <mergeCell ref="AB788:AF788"/>
    <mergeCell ref="G789:K789"/>
    <mergeCell ref="G790:K790"/>
    <mergeCell ref="N790:R790"/>
    <mergeCell ref="U790:Y790"/>
    <mergeCell ref="AB790:AF790"/>
    <mergeCell ref="B795:B806"/>
    <mergeCell ref="C795:C806"/>
    <mergeCell ref="D795:D806"/>
    <mergeCell ref="E795:E806"/>
    <mergeCell ref="U791:Y791"/>
    <mergeCell ref="AB791:AF791"/>
    <mergeCell ref="AR795:AR799"/>
    <mergeCell ref="AA808:AA819"/>
    <mergeCell ref="AH808:AH819"/>
    <mergeCell ref="G806:K806"/>
    <mergeCell ref="N806:R806"/>
    <mergeCell ref="G816:K816"/>
    <mergeCell ref="N816:R816"/>
    <mergeCell ref="U816:Y816"/>
    <mergeCell ref="AB816:AF816"/>
    <mergeCell ref="G815:K815"/>
    <mergeCell ref="G792:K792"/>
    <mergeCell ref="N792:R792"/>
    <mergeCell ref="U792:Y792"/>
    <mergeCell ref="AB792:AF792"/>
    <mergeCell ref="AB802:AF802"/>
    <mergeCell ref="G803:K803"/>
    <mergeCell ref="N803:R803"/>
    <mergeCell ref="U801:Y801"/>
    <mergeCell ref="AB801:AF801"/>
    <mergeCell ref="G802:K802"/>
    <mergeCell ref="U793:Y793"/>
    <mergeCell ref="AB793:AF793"/>
    <mergeCell ref="M782:M793"/>
    <mergeCell ref="T782:T793"/>
    <mergeCell ref="AA782:AA793"/>
    <mergeCell ref="N815:R815"/>
    <mergeCell ref="U815:Y815"/>
    <mergeCell ref="AB815:AF815"/>
    <mergeCell ref="AB804:AF804"/>
    <mergeCell ref="N802:R802"/>
    <mergeCell ref="U818:Y818"/>
    <mergeCell ref="AB818:AF818"/>
    <mergeCell ref="M808:M819"/>
    <mergeCell ref="T808:T819"/>
    <mergeCell ref="AB803:AF803"/>
    <mergeCell ref="M795:M806"/>
    <mergeCell ref="U802:Y802"/>
    <mergeCell ref="T795:T806"/>
    <mergeCell ref="AA795:AA806"/>
    <mergeCell ref="U806:Y806"/>
    <mergeCell ref="AQ795:AQ799"/>
    <mergeCell ref="N805:R805"/>
    <mergeCell ref="U805:Y805"/>
    <mergeCell ref="AB805:AF805"/>
    <mergeCell ref="AJ795:AJ806"/>
    <mergeCell ref="AL808:AL819"/>
    <mergeCell ref="AM808:AM812"/>
    <mergeCell ref="AM814:AM819"/>
    <mergeCell ref="AJ808:AJ819"/>
    <mergeCell ref="AB817:AF817"/>
    <mergeCell ref="G804:K804"/>
    <mergeCell ref="N804:R804"/>
    <mergeCell ref="U804:Y804"/>
    <mergeCell ref="AH795:AH806"/>
    <mergeCell ref="AB806:AF806"/>
    <mergeCell ref="G801:K801"/>
    <mergeCell ref="N801:R801"/>
    <mergeCell ref="G805:K805"/>
    <mergeCell ref="U803:Y803"/>
    <mergeCell ref="AN808:AN812"/>
    <mergeCell ref="AO808:AO812"/>
    <mergeCell ref="AP808:AP812"/>
    <mergeCell ref="AK795:AK806"/>
    <mergeCell ref="AL795:AL806"/>
    <mergeCell ref="AM795:AM799"/>
    <mergeCell ref="AN795:AN799"/>
    <mergeCell ref="AO795:AO799"/>
    <mergeCell ref="AP795:AP799"/>
    <mergeCell ref="AM801:AM806"/>
    <mergeCell ref="AB830:AF830"/>
    <mergeCell ref="AJ821:AJ832"/>
    <mergeCell ref="G827:K827"/>
    <mergeCell ref="N827:R827"/>
    <mergeCell ref="AB843:AF843"/>
    <mergeCell ref="AA834:AA845"/>
    <mergeCell ref="G840:K840"/>
    <mergeCell ref="N840:R840"/>
    <mergeCell ref="M834:M845"/>
    <mergeCell ref="T834:T845"/>
    <mergeCell ref="G829:K829"/>
    <mergeCell ref="N829:R829"/>
    <mergeCell ref="U829:Y829"/>
    <mergeCell ref="AB829:AF829"/>
    <mergeCell ref="AR834:AR838"/>
    <mergeCell ref="AP834:AP838"/>
    <mergeCell ref="AQ834:AQ838"/>
    <mergeCell ref="G830:K830"/>
    <mergeCell ref="N830:R830"/>
    <mergeCell ref="U830:Y830"/>
    <mergeCell ref="AB819:AF819"/>
    <mergeCell ref="AK808:AK819"/>
    <mergeCell ref="U819:Y819"/>
    <mergeCell ref="G817:K817"/>
    <mergeCell ref="U814:Y814"/>
    <mergeCell ref="AB814:AF814"/>
    <mergeCell ref="N817:R817"/>
    <mergeCell ref="U817:Y817"/>
    <mergeCell ref="G818:K818"/>
    <mergeCell ref="N818:R818"/>
    <mergeCell ref="B808:B819"/>
    <mergeCell ref="C808:C819"/>
    <mergeCell ref="D808:D819"/>
    <mergeCell ref="E808:E819"/>
    <mergeCell ref="G819:K819"/>
    <mergeCell ref="N819:R819"/>
    <mergeCell ref="G814:K814"/>
    <mergeCell ref="N814:R814"/>
    <mergeCell ref="AQ808:AQ812"/>
    <mergeCell ref="AR808:AR812"/>
    <mergeCell ref="B821:B832"/>
    <mergeCell ref="C821:C832"/>
    <mergeCell ref="D821:D832"/>
    <mergeCell ref="E821:E832"/>
    <mergeCell ref="M821:M832"/>
    <mergeCell ref="T821:T832"/>
    <mergeCell ref="AA821:AA832"/>
    <mergeCell ref="AH821:AH832"/>
    <mergeCell ref="U827:Y827"/>
    <mergeCell ref="AB827:AF827"/>
    <mergeCell ref="G828:K828"/>
    <mergeCell ref="AQ821:AQ825"/>
    <mergeCell ref="N828:R828"/>
    <mergeCell ref="U828:Y828"/>
    <mergeCell ref="AB828:AF828"/>
    <mergeCell ref="AR821:AR825"/>
    <mergeCell ref="AK821:AK832"/>
    <mergeCell ref="AL821:AL832"/>
    <mergeCell ref="AM821:AM825"/>
    <mergeCell ref="AN821:AN825"/>
    <mergeCell ref="AO821:AO825"/>
    <mergeCell ref="AP821:AP825"/>
    <mergeCell ref="AP847:AP851"/>
    <mergeCell ref="AQ847:AQ851"/>
    <mergeCell ref="U854:Y854"/>
    <mergeCell ref="AO847:AO851"/>
    <mergeCell ref="B847:B858"/>
    <mergeCell ref="C847:C858"/>
    <mergeCell ref="D847:D858"/>
    <mergeCell ref="E847:E858"/>
    <mergeCell ref="AL834:AL845"/>
    <mergeCell ref="AM834:AM838"/>
    <mergeCell ref="AN834:AN838"/>
    <mergeCell ref="AO834:AO838"/>
    <mergeCell ref="AM840:AM845"/>
    <mergeCell ref="AB854:AF854"/>
    <mergeCell ref="AB840:AF840"/>
    <mergeCell ref="N854:R854"/>
    <mergeCell ref="AB831:AF831"/>
    <mergeCell ref="G832:K832"/>
    <mergeCell ref="N832:R832"/>
    <mergeCell ref="U832:Y832"/>
    <mergeCell ref="AB832:AF832"/>
    <mergeCell ref="G831:K831"/>
    <mergeCell ref="N831:R831"/>
    <mergeCell ref="U831:Y831"/>
    <mergeCell ref="U843:Y843"/>
    <mergeCell ref="G857:K857"/>
    <mergeCell ref="N857:R857"/>
    <mergeCell ref="G855:K855"/>
    <mergeCell ref="N855:R855"/>
    <mergeCell ref="G843:K843"/>
    <mergeCell ref="N843:R843"/>
    <mergeCell ref="G845:K845"/>
    <mergeCell ref="N845:R845"/>
    <mergeCell ref="G844:K844"/>
    <mergeCell ref="N844:R844"/>
    <mergeCell ref="G853:K853"/>
    <mergeCell ref="B834:B845"/>
    <mergeCell ref="C834:C845"/>
    <mergeCell ref="D834:D845"/>
    <mergeCell ref="E834:E845"/>
    <mergeCell ref="G842:K842"/>
    <mergeCell ref="G841:K841"/>
    <mergeCell ref="AB845:AF845"/>
    <mergeCell ref="U844:Y844"/>
    <mergeCell ref="AB844:AF844"/>
    <mergeCell ref="AK834:AK845"/>
    <mergeCell ref="AJ834:AJ845"/>
    <mergeCell ref="T847:T858"/>
    <mergeCell ref="AA847:AA858"/>
    <mergeCell ref="U855:Y855"/>
    <mergeCell ref="U840:Y840"/>
    <mergeCell ref="N842:R842"/>
    <mergeCell ref="U842:Y842"/>
    <mergeCell ref="AB842:AF842"/>
    <mergeCell ref="AH834:AH845"/>
    <mergeCell ref="N841:R841"/>
    <mergeCell ref="AQ860:AQ864"/>
    <mergeCell ref="AL847:AL858"/>
    <mergeCell ref="U841:Y841"/>
    <mergeCell ref="AB841:AF841"/>
    <mergeCell ref="U845:Y845"/>
    <mergeCell ref="G858:K858"/>
    <mergeCell ref="N858:R858"/>
    <mergeCell ref="AB857:AF857"/>
    <mergeCell ref="M847:M858"/>
    <mergeCell ref="AB855:AF855"/>
    <mergeCell ref="G856:K856"/>
    <mergeCell ref="N856:R856"/>
    <mergeCell ref="U856:Y856"/>
    <mergeCell ref="AB856:AF856"/>
    <mergeCell ref="N853:R853"/>
    <mergeCell ref="N870:R870"/>
    <mergeCell ref="E860:E871"/>
    <mergeCell ref="M860:M871"/>
    <mergeCell ref="G868:K868"/>
    <mergeCell ref="N868:R868"/>
    <mergeCell ref="G871:K871"/>
    <mergeCell ref="N871:R871"/>
    <mergeCell ref="AB869:AF869"/>
    <mergeCell ref="U868:Y868"/>
    <mergeCell ref="AB868:AF868"/>
    <mergeCell ref="G867:K867"/>
    <mergeCell ref="N867:R867"/>
    <mergeCell ref="U867:Y867"/>
    <mergeCell ref="AB867:AF867"/>
    <mergeCell ref="T860:T871"/>
    <mergeCell ref="AA860:AA871"/>
    <mergeCell ref="G870:K870"/>
    <mergeCell ref="U857:Y857"/>
    <mergeCell ref="U853:Y853"/>
    <mergeCell ref="G854:K854"/>
    <mergeCell ref="AN847:AN851"/>
    <mergeCell ref="AK847:AK858"/>
    <mergeCell ref="AH847:AH858"/>
    <mergeCell ref="AJ847:AJ858"/>
    <mergeCell ref="AB853:AF853"/>
    <mergeCell ref="AM853:AM858"/>
    <mergeCell ref="AM847:AM851"/>
    <mergeCell ref="AR860:AR864"/>
    <mergeCell ref="B873:B884"/>
    <mergeCell ref="C873:C884"/>
    <mergeCell ref="D873:D884"/>
    <mergeCell ref="E873:E884"/>
    <mergeCell ref="M873:M884"/>
    <mergeCell ref="T873:T884"/>
    <mergeCell ref="AA873:AA884"/>
    <mergeCell ref="AH873:AH884"/>
    <mergeCell ref="AJ873:AJ884"/>
    <mergeCell ref="G880:K880"/>
    <mergeCell ref="N880:R880"/>
    <mergeCell ref="U880:Y880"/>
    <mergeCell ref="AB880:AF880"/>
    <mergeCell ref="AH860:AH871"/>
    <mergeCell ref="AJ860:AJ871"/>
    <mergeCell ref="U879:Y879"/>
    <mergeCell ref="AB879:AF879"/>
    <mergeCell ref="U870:Y870"/>
    <mergeCell ref="AB870:AF870"/>
    <mergeCell ref="AR847:AR851"/>
    <mergeCell ref="B860:B871"/>
    <mergeCell ref="C860:C871"/>
    <mergeCell ref="D860:D871"/>
    <mergeCell ref="U858:Y858"/>
    <mergeCell ref="AB858:AF858"/>
    <mergeCell ref="U871:Y871"/>
    <mergeCell ref="AB871:AF871"/>
    <mergeCell ref="AK860:AK871"/>
    <mergeCell ref="AL860:AL871"/>
    <mergeCell ref="N882:R882"/>
    <mergeCell ref="U882:Y882"/>
    <mergeCell ref="AB882:AF882"/>
    <mergeCell ref="AB884:AF884"/>
    <mergeCell ref="G892:K892"/>
    <mergeCell ref="N892:R892"/>
    <mergeCell ref="U892:Y892"/>
    <mergeCell ref="G879:K879"/>
    <mergeCell ref="N879:R879"/>
    <mergeCell ref="AN860:AN864"/>
    <mergeCell ref="AO860:AO864"/>
    <mergeCell ref="AK873:AK884"/>
    <mergeCell ref="AL873:AL884"/>
    <mergeCell ref="U884:Y884"/>
    <mergeCell ref="AM879:AM884"/>
    <mergeCell ref="AB881:AF881"/>
    <mergeCell ref="G882:K882"/>
    <mergeCell ref="AP860:AP864"/>
    <mergeCell ref="G866:K866"/>
    <mergeCell ref="N866:R866"/>
    <mergeCell ref="U866:Y866"/>
    <mergeCell ref="AB866:AF866"/>
    <mergeCell ref="AM860:AM864"/>
    <mergeCell ref="AM866:AM871"/>
    <mergeCell ref="G869:K869"/>
    <mergeCell ref="N869:R869"/>
    <mergeCell ref="U869:Y869"/>
    <mergeCell ref="AQ899:AQ903"/>
    <mergeCell ref="B886:B897"/>
    <mergeCell ref="C886:C897"/>
    <mergeCell ref="D886:D897"/>
    <mergeCell ref="E886:E897"/>
    <mergeCell ref="AQ886:AQ890"/>
    <mergeCell ref="AP886:AP890"/>
    <mergeCell ref="U897:Y897"/>
    <mergeCell ref="AB897:AF897"/>
    <mergeCell ref="AK886:AK897"/>
    <mergeCell ref="U895:Y895"/>
    <mergeCell ref="G894:K894"/>
    <mergeCell ref="AB892:AF892"/>
    <mergeCell ref="M886:M897"/>
    <mergeCell ref="T886:T897"/>
    <mergeCell ref="AA886:AA897"/>
    <mergeCell ref="AB894:AF894"/>
    <mergeCell ref="G893:K893"/>
    <mergeCell ref="N893:R893"/>
    <mergeCell ref="U893:Y893"/>
    <mergeCell ref="AB893:AF893"/>
    <mergeCell ref="G897:K897"/>
    <mergeCell ref="N897:R897"/>
    <mergeCell ref="N894:R894"/>
    <mergeCell ref="U894:Y894"/>
    <mergeCell ref="G895:K895"/>
    <mergeCell ref="N895:R895"/>
    <mergeCell ref="AL886:AL897"/>
    <mergeCell ref="AJ886:AJ897"/>
    <mergeCell ref="AN912:AN916"/>
    <mergeCell ref="AO912:AO916"/>
    <mergeCell ref="AJ912:AJ923"/>
    <mergeCell ref="AJ899:AJ910"/>
    <mergeCell ref="AL912:AL923"/>
    <mergeCell ref="AL899:AL910"/>
    <mergeCell ref="AM892:AM897"/>
    <mergeCell ref="G910:K910"/>
    <mergeCell ref="N910:R910"/>
    <mergeCell ref="U910:Y910"/>
    <mergeCell ref="AB895:AF895"/>
    <mergeCell ref="G896:K896"/>
    <mergeCell ref="N896:R896"/>
    <mergeCell ref="U896:Y896"/>
    <mergeCell ref="AB896:AF896"/>
    <mergeCell ref="M899:M910"/>
    <mergeCell ref="T899:T910"/>
    <mergeCell ref="AR886:AR890"/>
    <mergeCell ref="AM873:AM877"/>
    <mergeCell ref="AN873:AN877"/>
    <mergeCell ref="AO873:AO877"/>
    <mergeCell ref="AP873:AP877"/>
    <mergeCell ref="AQ873:AQ877"/>
    <mergeCell ref="AR873:AR877"/>
    <mergeCell ref="AM886:AM890"/>
    <mergeCell ref="AN886:AN890"/>
    <mergeCell ref="AO886:AO890"/>
    <mergeCell ref="AH886:AH897"/>
    <mergeCell ref="G881:K881"/>
    <mergeCell ref="N881:R881"/>
    <mergeCell ref="U881:Y881"/>
    <mergeCell ref="G883:K883"/>
    <mergeCell ref="N883:R883"/>
    <mergeCell ref="U883:Y883"/>
    <mergeCell ref="AB883:AF883"/>
    <mergeCell ref="G884:K884"/>
    <mergeCell ref="N884:R884"/>
    <mergeCell ref="AP899:AP903"/>
    <mergeCell ref="AM918:AM923"/>
    <mergeCell ref="AM905:AM910"/>
    <mergeCell ref="AM912:AM916"/>
    <mergeCell ref="AM899:AM903"/>
    <mergeCell ref="AN899:AN903"/>
    <mergeCell ref="AO899:AO903"/>
    <mergeCell ref="AB906:AF906"/>
    <mergeCell ref="AH912:AH923"/>
    <mergeCell ref="U909:Y909"/>
    <mergeCell ref="AB909:AF909"/>
    <mergeCell ref="U908:Y908"/>
    <mergeCell ref="AB908:AF908"/>
    <mergeCell ref="N919:R919"/>
    <mergeCell ref="U919:Y919"/>
    <mergeCell ref="AB919:AF919"/>
    <mergeCell ref="AR899:AR903"/>
    <mergeCell ref="B912:B923"/>
    <mergeCell ref="C912:C923"/>
    <mergeCell ref="D912:D923"/>
    <mergeCell ref="E912:E923"/>
    <mergeCell ref="M912:M923"/>
    <mergeCell ref="T912:T923"/>
    <mergeCell ref="U906:Y906"/>
    <mergeCell ref="G920:K920"/>
    <mergeCell ref="N920:R920"/>
    <mergeCell ref="G918:K918"/>
    <mergeCell ref="N918:R918"/>
    <mergeCell ref="B899:B910"/>
    <mergeCell ref="C899:C910"/>
    <mergeCell ref="D899:D910"/>
    <mergeCell ref="E899:E910"/>
    <mergeCell ref="G919:K919"/>
    <mergeCell ref="N909:R909"/>
    <mergeCell ref="G908:K908"/>
    <mergeCell ref="N908:R908"/>
    <mergeCell ref="G905:K905"/>
    <mergeCell ref="G906:K906"/>
    <mergeCell ref="N906:R906"/>
    <mergeCell ref="N905:R905"/>
    <mergeCell ref="AK912:AK923"/>
    <mergeCell ref="U921:Y921"/>
    <mergeCell ref="AB921:AF921"/>
    <mergeCell ref="U905:Y905"/>
    <mergeCell ref="AB905:AF905"/>
    <mergeCell ref="AB910:AF910"/>
    <mergeCell ref="AK899:AK910"/>
    <mergeCell ref="N922:R922"/>
    <mergeCell ref="U922:Y922"/>
    <mergeCell ref="AP912:AP916"/>
    <mergeCell ref="AQ912:AQ916"/>
    <mergeCell ref="AR912:AR916"/>
    <mergeCell ref="AP938:AP942"/>
    <mergeCell ref="U923:Y923"/>
    <mergeCell ref="AB923:AF923"/>
    <mergeCell ref="AB922:AF922"/>
    <mergeCell ref="AA912:AA923"/>
    <mergeCell ref="U920:Y920"/>
    <mergeCell ref="AB920:AF920"/>
    <mergeCell ref="AR925:AR929"/>
    <mergeCell ref="AM931:AM936"/>
    <mergeCell ref="AH925:AH936"/>
    <mergeCell ref="AQ938:AQ942"/>
    <mergeCell ref="AM938:AM942"/>
    <mergeCell ref="AN938:AN942"/>
    <mergeCell ref="AO938:AO942"/>
    <mergeCell ref="AR938:AR942"/>
    <mergeCell ref="AP925:AP929"/>
    <mergeCell ref="AK925:AK936"/>
    <mergeCell ref="AL925:AL936"/>
    <mergeCell ref="AH938:AH949"/>
    <mergeCell ref="AJ938:AJ949"/>
    <mergeCell ref="AQ925:AQ929"/>
    <mergeCell ref="AN925:AN929"/>
    <mergeCell ref="AB907:AF907"/>
    <mergeCell ref="AJ925:AJ936"/>
    <mergeCell ref="U933:Y933"/>
    <mergeCell ref="AB933:AF933"/>
    <mergeCell ref="AO925:AO929"/>
    <mergeCell ref="AA899:AA910"/>
    <mergeCell ref="AH899:AH910"/>
    <mergeCell ref="U918:Y918"/>
    <mergeCell ref="AB918:AF918"/>
    <mergeCell ref="B925:B936"/>
    <mergeCell ref="C925:C936"/>
    <mergeCell ref="D925:D936"/>
    <mergeCell ref="E925:E936"/>
    <mergeCell ref="U907:Y907"/>
    <mergeCell ref="AM925:AM929"/>
    <mergeCell ref="G922:K922"/>
    <mergeCell ref="G907:K907"/>
    <mergeCell ref="N907:R907"/>
    <mergeCell ref="G909:K909"/>
    <mergeCell ref="G933:K933"/>
    <mergeCell ref="G921:K921"/>
    <mergeCell ref="N921:R921"/>
    <mergeCell ref="G923:K923"/>
    <mergeCell ref="N923:R923"/>
    <mergeCell ref="G932:K932"/>
    <mergeCell ref="N932:R932"/>
    <mergeCell ref="G931:K931"/>
    <mergeCell ref="N931:R931"/>
    <mergeCell ref="N935:R935"/>
    <mergeCell ref="U934:Y934"/>
    <mergeCell ref="AB934:AF934"/>
    <mergeCell ref="T925:T936"/>
    <mergeCell ref="AA925:AA936"/>
    <mergeCell ref="N933:R933"/>
    <mergeCell ref="U932:Y932"/>
    <mergeCell ref="AB932:AF932"/>
    <mergeCell ref="U931:Y931"/>
    <mergeCell ref="AB931:AF931"/>
    <mergeCell ref="AJ951:AJ962"/>
    <mergeCell ref="U959:Y959"/>
    <mergeCell ref="AB959:AF959"/>
    <mergeCell ref="N961:R961"/>
    <mergeCell ref="U961:Y961"/>
    <mergeCell ref="AB961:AF961"/>
    <mergeCell ref="G957:K957"/>
    <mergeCell ref="N957:R957"/>
    <mergeCell ref="U957:Y957"/>
    <mergeCell ref="AB957:AF957"/>
    <mergeCell ref="N934:R934"/>
    <mergeCell ref="M925:M936"/>
    <mergeCell ref="AB946:AF946"/>
    <mergeCell ref="G934:K934"/>
    <mergeCell ref="U936:Y936"/>
    <mergeCell ref="AB936:AF936"/>
    <mergeCell ref="U935:Y935"/>
    <mergeCell ref="AB935:AF935"/>
    <mergeCell ref="G936:K936"/>
    <mergeCell ref="N936:R936"/>
    <mergeCell ref="M938:M949"/>
    <mergeCell ref="AB945:AF945"/>
    <mergeCell ref="G946:K946"/>
    <mergeCell ref="N946:R946"/>
    <mergeCell ref="U946:Y946"/>
    <mergeCell ref="G935:K935"/>
    <mergeCell ref="C951:C962"/>
    <mergeCell ref="D951:D962"/>
    <mergeCell ref="E951:E962"/>
    <mergeCell ref="M951:M962"/>
    <mergeCell ref="T951:T962"/>
    <mergeCell ref="AA951:AA962"/>
    <mergeCell ref="G960:K960"/>
    <mergeCell ref="G958:K958"/>
    <mergeCell ref="N958:R958"/>
    <mergeCell ref="U958:Y958"/>
    <mergeCell ref="G947:K947"/>
    <mergeCell ref="G959:K959"/>
    <mergeCell ref="N959:R959"/>
    <mergeCell ref="B938:B949"/>
    <mergeCell ref="C938:C949"/>
    <mergeCell ref="D938:D949"/>
    <mergeCell ref="E938:E949"/>
    <mergeCell ref="G944:K944"/>
    <mergeCell ref="N944:R944"/>
    <mergeCell ref="B951:B962"/>
    <mergeCell ref="AL938:AL949"/>
    <mergeCell ref="U944:Y944"/>
    <mergeCell ref="AB944:AF944"/>
    <mergeCell ref="G945:K945"/>
    <mergeCell ref="N945:R945"/>
    <mergeCell ref="U945:Y945"/>
    <mergeCell ref="T938:T949"/>
    <mergeCell ref="AA938:AA949"/>
    <mergeCell ref="G949:K949"/>
    <mergeCell ref="G948:K948"/>
    <mergeCell ref="U948:Y948"/>
    <mergeCell ref="AB948:AF948"/>
    <mergeCell ref="N947:R947"/>
    <mergeCell ref="U962:Y962"/>
    <mergeCell ref="U947:Y947"/>
    <mergeCell ref="AK938:AK949"/>
    <mergeCell ref="AB962:AF962"/>
    <mergeCell ref="AK951:AK962"/>
    <mergeCell ref="AB958:AF958"/>
    <mergeCell ref="AH951:AH962"/>
    <mergeCell ref="AQ964:AQ968"/>
    <mergeCell ref="AR964:AR968"/>
    <mergeCell ref="AB971:AF971"/>
    <mergeCell ref="U970:Y970"/>
    <mergeCell ref="AM944:AM949"/>
    <mergeCell ref="N949:R949"/>
    <mergeCell ref="U949:Y949"/>
    <mergeCell ref="AB949:AF949"/>
    <mergeCell ref="AB947:AF947"/>
    <mergeCell ref="N948:R948"/>
    <mergeCell ref="B964:B975"/>
    <mergeCell ref="C964:C975"/>
    <mergeCell ref="D964:D975"/>
    <mergeCell ref="E964:E975"/>
    <mergeCell ref="AR951:AR955"/>
    <mergeCell ref="M964:M975"/>
    <mergeCell ref="T964:T975"/>
    <mergeCell ref="AA964:AA975"/>
    <mergeCell ref="AH964:AH975"/>
    <mergeCell ref="AJ964:AJ975"/>
    <mergeCell ref="N988:R988"/>
    <mergeCell ref="G970:K970"/>
    <mergeCell ref="N986:R986"/>
    <mergeCell ref="N970:R970"/>
    <mergeCell ref="N983:R983"/>
    <mergeCell ref="G984:K984"/>
    <mergeCell ref="N984:R984"/>
    <mergeCell ref="G986:K986"/>
    <mergeCell ref="G962:K962"/>
    <mergeCell ref="N962:R962"/>
    <mergeCell ref="U971:Y971"/>
    <mergeCell ref="U986:Y986"/>
    <mergeCell ref="AB973:AF973"/>
    <mergeCell ref="G972:K972"/>
    <mergeCell ref="N972:R972"/>
    <mergeCell ref="U972:Y972"/>
    <mergeCell ref="AB972:AF972"/>
    <mergeCell ref="U985:Y985"/>
    <mergeCell ref="N985:R985"/>
    <mergeCell ref="M977:M988"/>
    <mergeCell ref="G983:K983"/>
    <mergeCell ref="AB970:AF970"/>
    <mergeCell ref="G971:K971"/>
    <mergeCell ref="N971:R971"/>
    <mergeCell ref="G973:K973"/>
    <mergeCell ref="N973:R973"/>
    <mergeCell ref="U973:Y973"/>
    <mergeCell ref="G988:K988"/>
    <mergeCell ref="AB974:AF974"/>
    <mergeCell ref="AQ951:AQ955"/>
    <mergeCell ref="AM957:AM962"/>
    <mergeCell ref="G974:K974"/>
    <mergeCell ref="N974:R974"/>
    <mergeCell ref="U974:Y974"/>
    <mergeCell ref="N960:R960"/>
    <mergeCell ref="U960:Y960"/>
    <mergeCell ref="AB960:AF960"/>
    <mergeCell ref="G961:K961"/>
    <mergeCell ref="AO951:AO955"/>
    <mergeCell ref="AP951:AP955"/>
    <mergeCell ref="AP964:AP968"/>
    <mergeCell ref="AK964:AK975"/>
    <mergeCell ref="AO964:AO968"/>
    <mergeCell ref="AM970:AM975"/>
    <mergeCell ref="AN951:AN955"/>
    <mergeCell ref="AL951:AL962"/>
    <mergeCell ref="AM951:AM955"/>
    <mergeCell ref="G1000:K1000"/>
    <mergeCell ref="N1000:R1000"/>
    <mergeCell ref="U1000:Y1000"/>
    <mergeCell ref="G999:K999"/>
    <mergeCell ref="N999:R999"/>
    <mergeCell ref="G985:K985"/>
    <mergeCell ref="AL977:AL988"/>
    <mergeCell ref="AM977:AM981"/>
    <mergeCell ref="AK990:AK1001"/>
    <mergeCell ref="G975:K975"/>
    <mergeCell ref="N975:R975"/>
    <mergeCell ref="U975:Y975"/>
    <mergeCell ref="AB975:AF975"/>
    <mergeCell ref="U988:Y988"/>
    <mergeCell ref="AH977:AH988"/>
    <mergeCell ref="G987:K987"/>
    <mergeCell ref="N987:R987"/>
    <mergeCell ref="U987:Y987"/>
    <mergeCell ref="AB987:AF987"/>
    <mergeCell ref="AL990:AL1001"/>
    <mergeCell ref="AM990:AM994"/>
    <mergeCell ref="AN990:AN994"/>
    <mergeCell ref="AL964:AL975"/>
    <mergeCell ref="AM964:AM968"/>
    <mergeCell ref="AN964:AN968"/>
    <mergeCell ref="AN977:AN981"/>
    <mergeCell ref="AM983:AM988"/>
    <mergeCell ref="AR977:AR981"/>
    <mergeCell ref="AK977:AK988"/>
    <mergeCell ref="U983:Y983"/>
    <mergeCell ref="AB983:AF983"/>
    <mergeCell ref="U984:Y984"/>
    <mergeCell ref="AB984:AF984"/>
    <mergeCell ref="AO977:AO981"/>
    <mergeCell ref="AJ977:AJ988"/>
    <mergeCell ref="AP977:AP981"/>
    <mergeCell ref="AQ977:AQ981"/>
    <mergeCell ref="AH990:AH1001"/>
    <mergeCell ref="B990:B1001"/>
    <mergeCell ref="C990:C1001"/>
    <mergeCell ref="D990:D1001"/>
    <mergeCell ref="E990:E1001"/>
    <mergeCell ref="AB985:AF985"/>
    <mergeCell ref="AB988:AF988"/>
    <mergeCell ref="AB986:AF986"/>
    <mergeCell ref="T977:T988"/>
    <mergeCell ref="AA977:AA988"/>
    <mergeCell ref="AB996:AF996"/>
    <mergeCell ref="G997:K997"/>
    <mergeCell ref="N997:R997"/>
    <mergeCell ref="G998:K998"/>
    <mergeCell ref="N998:R998"/>
    <mergeCell ref="AB999:AF999"/>
    <mergeCell ref="M990:M1001"/>
    <mergeCell ref="U998:Y998"/>
    <mergeCell ref="AB998:AF998"/>
    <mergeCell ref="AO990:AO994"/>
    <mergeCell ref="AP990:AP994"/>
    <mergeCell ref="AQ990:AQ994"/>
    <mergeCell ref="AM996:AM1001"/>
    <mergeCell ref="B977:B988"/>
    <mergeCell ref="C977:C988"/>
    <mergeCell ref="D977:D988"/>
    <mergeCell ref="E977:E988"/>
    <mergeCell ref="AJ990:AJ1001"/>
    <mergeCell ref="G996:K996"/>
    <mergeCell ref="AQ1003:AQ1007"/>
    <mergeCell ref="AB1010:AF1010"/>
    <mergeCell ref="AR1211:AR1215"/>
    <mergeCell ref="AR990:AR994"/>
    <mergeCell ref="AJ1003:AJ1014"/>
    <mergeCell ref="AB997:AF997"/>
    <mergeCell ref="AR1016:AR1020"/>
    <mergeCell ref="AB1000:AF1000"/>
    <mergeCell ref="AB1001:AF1001"/>
    <mergeCell ref="AB1156:AF1156"/>
    <mergeCell ref="T990:T1001"/>
    <mergeCell ref="AA990:AA1001"/>
    <mergeCell ref="B1003:B1014"/>
    <mergeCell ref="C1003:C1014"/>
    <mergeCell ref="D1003:D1014"/>
    <mergeCell ref="E1003:E1014"/>
    <mergeCell ref="N996:R996"/>
    <mergeCell ref="U996:Y996"/>
    <mergeCell ref="N1009:R1009"/>
    <mergeCell ref="U1009:Y1009"/>
    <mergeCell ref="AB1009:AF1009"/>
    <mergeCell ref="M1003:M1014"/>
    <mergeCell ref="T1003:T1014"/>
    <mergeCell ref="AA1003:AA1014"/>
    <mergeCell ref="G1116:K1116"/>
    <mergeCell ref="N1116:R1116"/>
    <mergeCell ref="G1010:K1010"/>
    <mergeCell ref="N1010:R1010"/>
    <mergeCell ref="U1010:Y1010"/>
    <mergeCell ref="U997:Y997"/>
    <mergeCell ref="U999:Y999"/>
    <mergeCell ref="G1001:K1001"/>
    <mergeCell ref="N1001:R1001"/>
    <mergeCell ref="U1001:Y1001"/>
    <mergeCell ref="G1221:K1221"/>
    <mergeCell ref="N1221:R1221"/>
    <mergeCell ref="U1221:Y1221"/>
    <mergeCell ref="G1013:K1013"/>
    <mergeCell ref="AQ1211:AQ1215"/>
    <mergeCell ref="G1014:K1014"/>
    <mergeCell ref="N1014:R1014"/>
    <mergeCell ref="U1014:Y1014"/>
    <mergeCell ref="AB1014:AF1014"/>
    <mergeCell ref="G1023:K1023"/>
    <mergeCell ref="G1219:K1219"/>
    <mergeCell ref="N1219:R1219"/>
    <mergeCell ref="U1219:Y1219"/>
    <mergeCell ref="AB1219:AF1219"/>
    <mergeCell ref="G1220:K1220"/>
    <mergeCell ref="N1220:R1220"/>
    <mergeCell ref="U1220:Y1220"/>
    <mergeCell ref="G1024:K1024"/>
    <mergeCell ref="N1024:R1024"/>
    <mergeCell ref="U1024:Y1024"/>
    <mergeCell ref="U1064:Y1064"/>
    <mergeCell ref="G1090:K1090"/>
    <mergeCell ref="N1090:R1090"/>
    <mergeCell ref="U1090:Y1090"/>
    <mergeCell ref="G1036:K1036"/>
    <mergeCell ref="N1036:R1036"/>
    <mergeCell ref="M1029:M1040"/>
    <mergeCell ref="AR1003:AR1007"/>
    <mergeCell ref="B1211:B1222"/>
    <mergeCell ref="C1211:C1222"/>
    <mergeCell ref="D1211:D1222"/>
    <mergeCell ref="E1211:E1222"/>
    <mergeCell ref="M1211:M1222"/>
    <mergeCell ref="G1011:K1011"/>
    <mergeCell ref="N1011:R1011"/>
    <mergeCell ref="U1011:Y1011"/>
    <mergeCell ref="AB1220:AF1220"/>
    <mergeCell ref="U1218:Y1218"/>
    <mergeCell ref="AB1218:AF1218"/>
    <mergeCell ref="T1211:T1222"/>
    <mergeCell ref="N1013:R1013"/>
    <mergeCell ref="U1013:Y1013"/>
    <mergeCell ref="AB1013:AF1013"/>
    <mergeCell ref="N1168:R1168"/>
    <mergeCell ref="U1023:Y1023"/>
    <mergeCell ref="AB1023:AF1023"/>
    <mergeCell ref="N1023:R1023"/>
    <mergeCell ref="AM1003:AM1007"/>
    <mergeCell ref="AN1003:AN1007"/>
    <mergeCell ref="AO1003:AO1007"/>
    <mergeCell ref="AP1003:AP1007"/>
    <mergeCell ref="G1012:K1012"/>
    <mergeCell ref="N1012:R1012"/>
    <mergeCell ref="U1012:Y1012"/>
    <mergeCell ref="AB1012:AF1012"/>
    <mergeCell ref="AB1011:AF1011"/>
    <mergeCell ref="G1009:K1009"/>
    <mergeCell ref="G1025:K1025"/>
    <mergeCell ref="N1025:R1025"/>
    <mergeCell ref="U1025:Y1025"/>
    <mergeCell ref="AB1025:AF1025"/>
    <mergeCell ref="AH1003:AH1014"/>
    <mergeCell ref="AQ1016:AQ1020"/>
    <mergeCell ref="AH1016:AH1027"/>
    <mergeCell ref="AB1024:AF1024"/>
    <mergeCell ref="AK1003:AK1014"/>
    <mergeCell ref="AL1003:AL1014"/>
    <mergeCell ref="G1217:K1217"/>
    <mergeCell ref="N1217:R1217"/>
    <mergeCell ref="U1217:Y1217"/>
    <mergeCell ref="AA1211:AA1222"/>
    <mergeCell ref="AH1211:AH1222"/>
    <mergeCell ref="AJ1211:AJ1222"/>
    <mergeCell ref="AB1221:AF1221"/>
    <mergeCell ref="AB1217:AF1217"/>
    <mergeCell ref="G1218:K1218"/>
    <mergeCell ref="N1218:R1218"/>
    <mergeCell ref="AB1222:AF1222"/>
    <mergeCell ref="AM1126:AM1131"/>
    <mergeCell ref="AM1133:AM1137"/>
    <mergeCell ref="AN1211:AN1215"/>
    <mergeCell ref="AK1211:AK1222"/>
    <mergeCell ref="AL1211:AL1222"/>
    <mergeCell ref="AM1211:AM1215"/>
    <mergeCell ref="AJ1133:AJ1144"/>
    <mergeCell ref="AK1133:AK1144"/>
    <mergeCell ref="AL1133:AL1144"/>
    <mergeCell ref="N1027:R1027"/>
    <mergeCell ref="U1027:Y1027"/>
    <mergeCell ref="AB1027:AF1027"/>
    <mergeCell ref="G1038:K1038"/>
    <mergeCell ref="N1038:R1038"/>
    <mergeCell ref="AM1048:AM1053"/>
    <mergeCell ref="AM1035:AM1040"/>
    <mergeCell ref="AL1016:AL1027"/>
    <mergeCell ref="T1029:T1040"/>
    <mergeCell ref="AA1029:AA1040"/>
    <mergeCell ref="AN1224:AN1228"/>
    <mergeCell ref="AO1224:AO1228"/>
    <mergeCell ref="AP1224:AP1228"/>
    <mergeCell ref="G1026:K1026"/>
    <mergeCell ref="N1026:R1026"/>
    <mergeCell ref="U1026:Y1026"/>
    <mergeCell ref="AB1026:AF1026"/>
    <mergeCell ref="AO1211:AO1215"/>
    <mergeCell ref="AP1211:AP1215"/>
    <mergeCell ref="G1027:K1027"/>
    <mergeCell ref="N1232:R1232"/>
    <mergeCell ref="U1232:Y1232"/>
    <mergeCell ref="AB1232:AF1232"/>
    <mergeCell ref="AQ1224:AQ1228"/>
    <mergeCell ref="AR1224:AR1228"/>
    <mergeCell ref="G1230:K1230"/>
    <mergeCell ref="N1230:R1230"/>
    <mergeCell ref="U1230:Y1230"/>
    <mergeCell ref="AB1230:AF1230"/>
    <mergeCell ref="AM1224:AM1228"/>
    <mergeCell ref="B1224:B1235"/>
    <mergeCell ref="C1224:C1235"/>
    <mergeCell ref="D1224:D1235"/>
    <mergeCell ref="E1224:E1235"/>
    <mergeCell ref="G1248:K1248"/>
    <mergeCell ref="B1237:B1248"/>
    <mergeCell ref="C1237:C1248"/>
    <mergeCell ref="D1237:D1248"/>
    <mergeCell ref="E1237:E1248"/>
    <mergeCell ref="G1231:K1231"/>
    <mergeCell ref="AH1224:AH1235"/>
    <mergeCell ref="G1234:K1234"/>
    <mergeCell ref="G1233:K1233"/>
    <mergeCell ref="U1233:Y1233"/>
    <mergeCell ref="AB1233:AF1233"/>
    <mergeCell ref="G1235:K1235"/>
    <mergeCell ref="N1231:R1231"/>
    <mergeCell ref="U1231:Y1231"/>
    <mergeCell ref="AB1231:AF1231"/>
    <mergeCell ref="G1232:K1232"/>
    <mergeCell ref="AJ1224:AJ1235"/>
    <mergeCell ref="AK1224:AK1235"/>
    <mergeCell ref="AL1224:AL1235"/>
    <mergeCell ref="M1224:M1235"/>
    <mergeCell ref="T1224:T1235"/>
    <mergeCell ref="AA1224:AA1235"/>
    <mergeCell ref="N1234:R1234"/>
    <mergeCell ref="U1234:Y1234"/>
    <mergeCell ref="AB1234:AF1234"/>
    <mergeCell ref="N1233:R1233"/>
    <mergeCell ref="AQ1237:AQ1241"/>
    <mergeCell ref="AR1237:AR1241"/>
    <mergeCell ref="G1243:K1243"/>
    <mergeCell ref="N1243:R1243"/>
    <mergeCell ref="U1243:Y1243"/>
    <mergeCell ref="AB1243:AF1243"/>
    <mergeCell ref="AM1237:AM1241"/>
    <mergeCell ref="AN1237:AN1241"/>
    <mergeCell ref="AO1237:AO1241"/>
    <mergeCell ref="AP1237:AP1241"/>
    <mergeCell ref="G1244:K1244"/>
    <mergeCell ref="N1244:R1244"/>
    <mergeCell ref="U1244:Y1244"/>
    <mergeCell ref="AB1244:AF1244"/>
    <mergeCell ref="T1237:T1248"/>
    <mergeCell ref="AA1237:AA1248"/>
    <mergeCell ref="G1247:K1247"/>
    <mergeCell ref="N1247:R1247"/>
    <mergeCell ref="U1247:Y1247"/>
    <mergeCell ref="N1248:R1248"/>
    <mergeCell ref="AB1247:AF1247"/>
    <mergeCell ref="G1246:K1246"/>
    <mergeCell ref="N1246:R1246"/>
    <mergeCell ref="U1246:Y1246"/>
    <mergeCell ref="AB1246:AF1246"/>
    <mergeCell ref="AB1245:AF1245"/>
    <mergeCell ref="G1245:K1245"/>
    <mergeCell ref="N1245:R1245"/>
    <mergeCell ref="U1245:Y1245"/>
    <mergeCell ref="M1237:M1248"/>
    <mergeCell ref="U1248:Y1248"/>
    <mergeCell ref="AB1248:AF1248"/>
    <mergeCell ref="AO1250:AO1254"/>
    <mergeCell ref="G1261:K1261"/>
    <mergeCell ref="N1261:R1261"/>
    <mergeCell ref="AK1250:AK1261"/>
    <mergeCell ref="G1257:K1257"/>
    <mergeCell ref="N1257:R1257"/>
    <mergeCell ref="U1259:Y1259"/>
    <mergeCell ref="AB1259:AF1259"/>
    <mergeCell ref="AR1250:AR1254"/>
    <mergeCell ref="G1256:K1256"/>
    <mergeCell ref="N1256:R1256"/>
    <mergeCell ref="U1256:Y1256"/>
    <mergeCell ref="AB1256:AF1256"/>
    <mergeCell ref="AL1250:AL1261"/>
    <mergeCell ref="AM1250:AM1254"/>
    <mergeCell ref="AN1250:AN1254"/>
    <mergeCell ref="G1258:K1258"/>
    <mergeCell ref="N1258:R1258"/>
    <mergeCell ref="U1258:Y1258"/>
    <mergeCell ref="AB1258:AF1258"/>
    <mergeCell ref="AP1250:AP1254"/>
    <mergeCell ref="AQ1250:AQ1254"/>
    <mergeCell ref="U1260:Y1260"/>
    <mergeCell ref="AB1260:AF1260"/>
    <mergeCell ref="T1250:T1261"/>
    <mergeCell ref="AA1250:AA1261"/>
    <mergeCell ref="U1257:Y1257"/>
    <mergeCell ref="U1261:Y1261"/>
    <mergeCell ref="AB1261:AF1261"/>
    <mergeCell ref="B1276:B1287"/>
    <mergeCell ref="C1276:C1287"/>
    <mergeCell ref="B1263:B1274"/>
    <mergeCell ref="C1263:C1274"/>
    <mergeCell ref="G1259:K1259"/>
    <mergeCell ref="N1259:R1259"/>
    <mergeCell ref="B1250:B1261"/>
    <mergeCell ref="C1250:C1261"/>
    <mergeCell ref="D1250:D1261"/>
    <mergeCell ref="E1250:E1261"/>
    <mergeCell ref="D1276:D1287"/>
    <mergeCell ref="E1276:E1287"/>
    <mergeCell ref="G1272:K1272"/>
    <mergeCell ref="N1272:R1272"/>
    <mergeCell ref="G1269:K1269"/>
    <mergeCell ref="N1269:R1269"/>
    <mergeCell ref="AH1250:AH1261"/>
    <mergeCell ref="AB1257:AF1257"/>
    <mergeCell ref="AO1263:AO1267"/>
    <mergeCell ref="AP1263:AP1267"/>
    <mergeCell ref="AM1263:AM1267"/>
    <mergeCell ref="D1263:D1274"/>
    <mergeCell ref="E1263:E1274"/>
    <mergeCell ref="M1250:M1261"/>
    <mergeCell ref="G1260:K1260"/>
    <mergeCell ref="N1260:R1260"/>
    <mergeCell ref="U1286:Y1286"/>
    <mergeCell ref="AB1286:AF1286"/>
    <mergeCell ref="M1276:M1287"/>
    <mergeCell ref="T1276:T1287"/>
    <mergeCell ref="U1270:Y1270"/>
    <mergeCell ref="AB1270:AF1270"/>
    <mergeCell ref="AB1287:AF1287"/>
    <mergeCell ref="AB1272:AF1272"/>
    <mergeCell ref="U1272:Y1272"/>
    <mergeCell ref="AL1263:AL1274"/>
    <mergeCell ref="U1274:Y1274"/>
    <mergeCell ref="AB1274:AF1274"/>
    <mergeCell ref="AQ1263:AQ1267"/>
    <mergeCell ref="AR1263:AR1267"/>
    <mergeCell ref="AH1263:AH1274"/>
    <mergeCell ref="AJ1263:AJ1274"/>
    <mergeCell ref="AK1263:AK1274"/>
    <mergeCell ref="G1271:K1271"/>
    <mergeCell ref="N1271:R1271"/>
    <mergeCell ref="U1271:Y1271"/>
    <mergeCell ref="AB1271:AF1271"/>
    <mergeCell ref="U1269:Y1269"/>
    <mergeCell ref="AB1269:AF1269"/>
    <mergeCell ref="G1270:K1270"/>
    <mergeCell ref="N1270:R1270"/>
    <mergeCell ref="AN1263:AN1267"/>
    <mergeCell ref="G1273:K1273"/>
    <mergeCell ref="N1273:R1273"/>
    <mergeCell ref="U1273:Y1273"/>
    <mergeCell ref="AB1273:AF1273"/>
    <mergeCell ref="M1263:M1274"/>
    <mergeCell ref="T1263:T1274"/>
    <mergeCell ref="AA1263:AA1274"/>
    <mergeCell ref="AQ1276:AQ1280"/>
    <mergeCell ref="AR1276:AR1280"/>
    <mergeCell ref="AB1297:AF1297"/>
    <mergeCell ref="G1298:K1298"/>
    <mergeCell ref="N1298:R1298"/>
    <mergeCell ref="U1298:Y1298"/>
    <mergeCell ref="AB1298:AF1298"/>
    <mergeCell ref="AP1289:AP1293"/>
    <mergeCell ref="AQ1289:AQ1293"/>
    <mergeCell ref="AR1289:AR1293"/>
    <mergeCell ref="AB1285:AF1285"/>
    <mergeCell ref="AO1276:AO1280"/>
    <mergeCell ref="AP1276:AP1280"/>
    <mergeCell ref="AM1276:AM1280"/>
    <mergeCell ref="AN1276:AN1280"/>
    <mergeCell ref="G1282:K1282"/>
    <mergeCell ref="N1282:R1282"/>
    <mergeCell ref="U1282:Y1282"/>
    <mergeCell ref="AB1282:AF1282"/>
    <mergeCell ref="AH1276:AH1287"/>
    <mergeCell ref="G1287:K1287"/>
    <mergeCell ref="N1287:R1287"/>
    <mergeCell ref="U1287:Y1287"/>
    <mergeCell ref="N1283:R1283"/>
    <mergeCell ref="U1283:Y1283"/>
    <mergeCell ref="G1285:K1285"/>
    <mergeCell ref="N1285:R1285"/>
    <mergeCell ref="U1285:Y1285"/>
    <mergeCell ref="G1286:K1286"/>
    <mergeCell ref="N1286:R1286"/>
    <mergeCell ref="AL1276:AL1287"/>
    <mergeCell ref="B1289:B1300"/>
    <mergeCell ref="C1289:C1300"/>
    <mergeCell ref="D1289:D1300"/>
    <mergeCell ref="E1289:E1300"/>
    <mergeCell ref="AA1289:AA1300"/>
    <mergeCell ref="G1295:K1295"/>
    <mergeCell ref="N1295:R1295"/>
    <mergeCell ref="U1295:Y1295"/>
    <mergeCell ref="G1284:K1284"/>
    <mergeCell ref="T1289:T1300"/>
    <mergeCell ref="B1302:B1313"/>
    <mergeCell ref="C1302:C1313"/>
    <mergeCell ref="D1302:D1313"/>
    <mergeCell ref="E1302:E1313"/>
    <mergeCell ref="AK1276:AK1287"/>
    <mergeCell ref="N1284:R1284"/>
    <mergeCell ref="U1284:Y1284"/>
    <mergeCell ref="AB1284:AF1284"/>
    <mergeCell ref="AA1276:AA1287"/>
    <mergeCell ref="U1297:Y1297"/>
    <mergeCell ref="G1312:K1312"/>
    <mergeCell ref="AO1289:AO1293"/>
    <mergeCell ref="G1296:K1296"/>
    <mergeCell ref="N1296:R1296"/>
    <mergeCell ref="U1296:Y1296"/>
    <mergeCell ref="AB1296:AF1296"/>
    <mergeCell ref="G1297:K1297"/>
    <mergeCell ref="N1297:R1297"/>
    <mergeCell ref="M1289:M1300"/>
    <mergeCell ref="AK1302:AK1313"/>
    <mergeCell ref="AL1302:AL1313"/>
    <mergeCell ref="AB1295:AF1295"/>
    <mergeCell ref="AB1299:AF1299"/>
    <mergeCell ref="G1300:K1300"/>
    <mergeCell ref="N1300:R1300"/>
    <mergeCell ref="G1299:K1299"/>
    <mergeCell ref="N1299:R1299"/>
    <mergeCell ref="U1299:Y1299"/>
    <mergeCell ref="AB1300:AF1300"/>
    <mergeCell ref="AB1309:AF1309"/>
    <mergeCell ref="G1310:K1310"/>
    <mergeCell ref="N1310:R1310"/>
    <mergeCell ref="U1310:Y1310"/>
    <mergeCell ref="AB1310:AF1310"/>
    <mergeCell ref="AR1302:AR1306"/>
    <mergeCell ref="G1308:K1308"/>
    <mergeCell ref="N1308:R1308"/>
    <mergeCell ref="U1308:Y1308"/>
    <mergeCell ref="AB1308:AF1308"/>
    <mergeCell ref="U1311:Y1311"/>
    <mergeCell ref="N1312:R1312"/>
    <mergeCell ref="U1312:Y1312"/>
    <mergeCell ref="G1309:K1309"/>
    <mergeCell ref="N1309:R1309"/>
    <mergeCell ref="U1309:Y1309"/>
    <mergeCell ref="M1302:M1313"/>
    <mergeCell ref="T1302:T1313"/>
    <mergeCell ref="AA1302:AA1313"/>
    <mergeCell ref="AB1311:AF1311"/>
    <mergeCell ref="AB1313:AF1313"/>
    <mergeCell ref="G1313:K1313"/>
    <mergeCell ref="N1313:R1313"/>
    <mergeCell ref="U1313:Y1313"/>
    <mergeCell ref="G1311:K1311"/>
    <mergeCell ref="N1311:R1311"/>
    <mergeCell ref="AR1315:AR1319"/>
    <mergeCell ref="AM1113:AM1118"/>
    <mergeCell ref="AO1302:AO1306"/>
    <mergeCell ref="AP1302:AP1306"/>
    <mergeCell ref="AN1315:AN1319"/>
    <mergeCell ref="AO1315:AO1319"/>
    <mergeCell ref="AQ1302:AQ1306"/>
    <mergeCell ref="AM1289:AM1293"/>
    <mergeCell ref="AM1302:AM1306"/>
    <mergeCell ref="AN1302:AN1306"/>
    <mergeCell ref="G1334:K1334"/>
    <mergeCell ref="N1334:R1334"/>
    <mergeCell ref="U1334:Y1334"/>
    <mergeCell ref="U1326:Y1326"/>
    <mergeCell ref="M1328:M1339"/>
    <mergeCell ref="T1328:T1339"/>
    <mergeCell ref="N1326:R1326"/>
    <mergeCell ref="G1321:K1321"/>
    <mergeCell ref="G1323:K1323"/>
    <mergeCell ref="N1323:R1323"/>
    <mergeCell ref="U1323:Y1323"/>
    <mergeCell ref="AB1323:AF1323"/>
    <mergeCell ref="G1322:K1322"/>
    <mergeCell ref="N1322:R1322"/>
    <mergeCell ref="U1322:Y1322"/>
    <mergeCell ref="AB1322:AF1322"/>
    <mergeCell ref="T1315:T1326"/>
    <mergeCell ref="AM1022:AM1027"/>
    <mergeCell ref="AM1009:AM1014"/>
    <mergeCell ref="AM1016:AM1020"/>
    <mergeCell ref="AM1029:AM1033"/>
    <mergeCell ref="AQ1328:AQ1332"/>
    <mergeCell ref="AR1328:AR1332"/>
    <mergeCell ref="AO1328:AO1332"/>
    <mergeCell ref="AP1328:AP1332"/>
    <mergeCell ref="AP1315:AP1319"/>
    <mergeCell ref="AQ1315:AQ1319"/>
    <mergeCell ref="AM1152:AM1157"/>
    <mergeCell ref="AM1139:AM1144"/>
    <mergeCell ref="AM1146:AM1150"/>
    <mergeCell ref="AM1217:AM1222"/>
    <mergeCell ref="AM1204:AM1209"/>
    <mergeCell ref="AM1191:AM1196"/>
    <mergeCell ref="N1274:R1274"/>
    <mergeCell ref="AJ1276:AJ1287"/>
    <mergeCell ref="AJ1250:AJ1261"/>
    <mergeCell ref="AH1237:AH1248"/>
    <mergeCell ref="AJ1237:AJ1248"/>
    <mergeCell ref="AB1321:AF1321"/>
    <mergeCell ref="AB1283:AF1283"/>
    <mergeCell ref="N1321:R1321"/>
    <mergeCell ref="U1321:Y1321"/>
    <mergeCell ref="AB1312:AF1312"/>
    <mergeCell ref="U1300:Y1300"/>
    <mergeCell ref="AM1068:AM1072"/>
    <mergeCell ref="AM1081:AM1085"/>
    <mergeCell ref="AM1094:AM1098"/>
    <mergeCell ref="AM1185:AM1189"/>
    <mergeCell ref="AM1295:AM1300"/>
    <mergeCell ref="AM1282:AM1287"/>
    <mergeCell ref="AM1269:AM1274"/>
    <mergeCell ref="AM1256:AM1261"/>
    <mergeCell ref="AM1165:AM1170"/>
    <mergeCell ref="N1338:R1338"/>
    <mergeCell ref="G1337:K1337"/>
    <mergeCell ref="N1337:R1337"/>
    <mergeCell ref="U1325:Y1325"/>
    <mergeCell ref="AB1325:AF1325"/>
    <mergeCell ref="AB1326:AF1326"/>
    <mergeCell ref="G1335:K1335"/>
    <mergeCell ref="N1335:R1335"/>
    <mergeCell ref="U1335:Y1335"/>
    <mergeCell ref="AB1334:AF1334"/>
    <mergeCell ref="G1222:K1222"/>
    <mergeCell ref="N1222:R1222"/>
    <mergeCell ref="U1222:Y1222"/>
    <mergeCell ref="AL1107:AL1118"/>
    <mergeCell ref="U1168:Y1168"/>
    <mergeCell ref="AB1338:AF1338"/>
    <mergeCell ref="G1283:K1283"/>
    <mergeCell ref="G1274:K1274"/>
    <mergeCell ref="N1235:R1235"/>
    <mergeCell ref="U1235:Y1235"/>
    <mergeCell ref="AA1315:AA1326"/>
    <mergeCell ref="AH1315:AH1326"/>
    <mergeCell ref="AJ1315:AJ1326"/>
    <mergeCell ref="AK1315:AK1326"/>
    <mergeCell ref="AL1315:AL1326"/>
    <mergeCell ref="AM1315:AM1319"/>
    <mergeCell ref="AB1324:AF1324"/>
    <mergeCell ref="AK1328:AK1339"/>
    <mergeCell ref="AB1335:AF1335"/>
    <mergeCell ref="AB1337:AF1337"/>
    <mergeCell ref="AM1334:AM1339"/>
    <mergeCell ref="AM1243:AM1248"/>
    <mergeCell ref="AM1230:AM1235"/>
    <mergeCell ref="AH1302:AH1313"/>
    <mergeCell ref="AB1235:AF1235"/>
    <mergeCell ref="AL1237:AL1248"/>
    <mergeCell ref="AK1237:AK1248"/>
    <mergeCell ref="AH1289:AH1300"/>
    <mergeCell ref="AJ1289:AJ1300"/>
    <mergeCell ref="AK1289:AK1300"/>
    <mergeCell ref="AL1289:AL1300"/>
    <mergeCell ref="AN1328:AN1332"/>
    <mergeCell ref="AA1328:AA1339"/>
    <mergeCell ref="AB1339:AF1339"/>
    <mergeCell ref="AL1328:AL1339"/>
    <mergeCell ref="AM1328:AM1332"/>
    <mergeCell ref="AJ1328:AJ1339"/>
    <mergeCell ref="AN1289:AN1293"/>
    <mergeCell ref="AB1336:AF1336"/>
    <mergeCell ref="AH1328:AH1339"/>
    <mergeCell ref="B1328:B1339"/>
    <mergeCell ref="C1328:C1339"/>
    <mergeCell ref="D1328:D1339"/>
    <mergeCell ref="E1328:E1339"/>
    <mergeCell ref="B1315:B1326"/>
    <mergeCell ref="C1315:C1326"/>
    <mergeCell ref="D1315:D1326"/>
    <mergeCell ref="E1315:E1326"/>
    <mergeCell ref="M1315:M1326"/>
    <mergeCell ref="AM1321:AM1326"/>
    <mergeCell ref="AM1308:AM1313"/>
    <mergeCell ref="G1324:K1324"/>
    <mergeCell ref="N1324:R1324"/>
    <mergeCell ref="U1324:Y1324"/>
    <mergeCell ref="G1325:K1325"/>
    <mergeCell ref="N1325:R1325"/>
    <mergeCell ref="AJ1302:AJ1313"/>
    <mergeCell ref="U1339:Y1339"/>
    <mergeCell ref="U1338:Y1338"/>
    <mergeCell ref="G1326:K1326"/>
    <mergeCell ref="G1336:K1336"/>
    <mergeCell ref="N1336:R1336"/>
    <mergeCell ref="U1336:Y1336"/>
    <mergeCell ref="U1337:Y1337"/>
    <mergeCell ref="G1339:K1339"/>
    <mergeCell ref="N1339:R1339"/>
    <mergeCell ref="G1338:K1338"/>
    <mergeCell ref="AM619:AM624"/>
    <mergeCell ref="AM827:AM832"/>
    <mergeCell ref="AM697:AM702"/>
    <mergeCell ref="AM684:AM689"/>
    <mergeCell ref="AM671:AM676"/>
    <mergeCell ref="AM756:AM760"/>
    <mergeCell ref="AM769:AM773"/>
    <mergeCell ref="AM730:AM734"/>
    <mergeCell ref="AM678:AM682"/>
    <mergeCell ref="AM606:AM611"/>
    <mergeCell ref="AM788:AM793"/>
    <mergeCell ref="AM775:AM780"/>
    <mergeCell ref="AM762:AM767"/>
    <mergeCell ref="AM749:AM754"/>
    <mergeCell ref="AM736:AM741"/>
    <mergeCell ref="AM723:AM728"/>
    <mergeCell ref="AM704:AM708"/>
    <mergeCell ref="AM691:AM695"/>
    <mergeCell ref="AM658:AM663"/>
    <mergeCell ref="AM593:AM598"/>
    <mergeCell ref="AM580:AM585"/>
    <mergeCell ref="AM567:AM572"/>
    <mergeCell ref="AM288:AM292"/>
    <mergeCell ref="AM353:AM357"/>
    <mergeCell ref="AM437:AM442"/>
    <mergeCell ref="AM444:AM448"/>
    <mergeCell ref="AM418:AM422"/>
    <mergeCell ref="AM424:AM429"/>
    <mergeCell ref="AM411:AM416"/>
    <mergeCell ref="AM203:AM208"/>
    <mergeCell ref="AM190:AM195"/>
    <mergeCell ref="AM346:AM351"/>
    <mergeCell ref="AM333:AM338"/>
    <mergeCell ref="AM320:AM325"/>
    <mergeCell ref="AM307:AM312"/>
  </mergeCells>
  <phoneticPr fontId="0" type="noConversion"/>
  <conditionalFormatting sqref="B41:E52 I43:K43 P43:R43 W43:Y43 AD43:AF43 N1357:Q1358 L41:L42 S41:S42 Z41:Z42 AG41:AG42 D1360:G1371">
    <cfRule type="notContainsBlanks" dxfId="8681" priority="9474">
      <formula>LEN(TRIM(B41))&gt;0</formula>
    </cfRule>
  </conditionalFormatting>
  <conditionalFormatting sqref="B54:E65 Z54:Z55 AG54:AG56 S54:S56">
    <cfRule type="notContainsBlanks" dxfId="8680" priority="9473">
      <formula>LEN(TRIM(B54))&gt;0</formula>
    </cfRule>
  </conditionalFormatting>
  <conditionalFormatting sqref="B67:E78 AG67:AG69 Z67:Z68 L67:L68 S67:S68">
    <cfRule type="notContainsBlanks" dxfId="8679" priority="9472">
      <formula>LEN(TRIM(B67))&gt;0</formula>
    </cfRule>
  </conditionalFormatting>
  <conditionalFormatting sqref="B80:E91 AG80:AG82 L80:L82 S80:S81 Z80:Z82">
    <cfRule type="notContainsBlanks" dxfId="8678" priority="9453">
      <formula>LEN(TRIM(B80))&gt;0</formula>
    </cfRule>
  </conditionalFormatting>
  <conditionalFormatting sqref="B93:E104 L93:L95 S93:S95 Z93:Z95 AG93:AG95">
    <cfRule type="notContainsBlanks" dxfId="8677" priority="9443">
      <formula>LEN(TRIM(B93))&gt;0</formula>
    </cfRule>
  </conditionalFormatting>
  <conditionalFormatting sqref="G108">
    <cfRule type="notContainsBlanks" dxfId="8676" priority="9442">
      <formula>LEN(TRIM(G108))&gt;0</formula>
    </cfRule>
  </conditionalFormatting>
  <conditionalFormatting sqref="H108">
    <cfRule type="notContainsBlanks" dxfId="8675" priority="9441">
      <formula>LEN(TRIM(H108))&gt;0</formula>
    </cfRule>
  </conditionalFormatting>
  <conditionalFormatting sqref="G108:H108">
    <cfRule type="notContainsBlanks" dxfId="8674" priority="9440">
      <formula>LEN(TRIM(G108))&gt;0</formula>
    </cfRule>
  </conditionalFormatting>
  <conditionalFormatting sqref="G108:H108">
    <cfRule type="notContainsBlanks" dxfId="8673" priority="9439">
      <formula>LEN(TRIM(G108))&gt;0</formula>
    </cfRule>
  </conditionalFormatting>
  <conditionalFormatting sqref="N108:O108">
    <cfRule type="notContainsBlanks" dxfId="8672" priority="9438">
      <formula>LEN(TRIM(N108))&gt;0</formula>
    </cfRule>
  </conditionalFormatting>
  <conditionalFormatting sqref="N108:O108">
    <cfRule type="notContainsBlanks" dxfId="8671" priority="9437">
      <formula>LEN(TRIM(N108))&gt;0</formula>
    </cfRule>
  </conditionalFormatting>
  <conditionalFormatting sqref="U108:V108">
    <cfRule type="notContainsBlanks" dxfId="8670" priority="9436">
      <formula>LEN(TRIM(U108))&gt;0</formula>
    </cfRule>
  </conditionalFormatting>
  <conditionalFormatting sqref="U108:V108">
    <cfRule type="notContainsBlanks" dxfId="8669" priority="9435">
      <formula>LEN(TRIM(U108))&gt;0</formula>
    </cfRule>
  </conditionalFormatting>
  <conditionalFormatting sqref="AB108:AC108">
    <cfRule type="notContainsBlanks" dxfId="8668" priority="9434">
      <formula>LEN(TRIM(AB108))&gt;0</formula>
    </cfRule>
  </conditionalFormatting>
  <conditionalFormatting sqref="AB108:AC108">
    <cfRule type="notContainsBlanks" dxfId="8667" priority="9433">
      <formula>LEN(TRIM(AB108))&gt;0</formula>
    </cfRule>
  </conditionalFormatting>
  <conditionalFormatting sqref="AB108:AC108 U108:V108 N108:O108 G108:H108 B106:E117 L106:L108 S106:S107 Z106:Z108 AG106:AG108">
    <cfRule type="notContainsBlanks" dxfId="8666" priority="9432">
      <formula>LEN(TRIM(B106))&gt;0</formula>
    </cfRule>
  </conditionalFormatting>
  <conditionalFormatting sqref="B119:E130 S119:S120 Z119:Z121 AG119:AG121 L119:L121">
    <cfRule type="notContainsBlanks" dxfId="8665" priority="9417">
      <formula>LEN(TRIM(B119))&gt;0</formula>
    </cfRule>
  </conditionalFormatting>
  <conditionalFormatting sqref="B145:E156 L145:L147 S145:S147 Z145:Z147 AG145:AG147">
    <cfRule type="notContainsBlanks" dxfId="8664" priority="9380">
      <formula>LEN(TRIM(B145))&gt;0</formula>
    </cfRule>
  </conditionalFormatting>
  <conditionalFormatting sqref="B158:B169 L158:L160 S158:S160 Z158:Z160 AG158:AG160">
    <cfRule type="notContainsBlanks" dxfId="8663" priority="9357">
      <formula>LEN(TRIM(B158))&gt;0</formula>
    </cfRule>
  </conditionalFormatting>
  <conditionalFormatting sqref="B171:E182 L171:L172 S171:S172 Z171:Z172 AG171:AG172">
    <cfRule type="notContainsBlanks" dxfId="8662" priority="9330">
      <formula>LEN(TRIM(B171))&gt;0</formula>
    </cfRule>
  </conditionalFormatting>
  <conditionalFormatting sqref="B184:E195 L184:L185 S184:S185">
    <cfRule type="notContainsBlanks" dxfId="8661" priority="9299">
      <formula>LEN(TRIM(B184))&gt;0</formula>
    </cfRule>
  </conditionalFormatting>
  <conditionalFormatting sqref="B197:E208 L197:L198 S197:S198 Z197:Z198 AG197:AG198">
    <cfRule type="notContainsBlanks" dxfId="8660" priority="9264">
      <formula>LEN(TRIM(B197))&gt;0</formula>
    </cfRule>
  </conditionalFormatting>
  <conditionalFormatting sqref="B210:E221">
    <cfRule type="notContainsBlanks" dxfId="8659" priority="9225">
      <formula>LEN(TRIM(B210))&gt;0</formula>
    </cfRule>
  </conditionalFormatting>
  <conditionalFormatting sqref="L210:L211 S210:S211 Z210:Z211 AG210:AG211">
    <cfRule type="notContainsBlanks" dxfId="8658" priority="9186">
      <formula>LEN(TRIM(L210))&gt;0</formula>
    </cfRule>
  </conditionalFormatting>
  <conditionalFormatting sqref="B223:E234 Z223:Z224 L223:L224">
    <cfRule type="notContainsBlanks" dxfId="8657" priority="9184">
      <formula>LEN(TRIM(B223))&gt;0</formula>
    </cfRule>
    <cfRule type="notContainsBlanks" dxfId="8656" priority="9185">
      <formula>LEN(TRIM(B223))&gt;0</formula>
    </cfRule>
  </conditionalFormatting>
  <conditionalFormatting sqref="G238">
    <cfRule type="notContainsBlanks" dxfId="8655" priority="9183">
      <formula>LEN(TRIM(G238))&gt;0</formula>
    </cfRule>
  </conditionalFormatting>
  <conditionalFormatting sqref="H238">
    <cfRule type="notContainsBlanks" dxfId="8654" priority="9182">
      <formula>LEN(TRIM(H238))&gt;0</formula>
    </cfRule>
  </conditionalFormatting>
  <conditionalFormatting sqref="G238:H238">
    <cfRule type="notContainsBlanks" dxfId="8653" priority="9181">
      <formula>LEN(TRIM(G238))&gt;0</formula>
    </cfRule>
  </conditionalFormatting>
  <conditionalFormatting sqref="G238:H238">
    <cfRule type="notContainsBlanks" dxfId="8652" priority="9180">
      <formula>LEN(TRIM(G238))&gt;0</formula>
    </cfRule>
  </conditionalFormatting>
  <conditionalFormatting sqref="G238:H238">
    <cfRule type="notContainsBlanks" dxfId="8651" priority="9179">
      <formula>LEN(TRIM(G238))&gt;0</formula>
    </cfRule>
  </conditionalFormatting>
  <conditionalFormatting sqref="G238:H238">
    <cfRule type="notContainsBlanks" dxfId="8650" priority="9178">
      <formula>LEN(TRIM(G238))&gt;0</formula>
    </cfRule>
  </conditionalFormatting>
  <conditionalFormatting sqref="G238:H238">
    <cfRule type="notContainsBlanks" dxfId="8649" priority="9177">
      <formula>LEN(TRIM(G238))&gt;0</formula>
    </cfRule>
  </conditionalFormatting>
  <conditionalFormatting sqref="G238:H238">
    <cfRule type="notContainsBlanks" dxfId="8648" priority="9176">
      <formula>LEN(TRIM(G238))&gt;0</formula>
    </cfRule>
  </conditionalFormatting>
  <conditionalFormatting sqref="G238:H238">
    <cfRule type="notContainsBlanks" dxfId="8647" priority="9175">
      <formula>LEN(TRIM(G238))&gt;0</formula>
    </cfRule>
  </conditionalFormatting>
  <conditionalFormatting sqref="G238:H238">
    <cfRule type="notContainsBlanks" dxfId="8646" priority="9174">
      <formula>LEN(TRIM(G238))&gt;0</formula>
    </cfRule>
  </conditionalFormatting>
  <conditionalFormatting sqref="G238:H238">
    <cfRule type="notContainsBlanks" dxfId="8645" priority="9173">
      <formula>LEN(TRIM(G238))&gt;0</formula>
    </cfRule>
  </conditionalFormatting>
  <conditionalFormatting sqref="G238:H238">
    <cfRule type="notContainsBlanks" dxfId="8644" priority="9171">
      <formula>LEN(TRIM(G238))&gt;0</formula>
    </cfRule>
    <cfRule type="notContainsBlanks" dxfId="8643" priority="9172">
      <formula>LEN(TRIM(G238))&gt;0</formula>
    </cfRule>
  </conditionalFormatting>
  <conditionalFormatting sqref="N238:O238">
    <cfRule type="notContainsBlanks" dxfId="8642" priority="9170">
      <formula>LEN(TRIM(N238))&gt;0</formula>
    </cfRule>
  </conditionalFormatting>
  <conditionalFormatting sqref="N238:O238">
    <cfRule type="notContainsBlanks" dxfId="8641" priority="9169">
      <formula>LEN(TRIM(N238))&gt;0</formula>
    </cfRule>
  </conditionalFormatting>
  <conditionalFormatting sqref="N238:O238">
    <cfRule type="notContainsBlanks" dxfId="8640" priority="9168">
      <formula>LEN(TRIM(N238))&gt;0</formula>
    </cfRule>
  </conditionalFormatting>
  <conditionalFormatting sqref="N238:O238">
    <cfRule type="notContainsBlanks" dxfId="8639" priority="9167">
      <formula>LEN(TRIM(N238))&gt;0</formula>
    </cfRule>
  </conditionalFormatting>
  <conditionalFormatting sqref="N238:O238">
    <cfRule type="notContainsBlanks" dxfId="8638" priority="9166">
      <formula>LEN(TRIM(N238))&gt;0</formula>
    </cfRule>
  </conditionalFormatting>
  <conditionalFormatting sqref="N238:O238">
    <cfRule type="notContainsBlanks" dxfId="8637" priority="9165">
      <formula>LEN(TRIM(N238))&gt;0</formula>
    </cfRule>
  </conditionalFormatting>
  <conditionalFormatting sqref="N238:O238">
    <cfRule type="notContainsBlanks" dxfId="8636" priority="9164">
      <formula>LEN(TRIM(N238))&gt;0</formula>
    </cfRule>
  </conditionalFormatting>
  <conditionalFormatting sqref="N238:O238">
    <cfRule type="notContainsBlanks" dxfId="8635" priority="9163">
      <formula>LEN(TRIM(N238))&gt;0</formula>
    </cfRule>
  </conditionalFormatting>
  <conditionalFormatting sqref="N238:O238">
    <cfRule type="notContainsBlanks" dxfId="8634" priority="9162">
      <formula>LEN(TRIM(N238))&gt;0</formula>
    </cfRule>
  </conditionalFormatting>
  <conditionalFormatting sqref="N238:O238">
    <cfRule type="notContainsBlanks" dxfId="8633" priority="9160">
      <formula>LEN(TRIM(N238))&gt;0</formula>
    </cfRule>
    <cfRule type="notContainsBlanks" dxfId="8632" priority="9161">
      <formula>LEN(TRIM(N238))&gt;0</formula>
    </cfRule>
  </conditionalFormatting>
  <conditionalFormatting sqref="U238:V238">
    <cfRule type="notContainsBlanks" dxfId="8631" priority="9159">
      <formula>LEN(TRIM(U238))&gt;0</formula>
    </cfRule>
  </conditionalFormatting>
  <conditionalFormatting sqref="U238:V238">
    <cfRule type="notContainsBlanks" dxfId="8630" priority="9158">
      <formula>LEN(TRIM(U238))&gt;0</formula>
    </cfRule>
  </conditionalFormatting>
  <conditionalFormatting sqref="U238:V238">
    <cfRule type="notContainsBlanks" dxfId="8629" priority="9157">
      <formula>LEN(TRIM(U238))&gt;0</formula>
    </cfRule>
  </conditionalFormatting>
  <conditionalFormatting sqref="U238:V238">
    <cfRule type="notContainsBlanks" dxfId="8628" priority="9156">
      <formula>LEN(TRIM(U238))&gt;0</formula>
    </cfRule>
  </conditionalFormatting>
  <conditionalFormatting sqref="U238:V238">
    <cfRule type="notContainsBlanks" dxfId="8627" priority="9155">
      <formula>LEN(TRIM(U238))&gt;0</formula>
    </cfRule>
  </conditionalFormatting>
  <conditionalFormatting sqref="U238:V238">
    <cfRule type="notContainsBlanks" dxfId="8626" priority="9154">
      <formula>LEN(TRIM(U238))&gt;0</formula>
    </cfRule>
  </conditionalFormatting>
  <conditionalFormatting sqref="U238:V238">
    <cfRule type="notContainsBlanks" dxfId="8625" priority="9153">
      <formula>LEN(TRIM(U238))&gt;0</formula>
    </cfRule>
  </conditionalFormatting>
  <conditionalFormatting sqref="U238:V238">
    <cfRule type="notContainsBlanks" dxfId="8624" priority="9152">
      <formula>LEN(TRIM(U238))&gt;0</formula>
    </cfRule>
  </conditionalFormatting>
  <conditionalFormatting sqref="U238:V238">
    <cfRule type="notContainsBlanks" dxfId="8623" priority="9151">
      <formula>LEN(TRIM(U238))&gt;0</formula>
    </cfRule>
  </conditionalFormatting>
  <conditionalFormatting sqref="U238:V238">
    <cfRule type="notContainsBlanks" dxfId="8622" priority="9149">
      <formula>LEN(TRIM(U238))&gt;0</formula>
    </cfRule>
    <cfRule type="notContainsBlanks" dxfId="8621" priority="9150">
      <formula>LEN(TRIM(U238))&gt;0</formula>
    </cfRule>
  </conditionalFormatting>
  <conditionalFormatting sqref="AB238:AC238">
    <cfRule type="notContainsBlanks" dxfId="8620" priority="9148">
      <formula>LEN(TRIM(AB238))&gt;0</formula>
    </cfRule>
  </conditionalFormatting>
  <conditionalFormatting sqref="AB238:AC238">
    <cfRule type="notContainsBlanks" dxfId="8619" priority="9147">
      <formula>LEN(TRIM(AB238))&gt;0</formula>
    </cfRule>
  </conditionalFormatting>
  <conditionalFormatting sqref="AB238:AC238">
    <cfRule type="notContainsBlanks" dxfId="8618" priority="9146">
      <formula>LEN(TRIM(AB238))&gt;0</formula>
    </cfRule>
  </conditionalFormatting>
  <conditionalFormatting sqref="AB238:AC238">
    <cfRule type="notContainsBlanks" dxfId="8617" priority="9145">
      <formula>LEN(TRIM(AB238))&gt;0</formula>
    </cfRule>
  </conditionalFormatting>
  <conditionalFormatting sqref="AB238:AC238">
    <cfRule type="notContainsBlanks" dxfId="8616" priority="9144">
      <formula>LEN(TRIM(AB238))&gt;0</formula>
    </cfRule>
  </conditionalFormatting>
  <conditionalFormatting sqref="AB238:AC238">
    <cfRule type="notContainsBlanks" dxfId="8615" priority="9143">
      <formula>LEN(TRIM(AB238))&gt;0</formula>
    </cfRule>
  </conditionalFormatting>
  <conditionalFormatting sqref="AB238:AC238">
    <cfRule type="notContainsBlanks" dxfId="8614" priority="9142">
      <formula>LEN(TRIM(AB238))&gt;0</formula>
    </cfRule>
  </conditionalFormatting>
  <conditionalFormatting sqref="AB238:AC238">
    <cfRule type="notContainsBlanks" dxfId="8613" priority="9141">
      <formula>LEN(TRIM(AB238))&gt;0</formula>
    </cfRule>
  </conditionalFormatting>
  <conditionalFormatting sqref="AB238:AC238">
    <cfRule type="notContainsBlanks" dxfId="8612" priority="9140">
      <formula>LEN(TRIM(AB238))&gt;0</formula>
    </cfRule>
  </conditionalFormatting>
  <conditionalFormatting sqref="AB238:AC238">
    <cfRule type="notContainsBlanks" dxfId="8611" priority="9138">
      <formula>LEN(TRIM(AB238))&gt;0</formula>
    </cfRule>
    <cfRule type="notContainsBlanks" dxfId="8610" priority="9139">
      <formula>LEN(TRIM(AB238))&gt;0</formula>
    </cfRule>
  </conditionalFormatting>
  <conditionalFormatting sqref="B236:E247 G238:H238 N238:O238 U238:V238 AB238:AC238 L236:L238 S236:S238 Z236:Z238 AG236:AG238">
    <cfRule type="notContainsBlanks" dxfId="8609" priority="9137">
      <formula>LEN(TRIM(B236))&gt;0</formula>
    </cfRule>
  </conditionalFormatting>
  <conditionalFormatting sqref="AD251:AF251">
    <cfRule type="notContainsBlanks" dxfId="8608" priority="9098">
      <formula>LEN(TRIM(AD251))&gt;0</formula>
    </cfRule>
  </conditionalFormatting>
  <conditionalFormatting sqref="AD251:AF251">
    <cfRule type="notContainsBlanks" dxfId="8607" priority="9097">
      <formula>LEN(TRIM(AD251))&gt;0</formula>
    </cfRule>
  </conditionalFormatting>
  <conditionalFormatting sqref="AD251:AF251">
    <cfRule type="notContainsBlanks" dxfId="8606" priority="9096">
      <formula>LEN(TRIM(AD251))&gt;0</formula>
    </cfRule>
  </conditionalFormatting>
  <conditionalFormatting sqref="AD251:AF251">
    <cfRule type="notContainsBlanks" dxfId="8605" priority="9095">
      <formula>LEN(TRIM(AD251))&gt;0</formula>
    </cfRule>
  </conditionalFormatting>
  <conditionalFormatting sqref="AD251:AF251">
    <cfRule type="notContainsBlanks" dxfId="8604" priority="9094">
      <formula>LEN(TRIM(AD251))&gt;0</formula>
    </cfRule>
  </conditionalFormatting>
  <conditionalFormatting sqref="AD251:AF251">
    <cfRule type="notContainsBlanks" dxfId="8603" priority="9093">
      <formula>LEN(TRIM(AD251))&gt;0</formula>
    </cfRule>
  </conditionalFormatting>
  <conditionalFormatting sqref="AD251:AF251">
    <cfRule type="notContainsBlanks" dxfId="8602" priority="9092">
      <formula>LEN(TRIM(AD251))&gt;0</formula>
    </cfRule>
  </conditionalFormatting>
  <conditionalFormatting sqref="AD251:AF251">
    <cfRule type="notContainsBlanks" dxfId="8601" priority="9091">
      <formula>LEN(TRIM(AD251))&gt;0</formula>
    </cfRule>
  </conditionalFormatting>
  <conditionalFormatting sqref="AD251:AF251">
    <cfRule type="notContainsBlanks" dxfId="8600" priority="9090">
      <formula>LEN(TRIM(AD251))&gt;0</formula>
    </cfRule>
  </conditionalFormatting>
  <conditionalFormatting sqref="AD251:AF251">
    <cfRule type="notContainsBlanks" dxfId="8599" priority="9088">
      <formula>LEN(TRIM(AD251))&gt;0</formula>
    </cfRule>
    <cfRule type="notContainsBlanks" dxfId="8598" priority="9089">
      <formula>LEN(TRIM(AD251))&gt;0</formula>
    </cfRule>
  </conditionalFormatting>
  <conditionalFormatting sqref="AD251:AF251">
    <cfRule type="notContainsBlanks" dxfId="8597" priority="9087">
      <formula>LEN(TRIM(AD251))&gt;0</formula>
    </cfRule>
  </conditionalFormatting>
  <conditionalFormatting sqref="B249:E260 AD251:AF251 AG249:AG251 L249:L251 S249:S251 Z249:Z250">
    <cfRule type="notContainsBlanks" dxfId="8596" priority="9086">
      <formula>LEN(TRIM(B249))&gt;0</formula>
    </cfRule>
  </conditionalFormatting>
  <conditionalFormatting sqref="I264:K264">
    <cfRule type="notContainsBlanks" dxfId="8595" priority="9084">
      <formula>LEN(TRIM(I264))&gt;0</formula>
    </cfRule>
  </conditionalFormatting>
  <conditionalFormatting sqref="I264:K264">
    <cfRule type="notContainsBlanks" dxfId="8594" priority="9083">
      <formula>LEN(TRIM(I264))&gt;0</formula>
    </cfRule>
  </conditionalFormatting>
  <conditionalFormatting sqref="I264:K264">
    <cfRule type="notContainsBlanks" dxfId="8593" priority="9082">
      <formula>LEN(TRIM(I264))&gt;0</formula>
    </cfRule>
  </conditionalFormatting>
  <conditionalFormatting sqref="I264:K264">
    <cfRule type="notContainsBlanks" dxfId="8592" priority="9081">
      <formula>LEN(TRIM(I264))&gt;0</formula>
    </cfRule>
  </conditionalFormatting>
  <conditionalFormatting sqref="I264:K264">
    <cfRule type="notContainsBlanks" dxfId="8591" priority="9080">
      <formula>LEN(TRIM(I264))&gt;0</formula>
    </cfRule>
  </conditionalFormatting>
  <conditionalFormatting sqref="I264:K264">
    <cfRule type="notContainsBlanks" dxfId="8590" priority="9079">
      <formula>LEN(TRIM(I264))&gt;0</formula>
    </cfRule>
  </conditionalFormatting>
  <conditionalFormatting sqref="I264:K264">
    <cfRule type="notContainsBlanks" dxfId="8589" priority="9078">
      <formula>LEN(TRIM(I264))&gt;0</formula>
    </cfRule>
  </conditionalFormatting>
  <conditionalFormatting sqref="I264:K264">
    <cfRule type="notContainsBlanks" dxfId="8588" priority="9077">
      <formula>LEN(TRIM(I264))&gt;0</formula>
    </cfRule>
  </conditionalFormatting>
  <conditionalFormatting sqref="I264:K264">
    <cfRule type="notContainsBlanks" dxfId="8587" priority="9076">
      <formula>LEN(TRIM(I264))&gt;0</formula>
    </cfRule>
  </conditionalFormatting>
  <conditionalFormatting sqref="I264:K264">
    <cfRule type="notContainsBlanks" dxfId="8586" priority="9075">
      <formula>LEN(TRIM(I264))&gt;0</formula>
    </cfRule>
  </conditionalFormatting>
  <conditionalFormatting sqref="I264:K264">
    <cfRule type="notContainsBlanks" dxfId="8585" priority="9073">
      <formula>LEN(TRIM(I264))&gt;0</formula>
    </cfRule>
    <cfRule type="notContainsBlanks" dxfId="8584" priority="9074">
      <formula>LEN(TRIM(I264))&gt;0</formula>
    </cfRule>
  </conditionalFormatting>
  <conditionalFormatting sqref="I264:K264">
    <cfRule type="notContainsBlanks" dxfId="8583" priority="9072">
      <formula>LEN(TRIM(I264))&gt;0</formula>
    </cfRule>
  </conditionalFormatting>
  <conditionalFormatting sqref="I264:K264">
    <cfRule type="notContainsBlanks" dxfId="8582" priority="9071">
      <formula>LEN(TRIM(I264))&gt;0</formula>
    </cfRule>
  </conditionalFormatting>
  <conditionalFormatting sqref="P264:R264">
    <cfRule type="notContainsBlanks" dxfId="8581" priority="9070">
      <formula>LEN(TRIM(P264))&gt;0</formula>
    </cfRule>
  </conditionalFormatting>
  <conditionalFormatting sqref="P264:R264">
    <cfRule type="notContainsBlanks" dxfId="8580" priority="9069">
      <formula>LEN(TRIM(P264))&gt;0</formula>
    </cfRule>
  </conditionalFormatting>
  <conditionalFormatting sqref="P264:R264">
    <cfRule type="notContainsBlanks" dxfId="8579" priority="9068">
      <formula>LEN(TRIM(P264))&gt;0</formula>
    </cfRule>
  </conditionalFormatting>
  <conditionalFormatting sqref="P264:R264">
    <cfRule type="notContainsBlanks" dxfId="8578" priority="9067">
      <formula>LEN(TRIM(P264))&gt;0</formula>
    </cfRule>
  </conditionalFormatting>
  <conditionalFormatting sqref="P264:R264">
    <cfRule type="notContainsBlanks" dxfId="8577" priority="9066">
      <formula>LEN(TRIM(P264))&gt;0</formula>
    </cfRule>
  </conditionalFormatting>
  <conditionalFormatting sqref="P264:R264">
    <cfRule type="notContainsBlanks" dxfId="8576" priority="9065">
      <formula>LEN(TRIM(P264))&gt;0</formula>
    </cfRule>
  </conditionalFormatting>
  <conditionalFormatting sqref="P264:R264">
    <cfRule type="notContainsBlanks" dxfId="8575" priority="9064">
      <formula>LEN(TRIM(P264))&gt;0</formula>
    </cfRule>
  </conditionalFormatting>
  <conditionalFormatting sqref="P264:R264">
    <cfRule type="notContainsBlanks" dxfId="8574" priority="9063">
      <formula>LEN(TRIM(P264))&gt;0</formula>
    </cfRule>
  </conditionalFormatting>
  <conditionalFormatting sqref="P264:R264">
    <cfRule type="notContainsBlanks" dxfId="8573" priority="9062">
      <formula>LEN(TRIM(P264))&gt;0</formula>
    </cfRule>
  </conditionalFormatting>
  <conditionalFormatting sqref="P264:R264">
    <cfRule type="notContainsBlanks" dxfId="8572" priority="9060">
      <formula>LEN(TRIM(P264))&gt;0</formula>
    </cfRule>
    <cfRule type="notContainsBlanks" dxfId="8571" priority="9061">
      <formula>LEN(TRIM(P264))&gt;0</formula>
    </cfRule>
  </conditionalFormatting>
  <conditionalFormatting sqref="P264:R264">
    <cfRule type="notContainsBlanks" dxfId="8570" priority="9059">
      <formula>LEN(TRIM(P264))&gt;0</formula>
    </cfRule>
  </conditionalFormatting>
  <conditionalFormatting sqref="P264:R264">
    <cfRule type="notContainsBlanks" dxfId="8569" priority="9058">
      <formula>LEN(TRIM(P264))&gt;0</formula>
    </cfRule>
  </conditionalFormatting>
  <conditionalFormatting sqref="W264:Y264">
    <cfRule type="notContainsBlanks" dxfId="8568" priority="9057">
      <formula>LEN(TRIM(W264))&gt;0</formula>
    </cfRule>
  </conditionalFormatting>
  <conditionalFormatting sqref="W264:Y264">
    <cfRule type="notContainsBlanks" dxfId="8567" priority="9056">
      <formula>LEN(TRIM(W264))&gt;0</formula>
    </cfRule>
  </conditionalFormatting>
  <conditionalFormatting sqref="W264:Y264">
    <cfRule type="notContainsBlanks" dxfId="8566" priority="9055">
      <formula>LEN(TRIM(W264))&gt;0</formula>
    </cfRule>
  </conditionalFormatting>
  <conditionalFormatting sqref="W264:Y264">
    <cfRule type="notContainsBlanks" dxfId="8565" priority="9054">
      <formula>LEN(TRIM(W264))&gt;0</formula>
    </cfRule>
  </conditionalFormatting>
  <conditionalFormatting sqref="W264:Y264">
    <cfRule type="notContainsBlanks" dxfId="8564" priority="9053">
      <formula>LEN(TRIM(W264))&gt;0</formula>
    </cfRule>
  </conditionalFormatting>
  <conditionalFormatting sqref="W264:Y264">
    <cfRule type="notContainsBlanks" dxfId="8563" priority="9052">
      <formula>LEN(TRIM(W264))&gt;0</formula>
    </cfRule>
  </conditionalFormatting>
  <conditionalFormatting sqref="W264:Y264">
    <cfRule type="notContainsBlanks" dxfId="8562" priority="9051">
      <formula>LEN(TRIM(W264))&gt;0</formula>
    </cfRule>
  </conditionalFormatting>
  <conditionalFormatting sqref="W264:Y264">
    <cfRule type="notContainsBlanks" dxfId="8561" priority="9050">
      <formula>LEN(TRIM(W264))&gt;0</formula>
    </cfRule>
  </conditionalFormatting>
  <conditionalFormatting sqref="W264:Y264">
    <cfRule type="notContainsBlanks" dxfId="8560" priority="9049">
      <formula>LEN(TRIM(W264))&gt;0</formula>
    </cfRule>
  </conditionalFormatting>
  <conditionalFormatting sqref="W264:Y264">
    <cfRule type="notContainsBlanks" dxfId="8559" priority="9047">
      <formula>LEN(TRIM(W264))&gt;0</formula>
    </cfRule>
    <cfRule type="notContainsBlanks" dxfId="8558" priority="9048">
      <formula>LEN(TRIM(W264))&gt;0</formula>
    </cfRule>
  </conditionalFormatting>
  <conditionalFormatting sqref="W264:Y264">
    <cfRule type="notContainsBlanks" dxfId="8557" priority="9046">
      <formula>LEN(TRIM(W264))&gt;0</formula>
    </cfRule>
  </conditionalFormatting>
  <conditionalFormatting sqref="W264:Y264">
    <cfRule type="notContainsBlanks" dxfId="8556" priority="9045">
      <formula>LEN(TRIM(W264))&gt;0</formula>
    </cfRule>
  </conditionalFormatting>
  <conditionalFormatting sqref="AD264:AF264">
    <cfRule type="notContainsBlanks" dxfId="8555" priority="9044">
      <formula>LEN(TRIM(AD264))&gt;0</formula>
    </cfRule>
  </conditionalFormatting>
  <conditionalFormatting sqref="AD264:AF264">
    <cfRule type="notContainsBlanks" dxfId="8554" priority="9043">
      <formula>LEN(TRIM(AD264))&gt;0</formula>
    </cfRule>
  </conditionalFormatting>
  <conditionalFormatting sqref="AD264:AF264">
    <cfRule type="notContainsBlanks" dxfId="8553" priority="9042">
      <formula>LEN(TRIM(AD264))&gt;0</formula>
    </cfRule>
  </conditionalFormatting>
  <conditionalFormatting sqref="AD264:AF264">
    <cfRule type="notContainsBlanks" dxfId="8552" priority="9041">
      <formula>LEN(TRIM(AD264))&gt;0</formula>
    </cfRule>
  </conditionalFormatting>
  <conditionalFormatting sqref="AD264:AF264">
    <cfRule type="notContainsBlanks" dxfId="8551" priority="9040">
      <formula>LEN(TRIM(AD264))&gt;0</formula>
    </cfRule>
  </conditionalFormatting>
  <conditionalFormatting sqref="AD264:AF264">
    <cfRule type="notContainsBlanks" dxfId="8550" priority="9039">
      <formula>LEN(TRIM(AD264))&gt;0</formula>
    </cfRule>
  </conditionalFormatting>
  <conditionalFormatting sqref="AD264:AF264">
    <cfRule type="notContainsBlanks" dxfId="8549" priority="9038">
      <formula>LEN(TRIM(AD264))&gt;0</formula>
    </cfRule>
  </conditionalFormatting>
  <conditionalFormatting sqref="AD264:AF264">
    <cfRule type="notContainsBlanks" dxfId="8548" priority="9037">
      <formula>LEN(TRIM(AD264))&gt;0</formula>
    </cfRule>
  </conditionalFormatting>
  <conditionalFormatting sqref="AD264:AF264">
    <cfRule type="notContainsBlanks" dxfId="8547" priority="9036">
      <formula>LEN(TRIM(AD264))&gt;0</formula>
    </cfRule>
  </conditionalFormatting>
  <conditionalFormatting sqref="AD264:AF264">
    <cfRule type="notContainsBlanks" dxfId="8546" priority="9034">
      <formula>LEN(TRIM(AD264))&gt;0</formula>
    </cfRule>
    <cfRule type="notContainsBlanks" dxfId="8545" priority="9035">
      <formula>LEN(TRIM(AD264))&gt;0</formula>
    </cfRule>
  </conditionalFormatting>
  <conditionalFormatting sqref="AD264:AF264">
    <cfRule type="notContainsBlanks" dxfId="8544" priority="9033">
      <formula>LEN(TRIM(AD264))&gt;0</formula>
    </cfRule>
  </conditionalFormatting>
  <conditionalFormatting sqref="AD264:AF264">
    <cfRule type="notContainsBlanks" dxfId="8543" priority="9032">
      <formula>LEN(TRIM(AD264))&gt;0</formula>
    </cfRule>
  </conditionalFormatting>
  <conditionalFormatting sqref="B262:E273 I264:K264 P264:R264 W264:Y264 AD264:AF264 L262:L263 S262:S263 Z262:Z263 AG262:AG263">
    <cfRule type="notContainsBlanks" dxfId="8542" priority="9031">
      <formula>LEN(TRIM(B262))&gt;0</formula>
    </cfRule>
  </conditionalFormatting>
  <conditionalFormatting sqref="B275:E286 L275:L276 S275:S276 Z275:Z276 AG275:AG276">
    <cfRule type="notContainsBlanks" dxfId="8541" priority="8972">
      <formula>LEN(TRIM(B275))&gt;0</formula>
    </cfRule>
  </conditionalFormatting>
  <conditionalFormatting sqref="B288:E299 L288:L290 S288:S289 Z288:Z290 AG288:AG290">
    <cfRule type="notContainsBlanks" dxfId="8540" priority="8909">
      <formula>LEN(TRIM(B288))&gt;0</formula>
    </cfRule>
  </conditionalFormatting>
  <conditionalFormatting sqref="B301:E312 L301:L303 S301:S303 Z301:Z303 AG301:AG302">
    <cfRule type="notContainsBlanks" dxfId="8539" priority="8842">
      <formula>LEN(TRIM(B301))&gt;0</formula>
    </cfRule>
  </conditionalFormatting>
  <conditionalFormatting sqref="G316">
    <cfRule type="notContainsBlanks" dxfId="8538" priority="8841">
      <formula>LEN(TRIM(G316))&gt;0</formula>
    </cfRule>
  </conditionalFormatting>
  <conditionalFormatting sqref="H316:K316">
    <cfRule type="notContainsBlanks" dxfId="8537" priority="8840">
      <formula>LEN(TRIM(H316))&gt;0</formula>
    </cfRule>
  </conditionalFormatting>
  <conditionalFormatting sqref="G316:K316">
    <cfRule type="notContainsBlanks" dxfId="8536" priority="8839">
      <formula>LEN(TRIM(G316))&gt;0</formula>
    </cfRule>
  </conditionalFormatting>
  <conditionalFormatting sqref="G316:K316">
    <cfRule type="notContainsBlanks" dxfId="8535" priority="8838">
      <formula>LEN(TRIM(G316))&gt;0</formula>
    </cfRule>
  </conditionalFormatting>
  <conditionalFormatting sqref="G316:K316">
    <cfRule type="notContainsBlanks" dxfId="8534" priority="8837">
      <formula>LEN(TRIM(G316))&gt;0</formula>
    </cfRule>
  </conditionalFormatting>
  <conditionalFormatting sqref="G316:K316">
    <cfRule type="notContainsBlanks" dxfId="8533" priority="8836">
      <formula>LEN(TRIM(G316))&gt;0</formula>
    </cfRule>
  </conditionalFormatting>
  <conditionalFormatting sqref="G316:K316">
    <cfRule type="notContainsBlanks" dxfId="8532" priority="8835">
      <formula>LEN(TRIM(G316))&gt;0</formula>
    </cfRule>
  </conditionalFormatting>
  <conditionalFormatting sqref="G316:K316">
    <cfRule type="notContainsBlanks" dxfId="8531" priority="8834">
      <formula>LEN(TRIM(G316))&gt;0</formula>
    </cfRule>
  </conditionalFormatting>
  <conditionalFormatting sqref="G316:K316">
    <cfRule type="notContainsBlanks" dxfId="8530" priority="8833">
      <formula>LEN(TRIM(G316))&gt;0</formula>
    </cfRule>
  </conditionalFormatting>
  <conditionalFormatting sqref="G316:K316">
    <cfRule type="notContainsBlanks" dxfId="8529" priority="8832">
      <formula>LEN(TRIM(G316))&gt;0</formula>
    </cfRule>
  </conditionalFormatting>
  <conditionalFormatting sqref="G316:K316">
    <cfRule type="notContainsBlanks" dxfId="8528" priority="8831">
      <formula>LEN(TRIM(G316))&gt;0</formula>
    </cfRule>
  </conditionalFormatting>
  <conditionalFormatting sqref="G316:K316">
    <cfRule type="notContainsBlanks" dxfId="8527" priority="8829">
      <formula>LEN(TRIM(G316))&gt;0</formula>
    </cfRule>
    <cfRule type="notContainsBlanks" dxfId="8526" priority="8830">
      <formula>LEN(TRIM(G316))&gt;0</formula>
    </cfRule>
  </conditionalFormatting>
  <conditionalFormatting sqref="G316:K316">
    <cfRule type="notContainsBlanks" dxfId="8525" priority="8828">
      <formula>LEN(TRIM(G316))&gt;0</formula>
    </cfRule>
  </conditionalFormatting>
  <conditionalFormatting sqref="G316:K316">
    <cfRule type="notContainsBlanks" dxfId="8524" priority="8827">
      <formula>LEN(TRIM(G316))&gt;0</formula>
    </cfRule>
  </conditionalFormatting>
  <conditionalFormatting sqref="G316:K316">
    <cfRule type="notContainsBlanks" dxfId="8523" priority="8826">
      <formula>LEN(TRIM(G316))&gt;0</formula>
    </cfRule>
  </conditionalFormatting>
  <conditionalFormatting sqref="G316:K316">
    <cfRule type="notContainsBlanks" dxfId="8522" priority="8825">
      <formula>LEN(TRIM(G316))&gt;0</formula>
    </cfRule>
  </conditionalFormatting>
  <conditionalFormatting sqref="G316:K316">
    <cfRule type="notContainsBlanks" dxfId="8521" priority="8824">
      <formula>LEN(TRIM(G316))&gt;0</formula>
    </cfRule>
  </conditionalFormatting>
  <conditionalFormatting sqref="G316:K316">
    <cfRule type="notContainsBlanks" dxfId="8520" priority="8823">
      <formula>LEN(TRIM(G316))&gt;0</formula>
    </cfRule>
  </conditionalFormatting>
  <conditionalFormatting sqref="N316:R316">
    <cfRule type="notContainsBlanks" dxfId="8519" priority="8822">
      <formula>LEN(TRIM(N316))&gt;0</formula>
    </cfRule>
  </conditionalFormatting>
  <conditionalFormatting sqref="N316:R316">
    <cfRule type="notContainsBlanks" dxfId="8518" priority="8821">
      <formula>LEN(TRIM(N316))&gt;0</formula>
    </cfRule>
  </conditionalFormatting>
  <conditionalFormatting sqref="N316:R316">
    <cfRule type="notContainsBlanks" dxfId="8517" priority="8820">
      <formula>LEN(TRIM(N316))&gt;0</formula>
    </cfRule>
  </conditionalFormatting>
  <conditionalFormatting sqref="N316:R316">
    <cfRule type="notContainsBlanks" dxfId="8516" priority="8819">
      <formula>LEN(TRIM(N316))&gt;0</formula>
    </cfRule>
  </conditionalFormatting>
  <conditionalFormatting sqref="N316:R316">
    <cfRule type="notContainsBlanks" dxfId="8515" priority="8818">
      <formula>LEN(TRIM(N316))&gt;0</formula>
    </cfRule>
  </conditionalFormatting>
  <conditionalFormatting sqref="N316:R316">
    <cfRule type="notContainsBlanks" dxfId="8514" priority="8817">
      <formula>LEN(TRIM(N316))&gt;0</formula>
    </cfRule>
  </conditionalFormatting>
  <conditionalFormatting sqref="N316:R316">
    <cfRule type="notContainsBlanks" dxfId="8513" priority="8816">
      <formula>LEN(TRIM(N316))&gt;0</formula>
    </cfRule>
  </conditionalFormatting>
  <conditionalFormatting sqref="N316:R316">
    <cfRule type="notContainsBlanks" dxfId="8512" priority="8815">
      <formula>LEN(TRIM(N316))&gt;0</formula>
    </cfRule>
  </conditionalFormatting>
  <conditionalFormatting sqref="N316:R316">
    <cfRule type="notContainsBlanks" dxfId="8511" priority="8814">
      <formula>LEN(TRIM(N316))&gt;0</formula>
    </cfRule>
  </conditionalFormatting>
  <conditionalFormatting sqref="N316:R316">
    <cfRule type="notContainsBlanks" dxfId="8510" priority="8812">
      <formula>LEN(TRIM(N316))&gt;0</formula>
    </cfRule>
    <cfRule type="notContainsBlanks" dxfId="8509" priority="8813">
      <formula>LEN(TRIM(N316))&gt;0</formula>
    </cfRule>
  </conditionalFormatting>
  <conditionalFormatting sqref="N316:R316">
    <cfRule type="notContainsBlanks" dxfId="8508" priority="8811">
      <formula>LEN(TRIM(N316))&gt;0</formula>
    </cfRule>
  </conditionalFormatting>
  <conditionalFormatting sqref="N316:R316">
    <cfRule type="notContainsBlanks" dxfId="8507" priority="8810">
      <formula>LEN(TRIM(N316))&gt;0</formula>
    </cfRule>
  </conditionalFormatting>
  <conditionalFormatting sqref="N316:R316">
    <cfRule type="notContainsBlanks" dxfId="8506" priority="8809">
      <formula>LEN(TRIM(N316))&gt;0</formula>
    </cfRule>
  </conditionalFormatting>
  <conditionalFormatting sqref="N316:R316">
    <cfRule type="notContainsBlanks" dxfId="8505" priority="8808">
      <formula>LEN(TRIM(N316))&gt;0</formula>
    </cfRule>
  </conditionalFormatting>
  <conditionalFormatting sqref="N316:R316">
    <cfRule type="notContainsBlanks" dxfId="8504" priority="8807">
      <formula>LEN(TRIM(N316))&gt;0</formula>
    </cfRule>
  </conditionalFormatting>
  <conditionalFormatting sqref="N316:R316">
    <cfRule type="notContainsBlanks" dxfId="8503" priority="8806">
      <formula>LEN(TRIM(N316))&gt;0</formula>
    </cfRule>
  </conditionalFormatting>
  <conditionalFormatting sqref="U316:Y316">
    <cfRule type="notContainsBlanks" dxfId="8502" priority="8805">
      <formula>LEN(TRIM(U316))&gt;0</formula>
    </cfRule>
  </conditionalFormatting>
  <conditionalFormatting sqref="U316:Y316">
    <cfRule type="notContainsBlanks" dxfId="8501" priority="8804">
      <formula>LEN(TRIM(U316))&gt;0</formula>
    </cfRule>
  </conditionalFormatting>
  <conditionalFormatting sqref="U316:Y316">
    <cfRule type="notContainsBlanks" dxfId="8500" priority="8803">
      <formula>LEN(TRIM(U316))&gt;0</formula>
    </cfRule>
  </conditionalFormatting>
  <conditionalFormatting sqref="U316:Y316">
    <cfRule type="notContainsBlanks" dxfId="8499" priority="8802">
      <formula>LEN(TRIM(U316))&gt;0</formula>
    </cfRule>
  </conditionalFormatting>
  <conditionalFormatting sqref="U316:Y316">
    <cfRule type="notContainsBlanks" dxfId="8498" priority="8801">
      <formula>LEN(TRIM(U316))&gt;0</formula>
    </cfRule>
  </conditionalFormatting>
  <conditionalFormatting sqref="U316:Y316">
    <cfRule type="notContainsBlanks" dxfId="8497" priority="8800">
      <formula>LEN(TRIM(U316))&gt;0</formula>
    </cfRule>
  </conditionalFormatting>
  <conditionalFormatting sqref="U316:Y316">
    <cfRule type="notContainsBlanks" dxfId="8496" priority="8799">
      <formula>LEN(TRIM(U316))&gt;0</formula>
    </cfRule>
  </conditionalFormatting>
  <conditionalFormatting sqref="U316:Y316">
    <cfRule type="notContainsBlanks" dxfId="8495" priority="8798">
      <formula>LEN(TRIM(U316))&gt;0</formula>
    </cfRule>
  </conditionalFormatting>
  <conditionalFormatting sqref="U316:Y316">
    <cfRule type="notContainsBlanks" dxfId="8494" priority="8797">
      <formula>LEN(TRIM(U316))&gt;0</formula>
    </cfRule>
  </conditionalFormatting>
  <conditionalFormatting sqref="U316:Y316">
    <cfRule type="notContainsBlanks" dxfId="8493" priority="8795">
      <formula>LEN(TRIM(U316))&gt;0</formula>
    </cfRule>
    <cfRule type="notContainsBlanks" dxfId="8492" priority="8796">
      <formula>LEN(TRIM(U316))&gt;0</formula>
    </cfRule>
  </conditionalFormatting>
  <conditionalFormatting sqref="U316:Y316">
    <cfRule type="notContainsBlanks" dxfId="8491" priority="8794">
      <formula>LEN(TRIM(U316))&gt;0</formula>
    </cfRule>
  </conditionalFormatting>
  <conditionalFormatting sqref="U316:Y316">
    <cfRule type="notContainsBlanks" dxfId="8490" priority="8793">
      <formula>LEN(TRIM(U316))&gt;0</formula>
    </cfRule>
  </conditionalFormatting>
  <conditionalFormatting sqref="U316:Y316">
    <cfRule type="notContainsBlanks" dxfId="8489" priority="8792">
      <formula>LEN(TRIM(U316))&gt;0</formula>
    </cfRule>
  </conditionalFormatting>
  <conditionalFormatting sqref="U316:Y316">
    <cfRule type="notContainsBlanks" dxfId="8488" priority="8791">
      <formula>LEN(TRIM(U316))&gt;0</formula>
    </cfRule>
  </conditionalFormatting>
  <conditionalFormatting sqref="U316:Y316">
    <cfRule type="notContainsBlanks" dxfId="8487" priority="8790">
      <formula>LEN(TRIM(U316))&gt;0</formula>
    </cfRule>
  </conditionalFormatting>
  <conditionalFormatting sqref="U316:Y316">
    <cfRule type="notContainsBlanks" dxfId="8486" priority="8789">
      <formula>LEN(TRIM(U316))&gt;0</formula>
    </cfRule>
  </conditionalFormatting>
  <conditionalFormatting sqref="AB316:AF316">
    <cfRule type="notContainsBlanks" dxfId="8485" priority="8788">
      <formula>LEN(TRIM(AB316))&gt;0</formula>
    </cfRule>
  </conditionalFormatting>
  <conditionalFormatting sqref="AB316:AF316">
    <cfRule type="notContainsBlanks" dxfId="8484" priority="8787">
      <formula>LEN(TRIM(AB316))&gt;0</formula>
    </cfRule>
  </conditionalFormatting>
  <conditionalFormatting sqref="AB316:AF316">
    <cfRule type="notContainsBlanks" dxfId="8483" priority="8786">
      <formula>LEN(TRIM(AB316))&gt;0</formula>
    </cfRule>
  </conditionalFormatting>
  <conditionalFormatting sqref="AB316:AF316">
    <cfRule type="notContainsBlanks" dxfId="8482" priority="8785">
      <formula>LEN(TRIM(AB316))&gt;0</formula>
    </cfRule>
  </conditionalFormatting>
  <conditionalFormatting sqref="AB316:AF316">
    <cfRule type="notContainsBlanks" dxfId="8481" priority="8784">
      <formula>LEN(TRIM(AB316))&gt;0</formula>
    </cfRule>
  </conditionalFormatting>
  <conditionalFormatting sqref="AB316:AF316">
    <cfRule type="notContainsBlanks" dxfId="8480" priority="8783">
      <formula>LEN(TRIM(AB316))&gt;0</formula>
    </cfRule>
  </conditionalFormatting>
  <conditionalFormatting sqref="AB316:AF316">
    <cfRule type="notContainsBlanks" dxfId="8479" priority="8782">
      <formula>LEN(TRIM(AB316))&gt;0</formula>
    </cfRule>
  </conditionalFormatting>
  <conditionalFormatting sqref="AB316:AF316">
    <cfRule type="notContainsBlanks" dxfId="8478" priority="8781">
      <formula>LEN(TRIM(AB316))&gt;0</formula>
    </cfRule>
  </conditionalFormatting>
  <conditionalFormatting sqref="AB316:AF316">
    <cfRule type="notContainsBlanks" dxfId="8477" priority="8780">
      <formula>LEN(TRIM(AB316))&gt;0</formula>
    </cfRule>
  </conditionalFormatting>
  <conditionalFormatting sqref="AB316:AF316">
    <cfRule type="notContainsBlanks" dxfId="8476" priority="8778">
      <formula>LEN(TRIM(AB316))&gt;0</formula>
    </cfRule>
    <cfRule type="notContainsBlanks" dxfId="8475" priority="8779">
      <formula>LEN(TRIM(AB316))&gt;0</formula>
    </cfRule>
  </conditionalFormatting>
  <conditionalFormatting sqref="AB316:AF316">
    <cfRule type="notContainsBlanks" dxfId="8474" priority="8777">
      <formula>LEN(TRIM(AB316))&gt;0</formula>
    </cfRule>
  </conditionalFormatting>
  <conditionalFormatting sqref="AB316:AF316">
    <cfRule type="notContainsBlanks" dxfId="8473" priority="8776">
      <formula>LEN(TRIM(AB316))&gt;0</formula>
    </cfRule>
  </conditionalFormatting>
  <conditionalFormatting sqref="AB316:AF316">
    <cfRule type="notContainsBlanks" dxfId="8472" priority="8775">
      <formula>LEN(TRIM(AB316))&gt;0</formula>
    </cfRule>
  </conditionalFormatting>
  <conditionalFormatting sqref="AB316:AF316">
    <cfRule type="notContainsBlanks" dxfId="8471" priority="8774">
      <formula>LEN(TRIM(AB316))&gt;0</formula>
    </cfRule>
  </conditionalFormatting>
  <conditionalFormatting sqref="AB316:AF316">
    <cfRule type="notContainsBlanks" dxfId="8470" priority="8773">
      <formula>LEN(TRIM(AB316))&gt;0</formula>
    </cfRule>
  </conditionalFormatting>
  <conditionalFormatting sqref="AB316:AF316">
    <cfRule type="notContainsBlanks" dxfId="8469" priority="8772">
      <formula>LEN(TRIM(AB316))&gt;0</formula>
    </cfRule>
  </conditionalFormatting>
  <conditionalFormatting sqref="B314:E325 G316:K316 L314:L315 N316:R316 S314:S315 U316:Y316 Z314:Z315 AB316:AF316 AG314:AG315">
    <cfRule type="notContainsBlanks" dxfId="8468" priority="8771">
      <formula>LEN(TRIM(B314))&gt;0</formula>
    </cfRule>
  </conditionalFormatting>
  <conditionalFormatting sqref="G329">
    <cfRule type="notContainsBlanks" dxfId="8467" priority="8770">
      <formula>LEN(TRIM(G329))&gt;0</formula>
    </cfRule>
  </conditionalFormatting>
  <conditionalFormatting sqref="H329:K329">
    <cfRule type="notContainsBlanks" dxfId="8466" priority="8769">
      <formula>LEN(TRIM(H329))&gt;0</formula>
    </cfRule>
  </conditionalFormatting>
  <conditionalFormatting sqref="G329:K329">
    <cfRule type="notContainsBlanks" dxfId="8465" priority="8768">
      <formula>LEN(TRIM(G329))&gt;0</formula>
    </cfRule>
  </conditionalFormatting>
  <conditionalFormatting sqref="G329:K329">
    <cfRule type="notContainsBlanks" dxfId="8464" priority="8767">
      <formula>LEN(TRIM(G329))&gt;0</formula>
    </cfRule>
  </conditionalFormatting>
  <conditionalFormatting sqref="G329:K329">
    <cfRule type="notContainsBlanks" dxfId="8463" priority="8766">
      <formula>LEN(TRIM(G329))&gt;0</formula>
    </cfRule>
  </conditionalFormatting>
  <conditionalFormatting sqref="G329:K329">
    <cfRule type="notContainsBlanks" dxfId="8462" priority="8765">
      <formula>LEN(TRIM(G329))&gt;0</formula>
    </cfRule>
  </conditionalFormatting>
  <conditionalFormatting sqref="G329:K329">
    <cfRule type="notContainsBlanks" dxfId="8461" priority="8764">
      <formula>LEN(TRIM(G329))&gt;0</formula>
    </cfRule>
  </conditionalFormatting>
  <conditionalFormatting sqref="G329:K329">
    <cfRule type="notContainsBlanks" dxfId="8460" priority="8763">
      <formula>LEN(TRIM(G329))&gt;0</formula>
    </cfRule>
  </conditionalFormatting>
  <conditionalFormatting sqref="G329:K329">
    <cfRule type="notContainsBlanks" dxfId="8459" priority="8762">
      <formula>LEN(TRIM(G329))&gt;0</formula>
    </cfRule>
  </conditionalFormatting>
  <conditionalFormatting sqref="G329:K329">
    <cfRule type="notContainsBlanks" dxfId="8458" priority="8761">
      <formula>LEN(TRIM(G329))&gt;0</formula>
    </cfRule>
  </conditionalFormatting>
  <conditionalFormatting sqref="G329:K329">
    <cfRule type="notContainsBlanks" dxfId="8457" priority="8760">
      <formula>LEN(TRIM(G329))&gt;0</formula>
    </cfRule>
  </conditionalFormatting>
  <conditionalFormatting sqref="G329:K329">
    <cfRule type="notContainsBlanks" dxfId="8456" priority="8758">
      <formula>LEN(TRIM(G329))&gt;0</formula>
    </cfRule>
    <cfRule type="notContainsBlanks" dxfId="8455" priority="8759">
      <formula>LEN(TRIM(G329))&gt;0</formula>
    </cfRule>
  </conditionalFormatting>
  <conditionalFormatting sqref="G329:K329">
    <cfRule type="notContainsBlanks" dxfId="8454" priority="8757">
      <formula>LEN(TRIM(G329))&gt;0</formula>
    </cfRule>
  </conditionalFormatting>
  <conditionalFormatting sqref="G329:K329">
    <cfRule type="notContainsBlanks" dxfId="8453" priority="8756">
      <formula>LEN(TRIM(G329))&gt;0</formula>
    </cfRule>
  </conditionalFormatting>
  <conditionalFormatting sqref="G329:K329">
    <cfRule type="notContainsBlanks" dxfId="8452" priority="8755">
      <formula>LEN(TRIM(G329))&gt;0</formula>
    </cfRule>
  </conditionalFormatting>
  <conditionalFormatting sqref="G329:K329">
    <cfRule type="notContainsBlanks" dxfId="8451" priority="8754">
      <formula>LEN(TRIM(G329))&gt;0</formula>
    </cfRule>
  </conditionalFormatting>
  <conditionalFormatting sqref="G329:K329">
    <cfRule type="notContainsBlanks" dxfId="8450" priority="8753">
      <formula>LEN(TRIM(G329))&gt;0</formula>
    </cfRule>
  </conditionalFormatting>
  <conditionalFormatting sqref="G329:K329">
    <cfRule type="notContainsBlanks" dxfId="8449" priority="8752">
      <formula>LEN(TRIM(G329))&gt;0</formula>
    </cfRule>
  </conditionalFormatting>
  <conditionalFormatting sqref="G329:K329">
    <cfRule type="notContainsBlanks" dxfId="8448" priority="8751">
      <formula>LEN(TRIM(G329))&gt;0</formula>
    </cfRule>
  </conditionalFormatting>
  <conditionalFormatting sqref="N329:R329">
    <cfRule type="notContainsBlanks" dxfId="8447" priority="8750">
      <formula>LEN(TRIM(N329))&gt;0</formula>
    </cfRule>
  </conditionalFormatting>
  <conditionalFormatting sqref="N329:R329">
    <cfRule type="notContainsBlanks" dxfId="8446" priority="8749">
      <formula>LEN(TRIM(N329))&gt;0</formula>
    </cfRule>
  </conditionalFormatting>
  <conditionalFormatting sqref="N329:R329">
    <cfRule type="notContainsBlanks" dxfId="8445" priority="8748">
      <formula>LEN(TRIM(N329))&gt;0</formula>
    </cfRule>
  </conditionalFormatting>
  <conditionalFormatting sqref="N329:R329">
    <cfRule type="notContainsBlanks" dxfId="8444" priority="8747">
      <formula>LEN(TRIM(N329))&gt;0</formula>
    </cfRule>
  </conditionalFormatting>
  <conditionalFormatting sqref="N329:R329">
    <cfRule type="notContainsBlanks" dxfId="8443" priority="8746">
      <formula>LEN(TRIM(N329))&gt;0</formula>
    </cfRule>
  </conditionalFormatting>
  <conditionalFormatting sqref="N329:R329">
    <cfRule type="notContainsBlanks" dxfId="8442" priority="8745">
      <formula>LEN(TRIM(N329))&gt;0</formula>
    </cfRule>
  </conditionalFormatting>
  <conditionalFormatting sqref="N329:R329">
    <cfRule type="notContainsBlanks" dxfId="8441" priority="8744">
      <formula>LEN(TRIM(N329))&gt;0</formula>
    </cfRule>
  </conditionalFormatting>
  <conditionalFormatting sqref="N329:R329">
    <cfRule type="notContainsBlanks" dxfId="8440" priority="8743">
      <formula>LEN(TRIM(N329))&gt;0</formula>
    </cfRule>
  </conditionalFormatting>
  <conditionalFormatting sqref="N329:R329">
    <cfRule type="notContainsBlanks" dxfId="8439" priority="8742">
      <formula>LEN(TRIM(N329))&gt;0</formula>
    </cfRule>
  </conditionalFormatting>
  <conditionalFormatting sqref="N329:R329">
    <cfRule type="notContainsBlanks" dxfId="8438" priority="8740">
      <formula>LEN(TRIM(N329))&gt;0</formula>
    </cfRule>
    <cfRule type="notContainsBlanks" dxfId="8437" priority="8741">
      <formula>LEN(TRIM(N329))&gt;0</formula>
    </cfRule>
  </conditionalFormatting>
  <conditionalFormatting sqref="N329:R329">
    <cfRule type="notContainsBlanks" dxfId="8436" priority="8739">
      <formula>LEN(TRIM(N329))&gt;0</formula>
    </cfRule>
  </conditionalFormatting>
  <conditionalFormatting sqref="N329:R329">
    <cfRule type="notContainsBlanks" dxfId="8435" priority="8738">
      <formula>LEN(TRIM(N329))&gt;0</formula>
    </cfRule>
  </conditionalFormatting>
  <conditionalFormatting sqref="N329:R329">
    <cfRule type="notContainsBlanks" dxfId="8434" priority="8737">
      <formula>LEN(TRIM(N329))&gt;0</formula>
    </cfRule>
  </conditionalFormatting>
  <conditionalFormatting sqref="N329:R329">
    <cfRule type="notContainsBlanks" dxfId="8433" priority="8736">
      <formula>LEN(TRIM(N329))&gt;0</formula>
    </cfRule>
  </conditionalFormatting>
  <conditionalFormatting sqref="N329:R329">
    <cfRule type="notContainsBlanks" dxfId="8432" priority="8735">
      <formula>LEN(TRIM(N329))&gt;0</formula>
    </cfRule>
  </conditionalFormatting>
  <conditionalFormatting sqref="N329:R329">
    <cfRule type="notContainsBlanks" dxfId="8431" priority="8734">
      <formula>LEN(TRIM(N329))&gt;0</formula>
    </cfRule>
  </conditionalFormatting>
  <conditionalFormatting sqref="N329:R329">
    <cfRule type="notContainsBlanks" dxfId="8430" priority="8733">
      <formula>LEN(TRIM(N329))&gt;0</formula>
    </cfRule>
  </conditionalFormatting>
  <conditionalFormatting sqref="U329:Y329">
    <cfRule type="notContainsBlanks" dxfId="8429" priority="8732">
      <formula>LEN(TRIM(U329))&gt;0</formula>
    </cfRule>
  </conditionalFormatting>
  <conditionalFormatting sqref="U329:Y329">
    <cfRule type="notContainsBlanks" dxfId="8428" priority="8731">
      <formula>LEN(TRIM(U329))&gt;0</formula>
    </cfRule>
  </conditionalFormatting>
  <conditionalFormatting sqref="U329:Y329">
    <cfRule type="notContainsBlanks" dxfId="8427" priority="8730">
      <formula>LEN(TRIM(U329))&gt;0</formula>
    </cfRule>
  </conditionalFormatting>
  <conditionalFormatting sqref="U329:Y329">
    <cfRule type="notContainsBlanks" dxfId="8426" priority="8729">
      <formula>LEN(TRIM(U329))&gt;0</formula>
    </cfRule>
  </conditionalFormatting>
  <conditionalFormatting sqref="U329:Y329">
    <cfRule type="notContainsBlanks" dxfId="8425" priority="8728">
      <formula>LEN(TRIM(U329))&gt;0</formula>
    </cfRule>
  </conditionalFormatting>
  <conditionalFormatting sqref="U329:Y329">
    <cfRule type="notContainsBlanks" dxfId="8424" priority="8727">
      <formula>LEN(TRIM(U329))&gt;0</formula>
    </cfRule>
  </conditionalFormatting>
  <conditionalFormatting sqref="U329:Y329">
    <cfRule type="notContainsBlanks" dxfId="8423" priority="8726">
      <formula>LEN(TRIM(U329))&gt;0</formula>
    </cfRule>
  </conditionalFormatting>
  <conditionalFormatting sqref="U329:Y329">
    <cfRule type="notContainsBlanks" dxfId="8422" priority="8725">
      <formula>LEN(TRIM(U329))&gt;0</formula>
    </cfRule>
  </conditionalFormatting>
  <conditionalFormatting sqref="U329:Y329">
    <cfRule type="notContainsBlanks" dxfId="8421" priority="8724">
      <formula>LEN(TRIM(U329))&gt;0</formula>
    </cfRule>
  </conditionalFormatting>
  <conditionalFormatting sqref="U329:Y329">
    <cfRule type="notContainsBlanks" dxfId="8420" priority="8722">
      <formula>LEN(TRIM(U329))&gt;0</formula>
    </cfRule>
    <cfRule type="notContainsBlanks" dxfId="8419" priority="8723">
      <formula>LEN(TRIM(U329))&gt;0</formula>
    </cfRule>
  </conditionalFormatting>
  <conditionalFormatting sqref="U329:Y329">
    <cfRule type="notContainsBlanks" dxfId="8418" priority="8721">
      <formula>LEN(TRIM(U329))&gt;0</formula>
    </cfRule>
  </conditionalFormatting>
  <conditionalFormatting sqref="U329:Y329">
    <cfRule type="notContainsBlanks" dxfId="8417" priority="8720">
      <formula>LEN(TRIM(U329))&gt;0</formula>
    </cfRule>
  </conditionalFormatting>
  <conditionalFormatting sqref="U329:Y329">
    <cfRule type="notContainsBlanks" dxfId="8416" priority="8719">
      <formula>LEN(TRIM(U329))&gt;0</formula>
    </cfRule>
  </conditionalFormatting>
  <conditionalFormatting sqref="U329:Y329">
    <cfRule type="notContainsBlanks" dxfId="8415" priority="8718">
      <formula>LEN(TRIM(U329))&gt;0</formula>
    </cfRule>
  </conditionalFormatting>
  <conditionalFormatting sqref="U329:Y329">
    <cfRule type="notContainsBlanks" dxfId="8414" priority="8717">
      <formula>LEN(TRIM(U329))&gt;0</formula>
    </cfRule>
  </conditionalFormatting>
  <conditionalFormatting sqref="U329:Y329">
    <cfRule type="notContainsBlanks" dxfId="8413" priority="8716">
      <formula>LEN(TRIM(U329))&gt;0</formula>
    </cfRule>
  </conditionalFormatting>
  <conditionalFormatting sqref="U329:Y329">
    <cfRule type="notContainsBlanks" dxfId="8412" priority="8715">
      <formula>LEN(TRIM(U329))&gt;0</formula>
    </cfRule>
  </conditionalFormatting>
  <conditionalFormatting sqref="AB329:AF329">
    <cfRule type="notContainsBlanks" dxfId="8411" priority="8714">
      <formula>LEN(TRIM(AB329))&gt;0</formula>
    </cfRule>
  </conditionalFormatting>
  <conditionalFormatting sqref="AB329:AF329">
    <cfRule type="notContainsBlanks" dxfId="8410" priority="8713">
      <formula>LEN(TRIM(AB329))&gt;0</formula>
    </cfRule>
  </conditionalFormatting>
  <conditionalFormatting sqref="AB329:AF329">
    <cfRule type="notContainsBlanks" dxfId="8409" priority="8712">
      <formula>LEN(TRIM(AB329))&gt;0</formula>
    </cfRule>
  </conditionalFormatting>
  <conditionalFormatting sqref="AB329:AF329">
    <cfRule type="notContainsBlanks" dxfId="8408" priority="8711">
      <formula>LEN(TRIM(AB329))&gt;0</formula>
    </cfRule>
  </conditionalFormatting>
  <conditionalFormatting sqref="AB329:AF329">
    <cfRule type="notContainsBlanks" dxfId="8407" priority="8710">
      <formula>LEN(TRIM(AB329))&gt;0</formula>
    </cfRule>
  </conditionalFormatting>
  <conditionalFormatting sqref="AB329:AF329">
    <cfRule type="notContainsBlanks" dxfId="8406" priority="8709">
      <formula>LEN(TRIM(AB329))&gt;0</formula>
    </cfRule>
  </conditionalFormatting>
  <conditionalFormatting sqref="AB329:AF329">
    <cfRule type="notContainsBlanks" dxfId="8405" priority="8708">
      <formula>LEN(TRIM(AB329))&gt;0</formula>
    </cfRule>
  </conditionalFormatting>
  <conditionalFormatting sqref="AB329:AF329">
    <cfRule type="notContainsBlanks" dxfId="8404" priority="8707">
      <formula>LEN(TRIM(AB329))&gt;0</formula>
    </cfRule>
  </conditionalFormatting>
  <conditionalFormatting sqref="AB329:AF329">
    <cfRule type="notContainsBlanks" dxfId="8403" priority="8706">
      <formula>LEN(TRIM(AB329))&gt;0</formula>
    </cfRule>
  </conditionalFormatting>
  <conditionalFormatting sqref="AB329:AF329">
    <cfRule type="notContainsBlanks" dxfId="8402" priority="8704">
      <formula>LEN(TRIM(AB329))&gt;0</formula>
    </cfRule>
    <cfRule type="notContainsBlanks" dxfId="8401" priority="8705">
      <formula>LEN(TRIM(AB329))&gt;0</formula>
    </cfRule>
  </conditionalFormatting>
  <conditionalFormatting sqref="AB329:AF329">
    <cfRule type="notContainsBlanks" dxfId="8400" priority="8703">
      <formula>LEN(TRIM(AB329))&gt;0</formula>
    </cfRule>
  </conditionalFormatting>
  <conditionalFormatting sqref="AB329:AF329">
    <cfRule type="notContainsBlanks" dxfId="8399" priority="8702">
      <formula>LEN(TRIM(AB329))&gt;0</formula>
    </cfRule>
  </conditionalFormatting>
  <conditionalFormatting sqref="AB329:AF329">
    <cfRule type="notContainsBlanks" dxfId="8398" priority="8701">
      <formula>LEN(TRIM(AB329))&gt;0</formula>
    </cfRule>
  </conditionalFormatting>
  <conditionalFormatting sqref="AB329:AF329">
    <cfRule type="notContainsBlanks" dxfId="8397" priority="8700">
      <formula>LEN(TRIM(AB329))&gt;0</formula>
    </cfRule>
  </conditionalFormatting>
  <conditionalFormatting sqref="AB329:AF329">
    <cfRule type="notContainsBlanks" dxfId="8396" priority="8699">
      <formula>LEN(TRIM(AB329))&gt;0</formula>
    </cfRule>
  </conditionalFormatting>
  <conditionalFormatting sqref="AB329:AF329">
    <cfRule type="notContainsBlanks" dxfId="8395" priority="8698">
      <formula>LEN(TRIM(AB329))&gt;0</formula>
    </cfRule>
  </conditionalFormatting>
  <conditionalFormatting sqref="AB329:AF329">
    <cfRule type="notContainsBlanks" dxfId="8394" priority="8697">
      <formula>LEN(TRIM(AB329))&gt;0</formula>
    </cfRule>
  </conditionalFormatting>
  <conditionalFormatting sqref="B327:E338 G329:K329 L327:L328 N329:R329 S327:S328 U329:Y329 Z327:Z328 AB329:AF329 AG327:AG328">
    <cfRule type="notContainsBlanks" dxfId="8393" priority="8696">
      <formula>LEN(TRIM(B327))&gt;0</formula>
    </cfRule>
  </conditionalFormatting>
  <conditionalFormatting sqref="G342">
    <cfRule type="notContainsBlanks" dxfId="8392" priority="8695">
      <formula>LEN(TRIM(G342))&gt;0</formula>
    </cfRule>
  </conditionalFormatting>
  <conditionalFormatting sqref="H342:K342">
    <cfRule type="notContainsBlanks" dxfId="8391" priority="8694">
      <formula>LEN(TRIM(H342))&gt;0</formula>
    </cfRule>
  </conditionalFormatting>
  <conditionalFormatting sqref="G342:K342">
    <cfRule type="notContainsBlanks" dxfId="8390" priority="8693">
      <formula>LEN(TRIM(G342))&gt;0</formula>
    </cfRule>
  </conditionalFormatting>
  <conditionalFormatting sqref="G342:K342">
    <cfRule type="notContainsBlanks" dxfId="8389" priority="8692">
      <formula>LEN(TRIM(G342))&gt;0</formula>
    </cfRule>
  </conditionalFormatting>
  <conditionalFormatting sqref="G342:K342">
    <cfRule type="notContainsBlanks" dxfId="8388" priority="8691">
      <formula>LEN(TRIM(G342))&gt;0</formula>
    </cfRule>
  </conditionalFormatting>
  <conditionalFormatting sqref="G342:K342">
    <cfRule type="notContainsBlanks" dxfId="8387" priority="8690">
      <formula>LEN(TRIM(G342))&gt;0</formula>
    </cfRule>
  </conditionalFormatting>
  <conditionalFormatting sqref="G342:K342">
    <cfRule type="notContainsBlanks" dxfId="8386" priority="8689">
      <formula>LEN(TRIM(G342))&gt;0</formula>
    </cfRule>
  </conditionalFormatting>
  <conditionalFormatting sqref="G342:K342">
    <cfRule type="notContainsBlanks" dxfId="8385" priority="8688">
      <formula>LEN(TRIM(G342))&gt;0</formula>
    </cfRule>
  </conditionalFormatting>
  <conditionalFormatting sqref="G342:K342">
    <cfRule type="notContainsBlanks" dxfId="8384" priority="8687">
      <formula>LEN(TRIM(G342))&gt;0</formula>
    </cfRule>
  </conditionalFormatting>
  <conditionalFormatting sqref="G342:K342">
    <cfRule type="notContainsBlanks" dxfId="8383" priority="8686">
      <formula>LEN(TRIM(G342))&gt;0</formula>
    </cfRule>
  </conditionalFormatting>
  <conditionalFormatting sqref="G342:K342">
    <cfRule type="notContainsBlanks" dxfId="8382" priority="8685">
      <formula>LEN(TRIM(G342))&gt;0</formula>
    </cfRule>
  </conditionalFormatting>
  <conditionalFormatting sqref="G342:K342">
    <cfRule type="notContainsBlanks" dxfId="8381" priority="8683">
      <formula>LEN(TRIM(G342))&gt;0</formula>
    </cfRule>
    <cfRule type="notContainsBlanks" dxfId="8380" priority="8684">
      <formula>LEN(TRIM(G342))&gt;0</formula>
    </cfRule>
  </conditionalFormatting>
  <conditionalFormatting sqref="G342:K342">
    <cfRule type="notContainsBlanks" dxfId="8379" priority="8682">
      <formula>LEN(TRIM(G342))&gt;0</formula>
    </cfRule>
  </conditionalFormatting>
  <conditionalFormatting sqref="G342:K342">
    <cfRule type="notContainsBlanks" dxfId="8378" priority="8681">
      <formula>LEN(TRIM(G342))&gt;0</formula>
    </cfRule>
  </conditionalFormatting>
  <conditionalFormatting sqref="G342:K342">
    <cfRule type="notContainsBlanks" dxfId="8377" priority="8680">
      <formula>LEN(TRIM(G342))&gt;0</formula>
    </cfRule>
  </conditionalFormatting>
  <conditionalFormatting sqref="G342:K342">
    <cfRule type="notContainsBlanks" dxfId="8376" priority="8679">
      <formula>LEN(TRIM(G342))&gt;0</formula>
    </cfRule>
  </conditionalFormatting>
  <conditionalFormatting sqref="G342:K342">
    <cfRule type="notContainsBlanks" dxfId="8375" priority="8678">
      <formula>LEN(TRIM(G342))&gt;0</formula>
    </cfRule>
  </conditionalFormatting>
  <conditionalFormatting sqref="G342:K342">
    <cfRule type="notContainsBlanks" dxfId="8374" priority="8677">
      <formula>LEN(TRIM(G342))&gt;0</formula>
    </cfRule>
  </conditionalFormatting>
  <conditionalFormatting sqref="G342:K342">
    <cfRule type="notContainsBlanks" dxfId="8373" priority="8676">
      <formula>LEN(TRIM(G342))&gt;0</formula>
    </cfRule>
  </conditionalFormatting>
  <conditionalFormatting sqref="G342:K342">
    <cfRule type="notContainsBlanks" dxfId="8372" priority="8675">
      <formula>LEN(TRIM(G342))&gt;0</formula>
    </cfRule>
  </conditionalFormatting>
  <conditionalFormatting sqref="N342:R342">
    <cfRule type="notContainsBlanks" dxfId="8371" priority="8674">
      <formula>LEN(TRIM(N342))&gt;0</formula>
    </cfRule>
  </conditionalFormatting>
  <conditionalFormatting sqref="N342:R342">
    <cfRule type="notContainsBlanks" dxfId="8370" priority="8673">
      <formula>LEN(TRIM(N342))&gt;0</formula>
    </cfRule>
  </conditionalFormatting>
  <conditionalFormatting sqref="N342:R342">
    <cfRule type="notContainsBlanks" dxfId="8369" priority="8672">
      <formula>LEN(TRIM(N342))&gt;0</formula>
    </cfRule>
  </conditionalFormatting>
  <conditionalFormatting sqref="N342:R342">
    <cfRule type="notContainsBlanks" dxfId="8368" priority="8671">
      <formula>LEN(TRIM(N342))&gt;0</formula>
    </cfRule>
  </conditionalFormatting>
  <conditionalFormatting sqref="N342:R342">
    <cfRule type="notContainsBlanks" dxfId="8367" priority="8670">
      <formula>LEN(TRIM(N342))&gt;0</formula>
    </cfRule>
  </conditionalFormatting>
  <conditionalFormatting sqref="N342:R342">
    <cfRule type="notContainsBlanks" dxfId="8366" priority="8669">
      <formula>LEN(TRIM(N342))&gt;0</formula>
    </cfRule>
  </conditionalFormatting>
  <conditionalFormatting sqref="N342:R342">
    <cfRule type="notContainsBlanks" dxfId="8365" priority="8668">
      <formula>LEN(TRIM(N342))&gt;0</formula>
    </cfRule>
  </conditionalFormatting>
  <conditionalFormatting sqref="N342:R342">
    <cfRule type="notContainsBlanks" dxfId="8364" priority="8667">
      <formula>LEN(TRIM(N342))&gt;0</formula>
    </cfRule>
  </conditionalFormatting>
  <conditionalFormatting sqref="N342:R342">
    <cfRule type="notContainsBlanks" dxfId="8363" priority="8666">
      <formula>LEN(TRIM(N342))&gt;0</formula>
    </cfRule>
  </conditionalFormatting>
  <conditionalFormatting sqref="N342:R342">
    <cfRule type="notContainsBlanks" dxfId="8362" priority="8664">
      <formula>LEN(TRIM(N342))&gt;0</formula>
    </cfRule>
    <cfRule type="notContainsBlanks" dxfId="8361" priority="8665">
      <formula>LEN(TRIM(N342))&gt;0</formula>
    </cfRule>
  </conditionalFormatting>
  <conditionalFormatting sqref="N342:R342">
    <cfRule type="notContainsBlanks" dxfId="8360" priority="8663">
      <formula>LEN(TRIM(N342))&gt;0</formula>
    </cfRule>
  </conditionalFormatting>
  <conditionalFormatting sqref="N342:R342">
    <cfRule type="notContainsBlanks" dxfId="8359" priority="8662">
      <formula>LEN(TRIM(N342))&gt;0</formula>
    </cfRule>
  </conditionalFormatting>
  <conditionalFormatting sqref="N342:R342">
    <cfRule type="notContainsBlanks" dxfId="8358" priority="8661">
      <formula>LEN(TRIM(N342))&gt;0</formula>
    </cfRule>
  </conditionalFormatting>
  <conditionalFormatting sqref="N342:R342">
    <cfRule type="notContainsBlanks" dxfId="8357" priority="8660">
      <formula>LEN(TRIM(N342))&gt;0</formula>
    </cfRule>
  </conditionalFormatting>
  <conditionalFormatting sqref="N342:R342">
    <cfRule type="notContainsBlanks" dxfId="8356" priority="8659">
      <formula>LEN(TRIM(N342))&gt;0</formula>
    </cfRule>
  </conditionalFormatting>
  <conditionalFormatting sqref="N342:R342">
    <cfRule type="notContainsBlanks" dxfId="8355" priority="8658">
      <formula>LEN(TRIM(N342))&gt;0</formula>
    </cfRule>
  </conditionalFormatting>
  <conditionalFormatting sqref="N342:R342">
    <cfRule type="notContainsBlanks" dxfId="8354" priority="8657">
      <formula>LEN(TRIM(N342))&gt;0</formula>
    </cfRule>
  </conditionalFormatting>
  <conditionalFormatting sqref="N342:R342">
    <cfRule type="notContainsBlanks" dxfId="8353" priority="8656">
      <formula>LEN(TRIM(N342))&gt;0</formula>
    </cfRule>
  </conditionalFormatting>
  <conditionalFormatting sqref="U342:Y342">
    <cfRule type="notContainsBlanks" dxfId="8352" priority="8655">
      <formula>LEN(TRIM(U342))&gt;0</formula>
    </cfRule>
  </conditionalFormatting>
  <conditionalFormatting sqref="U342:Y342">
    <cfRule type="notContainsBlanks" dxfId="8351" priority="8654">
      <formula>LEN(TRIM(U342))&gt;0</formula>
    </cfRule>
  </conditionalFormatting>
  <conditionalFormatting sqref="U342:Y342">
    <cfRule type="notContainsBlanks" dxfId="8350" priority="8653">
      <formula>LEN(TRIM(U342))&gt;0</formula>
    </cfRule>
  </conditionalFormatting>
  <conditionalFormatting sqref="U342:Y342">
    <cfRule type="notContainsBlanks" dxfId="8349" priority="8652">
      <formula>LEN(TRIM(U342))&gt;0</formula>
    </cfRule>
  </conditionalFormatting>
  <conditionalFormatting sqref="U342:Y342">
    <cfRule type="notContainsBlanks" dxfId="8348" priority="8651">
      <formula>LEN(TRIM(U342))&gt;0</formula>
    </cfRule>
  </conditionalFormatting>
  <conditionalFormatting sqref="U342:Y342">
    <cfRule type="notContainsBlanks" dxfId="8347" priority="8650">
      <formula>LEN(TRIM(U342))&gt;0</formula>
    </cfRule>
  </conditionalFormatting>
  <conditionalFormatting sqref="U342:Y342">
    <cfRule type="notContainsBlanks" dxfId="8346" priority="8649">
      <formula>LEN(TRIM(U342))&gt;0</formula>
    </cfRule>
  </conditionalFormatting>
  <conditionalFormatting sqref="U342:Y342">
    <cfRule type="notContainsBlanks" dxfId="8345" priority="8648">
      <formula>LEN(TRIM(U342))&gt;0</formula>
    </cfRule>
  </conditionalFormatting>
  <conditionalFormatting sqref="U342:Y342">
    <cfRule type="notContainsBlanks" dxfId="8344" priority="8647">
      <formula>LEN(TRIM(U342))&gt;0</formula>
    </cfRule>
  </conditionalFormatting>
  <conditionalFormatting sqref="U342:Y342">
    <cfRule type="notContainsBlanks" dxfId="8343" priority="8645">
      <formula>LEN(TRIM(U342))&gt;0</formula>
    </cfRule>
    <cfRule type="notContainsBlanks" dxfId="8342" priority="8646">
      <formula>LEN(TRIM(U342))&gt;0</formula>
    </cfRule>
  </conditionalFormatting>
  <conditionalFormatting sqref="U342:Y342">
    <cfRule type="notContainsBlanks" dxfId="8341" priority="8644">
      <formula>LEN(TRIM(U342))&gt;0</formula>
    </cfRule>
  </conditionalFormatting>
  <conditionalFormatting sqref="U342:Y342">
    <cfRule type="notContainsBlanks" dxfId="8340" priority="8643">
      <formula>LEN(TRIM(U342))&gt;0</formula>
    </cfRule>
  </conditionalFormatting>
  <conditionalFormatting sqref="U342:Y342">
    <cfRule type="notContainsBlanks" dxfId="8339" priority="8642">
      <formula>LEN(TRIM(U342))&gt;0</formula>
    </cfRule>
  </conditionalFormatting>
  <conditionalFormatting sqref="U342:Y342">
    <cfRule type="notContainsBlanks" dxfId="8338" priority="8641">
      <formula>LEN(TRIM(U342))&gt;0</formula>
    </cfRule>
  </conditionalFormatting>
  <conditionalFormatting sqref="U342:Y342">
    <cfRule type="notContainsBlanks" dxfId="8337" priority="8640">
      <formula>LEN(TRIM(U342))&gt;0</formula>
    </cfRule>
  </conditionalFormatting>
  <conditionalFormatting sqref="U342:Y342">
    <cfRule type="notContainsBlanks" dxfId="8336" priority="8639">
      <formula>LEN(TRIM(U342))&gt;0</formula>
    </cfRule>
  </conditionalFormatting>
  <conditionalFormatting sqref="U342:Y342">
    <cfRule type="notContainsBlanks" dxfId="8335" priority="8638">
      <formula>LEN(TRIM(U342))&gt;0</formula>
    </cfRule>
  </conditionalFormatting>
  <conditionalFormatting sqref="U342:Y342">
    <cfRule type="notContainsBlanks" dxfId="8334" priority="8637">
      <formula>LEN(TRIM(U342))&gt;0</formula>
    </cfRule>
  </conditionalFormatting>
  <conditionalFormatting sqref="AB342:AF342">
    <cfRule type="notContainsBlanks" dxfId="8333" priority="8636">
      <formula>LEN(TRIM(AB342))&gt;0</formula>
    </cfRule>
  </conditionalFormatting>
  <conditionalFormatting sqref="AB342:AF342">
    <cfRule type="notContainsBlanks" dxfId="8332" priority="8635">
      <formula>LEN(TRIM(AB342))&gt;0</formula>
    </cfRule>
  </conditionalFormatting>
  <conditionalFormatting sqref="AB342:AF342">
    <cfRule type="notContainsBlanks" dxfId="8331" priority="8634">
      <formula>LEN(TRIM(AB342))&gt;0</formula>
    </cfRule>
  </conditionalFormatting>
  <conditionalFormatting sqref="AB342:AF342">
    <cfRule type="notContainsBlanks" dxfId="8330" priority="8633">
      <formula>LEN(TRIM(AB342))&gt;0</formula>
    </cfRule>
  </conditionalFormatting>
  <conditionalFormatting sqref="AB342:AF342">
    <cfRule type="notContainsBlanks" dxfId="8329" priority="8632">
      <formula>LEN(TRIM(AB342))&gt;0</formula>
    </cfRule>
  </conditionalFormatting>
  <conditionalFormatting sqref="AB342:AF342">
    <cfRule type="notContainsBlanks" dxfId="8328" priority="8631">
      <formula>LEN(TRIM(AB342))&gt;0</formula>
    </cfRule>
  </conditionalFormatting>
  <conditionalFormatting sqref="AB342:AF342">
    <cfRule type="notContainsBlanks" dxfId="8327" priority="8630">
      <formula>LEN(TRIM(AB342))&gt;0</formula>
    </cfRule>
  </conditionalFormatting>
  <conditionalFormatting sqref="AB342:AF342">
    <cfRule type="notContainsBlanks" dxfId="8326" priority="8629">
      <formula>LEN(TRIM(AB342))&gt;0</formula>
    </cfRule>
  </conditionalFormatting>
  <conditionalFormatting sqref="AB342:AF342">
    <cfRule type="notContainsBlanks" dxfId="8325" priority="8628">
      <formula>LEN(TRIM(AB342))&gt;0</formula>
    </cfRule>
  </conditionalFormatting>
  <conditionalFormatting sqref="AB342:AF342">
    <cfRule type="notContainsBlanks" dxfId="8324" priority="8626">
      <formula>LEN(TRIM(AB342))&gt;0</formula>
    </cfRule>
    <cfRule type="notContainsBlanks" dxfId="8323" priority="8627">
      <formula>LEN(TRIM(AB342))&gt;0</formula>
    </cfRule>
  </conditionalFormatting>
  <conditionalFormatting sqref="AB342:AF342">
    <cfRule type="notContainsBlanks" dxfId="8322" priority="8625">
      <formula>LEN(TRIM(AB342))&gt;0</formula>
    </cfRule>
  </conditionalFormatting>
  <conditionalFormatting sqref="AB342:AF342">
    <cfRule type="notContainsBlanks" dxfId="8321" priority="8624">
      <formula>LEN(TRIM(AB342))&gt;0</formula>
    </cfRule>
  </conditionalFormatting>
  <conditionalFormatting sqref="AB342:AF342">
    <cfRule type="notContainsBlanks" dxfId="8320" priority="8623">
      <formula>LEN(TRIM(AB342))&gt;0</formula>
    </cfRule>
  </conditionalFormatting>
  <conditionalFormatting sqref="AB342:AF342">
    <cfRule type="notContainsBlanks" dxfId="8319" priority="8622">
      <formula>LEN(TRIM(AB342))&gt;0</formula>
    </cfRule>
  </conditionalFormatting>
  <conditionalFormatting sqref="AB342:AF342">
    <cfRule type="notContainsBlanks" dxfId="8318" priority="8621">
      <formula>LEN(TRIM(AB342))&gt;0</formula>
    </cfRule>
  </conditionalFormatting>
  <conditionalFormatting sqref="AB342:AF342">
    <cfRule type="notContainsBlanks" dxfId="8317" priority="8620">
      <formula>LEN(TRIM(AB342))&gt;0</formula>
    </cfRule>
  </conditionalFormatting>
  <conditionalFormatting sqref="AB342:AF342">
    <cfRule type="notContainsBlanks" dxfId="8316" priority="8619">
      <formula>LEN(TRIM(AB342))&gt;0</formula>
    </cfRule>
  </conditionalFormatting>
  <conditionalFormatting sqref="AB342:AF342">
    <cfRule type="notContainsBlanks" dxfId="8315" priority="8618">
      <formula>LEN(TRIM(AB342))&gt;0</formula>
    </cfRule>
  </conditionalFormatting>
  <conditionalFormatting sqref="B340:E351 G342:K342 L340:L341 N342:R342 S340:S341 U342:Y342 Z340:Z341 AB342:AF342 AG340:AG341">
    <cfRule type="notContainsBlanks" dxfId="8314" priority="8617">
      <formula>LEN(TRIM(B340))&gt;0</formula>
    </cfRule>
  </conditionalFormatting>
  <conditionalFormatting sqref="G355">
    <cfRule type="notContainsBlanks" dxfId="8313" priority="8616">
      <formula>LEN(TRIM(G355))&gt;0</formula>
    </cfRule>
  </conditionalFormatting>
  <conditionalFormatting sqref="H355:K355">
    <cfRule type="notContainsBlanks" dxfId="8312" priority="8615">
      <formula>LEN(TRIM(H355))&gt;0</formula>
    </cfRule>
  </conditionalFormatting>
  <conditionalFormatting sqref="G355:K355">
    <cfRule type="notContainsBlanks" dxfId="8311" priority="8614">
      <formula>LEN(TRIM(G355))&gt;0</formula>
    </cfRule>
  </conditionalFormatting>
  <conditionalFormatting sqref="G355:K355">
    <cfRule type="notContainsBlanks" dxfId="8310" priority="8613">
      <formula>LEN(TRIM(G355))&gt;0</formula>
    </cfRule>
  </conditionalFormatting>
  <conditionalFormatting sqref="G355:K355">
    <cfRule type="notContainsBlanks" dxfId="8309" priority="8612">
      <formula>LEN(TRIM(G355))&gt;0</formula>
    </cfRule>
  </conditionalFormatting>
  <conditionalFormatting sqref="G355:K355">
    <cfRule type="notContainsBlanks" dxfId="8308" priority="8611">
      <formula>LEN(TRIM(G355))&gt;0</formula>
    </cfRule>
  </conditionalFormatting>
  <conditionalFormatting sqref="G355:K355">
    <cfRule type="notContainsBlanks" dxfId="8307" priority="8610">
      <formula>LEN(TRIM(G355))&gt;0</formula>
    </cfRule>
  </conditionalFormatting>
  <conditionalFormatting sqref="G355:K355">
    <cfRule type="notContainsBlanks" dxfId="8306" priority="8609">
      <formula>LEN(TRIM(G355))&gt;0</formula>
    </cfRule>
  </conditionalFormatting>
  <conditionalFormatting sqref="G355:K355">
    <cfRule type="notContainsBlanks" dxfId="8305" priority="8608">
      <formula>LEN(TRIM(G355))&gt;0</formula>
    </cfRule>
  </conditionalFormatting>
  <conditionalFormatting sqref="G355:K355">
    <cfRule type="notContainsBlanks" dxfId="8304" priority="8607">
      <formula>LEN(TRIM(G355))&gt;0</formula>
    </cfRule>
  </conditionalFormatting>
  <conditionalFormatting sqref="G355:K355">
    <cfRule type="notContainsBlanks" dxfId="8303" priority="8606">
      <formula>LEN(TRIM(G355))&gt;0</formula>
    </cfRule>
  </conditionalFormatting>
  <conditionalFormatting sqref="G355:K355">
    <cfRule type="notContainsBlanks" dxfId="8302" priority="8604">
      <formula>LEN(TRIM(G355))&gt;0</formula>
    </cfRule>
    <cfRule type="notContainsBlanks" dxfId="8301" priority="8605">
      <formula>LEN(TRIM(G355))&gt;0</formula>
    </cfRule>
  </conditionalFormatting>
  <conditionalFormatting sqref="G355:K355">
    <cfRule type="notContainsBlanks" dxfId="8300" priority="8603">
      <formula>LEN(TRIM(G355))&gt;0</formula>
    </cfRule>
  </conditionalFormatting>
  <conditionalFormatting sqref="G355:K355">
    <cfRule type="notContainsBlanks" dxfId="8299" priority="8602">
      <formula>LEN(TRIM(G355))&gt;0</formula>
    </cfRule>
  </conditionalFormatting>
  <conditionalFormatting sqref="G355:K355">
    <cfRule type="notContainsBlanks" dxfId="8298" priority="8601">
      <formula>LEN(TRIM(G355))&gt;0</formula>
    </cfRule>
  </conditionalFormatting>
  <conditionalFormatting sqref="G355:K355">
    <cfRule type="notContainsBlanks" dxfId="8297" priority="8600">
      <formula>LEN(TRIM(G355))&gt;0</formula>
    </cfRule>
  </conditionalFormatting>
  <conditionalFormatting sqref="G355:K355">
    <cfRule type="notContainsBlanks" dxfId="8296" priority="8599">
      <formula>LEN(TRIM(G355))&gt;0</formula>
    </cfRule>
  </conditionalFormatting>
  <conditionalFormatting sqref="G355:K355">
    <cfRule type="notContainsBlanks" dxfId="8295" priority="8598">
      <formula>LEN(TRIM(G355))&gt;0</formula>
    </cfRule>
  </conditionalFormatting>
  <conditionalFormatting sqref="G355:K355">
    <cfRule type="notContainsBlanks" dxfId="8294" priority="8597">
      <formula>LEN(TRIM(G355))&gt;0</formula>
    </cfRule>
  </conditionalFormatting>
  <conditionalFormatting sqref="G355:K355">
    <cfRule type="notContainsBlanks" dxfId="8293" priority="8596">
      <formula>LEN(TRIM(G355))&gt;0</formula>
    </cfRule>
  </conditionalFormatting>
  <conditionalFormatting sqref="G355:K355">
    <cfRule type="notContainsBlanks" dxfId="8292" priority="8595">
      <formula>LEN(TRIM(G355))&gt;0</formula>
    </cfRule>
  </conditionalFormatting>
  <conditionalFormatting sqref="N355:R355">
    <cfRule type="notContainsBlanks" dxfId="8291" priority="8594">
      <formula>LEN(TRIM(N355))&gt;0</formula>
    </cfRule>
  </conditionalFormatting>
  <conditionalFormatting sqref="N355:R355">
    <cfRule type="notContainsBlanks" dxfId="8290" priority="8593">
      <formula>LEN(TRIM(N355))&gt;0</formula>
    </cfRule>
  </conditionalFormatting>
  <conditionalFormatting sqref="N355:R355">
    <cfRule type="notContainsBlanks" dxfId="8289" priority="8592">
      <formula>LEN(TRIM(N355))&gt;0</formula>
    </cfRule>
  </conditionalFormatting>
  <conditionalFormatting sqref="N355:R355">
    <cfRule type="notContainsBlanks" dxfId="8288" priority="8591">
      <formula>LEN(TRIM(N355))&gt;0</formula>
    </cfRule>
  </conditionalFormatting>
  <conditionalFormatting sqref="N355:R355">
    <cfRule type="notContainsBlanks" dxfId="8287" priority="8590">
      <formula>LEN(TRIM(N355))&gt;0</formula>
    </cfRule>
  </conditionalFormatting>
  <conditionalFormatting sqref="N355:R355">
    <cfRule type="notContainsBlanks" dxfId="8286" priority="8589">
      <formula>LEN(TRIM(N355))&gt;0</formula>
    </cfRule>
  </conditionalFormatting>
  <conditionalFormatting sqref="N355:R355">
    <cfRule type="notContainsBlanks" dxfId="8285" priority="8588">
      <formula>LEN(TRIM(N355))&gt;0</formula>
    </cfRule>
  </conditionalFormatting>
  <conditionalFormatting sqref="N355:R355">
    <cfRule type="notContainsBlanks" dxfId="8284" priority="8587">
      <formula>LEN(TRIM(N355))&gt;0</formula>
    </cfRule>
  </conditionalFormatting>
  <conditionalFormatting sqref="N355:R355">
    <cfRule type="notContainsBlanks" dxfId="8283" priority="8586">
      <formula>LEN(TRIM(N355))&gt;0</formula>
    </cfRule>
  </conditionalFormatting>
  <conditionalFormatting sqref="N355:R355">
    <cfRule type="notContainsBlanks" dxfId="8282" priority="8584">
      <formula>LEN(TRIM(N355))&gt;0</formula>
    </cfRule>
    <cfRule type="notContainsBlanks" dxfId="8281" priority="8585">
      <formula>LEN(TRIM(N355))&gt;0</formula>
    </cfRule>
  </conditionalFormatting>
  <conditionalFormatting sqref="N355:R355">
    <cfRule type="notContainsBlanks" dxfId="8280" priority="8583">
      <formula>LEN(TRIM(N355))&gt;0</formula>
    </cfRule>
  </conditionalFormatting>
  <conditionalFormatting sqref="N355:R355">
    <cfRule type="notContainsBlanks" dxfId="8279" priority="8582">
      <formula>LEN(TRIM(N355))&gt;0</formula>
    </cfRule>
  </conditionalFormatting>
  <conditionalFormatting sqref="N355:R355">
    <cfRule type="notContainsBlanks" dxfId="8278" priority="8581">
      <formula>LEN(TRIM(N355))&gt;0</formula>
    </cfRule>
  </conditionalFormatting>
  <conditionalFormatting sqref="N355:R355">
    <cfRule type="notContainsBlanks" dxfId="8277" priority="8580">
      <formula>LEN(TRIM(N355))&gt;0</formula>
    </cfRule>
  </conditionalFormatting>
  <conditionalFormatting sqref="N355:R355">
    <cfRule type="notContainsBlanks" dxfId="8276" priority="8579">
      <formula>LEN(TRIM(N355))&gt;0</formula>
    </cfRule>
  </conditionalFormatting>
  <conditionalFormatting sqref="N355:R355">
    <cfRule type="notContainsBlanks" dxfId="8275" priority="8578">
      <formula>LEN(TRIM(N355))&gt;0</formula>
    </cfRule>
  </conditionalFormatting>
  <conditionalFormatting sqref="N355:R355">
    <cfRule type="notContainsBlanks" dxfId="8274" priority="8577">
      <formula>LEN(TRIM(N355))&gt;0</formula>
    </cfRule>
  </conditionalFormatting>
  <conditionalFormatting sqref="N355:R355">
    <cfRule type="notContainsBlanks" dxfId="8273" priority="8576">
      <formula>LEN(TRIM(N355))&gt;0</formula>
    </cfRule>
  </conditionalFormatting>
  <conditionalFormatting sqref="N355:R355">
    <cfRule type="notContainsBlanks" dxfId="8272" priority="8575">
      <formula>LEN(TRIM(N355))&gt;0</formula>
    </cfRule>
  </conditionalFormatting>
  <conditionalFormatting sqref="U355:Y355">
    <cfRule type="notContainsBlanks" dxfId="8271" priority="8574">
      <formula>LEN(TRIM(U355))&gt;0</formula>
    </cfRule>
  </conditionalFormatting>
  <conditionalFormatting sqref="U355:Y355">
    <cfRule type="notContainsBlanks" dxfId="8270" priority="8573">
      <formula>LEN(TRIM(U355))&gt;0</formula>
    </cfRule>
  </conditionalFormatting>
  <conditionalFormatting sqref="U355:Y355">
    <cfRule type="notContainsBlanks" dxfId="8269" priority="8572">
      <formula>LEN(TRIM(U355))&gt;0</formula>
    </cfRule>
  </conditionalFormatting>
  <conditionalFormatting sqref="U355:Y355">
    <cfRule type="notContainsBlanks" dxfId="8268" priority="8571">
      <formula>LEN(TRIM(U355))&gt;0</formula>
    </cfRule>
  </conditionalFormatting>
  <conditionalFormatting sqref="U355:Y355">
    <cfRule type="notContainsBlanks" dxfId="8267" priority="8570">
      <formula>LEN(TRIM(U355))&gt;0</formula>
    </cfRule>
  </conditionalFormatting>
  <conditionalFormatting sqref="U355:Y355">
    <cfRule type="notContainsBlanks" dxfId="8266" priority="8569">
      <formula>LEN(TRIM(U355))&gt;0</formula>
    </cfRule>
  </conditionalFormatting>
  <conditionalFormatting sqref="U355:Y355">
    <cfRule type="notContainsBlanks" dxfId="8265" priority="8568">
      <formula>LEN(TRIM(U355))&gt;0</formula>
    </cfRule>
  </conditionalFormatting>
  <conditionalFormatting sqref="U355:Y355">
    <cfRule type="notContainsBlanks" dxfId="8264" priority="8567">
      <formula>LEN(TRIM(U355))&gt;0</formula>
    </cfRule>
  </conditionalFormatting>
  <conditionalFormatting sqref="U355:Y355">
    <cfRule type="notContainsBlanks" dxfId="8263" priority="8566">
      <formula>LEN(TRIM(U355))&gt;0</formula>
    </cfRule>
  </conditionalFormatting>
  <conditionalFormatting sqref="U355:Y355">
    <cfRule type="notContainsBlanks" dxfId="8262" priority="8564">
      <formula>LEN(TRIM(U355))&gt;0</formula>
    </cfRule>
    <cfRule type="notContainsBlanks" dxfId="8261" priority="8565">
      <formula>LEN(TRIM(U355))&gt;0</formula>
    </cfRule>
  </conditionalFormatting>
  <conditionalFormatting sqref="U355:Y355">
    <cfRule type="notContainsBlanks" dxfId="8260" priority="8563">
      <formula>LEN(TRIM(U355))&gt;0</formula>
    </cfRule>
  </conditionalFormatting>
  <conditionalFormatting sqref="U355:Y355">
    <cfRule type="notContainsBlanks" dxfId="8259" priority="8562">
      <formula>LEN(TRIM(U355))&gt;0</formula>
    </cfRule>
  </conditionalFormatting>
  <conditionalFormatting sqref="U355:Y355">
    <cfRule type="notContainsBlanks" dxfId="8258" priority="8561">
      <formula>LEN(TRIM(U355))&gt;0</formula>
    </cfRule>
  </conditionalFormatting>
  <conditionalFormatting sqref="U355:Y355">
    <cfRule type="notContainsBlanks" dxfId="8257" priority="8560">
      <formula>LEN(TRIM(U355))&gt;0</formula>
    </cfRule>
  </conditionalFormatting>
  <conditionalFormatting sqref="U355:Y355">
    <cfRule type="notContainsBlanks" dxfId="8256" priority="8559">
      <formula>LEN(TRIM(U355))&gt;0</formula>
    </cfRule>
  </conditionalFormatting>
  <conditionalFormatting sqref="U355:Y355">
    <cfRule type="notContainsBlanks" dxfId="8255" priority="8558">
      <formula>LEN(TRIM(U355))&gt;0</formula>
    </cfRule>
  </conditionalFormatting>
  <conditionalFormatting sqref="U355:Y355">
    <cfRule type="notContainsBlanks" dxfId="8254" priority="8557">
      <formula>LEN(TRIM(U355))&gt;0</formula>
    </cfRule>
  </conditionalFormatting>
  <conditionalFormatting sqref="U355:Y355">
    <cfRule type="notContainsBlanks" dxfId="8253" priority="8556">
      <formula>LEN(TRIM(U355))&gt;0</formula>
    </cfRule>
  </conditionalFormatting>
  <conditionalFormatting sqref="U355:Y355">
    <cfRule type="notContainsBlanks" dxfId="8252" priority="8555">
      <formula>LEN(TRIM(U355))&gt;0</formula>
    </cfRule>
  </conditionalFormatting>
  <conditionalFormatting sqref="AB355:AF355">
    <cfRule type="notContainsBlanks" dxfId="8251" priority="8554">
      <formula>LEN(TRIM(AB355))&gt;0</formula>
    </cfRule>
  </conditionalFormatting>
  <conditionalFormatting sqref="AB355:AF355">
    <cfRule type="notContainsBlanks" dxfId="8250" priority="8553">
      <formula>LEN(TRIM(AB355))&gt;0</formula>
    </cfRule>
  </conditionalFormatting>
  <conditionalFormatting sqref="AB355:AF355">
    <cfRule type="notContainsBlanks" dxfId="8249" priority="8552">
      <formula>LEN(TRIM(AB355))&gt;0</formula>
    </cfRule>
  </conditionalFormatting>
  <conditionalFormatting sqref="AB355:AF355">
    <cfRule type="notContainsBlanks" dxfId="8248" priority="8551">
      <formula>LEN(TRIM(AB355))&gt;0</formula>
    </cfRule>
  </conditionalFormatting>
  <conditionalFormatting sqref="AB355:AF355">
    <cfRule type="notContainsBlanks" dxfId="8247" priority="8550">
      <formula>LEN(TRIM(AB355))&gt;0</formula>
    </cfRule>
  </conditionalFormatting>
  <conditionalFormatting sqref="AB355:AF355">
    <cfRule type="notContainsBlanks" dxfId="8246" priority="8549">
      <formula>LEN(TRIM(AB355))&gt;0</formula>
    </cfRule>
  </conditionalFormatting>
  <conditionalFormatting sqref="AB355:AF355">
    <cfRule type="notContainsBlanks" dxfId="8245" priority="8548">
      <formula>LEN(TRIM(AB355))&gt;0</formula>
    </cfRule>
  </conditionalFormatting>
  <conditionalFormatting sqref="AB355:AF355">
    <cfRule type="notContainsBlanks" dxfId="8244" priority="8547">
      <formula>LEN(TRIM(AB355))&gt;0</formula>
    </cfRule>
  </conditionalFormatting>
  <conditionalFormatting sqref="AB355:AF355">
    <cfRule type="notContainsBlanks" dxfId="8243" priority="8546">
      <formula>LEN(TRIM(AB355))&gt;0</formula>
    </cfRule>
  </conditionalFormatting>
  <conditionalFormatting sqref="AB355:AF355">
    <cfRule type="notContainsBlanks" dxfId="8242" priority="8544">
      <formula>LEN(TRIM(AB355))&gt;0</formula>
    </cfRule>
    <cfRule type="notContainsBlanks" dxfId="8241" priority="8545">
      <formula>LEN(TRIM(AB355))&gt;0</formula>
    </cfRule>
  </conditionalFormatting>
  <conditionalFormatting sqref="AB355:AF355">
    <cfRule type="notContainsBlanks" dxfId="8240" priority="8543">
      <formula>LEN(TRIM(AB355))&gt;0</formula>
    </cfRule>
  </conditionalFormatting>
  <conditionalFormatting sqref="AB355:AF355">
    <cfRule type="notContainsBlanks" dxfId="8239" priority="8542">
      <formula>LEN(TRIM(AB355))&gt;0</formula>
    </cfRule>
  </conditionalFormatting>
  <conditionalFormatting sqref="AB355:AF355">
    <cfRule type="notContainsBlanks" dxfId="8238" priority="8541">
      <formula>LEN(TRIM(AB355))&gt;0</formula>
    </cfRule>
  </conditionalFormatting>
  <conditionalFormatting sqref="AB355:AF355">
    <cfRule type="notContainsBlanks" dxfId="8237" priority="8540">
      <formula>LEN(TRIM(AB355))&gt;0</formula>
    </cfRule>
  </conditionalFormatting>
  <conditionalFormatting sqref="AB355:AF355">
    <cfRule type="notContainsBlanks" dxfId="8236" priority="8539">
      <formula>LEN(TRIM(AB355))&gt;0</formula>
    </cfRule>
  </conditionalFormatting>
  <conditionalFormatting sqref="AB355:AF355">
    <cfRule type="notContainsBlanks" dxfId="8235" priority="8538">
      <formula>LEN(TRIM(AB355))&gt;0</formula>
    </cfRule>
  </conditionalFormatting>
  <conditionalFormatting sqref="AB355:AF355">
    <cfRule type="notContainsBlanks" dxfId="8234" priority="8537">
      <formula>LEN(TRIM(AB355))&gt;0</formula>
    </cfRule>
  </conditionalFormatting>
  <conditionalFormatting sqref="AB355:AF355">
    <cfRule type="notContainsBlanks" dxfId="8233" priority="8536">
      <formula>LEN(TRIM(AB355))&gt;0</formula>
    </cfRule>
  </conditionalFormatting>
  <conditionalFormatting sqref="AB355:AF355">
    <cfRule type="notContainsBlanks" dxfId="8232" priority="8535">
      <formula>LEN(TRIM(AB355))&gt;0</formula>
    </cfRule>
  </conditionalFormatting>
  <conditionalFormatting sqref="B353:E364 G355:K355 L353:L354 N355:R355 S353:S354 U355:Y355 Z353:Z354 AB355:AF355 AG353:AG354">
    <cfRule type="notContainsBlanks" priority="8534">
      <formula>LEN(TRIM(B353))&gt;0</formula>
    </cfRule>
  </conditionalFormatting>
  <conditionalFormatting sqref="G368">
    <cfRule type="notContainsBlanks" dxfId="8231" priority="8533">
      <formula>LEN(TRIM(G368))&gt;0</formula>
    </cfRule>
  </conditionalFormatting>
  <conditionalFormatting sqref="H368:K368">
    <cfRule type="notContainsBlanks" dxfId="8230" priority="8532">
      <formula>LEN(TRIM(H368))&gt;0</formula>
    </cfRule>
  </conditionalFormatting>
  <conditionalFormatting sqref="G368:K368">
    <cfRule type="notContainsBlanks" dxfId="8229" priority="8531">
      <formula>LEN(TRIM(G368))&gt;0</formula>
    </cfRule>
  </conditionalFormatting>
  <conditionalFormatting sqref="G368:K368">
    <cfRule type="notContainsBlanks" dxfId="8228" priority="8530">
      <formula>LEN(TRIM(G368))&gt;0</formula>
    </cfRule>
  </conditionalFormatting>
  <conditionalFormatting sqref="G368:K368">
    <cfRule type="notContainsBlanks" dxfId="8227" priority="8529">
      <formula>LEN(TRIM(G368))&gt;0</formula>
    </cfRule>
  </conditionalFormatting>
  <conditionalFormatting sqref="G368:K368">
    <cfRule type="notContainsBlanks" dxfId="8226" priority="8528">
      <formula>LEN(TRIM(G368))&gt;0</formula>
    </cfRule>
  </conditionalFormatting>
  <conditionalFormatting sqref="G368:K368">
    <cfRule type="notContainsBlanks" dxfId="8225" priority="8527">
      <formula>LEN(TRIM(G368))&gt;0</formula>
    </cfRule>
  </conditionalFormatting>
  <conditionalFormatting sqref="G368:K368">
    <cfRule type="notContainsBlanks" dxfId="8224" priority="8526">
      <formula>LEN(TRIM(G368))&gt;0</formula>
    </cfRule>
  </conditionalFormatting>
  <conditionalFormatting sqref="G368:K368">
    <cfRule type="notContainsBlanks" dxfId="8223" priority="8525">
      <formula>LEN(TRIM(G368))&gt;0</formula>
    </cfRule>
  </conditionalFormatting>
  <conditionalFormatting sqref="G368:K368">
    <cfRule type="notContainsBlanks" dxfId="8222" priority="8524">
      <formula>LEN(TRIM(G368))&gt;0</formula>
    </cfRule>
  </conditionalFormatting>
  <conditionalFormatting sqref="G368:K368">
    <cfRule type="notContainsBlanks" dxfId="8221" priority="8523">
      <formula>LEN(TRIM(G368))&gt;0</formula>
    </cfRule>
  </conditionalFormatting>
  <conditionalFormatting sqref="G368:K368">
    <cfRule type="notContainsBlanks" dxfId="8220" priority="8521">
      <formula>LEN(TRIM(G368))&gt;0</formula>
    </cfRule>
    <cfRule type="notContainsBlanks" dxfId="8219" priority="8522">
      <formula>LEN(TRIM(G368))&gt;0</formula>
    </cfRule>
  </conditionalFormatting>
  <conditionalFormatting sqref="G368:K368">
    <cfRule type="notContainsBlanks" dxfId="8218" priority="8520">
      <formula>LEN(TRIM(G368))&gt;0</formula>
    </cfRule>
  </conditionalFormatting>
  <conditionalFormatting sqref="G368:K368">
    <cfRule type="notContainsBlanks" dxfId="8217" priority="8519">
      <formula>LEN(TRIM(G368))&gt;0</formula>
    </cfRule>
  </conditionalFormatting>
  <conditionalFormatting sqref="G368:K368">
    <cfRule type="notContainsBlanks" dxfId="8216" priority="8518">
      <formula>LEN(TRIM(G368))&gt;0</formula>
    </cfRule>
  </conditionalFormatting>
  <conditionalFormatting sqref="G368:K368">
    <cfRule type="notContainsBlanks" dxfId="8215" priority="8517">
      <formula>LEN(TRIM(G368))&gt;0</formula>
    </cfRule>
  </conditionalFormatting>
  <conditionalFormatting sqref="G368:K368">
    <cfRule type="notContainsBlanks" dxfId="8214" priority="8516">
      <formula>LEN(TRIM(G368))&gt;0</formula>
    </cfRule>
  </conditionalFormatting>
  <conditionalFormatting sqref="G368:K368">
    <cfRule type="notContainsBlanks" dxfId="8213" priority="8515">
      <formula>LEN(TRIM(G368))&gt;0</formula>
    </cfRule>
  </conditionalFormatting>
  <conditionalFormatting sqref="G368:K368">
    <cfRule type="notContainsBlanks" dxfId="8212" priority="8514">
      <formula>LEN(TRIM(G368))&gt;0</formula>
    </cfRule>
  </conditionalFormatting>
  <conditionalFormatting sqref="G368:K368">
    <cfRule type="notContainsBlanks" dxfId="8211" priority="8513">
      <formula>LEN(TRIM(G368))&gt;0</formula>
    </cfRule>
  </conditionalFormatting>
  <conditionalFormatting sqref="G368:K368">
    <cfRule type="notContainsBlanks" dxfId="8210" priority="8512">
      <formula>LEN(TRIM(G368))&gt;0</formula>
    </cfRule>
  </conditionalFormatting>
  <conditionalFormatting sqref="G368:K368">
    <cfRule type="notContainsBlanks" priority="8511">
      <formula>LEN(TRIM(G368))&gt;0</formula>
    </cfRule>
  </conditionalFormatting>
  <conditionalFormatting sqref="N368:R368">
    <cfRule type="notContainsBlanks" dxfId="8209" priority="8510">
      <formula>LEN(TRIM(N368))&gt;0</formula>
    </cfRule>
  </conditionalFormatting>
  <conditionalFormatting sqref="N368:R368">
    <cfRule type="notContainsBlanks" dxfId="8208" priority="8509">
      <formula>LEN(TRIM(N368))&gt;0</formula>
    </cfRule>
  </conditionalFormatting>
  <conditionalFormatting sqref="N368:R368">
    <cfRule type="notContainsBlanks" dxfId="8207" priority="8508">
      <formula>LEN(TRIM(N368))&gt;0</formula>
    </cfRule>
  </conditionalFormatting>
  <conditionalFormatting sqref="N368:R368">
    <cfRule type="notContainsBlanks" dxfId="8206" priority="8507">
      <formula>LEN(TRIM(N368))&gt;0</formula>
    </cfRule>
  </conditionalFormatting>
  <conditionalFormatting sqref="N368:R368">
    <cfRule type="notContainsBlanks" dxfId="8205" priority="8506">
      <formula>LEN(TRIM(N368))&gt;0</formula>
    </cfRule>
  </conditionalFormatting>
  <conditionalFormatting sqref="N368:R368">
    <cfRule type="notContainsBlanks" dxfId="8204" priority="8505">
      <formula>LEN(TRIM(N368))&gt;0</formula>
    </cfRule>
  </conditionalFormatting>
  <conditionalFormatting sqref="N368:R368">
    <cfRule type="notContainsBlanks" dxfId="8203" priority="8504">
      <formula>LEN(TRIM(N368))&gt;0</formula>
    </cfRule>
  </conditionalFormatting>
  <conditionalFormatting sqref="N368:R368">
    <cfRule type="notContainsBlanks" dxfId="8202" priority="8503">
      <formula>LEN(TRIM(N368))&gt;0</formula>
    </cfRule>
  </conditionalFormatting>
  <conditionalFormatting sqref="N368:R368">
    <cfRule type="notContainsBlanks" dxfId="8201" priority="8502">
      <formula>LEN(TRIM(N368))&gt;0</formula>
    </cfRule>
  </conditionalFormatting>
  <conditionalFormatting sqref="N368:R368">
    <cfRule type="notContainsBlanks" dxfId="8200" priority="8500">
      <formula>LEN(TRIM(N368))&gt;0</formula>
    </cfRule>
    <cfRule type="notContainsBlanks" dxfId="8199" priority="8501">
      <formula>LEN(TRIM(N368))&gt;0</formula>
    </cfRule>
  </conditionalFormatting>
  <conditionalFormatting sqref="N368:R368">
    <cfRule type="notContainsBlanks" dxfId="8198" priority="8499">
      <formula>LEN(TRIM(N368))&gt;0</formula>
    </cfRule>
  </conditionalFormatting>
  <conditionalFormatting sqref="N368:R368">
    <cfRule type="notContainsBlanks" dxfId="8197" priority="8498">
      <formula>LEN(TRIM(N368))&gt;0</formula>
    </cfRule>
  </conditionalFormatting>
  <conditionalFormatting sqref="N368:R368">
    <cfRule type="notContainsBlanks" dxfId="8196" priority="8497">
      <formula>LEN(TRIM(N368))&gt;0</formula>
    </cfRule>
  </conditionalFormatting>
  <conditionalFormatting sqref="N368:R368">
    <cfRule type="notContainsBlanks" dxfId="8195" priority="8496">
      <formula>LEN(TRIM(N368))&gt;0</formula>
    </cfRule>
  </conditionalFormatting>
  <conditionalFormatting sqref="N368:R368">
    <cfRule type="notContainsBlanks" dxfId="8194" priority="8495">
      <formula>LEN(TRIM(N368))&gt;0</formula>
    </cfRule>
  </conditionalFormatting>
  <conditionalFormatting sqref="N368:R368">
    <cfRule type="notContainsBlanks" dxfId="8193" priority="8494">
      <formula>LEN(TRIM(N368))&gt;0</formula>
    </cfRule>
  </conditionalFormatting>
  <conditionalFormatting sqref="N368:R368">
    <cfRule type="notContainsBlanks" dxfId="8192" priority="8493">
      <formula>LEN(TRIM(N368))&gt;0</formula>
    </cfRule>
  </conditionalFormatting>
  <conditionalFormatting sqref="N368:R368">
    <cfRule type="notContainsBlanks" dxfId="8191" priority="8492">
      <formula>LEN(TRIM(N368))&gt;0</formula>
    </cfRule>
  </conditionalFormatting>
  <conditionalFormatting sqref="N368:R368">
    <cfRule type="notContainsBlanks" dxfId="8190" priority="8491">
      <formula>LEN(TRIM(N368))&gt;0</formula>
    </cfRule>
  </conditionalFormatting>
  <conditionalFormatting sqref="N368:R368">
    <cfRule type="notContainsBlanks" priority="8490">
      <formula>LEN(TRIM(N368))&gt;0</formula>
    </cfRule>
  </conditionalFormatting>
  <conditionalFormatting sqref="U368:Y368">
    <cfRule type="notContainsBlanks" dxfId="8189" priority="8489">
      <formula>LEN(TRIM(U368))&gt;0</formula>
    </cfRule>
  </conditionalFormatting>
  <conditionalFormatting sqref="U368:Y368">
    <cfRule type="notContainsBlanks" dxfId="8188" priority="8488">
      <formula>LEN(TRIM(U368))&gt;0</formula>
    </cfRule>
  </conditionalFormatting>
  <conditionalFormatting sqref="U368:Y368">
    <cfRule type="notContainsBlanks" dxfId="8187" priority="8487">
      <formula>LEN(TRIM(U368))&gt;0</formula>
    </cfRule>
  </conditionalFormatting>
  <conditionalFormatting sqref="U368:Y368">
    <cfRule type="notContainsBlanks" dxfId="8186" priority="8486">
      <formula>LEN(TRIM(U368))&gt;0</formula>
    </cfRule>
  </conditionalFormatting>
  <conditionalFormatting sqref="U368:Y368">
    <cfRule type="notContainsBlanks" dxfId="8185" priority="8485">
      <formula>LEN(TRIM(U368))&gt;0</formula>
    </cfRule>
  </conditionalFormatting>
  <conditionalFormatting sqref="U368:Y368">
    <cfRule type="notContainsBlanks" dxfId="8184" priority="8484">
      <formula>LEN(TRIM(U368))&gt;0</formula>
    </cfRule>
  </conditionalFormatting>
  <conditionalFormatting sqref="U368:Y368">
    <cfRule type="notContainsBlanks" dxfId="8183" priority="8483">
      <formula>LEN(TRIM(U368))&gt;0</formula>
    </cfRule>
  </conditionalFormatting>
  <conditionalFormatting sqref="U368:Y368">
    <cfRule type="notContainsBlanks" dxfId="8182" priority="8482">
      <formula>LEN(TRIM(U368))&gt;0</formula>
    </cfRule>
  </conditionalFormatting>
  <conditionalFormatting sqref="U368:Y368">
    <cfRule type="notContainsBlanks" dxfId="8181" priority="8481">
      <formula>LEN(TRIM(U368))&gt;0</formula>
    </cfRule>
  </conditionalFormatting>
  <conditionalFormatting sqref="U368:Y368">
    <cfRule type="notContainsBlanks" dxfId="8180" priority="8479">
      <formula>LEN(TRIM(U368))&gt;0</formula>
    </cfRule>
    <cfRule type="notContainsBlanks" dxfId="8179" priority="8480">
      <formula>LEN(TRIM(U368))&gt;0</formula>
    </cfRule>
  </conditionalFormatting>
  <conditionalFormatting sqref="U368:Y368">
    <cfRule type="notContainsBlanks" dxfId="8178" priority="8478">
      <formula>LEN(TRIM(U368))&gt;0</formula>
    </cfRule>
  </conditionalFormatting>
  <conditionalFormatting sqref="U368:Y368">
    <cfRule type="notContainsBlanks" dxfId="8177" priority="8477">
      <formula>LEN(TRIM(U368))&gt;0</formula>
    </cfRule>
  </conditionalFormatting>
  <conditionalFormatting sqref="U368:Y368">
    <cfRule type="notContainsBlanks" dxfId="8176" priority="8476">
      <formula>LEN(TRIM(U368))&gt;0</formula>
    </cfRule>
  </conditionalFormatting>
  <conditionalFormatting sqref="U368:Y368">
    <cfRule type="notContainsBlanks" dxfId="8175" priority="8475">
      <formula>LEN(TRIM(U368))&gt;0</formula>
    </cfRule>
  </conditionalFormatting>
  <conditionalFormatting sqref="U368:Y368">
    <cfRule type="notContainsBlanks" dxfId="8174" priority="8474">
      <formula>LEN(TRIM(U368))&gt;0</formula>
    </cfRule>
  </conditionalFormatting>
  <conditionalFormatting sqref="U368:Y368">
    <cfRule type="notContainsBlanks" dxfId="8173" priority="8473">
      <formula>LEN(TRIM(U368))&gt;0</formula>
    </cfRule>
  </conditionalFormatting>
  <conditionalFormatting sqref="U368:Y368">
    <cfRule type="notContainsBlanks" dxfId="8172" priority="8472">
      <formula>LEN(TRIM(U368))&gt;0</formula>
    </cfRule>
  </conditionalFormatting>
  <conditionalFormatting sqref="U368:Y368">
    <cfRule type="notContainsBlanks" dxfId="8171" priority="8471">
      <formula>LEN(TRIM(U368))&gt;0</formula>
    </cfRule>
  </conditionalFormatting>
  <conditionalFormatting sqref="U368:Y368">
    <cfRule type="notContainsBlanks" dxfId="8170" priority="8470">
      <formula>LEN(TRIM(U368))&gt;0</formula>
    </cfRule>
  </conditionalFormatting>
  <conditionalFormatting sqref="U368:Y368">
    <cfRule type="notContainsBlanks" priority="8469">
      <formula>LEN(TRIM(U368))&gt;0</formula>
    </cfRule>
  </conditionalFormatting>
  <conditionalFormatting sqref="AB368:AF368">
    <cfRule type="notContainsBlanks" dxfId="8169" priority="8468">
      <formula>LEN(TRIM(AB368))&gt;0</formula>
    </cfRule>
  </conditionalFormatting>
  <conditionalFormatting sqref="AB368:AF368">
    <cfRule type="notContainsBlanks" dxfId="8168" priority="8467">
      <formula>LEN(TRIM(AB368))&gt;0</formula>
    </cfRule>
  </conditionalFormatting>
  <conditionalFormatting sqref="AB368:AF368">
    <cfRule type="notContainsBlanks" dxfId="8167" priority="8466">
      <formula>LEN(TRIM(AB368))&gt;0</formula>
    </cfRule>
  </conditionalFormatting>
  <conditionalFormatting sqref="AB368:AF368">
    <cfRule type="notContainsBlanks" dxfId="8166" priority="8465">
      <formula>LEN(TRIM(AB368))&gt;0</formula>
    </cfRule>
  </conditionalFormatting>
  <conditionalFormatting sqref="AB368:AF368">
    <cfRule type="notContainsBlanks" dxfId="8165" priority="8464">
      <formula>LEN(TRIM(AB368))&gt;0</formula>
    </cfRule>
  </conditionalFormatting>
  <conditionalFormatting sqref="AB368:AF368">
    <cfRule type="notContainsBlanks" dxfId="8164" priority="8463">
      <formula>LEN(TRIM(AB368))&gt;0</formula>
    </cfRule>
  </conditionalFormatting>
  <conditionalFormatting sqref="AB368:AF368">
    <cfRule type="notContainsBlanks" dxfId="8163" priority="8462">
      <formula>LEN(TRIM(AB368))&gt;0</formula>
    </cfRule>
  </conditionalFormatting>
  <conditionalFormatting sqref="AB368:AF368">
    <cfRule type="notContainsBlanks" dxfId="8162" priority="8461">
      <formula>LEN(TRIM(AB368))&gt;0</formula>
    </cfRule>
  </conditionalFormatting>
  <conditionalFormatting sqref="AB368:AF368">
    <cfRule type="notContainsBlanks" dxfId="8161" priority="8460">
      <formula>LEN(TRIM(AB368))&gt;0</formula>
    </cfRule>
  </conditionalFormatting>
  <conditionalFormatting sqref="AB368:AF368">
    <cfRule type="notContainsBlanks" dxfId="8160" priority="8458">
      <formula>LEN(TRIM(AB368))&gt;0</formula>
    </cfRule>
    <cfRule type="notContainsBlanks" dxfId="8159" priority="8459">
      <formula>LEN(TRIM(AB368))&gt;0</formula>
    </cfRule>
  </conditionalFormatting>
  <conditionalFormatting sqref="AB368:AF368">
    <cfRule type="notContainsBlanks" dxfId="8158" priority="8457">
      <formula>LEN(TRIM(AB368))&gt;0</formula>
    </cfRule>
  </conditionalFormatting>
  <conditionalFormatting sqref="AB368:AF368">
    <cfRule type="notContainsBlanks" dxfId="8157" priority="8456">
      <formula>LEN(TRIM(AB368))&gt;0</formula>
    </cfRule>
  </conditionalFormatting>
  <conditionalFormatting sqref="AB368:AF368">
    <cfRule type="notContainsBlanks" dxfId="8156" priority="8455">
      <formula>LEN(TRIM(AB368))&gt;0</formula>
    </cfRule>
  </conditionalFormatting>
  <conditionalFormatting sqref="AB368:AF368">
    <cfRule type="notContainsBlanks" dxfId="8155" priority="8454">
      <formula>LEN(TRIM(AB368))&gt;0</formula>
    </cfRule>
  </conditionalFormatting>
  <conditionalFormatting sqref="AB368:AF368">
    <cfRule type="notContainsBlanks" dxfId="8154" priority="8453">
      <formula>LEN(TRIM(AB368))&gt;0</formula>
    </cfRule>
  </conditionalFormatting>
  <conditionalFormatting sqref="AB368:AF368">
    <cfRule type="notContainsBlanks" dxfId="8153" priority="8452">
      <formula>LEN(TRIM(AB368))&gt;0</formula>
    </cfRule>
  </conditionalFormatting>
  <conditionalFormatting sqref="AB368:AF368">
    <cfRule type="notContainsBlanks" dxfId="8152" priority="8451">
      <formula>LEN(TRIM(AB368))&gt;0</formula>
    </cfRule>
  </conditionalFormatting>
  <conditionalFormatting sqref="AB368:AF368">
    <cfRule type="notContainsBlanks" dxfId="8151" priority="8450">
      <formula>LEN(TRIM(AB368))&gt;0</formula>
    </cfRule>
  </conditionalFormatting>
  <conditionalFormatting sqref="AB368:AF368">
    <cfRule type="notContainsBlanks" dxfId="8150" priority="8449">
      <formula>LEN(TRIM(AB368))&gt;0</formula>
    </cfRule>
  </conditionalFormatting>
  <conditionalFormatting sqref="AB368:AF368">
    <cfRule type="notContainsBlanks" priority="8448">
      <formula>LEN(TRIM(AB368))&gt;0</formula>
    </cfRule>
  </conditionalFormatting>
  <conditionalFormatting sqref="B366:E377 G368:K368 L366:L367 N368:R368 S366:S367 U368:Y368 Z366:Z367 AB368:AF368 AG366:AG367">
    <cfRule type="notContainsBlanks" dxfId="8149" priority="8447">
      <formula>LEN(TRIM(B366))&gt;0</formula>
    </cfRule>
  </conditionalFormatting>
  <conditionalFormatting sqref="G381">
    <cfRule type="notContainsBlanks" dxfId="8148" priority="8446">
      <formula>LEN(TRIM(G381))&gt;0</formula>
    </cfRule>
  </conditionalFormatting>
  <conditionalFormatting sqref="H381:K381">
    <cfRule type="notContainsBlanks" dxfId="8147" priority="8445">
      <formula>LEN(TRIM(H381))&gt;0</formula>
    </cfRule>
  </conditionalFormatting>
  <conditionalFormatting sqref="G381:K381">
    <cfRule type="notContainsBlanks" dxfId="8146" priority="8444">
      <formula>LEN(TRIM(G381))&gt;0</formula>
    </cfRule>
  </conditionalFormatting>
  <conditionalFormatting sqref="G381:K381">
    <cfRule type="notContainsBlanks" dxfId="8145" priority="8443">
      <formula>LEN(TRIM(G381))&gt;0</formula>
    </cfRule>
  </conditionalFormatting>
  <conditionalFormatting sqref="G381:K381">
    <cfRule type="notContainsBlanks" dxfId="8144" priority="8442">
      <formula>LEN(TRIM(G381))&gt;0</formula>
    </cfRule>
  </conditionalFormatting>
  <conditionalFormatting sqref="G381:K381">
    <cfRule type="notContainsBlanks" dxfId="8143" priority="8441">
      <formula>LEN(TRIM(G381))&gt;0</formula>
    </cfRule>
  </conditionalFormatting>
  <conditionalFormatting sqref="G381:K381">
    <cfRule type="notContainsBlanks" dxfId="8142" priority="8440">
      <formula>LEN(TRIM(G381))&gt;0</formula>
    </cfRule>
  </conditionalFormatting>
  <conditionalFormatting sqref="G381:K381">
    <cfRule type="notContainsBlanks" dxfId="8141" priority="8439">
      <formula>LEN(TRIM(G381))&gt;0</formula>
    </cfRule>
  </conditionalFormatting>
  <conditionalFormatting sqref="G381:K381">
    <cfRule type="notContainsBlanks" dxfId="8140" priority="8438">
      <formula>LEN(TRIM(G381))&gt;0</formula>
    </cfRule>
  </conditionalFormatting>
  <conditionalFormatting sqref="G381:K381">
    <cfRule type="notContainsBlanks" dxfId="8139" priority="8437">
      <formula>LEN(TRIM(G381))&gt;0</formula>
    </cfRule>
  </conditionalFormatting>
  <conditionalFormatting sqref="G381:K381">
    <cfRule type="notContainsBlanks" dxfId="8138" priority="8436">
      <formula>LEN(TRIM(G381))&gt;0</formula>
    </cfRule>
  </conditionalFormatting>
  <conditionalFormatting sqref="G381:K381">
    <cfRule type="notContainsBlanks" dxfId="8137" priority="8434">
      <formula>LEN(TRIM(G381))&gt;0</formula>
    </cfRule>
    <cfRule type="notContainsBlanks" dxfId="8136" priority="8435">
      <formula>LEN(TRIM(G381))&gt;0</formula>
    </cfRule>
  </conditionalFormatting>
  <conditionalFormatting sqref="G381:K381">
    <cfRule type="notContainsBlanks" dxfId="8135" priority="8433">
      <formula>LEN(TRIM(G381))&gt;0</formula>
    </cfRule>
  </conditionalFormatting>
  <conditionalFormatting sqref="G381:K381">
    <cfRule type="notContainsBlanks" dxfId="8134" priority="8432">
      <formula>LEN(TRIM(G381))&gt;0</formula>
    </cfRule>
  </conditionalFormatting>
  <conditionalFormatting sqref="G381:K381">
    <cfRule type="notContainsBlanks" dxfId="8133" priority="8431">
      <formula>LEN(TRIM(G381))&gt;0</formula>
    </cfRule>
  </conditionalFormatting>
  <conditionalFormatting sqref="G381:K381">
    <cfRule type="notContainsBlanks" dxfId="8132" priority="8430">
      <formula>LEN(TRIM(G381))&gt;0</formula>
    </cfRule>
  </conditionalFormatting>
  <conditionalFormatting sqref="G381:K381">
    <cfRule type="notContainsBlanks" dxfId="8131" priority="8429">
      <formula>LEN(TRIM(G381))&gt;0</formula>
    </cfRule>
  </conditionalFormatting>
  <conditionalFormatting sqref="G381:K381">
    <cfRule type="notContainsBlanks" dxfId="8130" priority="8428">
      <formula>LEN(TRIM(G381))&gt;0</formula>
    </cfRule>
  </conditionalFormatting>
  <conditionalFormatting sqref="G381:K381">
    <cfRule type="notContainsBlanks" dxfId="8129" priority="8427">
      <formula>LEN(TRIM(G381))&gt;0</formula>
    </cfRule>
  </conditionalFormatting>
  <conditionalFormatting sqref="G381:K381">
    <cfRule type="notContainsBlanks" dxfId="8128" priority="8426">
      <formula>LEN(TRIM(G381))&gt;0</formula>
    </cfRule>
  </conditionalFormatting>
  <conditionalFormatting sqref="G381:K381">
    <cfRule type="notContainsBlanks" dxfId="8127" priority="8425">
      <formula>LEN(TRIM(G381))&gt;0</formula>
    </cfRule>
  </conditionalFormatting>
  <conditionalFormatting sqref="G381:K381">
    <cfRule type="notContainsBlanks" priority="8424">
      <formula>LEN(TRIM(G381))&gt;0</formula>
    </cfRule>
  </conditionalFormatting>
  <conditionalFormatting sqref="G381:K381">
    <cfRule type="notContainsBlanks" dxfId="8126" priority="8423">
      <formula>LEN(TRIM(G381))&gt;0</formula>
    </cfRule>
  </conditionalFormatting>
  <conditionalFormatting sqref="N381:R381">
    <cfRule type="notContainsBlanks" dxfId="8125" priority="8422">
      <formula>LEN(TRIM(N381))&gt;0</formula>
    </cfRule>
  </conditionalFormatting>
  <conditionalFormatting sqref="N381:R381">
    <cfRule type="notContainsBlanks" dxfId="8124" priority="8421">
      <formula>LEN(TRIM(N381))&gt;0</formula>
    </cfRule>
  </conditionalFormatting>
  <conditionalFormatting sqref="N381:R381">
    <cfRule type="notContainsBlanks" dxfId="8123" priority="8420">
      <formula>LEN(TRIM(N381))&gt;0</formula>
    </cfRule>
  </conditionalFormatting>
  <conditionalFormatting sqref="N381:R381">
    <cfRule type="notContainsBlanks" dxfId="8122" priority="8419">
      <formula>LEN(TRIM(N381))&gt;0</formula>
    </cfRule>
  </conditionalFormatting>
  <conditionalFormatting sqref="N381:R381">
    <cfRule type="notContainsBlanks" dxfId="8121" priority="8418">
      <formula>LEN(TRIM(N381))&gt;0</formula>
    </cfRule>
  </conditionalFormatting>
  <conditionalFormatting sqref="N381:R381">
    <cfRule type="notContainsBlanks" dxfId="8120" priority="8417">
      <formula>LEN(TRIM(N381))&gt;0</formula>
    </cfRule>
  </conditionalFormatting>
  <conditionalFormatting sqref="N381:R381">
    <cfRule type="notContainsBlanks" dxfId="8119" priority="8416">
      <formula>LEN(TRIM(N381))&gt;0</formula>
    </cfRule>
  </conditionalFormatting>
  <conditionalFormatting sqref="N381:R381">
    <cfRule type="notContainsBlanks" dxfId="8118" priority="8415">
      <formula>LEN(TRIM(N381))&gt;0</formula>
    </cfRule>
  </conditionalFormatting>
  <conditionalFormatting sqref="N381:R381">
    <cfRule type="notContainsBlanks" dxfId="8117" priority="8414">
      <formula>LEN(TRIM(N381))&gt;0</formula>
    </cfRule>
  </conditionalFormatting>
  <conditionalFormatting sqref="N381:R381">
    <cfRule type="notContainsBlanks" dxfId="8116" priority="8412">
      <formula>LEN(TRIM(N381))&gt;0</formula>
    </cfRule>
    <cfRule type="notContainsBlanks" dxfId="8115" priority="8413">
      <formula>LEN(TRIM(N381))&gt;0</formula>
    </cfRule>
  </conditionalFormatting>
  <conditionalFormatting sqref="N381:R381">
    <cfRule type="notContainsBlanks" dxfId="8114" priority="8411">
      <formula>LEN(TRIM(N381))&gt;0</formula>
    </cfRule>
  </conditionalFormatting>
  <conditionalFormatting sqref="N381:R381">
    <cfRule type="notContainsBlanks" dxfId="8113" priority="8410">
      <formula>LEN(TRIM(N381))&gt;0</formula>
    </cfRule>
  </conditionalFormatting>
  <conditionalFormatting sqref="N381:R381">
    <cfRule type="notContainsBlanks" dxfId="8112" priority="8409">
      <formula>LEN(TRIM(N381))&gt;0</formula>
    </cfRule>
  </conditionalFormatting>
  <conditionalFormatting sqref="N381:R381">
    <cfRule type="notContainsBlanks" dxfId="8111" priority="8408">
      <formula>LEN(TRIM(N381))&gt;0</formula>
    </cfRule>
  </conditionalFormatting>
  <conditionalFormatting sqref="N381:R381">
    <cfRule type="notContainsBlanks" dxfId="8110" priority="8407">
      <formula>LEN(TRIM(N381))&gt;0</formula>
    </cfRule>
  </conditionalFormatting>
  <conditionalFormatting sqref="N381:R381">
    <cfRule type="notContainsBlanks" dxfId="8109" priority="8406">
      <formula>LEN(TRIM(N381))&gt;0</formula>
    </cfRule>
  </conditionalFormatting>
  <conditionalFormatting sqref="N381:R381">
    <cfRule type="notContainsBlanks" dxfId="8108" priority="8405">
      <formula>LEN(TRIM(N381))&gt;0</formula>
    </cfRule>
  </conditionalFormatting>
  <conditionalFormatting sqref="N381:R381">
    <cfRule type="notContainsBlanks" dxfId="8107" priority="8404">
      <formula>LEN(TRIM(N381))&gt;0</formula>
    </cfRule>
  </conditionalFormatting>
  <conditionalFormatting sqref="N381:R381">
    <cfRule type="notContainsBlanks" dxfId="8106" priority="8403">
      <formula>LEN(TRIM(N381))&gt;0</formula>
    </cfRule>
  </conditionalFormatting>
  <conditionalFormatting sqref="N381:R381">
    <cfRule type="notContainsBlanks" priority="8402">
      <formula>LEN(TRIM(N381))&gt;0</formula>
    </cfRule>
  </conditionalFormatting>
  <conditionalFormatting sqref="N381:R381">
    <cfRule type="notContainsBlanks" dxfId="8105" priority="8401">
      <formula>LEN(TRIM(N381))&gt;0</formula>
    </cfRule>
  </conditionalFormatting>
  <conditionalFormatting sqref="U381:Y381">
    <cfRule type="notContainsBlanks" dxfId="8104" priority="8400">
      <formula>LEN(TRIM(U381))&gt;0</formula>
    </cfRule>
  </conditionalFormatting>
  <conditionalFormatting sqref="U381:Y381">
    <cfRule type="notContainsBlanks" dxfId="8103" priority="8399">
      <formula>LEN(TRIM(U381))&gt;0</formula>
    </cfRule>
  </conditionalFormatting>
  <conditionalFormatting sqref="U381:Y381">
    <cfRule type="notContainsBlanks" dxfId="8102" priority="8398">
      <formula>LEN(TRIM(U381))&gt;0</formula>
    </cfRule>
  </conditionalFormatting>
  <conditionalFormatting sqref="U381:Y381">
    <cfRule type="notContainsBlanks" dxfId="8101" priority="8397">
      <formula>LEN(TRIM(U381))&gt;0</formula>
    </cfRule>
  </conditionalFormatting>
  <conditionalFormatting sqref="U381:Y381">
    <cfRule type="notContainsBlanks" dxfId="8100" priority="8396">
      <formula>LEN(TRIM(U381))&gt;0</formula>
    </cfRule>
  </conditionalFormatting>
  <conditionalFormatting sqref="U381:Y381">
    <cfRule type="notContainsBlanks" dxfId="8099" priority="8395">
      <formula>LEN(TRIM(U381))&gt;0</formula>
    </cfRule>
  </conditionalFormatting>
  <conditionalFormatting sqref="U381:Y381">
    <cfRule type="notContainsBlanks" dxfId="8098" priority="8394">
      <formula>LEN(TRIM(U381))&gt;0</formula>
    </cfRule>
  </conditionalFormatting>
  <conditionalFormatting sqref="U381:Y381">
    <cfRule type="notContainsBlanks" dxfId="8097" priority="8393">
      <formula>LEN(TRIM(U381))&gt;0</formula>
    </cfRule>
  </conditionalFormatting>
  <conditionalFormatting sqref="U381:Y381">
    <cfRule type="notContainsBlanks" dxfId="8096" priority="8392">
      <formula>LEN(TRIM(U381))&gt;0</formula>
    </cfRule>
  </conditionalFormatting>
  <conditionalFormatting sqref="U381:Y381">
    <cfRule type="notContainsBlanks" dxfId="8095" priority="8390">
      <formula>LEN(TRIM(U381))&gt;0</formula>
    </cfRule>
    <cfRule type="notContainsBlanks" dxfId="8094" priority="8391">
      <formula>LEN(TRIM(U381))&gt;0</formula>
    </cfRule>
  </conditionalFormatting>
  <conditionalFormatting sqref="U381:Y381">
    <cfRule type="notContainsBlanks" dxfId="8093" priority="8389">
      <formula>LEN(TRIM(U381))&gt;0</formula>
    </cfRule>
  </conditionalFormatting>
  <conditionalFormatting sqref="U381:Y381">
    <cfRule type="notContainsBlanks" dxfId="8092" priority="8388">
      <formula>LEN(TRIM(U381))&gt;0</formula>
    </cfRule>
  </conditionalFormatting>
  <conditionalFormatting sqref="U381:Y381">
    <cfRule type="notContainsBlanks" dxfId="8091" priority="8387">
      <formula>LEN(TRIM(U381))&gt;0</formula>
    </cfRule>
  </conditionalFormatting>
  <conditionalFormatting sqref="U381:Y381">
    <cfRule type="notContainsBlanks" dxfId="8090" priority="8386">
      <formula>LEN(TRIM(U381))&gt;0</formula>
    </cfRule>
  </conditionalFormatting>
  <conditionalFormatting sqref="U381:Y381">
    <cfRule type="notContainsBlanks" dxfId="8089" priority="8385">
      <formula>LEN(TRIM(U381))&gt;0</formula>
    </cfRule>
  </conditionalFormatting>
  <conditionalFormatting sqref="U381:Y381">
    <cfRule type="notContainsBlanks" dxfId="8088" priority="8384">
      <formula>LEN(TRIM(U381))&gt;0</formula>
    </cfRule>
  </conditionalFormatting>
  <conditionalFormatting sqref="U381:Y381">
    <cfRule type="notContainsBlanks" dxfId="8087" priority="8383">
      <formula>LEN(TRIM(U381))&gt;0</formula>
    </cfRule>
  </conditionalFormatting>
  <conditionalFormatting sqref="U381:Y381">
    <cfRule type="notContainsBlanks" dxfId="8086" priority="8382">
      <formula>LEN(TRIM(U381))&gt;0</formula>
    </cfRule>
  </conditionalFormatting>
  <conditionalFormatting sqref="U381:Y381">
    <cfRule type="notContainsBlanks" dxfId="8085" priority="8381">
      <formula>LEN(TRIM(U381))&gt;0</formula>
    </cfRule>
  </conditionalFormatting>
  <conditionalFormatting sqref="U381:Y381">
    <cfRule type="notContainsBlanks" priority="8380">
      <formula>LEN(TRIM(U381))&gt;0</formula>
    </cfRule>
  </conditionalFormatting>
  <conditionalFormatting sqref="U381:Y381">
    <cfRule type="notContainsBlanks" dxfId="8084" priority="8379">
      <formula>LEN(TRIM(U381))&gt;0</formula>
    </cfRule>
  </conditionalFormatting>
  <conditionalFormatting sqref="AB381:AF381">
    <cfRule type="notContainsBlanks" dxfId="8083" priority="8378">
      <formula>LEN(TRIM(AB381))&gt;0</formula>
    </cfRule>
  </conditionalFormatting>
  <conditionalFormatting sqref="AB381:AF381">
    <cfRule type="notContainsBlanks" dxfId="8082" priority="8377">
      <formula>LEN(TRIM(AB381))&gt;0</formula>
    </cfRule>
  </conditionalFormatting>
  <conditionalFormatting sqref="AB381:AF381">
    <cfRule type="notContainsBlanks" dxfId="8081" priority="8376">
      <formula>LEN(TRIM(AB381))&gt;0</formula>
    </cfRule>
  </conditionalFormatting>
  <conditionalFormatting sqref="AB381:AF381">
    <cfRule type="notContainsBlanks" dxfId="8080" priority="8375">
      <formula>LEN(TRIM(AB381))&gt;0</formula>
    </cfRule>
  </conditionalFormatting>
  <conditionalFormatting sqref="AB381:AF381">
    <cfRule type="notContainsBlanks" dxfId="8079" priority="8374">
      <formula>LEN(TRIM(AB381))&gt;0</formula>
    </cfRule>
  </conditionalFormatting>
  <conditionalFormatting sqref="AB381:AF381">
    <cfRule type="notContainsBlanks" dxfId="8078" priority="8373">
      <formula>LEN(TRIM(AB381))&gt;0</formula>
    </cfRule>
  </conditionalFormatting>
  <conditionalFormatting sqref="AB381:AF381">
    <cfRule type="notContainsBlanks" dxfId="8077" priority="8372">
      <formula>LEN(TRIM(AB381))&gt;0</formula>
    </cfRule>
  </conditionalFormatting>
  <conditionalFormatting sqref="AB381:AF381">
    <cfRule type="notContainsBlanks" dxfId="8076" priority="8371">
      <formula>LEN(TRIM(AB381))&gt;0</formula>
    </cfRule>
  </conditionalFormatting>
  <conditionalFormatting sqref="AB381:AF381">
    <cfRule type="notContainsBlanks" dxfId="8075" priority="8370">
      <formula>LEN(TRIM(AB381))&gt;0</formula>
    </cfRule>
  </conditionalFormatting>
  <conditionalFormatting sqref="AB381:AF381">
    <cfRule type="notContainsBlanks" dxfId="8074" priority="8368">
      <formula>LEN(TRIM(AB381))&gt;0</formula>
    </cfRule>
    <cfRule type="notContainsBlanks" dxfId="8073" priority="8369">
      <formula>LEN(TRIM(AB381))&gt;0</formula>
    </cfRule>
  </conditionalFormatting>
  <conditionalFormatting sqref="AB381:AF381">
    <cfRule type="notContainsBlanks" dxfId="8072" priority="8367">
      <formula>LEN(TRIM(AB381))&gt;0</formula>
    </cfRule>
  </conditionalFormatting>
  <conditionalFormatting sqref="AB381:AF381">
    <cfRule type="notContainsBlanks" dxfId="8071" priority="8366">
      <formula>LEN(TRIM(AB381))&gt;0</formula>
    </cfRule>
  </conditionalFormatting>
  <conditionalFormatting sqref="AB381:AF381">
    <cfRule type="notContainsBlanks" dxfId="8070" priority="8365">
      <formula>LEN(TRIM(AB381))&gt;0</formula>
    </cfRule>
  </conditionalFormatting>
  <conditionalFormatting sqref="AB381:AF381">
    <cfRule type="notContainsBlanks" dxfId="8069" priority="8364">
      <formula>LEN(TRIM(AB381))&gt;0</formula>
    </cfRule>
  </conditionalFormatting>
  <conditionalFormatting sqref="AB381:AF381">
    <cfRule type="notContainsBlanks" dxfId="8068" priority="8363">
      <formula>LEN(TRIM(AB381))&gt;0</formula>
    </cfRule>
  </conditionalFormatting>
  <conditionalFormatting sqref="AB381:AF381">
    <cfRule type="notContainsBlanks" dxfId="8067" priority="8362">
      <formula>LEN(TRIM(AB381))&gt;0</formula>
    </cfRule>
  </conditionalFormatting>
  <conditionalFormatting sqref="AB381:AF381">
    <cfRule type="notContainsBlanks" dxfId="8066" priority="8361">
      <formula>LEN(TRIM(AB381))&gt;0</formula>
    </cfRule>
  </conditionalFormatting>
  <conditionalFormatting sqref="AB381:AF381">
    <cfRule type="notContainsBlanks" dxfId="8065" priority="8360">
      <formula>LEN(TRIM(AB381))&gt;0</formula>
    </cfRule>
  </conditionalFormatting>
  <conditionalFormatting sqref="AB381:AF381">
    <cfRule type="notContainsBlanks" dxfId="8064" priority="8359">
      <formula>LEN(TRIM(AB381))&gt;0</formula>
    </cfRule>
  </conditionalFormatting>
  <conditionalFormatting sqref="AB381:AF381">
    <cfRule type="notContainsBlanks" priority="8358">
      <formula>LEN(TRIM(AB381))&gt;0</formula>
    </cfRule>
  </conditionalFormatting>
  <conditionalFormatting sqref="AB381:AF381">
    <cfRule type="notContainsBlanks" dxfId="8063" priority="8357">
      <formula>LEN(TRIM(AB381))&gt;0</formula>
    </cfRule>
  </conditionalFormatting>
  <conditionalFormatting sqref="B379:E390 G381:K381 L379:L380 N381:R381 S379:S381 U381:Y381 Z379:Z380 AB381:AF381 AG379:AG380">
    <cfRule type="notContainsBlanks" dxfId="8062" priority="8356">
      <formula>LEN(TRIM(B379))&gt;0</formula>
    </cfRule>
  </conditionalFormatting>
  <conditionalFormatting sqref="G394">
    <cfRule type="notContainsBlanks" dxfId="8061" priority="8355">
      <formula>LEN(TRIM(G394))&gt;0</formula>
    </cfRule>
  </conditionalFormatting>
  <conditionalFormatting sqref="H394:K394">
    <cfRule type="notContainsBlanks" dxfId="8060" priority="8354">
      <formula>LEN(TRIM(H394))&gt;0</formula>
    </cfRule>
  </conditionalFormatting>
  <conditionalFormatting sqref="G394:K394">
    <cfRule type="notContainsBlanks" dxfId="8059" priority="8353">
      <formula>LEN(TRIM(G394))&gt;0</formula>
    </cfRule>
  </conditionalFormatting>
  <conditionalFormatting sqref="G394:K394">
    <cfRule type="notContainsBlanks" dxfId="8058" priority="8352">
      <formula>LEN(TRIM(G394))&gt;0</formula>
    </cfRule>
  </conditionalFormatting>
  <conditionalFormatting sqref="G394:K394">
    <cfRule type="notContainsBlanks" dxfId="8057" priority="8351">
      <formula>LEN(TRIM(G394))&gt;0</formula>
    </cfRule>
  </conditionalFormatting>
  <conditionalFormatting sqref="G394:K394">
    <cfRule type="notContainsBlanks" dxfId="8056" priority="8350">
      <formula>LEN(TRIM(G394))&gt;0</formula>
    </cfRule>
  </conditionalFormatting>
  <conditionalFormatting sqref="G394:K394">
    <cfRule type="notContainsBlanks" dxfId="8055" priority="8349">
      <formula>LEN(TRIM(G394))&gt;0</formula>
    </cfRule>
  </conditionalFormatting>
  <conditionalFormatting sqref="G394:K394">
    <cfRule type="notContainsBlanks" dxfId="8054" priority="8348">
      <formula>LEN(TRIM(G394))&gt;0</formula>
    </cfRule>
  </conditionalFormatting>
  <conditionalFormatting sqref="G394:K394">
    <cfRule type="notContainsBlanks" dxfId="8053" priority="8347">
      <formula>LEN(TRIM(G394))&gt;0</formula>
    </cfRule>
  </conditionalFormatting>
  <conditionalFormatting sqref="G394:K394">
    <cfRule type="notContainsBlanks" dxfId="8052" priority="8346">
      <formula>LEN(TRIM(G394))&gt;0</formula>
    </cfRule>
  </conditionalFormatting>
  <conditionalFormatting sqref="G394:K394">
    <cfRule type="notContainsBlanks" dxfId="8051" priority="8345">
      <formula>LEN(TRIM(G394))&gt;0</formula>
    </cfRule>
  </conditionalFormatting>
  <conditionalFormatting sqref="G394:K394">
    <cfRule type="notContainsBlanks" dxfId="8050" priority="8343">
      <formula>LEN(TRIM(G394))&gt;0</formula>
    </cfRule>
    <cfRule type="notContainsBlanks" dxfId="8049" priority="8344">
      <formula>LEN(TRIM(G394))&gt;0</formula>
    </cfRule>
  </conditionalFormatting>
  <conditionalFormatting sqref="G394:K394">
    <cfRule type="notContainsBlanks" dxfId="8048" priority="8342">
      <formula>LEN(TRIM(G394))&gt;0</formula>
    </cfRule>
  </conditionalFormatting>
  <conditionalFormatting sqref="G394:K394">
    <cfRule type="notContainsBlanks" dxfId="8047" priority="8341">
      <formula>LEN(TRIM(G394))&gt;0</formula>
    </cfRule>
  </conditionalFormatting>
  <conditionalFormatting sqref="G394:K394">
    <cfRule type="notContainsBlanks" dxfId="8046" priority="8340">
      <formula>LEN(TRIM(G394))&gt;0</formula>
    </cfRule>
  </conditionalFormatting>
  <conditionalFormatting sqref="G394:K394">
    <cfRule type="notContainsBlanks" dxfId="8045" priority="8339">
      <formula>LEN(TRIM(G394))&gt;0</formula>
    </cfRule>
  </conditionalFormatting>
  <conditionalFormatting sqref="G394:K394">
    <cfRule type="notContainsBlanks" dxfId="8044" priority="8338">
      <formula>LEN(TRIM(G394))&gt;0</formula>
    </cfRule>
  </conditionalFormatting>
  <conditionalFormatting sqref="G394:K394">
    <cfRule type="notContainsBlanks" dxfId="8043" priority="8337">
      <formula>LEN(TRIM(G394))&gt;0</formula>
    </cfRule>
  </conditionalFormatting>
  <conditionalFormatting sqref="G394:K394">
    <cfRule type="notContainsBlanks" dxfId="8042" priority="8336">
      <formula>LEN(TRIM(G394))&gt;0</formula>
    </cfRule>
  </conditionalFormatting>
  <conditionalFormatting sqref="G394:K394">
    <cfRule type="notContainsBlanks" dxfId="8041" priority="8335">
      <formula>LEN(TRIM(G394))&gt;0</formula>
    </cfRule>
  </conditionalFormatting>
  <conditionalFormatting sqref="G394:K394">
    <cfRule type="notContainsBlanks" dxfId="8040" priority="8334">
      <formula>LEN(TRIM(G394))&gt;0</formula>
    </cfRule>
  </conditionalFormatting>
  <conditionalFormatting sqref="G394:K394">
    <cfRule type="notContainsBlanks" priority="8333">
      <formula>LEN(TRIM(G394))&gt;0</formula>
    </cfRule>
  </conditionalFormatting>
  <conditionalFormatting sqref="G394:K394">
    <cfRule type="notContainsBlanks" dxfId="8039" priority="8332">
      <formula>LEN(TRIM(G394))&gt;0</formula>
    </cfRule>
  </conditionalFormatting>
  <conditionalFormatting sqref="G394:K394">
    <cfRule type="notContainsBlanks" dxfId="8038" priority="8331">
      <formula>LEN(TRIM(G394))&gt;0</formula>
    </cfRule>
  </conditionalFormatting>
  <conditionalFormatting sqref="N394:R394">
    <cfRule type="notContainsBlanks" dxfId="8037" priority="8330">
      <formula>LEN(TRIM(N394))&gt;0</formula>
    </cfRule>
  </conditionalFormatting>
  <conditionalFormatting sqref="N394:R394">
    <cfRule type="notContainsBlanks" dxfId="8036" priority="8329">
      <formula>LEN(TRIM(N394))&gt;0</formula>
    </cfRule>
  </conditionalFormatting>
  <conditionalFormatting sqref="N394:R394">
    <cfRule type="notContainsBlanks" dxfId="8035" priority="8328">
      <formula>LEN(TRIM(N394))&gt;0</formula>
    </cfRule>
  </conditionalFormatting>
  <conditionalFormatting sqref="N394:R394">
    <cfRule type="notContainsBlanks" dxfId="8034" priority="8327">
      <formula>LEN(TRIM(N394))&gt;0</formula>
    </cfRule>
  </conditionalFormatting>
  <conditionalFormatting sqref="N394:R394">
    <cfRule type="notContainsBlanks" dxfId="8033" priority="8326">
      <formula>LEN(TRIM(N394))&gt;0</formula>
    </cfRule>
  </conditionalFormatting>
  <conditionalFormatting sqref="N394:R394">
    <cfRule type="notContainsBlanks" dxfId="8032" priority="8325">
      <formula>LEN(TRIM(N394))&gt;0</formula>
    </cfRule>
  </conditionalFormatting>
  <conditionalFormatting sqref="N394:R394">
    <cfRule type="notContainsBlanks" dxfId="8031" priority="8324">
      <formula>LEN(TRIM(N394))&gt;0</formula>
    </cfRule>
  </conditionalFormatting>
  <conditionalFormatting sqref="N394:R394">
    <cfRule type="notContainsBlanks" dxfId="8030" priority="8323">
      <formula>LEN(TRIM(N394))&gt;0</formula>
    </cfRule>
  </conditionalFormatting>
  <conditionalFormatting sqref="N394:R394">
    <cfRule type="notContainsBlanks" dxfId="8029" priority="8322">
      <formula>LEN(TRIM(N394))&gt;0</formula>
    </cfRule>
  </conditionalFormatting>
  <conditionalFormatting sqref="N394:R394">
    <cfRule type="notContainsBlanks" dxfId="8028" priority="8320">
      <formula>LEN(TRIM(N394))&gt;0</formula>
    </cfRule>
    <cfRule type="notContainsBlanks" dxfId="8027" priority="8321">
      <formula>LEN(TRIM(N394))&gt;0</formula>
    </cfRule>
  </conditionalFormatting>
  <conditionalFormatting sqref="N394:R394">
    <cfRule type="notContainsBlanks" dxfId="8026" priority="8319">
      <formula>LEN(TRIM(N394))&gt;0</formula>
    </cfRule>
  </conditionalFormatting>
  <conditionalFormatting sqref="N394:R394">
    <cfRule type="notContainsBlanks" dxfId="8025" priority="8318">
      <formula>LEN(TRIM(N394))&gt;0</formula>
    </cfRule>
  </conditionalFormatting>
  <conditionalFormatting sqref="N394:R394">
    <cfRule type="notContainsBlanks" dxfId="8024" priority="8317">
      <formula>LEN(TRIM(N394))&gt;0</formula>
    </cfRule>
  </conditionalFormatting>
  <conditionalFormatting sqref="N394:R394">
    <cfRule type="notContainsBlanks" dxfId="8023" priority="8316">
      <formula>LEN(TRIM(N394))&gt;0</formula>
    </cfRule>
  </conditionalFormatting>
  <conditionalFormatting sqref="N394:R394">
    <cfRule type="notContainsBlanks" dxfId="8022" priority="8315">
      <formula>LEN(TRIM(N394))&gt;0</formula>
    </cfRule>
  </conditionalFormatting>
  <conditionalFormatting sqref="N394:R394">
    <cfRule type="notContainsBlanks" dxfId="8021" priority="8314">
      <formula>LEN(TRIM(N394))&gt;0</formula>
    </cfRule>
  </conditionalFormatting>
  <conditionalFormatting sqref="N394:R394">
    <cfRule type="notContainsBlanks" dxfId="8020" priority="8313">
      <formula>LEN(TRIM(N394))&gt;0</formula>
    </cfRule>
  </conditionalFormatting>
  <conditionalFormatting sqref="N394:R394">
    <cfRule type="notContainsBlanks" dxfId="8019" priority="8312">
      <formula>LEN(TRIM(N394))&gt;0</formula>
    </cfRule>
  </conditionalFormatting>
  <conditionalFormatting sqref="N394:R394">
    <cfRule type="notContainsBlanks" dxfId="8018" priority="8311">
      <formula>LEN(TRIM(N394))&gt;0</formula>
    </cfRule>
  </conditionalFormatting>
  <conditionalFormatting sqref="N394:R394">
    <cfRule type="notContainsBlanks" priority="8310">
      <formula>LEN(TRIM(N394))&gt;0</formula>
    </cfRule>
  </conditionalFormatting>
  <conditionalFormatting sqref="N394:R394">
    <cfRule type="notContainsBlanks" dxfId="8017" priority="8309">
      <formula>LEN(TRIM(N394))&gt;0</formula>
    </cfRule>
  </conditionalFormatting>
  <conditionalFormatting sqref="N394:R394">
    <cfRule type="notContainsBlanks" dxfId="8016" priority="8308">
      <formula>LEN(TRIM(N394))&gt;0</formula>
    </cfRule>
  </conditionalFormatting>
  <conditionalFormatting sqref="U394:Y394">
    <cfRule type="notContainsBlanks" dxfId="8015" priority="8307">
      <formula>LEN(TRIM(U394))&gt;0</formula>
    </cfRule>
  </conditionalFormatting>
  <conditionalFormatting sqref="U394:Y394">
    <cfRule type="notContainsBlanks" dxfId="8014" priority="8306">
      <formula>LEN(TRIM(U394))&gt;0</formula>
    </cfRule>
  </conditionalFormatting>
  <conditionalFormatting sqref="U394:Y394">
    <cfRule type="notContainsBlanks" dxfId="8013" priority="8305">
      <formula>LEN(TRIM(U394))&gt;0</formula>
    </cfRule>
  </conditionalFormatting>
  <conditionalFormatting sqref="U394:Y394">
    <cfRule type="notContainsBlanks" dxfId="8012" priority="8304">
      <formula>LEN(TRIM(U394))&gt;0</formula>
    </cfRule>
  </conditionalFormatting>
  <conditionalFormatting sqref="U394:Y394">
    <cfRule type="notContainsBlanks" dxfId="8011" priority="8303">
      <formula>LEN(TRIM(U394))&gt;0</formula>
    </cfRule>
  </conditionalFormatting>
  <conditionalFormatting sqref="U394:Y394">
    <cfRule type="notContainsBlanks" dxfId="8010" priority="8302">
      <formula>LEN(TRIM(U394))&gt;0</formula>
    </cfRule>
  </conditionalFormatting>
  <conditionalFormatting sqref="U394:Y394">
    <cfRule type="notContainsBlanks" dxfId="8009" priority="8301">
      <formula>LEN(TRIM(U394))&gt;0</formula>
    </cfRule>
  </conditionalFormatting>
  <conditionalFormatting sqref="U394:Y394">
    <cfRule type="notContainsBlanks" dxfId="8008" priority="8300">
      <formula>LEN(TRIM(U394))&gt;0</formula>
    </cfRule>
  </conditionalFormatting>
  <conditionalFormatting sqref="U394:Y394">
    <cfRule type="notContainsBlanks" dxfId="8007" priority="8299">
      <formula>LEN(TRIM(U394))&gt;0</formula>
    </cfRule>
  </conditionalFormatting>
  <conditionalFormatting sqref="U394:Y394">
    <cfRule type="notContainsBlanks" dxfId="8006" priority="8297">
      <formula>LEN(TRIM(U394))&gt;0</formula>
    </cfRule>
    <cfRule type="notContainsBlanks" dxfId="8005" priority="8298">
      <formula>LEN(TRIM(U394))&gt;0</formula>
    </cfRule>
  </conditionalFormatting>
  <conditionalFormatting sqref="U394:Y394">
    <cfRule type="notContainsBlanks" dxfId="8004" priority="8296">
      <formula>LEN(TRIM(U394))&gt;0</formula>
    </cfRule>
  </conditionalFormatting>
  <conditionalFormatting sqref="U394:Y394">
    <cfRule type="notContainsBlanks" dxfId="8003" priority="8295">
      <formula>LEN(TRIM(U394))&gt;0</formula>
    </cfRule>
  </conditionalFormatting>
  <conditionalFormatting sqref="U394:Y394">
    <cfRule type="notContainsBlanks" dxfId="8002" priority="8294">
      <formula>LEN(TRIM(U394))&gt;0</formula>
    </cfRule>
  </conditionalFormatting>
  <conditionalFormatting sqref="U394:Y394">
    <cfRule type="notContainsBlanks" dxfId="8001" priority="8293">
      <formula>LEN(TRIM(U394))&gt;0</formula>
    </cfRule>
  </conditionalFormatting>
  <conditionalFormatting sqref="U394:Y394">
    <cfRule type="notContainsBlanks" dxfId="8000" priority="8292">
      <formula>LEN(TRIM(U394))&gt;0</formula>
    </cfRule>
  </conditionalFormatting>
  <conditionalFormatting sqref="U394:Y394">
    <cfRule type="notContainsBlanks" dxfId="7999" priority="8291">
      <formula>LEN(TRIM(U394))&gt;0</formula>
    </cfRule>
  </conditionalFormatting>
  <conditionalFormatting sqref="U394:Y394">
    <cfRule type="notContainsBlanks" dxfId="7998" priority="8290">
      <formula>LEN(TRIM(U394))&gt;0</formula>
    </cfRule>
  </conditionalFormatting>
  <conditionalFormatting sqref="U394:Y394">
    <cfRule type="notContainsBlanks" dxfId="7997" priority="8289">
      <formula>LEN(TRIM(U394))&gt;0</formula>
    </cfRule>
  </conditionalFormatting>
  <conditionalFormatting sqref="U394:Y394">
    <cfRule type="notContainsBlanks" dxfId="7996" priority="8288">
      <formula>LEN(TRIM(U394))&gt;0</formula>
    </cfRule>
  </conditionalFormatting>
  <conditionalFormatting sqref="U394:Y394">
    <cfRule type="notContainsBlanks" priority="8287">
      <formula>LEN(TRIM(U394))&gt;0</formula>
    </cfRule>
  </conditionalFormatting>
  <conditionalFormatting sqref="U394:Y394">
    <cfRule type="notContainsBlanks" dxfId="7995" priority="8286">
      <formula>LEN(TRIM(U394))&gt;0</formula>
    </cfRule>
  </conditionalFormatting>
  <conditionalFormatting sqref="U394:Y394">
    <cfRule type="notContainsBlanks" dxfId="7994" priority="8285">
      <formula>LEN(TRIM(U394))&gt;0</formula>
    </cfRule>
  </conditionalFormatting>
  <conditionalFormatting sqref="AB394:AF394">
    <cfRule type="notContainsBlanks" dxfId="7993" priority="8284">
      <formula>LEN(TRIM(AB394))&gt;0</formula>
    </cfRule>
  </conditionalFormatting>
  <conditionalFormatting sqref="AB394:AF394">
    <cfRule type="notContainsBlanks" dxfId="7992" priority="8283">
      <formula>LEN(TRIM(AB394))&gt;0</formula>
    </cfRule>
  </conditionalFormatting>
  <conditionalFormatting sqref="AB394:AF394">
    <cfRule type="notContainsBlanks" dxfId="7991" priority="8282">
      <formula>LEN(TRIM(AB394))&gt;0</formula>
    </cfRule>
  </conditionalFormatting>
  <conditionalFormatting sqref="AB394:AF394">
    <cfRule type="notContainsBlanks" dxfId="7990" priority="8281">
      <formula>LEN(TRIM(AB394))&gt;0</formula>
    </cfRule>
  </conditionalFormatting>
  <conditionalFormatting sqref="AB394:AF394">
    <cfRule type="notContainsBlanks" dxfId="7989" priority="8280">
      <formula>LEN(TRIM(AB394))&gt;0</formula>
    </cfRule>
  </conditionalFormatting>
  <conditionalFormatting sqref="AB394:AF394">
    <cfRule type="notContainsBlanks" dxfId="7988" priority="8279">
      <formula>LEN(TRIM(AB394))&gt;0</formula>
    </cfRule>
  </conditionalFormatting>
  <conditionalFormatting sqref="AB394:AF394">
    <cfRule type="notContainsBlanks" dxfId="7987" priority="8278">
      <formula>LEN(TRIM(AB394))&gt;0</formula>
    </cfRule>
  </conditionalFormatting>
  <conditionalFormatting sqref="AB394:AF394">
    <cfRule type="notContainsBlanks" dxfId="7986" priority="8277">
      <formula>LEN(TRIM(AB394))&gt;0</formula>
    </cfRule>
  </conditionalFormatting>
  <conditionalFormatting sqref="AB394:AF394">
    <cfRule type="notContainsBlanks" dxfId="7985" priority="8276">
      <formula>LEN(TRIM(AB394))&gt;0</formula>
    </cfRule>
  </conditionalFormatting>
  <conditionalFormatting sqref="AB394:AF394">
    <cfRule type="notContainsBlanks" dxfId="7984" priority="8274">
      <formula>LEN(TRIM(AB394))&gt;0</formula>
    </cfRule>
    <cfRule type="notContainsBlanks" dxfId="7983" priority="8275">
      <formula>LEN(TRIM(AB394))&gt;0</formula>
    </cfRule>
  </conditionalFormatting>
  <conditionalFormatting sqref="AB394:AF394">
    <cfRule type="notContainsBlanks" dxfId="7982" priority="8273">
      <formula>LEN(TRIM(AB394))&gt;0</formula>
    </cfRule>
  </conditionalFormatting>
  <conditionalFormatting sqref="AB394:AF394">
    <cfRule type="notContainsBlanks" dxfId="7981" priority="8272">
      <formula>LEN(TRIM(AB394))&gt;0</formula>
    </cfRule>
  </conditionalFormatting>
  <conditionalFormatting sqref="AB394:AF394">
    <cfRule type="notContainsBlanks" dxfId="7980" priority="8271">
      <formula>LEN(TRIM(AB394))&gt;0</formula>
    </cfRule>
  </conditionalFormatting>
  <conditionalFormatting sqref="AB394:AF394">
    <cfRule type="notContainsBlanks" dxfId="7979" priority="8270">
      <formula>LEN(TRIM(AB394))&gt;0</formula>
    </cfRule>
  </conditionalFormatting>
  <conditionalFormatting sqref="AB394:AF394">
    <cfRule type="notContainsBlanks" dxfId="7978" priority="8269">
      <formula>LEN(TRIM(AB394))&gt;0</formula>
    </cfRule>
  </conditionalFormatting>
  <conditionalFormatting sqref="AB394:AF394">
    <cfRule type="notContainsBlanks" dxfId="7977" priority="8268">
      <formula>LEN(TRIM(AB394))&gt;0</formula>
    </cfRule>
  </conditionalFormatting>
  <conditionalFormatting sqref="AB394:AF394">
    <cfRule type="notContainsBlanks" dxfId="7976" priority="8267">
      <formula>LEN(TRIM(AB394))&gt;0</formula>
    </cfRule>
  </conditionalFormatting>
  <conditionalFormatting sqref="AB394:AF394">
    <cfRule type="notContainsBlanks" dxfId="7975" priority="8266">
      <formula>LEN(TRIM(AB394))&gt;0</formula>
    </cfRule>
  </conditionalFormatting>
  <conditionalFormatting sqref="AB394:AF394">
    <cfRule type="notContainsBlanks" dxfId="7974" priority="8265">
      <formula>LEN(TRIM(AB394))&gt;0</formula>
    </cfRule>
  </conditionalFormatting>
  <conditionalFormatting sqref="AB394:AF394">
    <cfRule type="notContainsBlanks" priority="8264">
      <formula>LEN(TRIM(AB394))&gt;0</formula>
    </cfRule>
  </conditionalFormatting>
  <conditionalFormatting sqref="AB394:AF394">
    <cfRule type="notContainsBlanks" dxfId="7973" priority="8263">
      <formula>LEN(TRIM(AB394))&gt;0</formula>
    </cfRule>
  </conditionalFormatting>
  <conditionalFormatting sqref="AB394:AF394">
    <cfRule type="notContainsBlanks" dxfId="7972" priority="8262">
      <formula>LEN(TRIM(AB394))&gt;0</formula>
    </cfRule>
  </conditionalFormatting>
  <conditionalFormatting sqref="B392:E403 G394:K394 L392:L393 N394:R394 S392:S393 U394:Y394 Z392:Z393 AB394:AF394 AG392:AG393">
    <cfRule type="notContainsBlanks" dxfId="7971" priority="8261">
      <formula>LEN(TRIM(B392))&gt;0</formula>
    </cfRule>
  </conditionalFormatting>
  <conditionalFormatting sqref="G407">
    <cfRule type="notContainsBlanks" dxfId="7970" priority="8260">
      <formula>LEN(TRIM(G407))&gt;0</formula>
    </cfRule>
  </conditionalFormatting>
  <conditionalFormatting sqref="H407:K407">
    <cfRule type="notContainsBlanks" dxfId="7969" priority="8259">
      <formula>LEN(TRIM(H407))&gt;0</formula>
    </cfRule>
  </conditionalFormatting>
  <conditionalFormatting sqref="G407:K407">
    <cfRule type="notContainsBlanks" dxfId="7968" priority="8258">
      <formula>LEN(TRIM(G407))&gt;0</formula>
    </cfRule>
  </conditionalFormatting>
  <conditionalFormatting sqref="G407:K407">
    <cfRule type="notContainsBlanks" dxfId="7967" priority="8257">
      <formula>LEN(TRIM(G407))&gt;0</formula>
    </cfRule>
  </conditionalFormatting>
  <conditionalFormatting sqref="G407:K407">
    <cfRule type="notContainsBlanks" dxfId="7966" priority="8256">
      <formula>LEN(TRIM(G407))&gt;0</formula>
    </cfRule>
  </conditionalFormatting>
  <conditionalFormatting sqref="G407:K407">
    <cfRule type="notContainsBlanks" dxfId="7965" priority="8255">
      <formula>LEN(TRIM(G407))&gt;0</formula>
    </cfRule>
  </conditionalFormatting>
  <conditionalFormatting sqref="G407:K407">
    <cfRule type="notContainsBlanks" dxfId="7964" priority="8254">
      <formula>LEN(TRIM(G407))&gt;0</formula>
    </cfRule>
  </conditionalFormatting>
  <conditionalFormatting sqref="G407:K407">
    <cfRule type="notContainsBlanks" dxfId="7963" priority="8253">
      <formula>LEN(TRIM(G407))&gt;0</formula>
    </cfRule>
  </conditionalFormatting>
  <conditionalFormatting sqref="G407:K407">
    <cfRule type="notContainsBlanks" dxfId="7962" priority="8252">
      <formula>LEN(TRIM(G407))&gt;0</formula>
    </cfRule>
  </conditionalFormatting>
  <conditionalFormatting sqref="G407:K407">
    <cfRule type="notContainsBlanks" dxfId="7961" priority="8251">
      <formula>LEN(TRIM(G407))&gt;0</formula>
    </cfRule>
  </conditionalFormatting>
  <conditionalFormatting sqref="G407:K407">
    <cfRule type="notContainsBlanks" dxfId="7960" priority="8250">
      <formula>LEN(TRIM(G407))&gt;0</formula>
    </cfRule>
  </conditionalFormatting>
  <conditionalFormatting sqref="G407:K407">
    <cfRule type="notContainsBlanks" dxfId="7959" priority="8248">
      <formula>LEN(TRIM(G407))&gt;0</formula>
    </cfRule>
    <cfRule type="notContainsBlanks" dxfId="7958" priority="8249">
      <formula>LEN(TRIM(G407))&gt;0</formula>
    </cfRule>
  </conditionalFormatting>
  <conditionalFormatting sqref="G407:K407">
    <cfRule type="notContainsBlanks" dxfId="7957" priority="8247">
      <formula>LEN(TRIM(G407))&gt;0</formula>
    </cfRule>
  </conditionalFormatting>
  <conditionalFormatting sqref="G407:K407">
    <cfRule type="notContainsBlanks" dxfId="7956" priority="8246">
      <formula>LEN(TRIM(G407))&gt;0</formula>
    </cfRule>
  </conditionalFormatting>
  <conditionalFormatting sqref="G407:K407">
    <cfRule type="notContainsBlanks" dxfId="7955" priority="8245">
      <formula>LEN(TRIM(G407))&gt;0</formula>
    </cfRule>
  </conditionalFormatting>
  <conditionalFormatting sqref="G407:K407">
    <cfRule type="notContainsBlanks" dxfId="7954" priority="8244">
      <formula>LEN(TRIM(G407))&gt;0</formula>
    </cfRule>
  </conditionalFormatting>
  <conditionalFormatting sqref="G407:K407">
    <cfRule type="notContainsBlanks" dxfId="7953" priority="8243">
      <formula>LEN(TRIM(G407))&gt;0</formula>
    </cfRule>
  </conditionalFormatting>
  <conditionalFormatting sqref="G407:K407">
    <cfRule type="notContainsBlanks" dxfId="7952" priority="8242">
      <formula>LEN(TRIM(G407))&gt;0</formula>
    </cfRule>
  </conditionalFormatting>
  <conditionalFormatting sqref="G407:K407">
    <cfRule type="notContainsBlanks" dxfId="7951" priority="8241">
      <formula>LEN(TRIM(G407))&gt;0</formula>
    </cfRule>
  </conditionalFormatting>
  <conditionalFormatting sqref="G407:K407">
    <cfRule type="notContainsBlanks" dxfId="7950" priority="8240">
      <formula>LEN(TRIM(G407))&gt;0</formula>
    </cfRule>
  </conditionalFormatting>
  <conditionalFormatting sqref="G407:K407">
    <cfRule type="notContainsBlanks" dxfId="7949" priority="8239">
      <formula>LEN(TRIM(G407))&gt;0</formula>
    </cfRule>
  </conditionalFormatting>
  <conditionalFormatting sqref="G407:K407">
    <cfRule type="notContainsBlanks" priority="8238">
      <formula>LEN(TRIM(G407))&gt;0</formula>
    </cfRule>
  </conditionalFormatting>
  <conditionalFormatting sqref="G407:K407">
    <cfRule type="notContainsBlanks" dxfId="7948" priority="8237">
      <formula>LEN(TRIM(G407))&gt;0</formula>
    </cfRule>
  </conditionalFormatting>
  <conditionalFormatting sqref="G407:K407">
    <cfRule type="notContainsBlanks" dxfId="7947" priority="8236">
      <formula>LEN(TRIM(G407))&gt;0</formula>
    </cfRule>
  </conditionalFormatting>
  <conditionalFormatting sqref="G407:K407">
    <cfRule type="notContainsBlanks" dxfId="7946" priority="8235">
      <formula>LEN(TRIM(G407))&gt;0</formula>
    </cfRule>
  </conditionalFormatting>
  <conditionalFormatting sqref="N407:R407">
    <cfRule type="notContainsBlanks" dxfId="7945" priority="8234">
      <formula>LEN(TRIM(N407))&gt;0</formula>
    </cfRule>
  </conditionalFormatting>
  <conditionalFormatting sqref="N407:R407">
    <cfRule type="notContainsBlanks" dxfId="7944" priority="8233">
      <formula>LEN(TRIM(N407))&gt;0</formula>
    </cfRule>
  </conditionalFormatting>
  <conditionalFormatting sqref="N407:R407">
    <cfRule type="notContainsBlanks" dxfId="7943" priority="8232">
      <formula>LEN(TRIM(N407))&gt;0</formula>
    </cfRule>
  </conditionalFormatting>
  <conditionalFormatting sqref="N407:R407">
    <cfRule type="notContainsBlanks" dxfId="7942" priority="8231">
      <formula>LEN(TRIM(N407))&gt;0</formula>
    </cfRule>
  </conditionalFormatting>
  <conditionalFormatting sqref="N407:R407">
    <cfRule type="notContainsBlanks" dxfId="7941" priority="8230">
      <formula>LEN(TRIM(N407))&gt;0</formula>
    </cfRule>
  </conditionalFormatting>
  <conditionalFormatting sqref="N407:R407">
    <cfRule type="notContainsBlanks" dxfId="7940" priority="8229">
      <formula>LEN(TRIM(N407))&gt;0</formula>
    </cfRule>
  </conditionalFormatting>
  <conditionalFormatting sqref="N407:R407">
    <cfRule type="notContainsBlanks" dxfId="7939" priority="8228">
      <formula>LEN(TRIM(N407))&gt;0</formula>
    </cfRule>
  </conditionalFormatting>
  <conditionalFormatting sqref="N407:R407">
    <cfRule type="notContainsBlanks" dxfId="7938" priority="8227">
      <formula>LEN(TRIM(N407))&gt;0</formula>
    </cfRule>
  </conditionalFormatting>
  <conditionalFormatting sqref="N407:R407">
    <cfRule type="notContainsBlanks" dxfId="7937" priority="8226">
      <formula>LEN(TRIM(N407))&gt;0</formula>
    </cfRule>
  </conditionalFormatting>
  <conditionalFormatting sqref="N407:R407">
    <cfRule type="notContainsBlanks" dxfId="7936" priority="8224">
      <formula>LEN(TRIM(N407))&gt;0</formula>
    </cfRule>
    <cfRule type="notContainsBlanks" dxfId="7935" priority="8225">
      <formula>LEN(TRIM(N407))&gt;0</formula>
    </cfRule>
  </conditionalFormatting>
  <conditionalFormatting sqref="N407:R407">
    <cfRule type="notContainsBlanks" dxfId="7934" priority="8223">
      <formula>LEN(TRIM(N407))&gt;0</formula>
    </cfRule>
  </conditionalFormatting>
  <conditionalFormatting sqref="N407:R407">
    <cfRule type="notContainsBlanks" dxfId="7933" priority="8222">
      <formula>LEN(TRIM(N407))&gt;0</formula>
    </cfRule>
  </conditionalFormatting>
  <conditionalFormatting sqref="N407:R407">
    <cfRule type="notContainsBlanks" dxfId="7932" priority="8221">
      <formula>LEN(TRIM(N407))&gt;0</formula>
    </cfRule>
  </conditionalFormatting>
  <conditionalFormatting sqref="N407:R407">
    <cfRule type="notContainsBlanks" dxfId="7931" priority="8220">
      <formula>LEN(TRIM(N407))&gt;0</formula>
    </cfRule>
  </conditionalFormatting>
  <conditionalFormatting sqref="N407:R407">
    <cfRule type="notContainsBlanks" dxfId="7930" priority="8219">
      <formula>LEN(TRIM(N407))&gt;0</formula>
    </cfRule>
  </conditionalFormatting>
  <conditionalFormatting sqref="N407:R407">
    <cfRule type="notContainsBlanks" dxfId="7929" priority="8218">
      <formula>LEN(TRIM(N407))&gt;0</formula>
    </cfRule>
  </conditionalFormatting>
  <conditionalFormatting sqref="N407:R407">
    <cfRule type="notContainsBlanks" dxfId="7928" priority="8217">
      <formula>LEN(TRIM(N407))&gt;0</formula>
    </cfRule>
  </conditionalFormatting>
  <conditionalFormatting sqref="N407:R407">
    <cfRule type="notContainsBlanks" dxfId="7927" priority="8216">
      <formula>LEN(TRIM(N407))&gt;0</formula>
    </cfRule>
  </conditionalFormatting>
  <conditionalFormatting sqref="N407:R407">
    <cfRule type="notContainsBlanks" dxfId="7926" priority="8215">
      <formula>LEN(TRIM(N407))&gt;0</formula>
    </cfRule>
  </conditionalFormatting>
  <conditionalFormatting sqref="N407:R407">
    <cfRule type="notContainsBlanks" priority="8214">
      <formula>LEN(TRIM(N407))&gt;0</formula>
    </cfRule>
  </conditionalFormatting>
  <conditionalFormatting sqref="N407:R407">
    <cfRule type="notContainsBlanks" dxfId="7925" priority="8213">
      <formula>LEN(TRIM(N407))&gt;0</formula>
    </cfRule>
  </conditionalFormatting>
  <conditionalFormatting sqref="N407:R407">
    <cfRule type="notContainsBlanks" dxfId="7924" priority="8212">
      <formula>LEN(TRIM(N407))&gt;0</formula>
    </cfRule>
  </conditionalFormatting>
  <conditionalFormatting sqref="N407:R407">
    <cfRule type="notContainsBlanks" dxfId="7923" priority="8211">
      <formula>LEN(TRIM(N407))&gt;0</formula>
    </cfRule>
  </conditionalFormatting>
  <conditionalFormatting sqref="U407:Y407">
    <cfRule type="notContainsBlanks" dxfId="7922" priority="8210">
      <formula>LEN(TRIM(U407))&gt;0</formula>
    </cfRule>
  </conditionalFormatting>
  <conditionalFormatting sqref="U407:Y407">
    <cfRule type="notContainsBlanks" dxfId="7921" priority="8209">
      <formula>LEN(TRIM(U407))&gt;0</formula>
    </cfRule>
  </conditionalFormatting>
  <conditionalFormatting sqref="U407:Y407">
    <cfRule type="notContainsBlanks" dxfId="7920" priority="8208">
      <formula>LEN(TRIM(U407))&gt;0</formula>
    </cfRule>
  </conditionalFormatting>
  <conditionalFormatting sqref="U407:Y407">
    <cfRule type="notContainsBlanks" dxfId="7919" priority="8207">
      <formula>LEN(TRIM(U407))&gt;0</formula>
    </cfRule>
  </conditionalFormatting>
  <conditionalFormatting sqref="U407:Y407">
    <cfRule type="notContainsBlanks" dxfId="7918" priority="8206">
      <formula>LEN(TRIM(U407))&gt;0</formula>
    </cfRule>
  </conditionalFormatting>
  <conditionalFormatting sqref="U407:Y407">
    <cfRule type="notContainsBlanks" dxfId="7917" priority="8205">
      <formula>LEN(TRIM(U407))&gt;0</formula>
    </cfRule>
  </conditionalFormatting>
  <conditionalFormatting sqref="U407:Y407">
    <cfRule type="notContainsBlanks" dxfId="7916" priority="8204">
      <formula>LEN(TRIM(U407))&gt;0</formula>
    </cfRule>
  </conditionalFormatting>
  <conditionalFormatting sqref="U407:Y407">
    <cfRule type="notContainsBlanks" dxfId="7915" priority="8203">
      <formula>LEN(TRIM(U407))&gt;0</formula>
    </cfRule>
  </conditionalFormatting>
  <conditionalFormatting sqref="U407:Y407">
    <cfRule type="notContainsBlanks" dxfId="7914" priority="8202">
      <formula>LEN(TRIM(U407))&gt;0</formula>
    </cfRule>
  </conditionalFormatting>
  <conditionalFormatting sqref="U407:Y407">
    <cfRule type="notContainsBlanks" dxfId="7913" priority="8200">
      <formula>LEN(TRIM(U407))&gt;0</formula>
    </cfRule>
    <cfRule type="notContainsBlanks" dxfId="7912" priority="8201">
      <formula>LEN(TRIM(U407))&gt;0</formula>
    </cfRule>
  </conditionalFormatting>
  <conditionalFormatting sqref="U407:Y407">
    <cfRule type="notContainsBlanks" dxfId="7911" priority="8199">
      <formula>LEN(TRIM(U407))&gt;0</formula>
    </cfRule>
  </conditionalFormatting>
  <conditionalFormatting sqref="U407:Y407">
    <cfRule type="notContainsBlanks" dxfId="7910" priority="8198">
      <formula>LEN(TRIM(U407))&gt;0</formula>
    </cfRule>
  </conditionalFormatting>
  <conditionalFormatting sqref="U407:Y407">
    <cfRule type="notContainsBlanks" dxfId="7909" priority="8197">
      <formula>LEN(TRIM(U407))&gt;0</formula>
    </cfRule>
  </conditionalFormatting>
  <conditionalFormatting sqref="U407:Y407">
    <cfRule type="notContainsBlanks" dxfId="7908" priority="8196">
      <formula>LEN(TRIM(U407))&gt;0</formula>
    </cfRule>
  </conditionalFormatting>
  <conditionalFormatting sqref="U407:Y407">
    <cfRule type="notContainsBlanks" dxfId="7907" priority="8195">
      <formula>LEN(TRIM(U407))&gt;0</formula>
    </cfRule>
  </conditionalFormatting>
  <conditionalFormatting sqref="U407:Y407">
    <cfRule type="notContainsBlanks" dxfId="7906" priority="8194">
      <formula>LEN(TRIM(U407))&gt;0</formula>
    </cfRule>
  </conditionalFormatting>
  <conditionalFormatting sqref="U407:Y407">
    <cfRule type="notContainsBlanks" dxfId="7905" priority="8193">
      <formula>LEN(TRIM(U407))&gt;0</formula>
    </cfRule>
  </conditionalFormatting>
  <conditionalFormatting sqref="U407:Y407">
    <cfRule type="notContainsBlanks" dxfId="7904" priority="8192">
      <formula>LEN(TRIM(U407))&gt;0</formula>
    </cfRule>
  </conditionalFormatting>
  <conditionalFormatting sqref="U407:Y407">
    <cfRule type="notContainsBlanks" dxfId="7903" priority="8191">
      <formula>LEN(TRIM(U407))&gt;0</formula>
    </cfRule>
  </conditionalFormatting>
  <conditionalFormatting sqref="U407:Y407">
    <cfRule type="notContainsBlanks" priority="8190">
      <formula>LEN(TRIM(U407))&gt;0</formula>
    </cfRule>
  </conditionalFormatting>
  <conditionalFormatting sqref="U407:Y407">
    <cfRule type="notContainsBlanks" dxfId="7902" priority="8189">
      <formula>LEN(TRIM(U407))&gt;0</formula>
    </cfRule>
  </conditionalFormatting>
  <conditionalFormatting sqref="U407:Y407">
    <cfRule type="notContainsBlanks" dxfId="7901" priority="8188">
      <formula>LEN(TRIM(U407))&gt;0</formula>
    </cfRule>
  </conditionalFormatting>
  <conditionalFormatting sqref="U407:Y407">
    <cfRule type="notContainsBlanks" dxfId="7900" priority="8187">
      <formula>LEN(TRIM(U407))&gt;0</formula>
    </cfRule>
  </conditionalFormatting>
  <conditionalFormatting sqref="AB407:AF407">
    <cfRule type="notContainsBlanks" dxfId="7899" priority="8186">
      <formula>LEN(TRIM(AB407))&gt;0</formula>
    </cfRule>
  </conditionalFormatting>
  <conditionalFormatting sqref="AB407:AF407">
    <cfRule type="notContainsBlanks" dxfId="7898" priority="8185">
      <formula>LEN(TRIM(AB407))&gt;0</formula>
    </cfRule>
  </conditionalFormatting>
  <conditionalFormatting sqref="AB407:AF407">
    <cfRule type="notContainsBlanks" dxfId="7897" priority="8184">
      <formula>LEN(TRIM(AB407))&gt;0</formula>
    </cfRule>
  </conditionalFormatting>
  <conditionalFormatting sqref="AB407:AF407">
    <cfRule type="notContainsBlanks" dxfId="7896" priority="8183">
      <formula>LEN(TRIM(AB407))&gt;0</formula>
    </cfRule>
  </conditionalFormatting>
  <conditionalFormatting sqref="AB407:AF407">
    <cfRule type="notContainsBlanks" dxfId="7895" priority="8182">
      <formula>LEN(TRIM(AB407))&gt;0</formula>
    </cfRule>
  </conditionalFormatting>
  <conditionalFormatting sqref="AB407:AF407">
    <cfRule type="notContainsBlanks" dxfId="7894" priority="8181">
      <formula>LEN(TRIM(AB407))&gt;0</formula>
    </cfRule>
  </conditionalFormatting>
  <conditionalFormatting sqref="AB407:AF407">
    <cfRule type="notContainsBlanks" dxfId="7893" priority="8180">
      <formula>LEN(TRIM(AB407))&gt;0</formula>
    </cfRule>
  </conditionalFormatting>
  <conditionalFormatting sqref="AB407:AF407">
    <cfRule type="notContainsBlanks" dxfId="7892" priority="8179">
      <formula>LEN(TRIM(AB407))&gt;0</formula>
    </cfRule>
  </conditionalFormatting>
  <conditionalFormatting sqref="AB407:AF407">
    <cfRule type="notContainsBlanks" dxfId="7891" priority="8178">
      <formula>LEN(TRIM(AB407))&gt;0</formula>
    </cfRule>
  </conditionalFormatting>
  <conditionalFormatting sqref="AB407:AF407">
    <cfRule type="notContainsBlanks" dxfId="7890" priority="8176">
      <formula>LEN(TRIM(AB407))&gt;0</formula>
    </cfRule>
    <cfRule type="notContainsBlanks" dxfId="7889" priority="8177">
      <formula>LEN(TRIM(AB407))&gt;0</formula>
    </cfRule>
  </conditionalFormatting>
  <conditionalFormatting sqref="AB407:AF407">
    <cfRule type="notContainsBlanks" dxfId="7888" priority="8175">
      <formula>LEN(TRIM(AB407))&gt;0</formula>
    </cfRule>
  </conditionalFormatting>
  <conditionalFormatting sqref="AB407:AF407">
    <cfRule type="notContainsBlanks" dxfId="7887" priority="8174">
      <formula>LEN(TRIM(AB407))&gt;0</formula>
    </cfRule>
  </conditionalFormatting>
  <conditionalFormatting sqref="AB407:AF407">
    <cfRule type="notContainsBlanks" dxfId="7886" priority="8173">
      <formula>LEN(TRIM(AB407))&gt;0</formula>
    </cfRule>
  </conditionalFormatting>
  <conditionalFormatting sqref="AB407:AF407">
    <cfRule type="notContainsBlanks" dxfId="7885" priority="8172">
      <formula>LEN(TRIM(AB407))&gt;0</formula>
    </cfRule>
  </conditionalFormatting>
  <conditionalFormatting sqref="AB407:AF407">
    <cfRule type="notContainsBlanks" dxfId="7884" priority="8171">
      <formula>LEN(TRIM(AB407))&gt;0</formula>
    </cfRule>
  </conditionalFormatting>
  <conditionalFormatting sqref="AB407:AF407">
    <cfRule type="notContainsBlanks" dxfId="7883" priority="8170">
      <formula>LEN(TRIM(AB407))&gt;0</formula>
    </cfRule>
  </conditionalFormatting>
  <conditionalFormatting sqref="AB407:AF407">
    <cfRule type="notContainsBlanks" dxfId="7882" priority="8169">
      <formula>LEN(TRIM(AB407))&gt;0</formula>
    </cfRule>
  </conditionalFormatting>
  <conditionalFormatting sqref="AB407:AF407">
    <cfRule type="notContainsBlanks" dxfId="7881" priority="8168">
      <formula>LEN(TRIM(AB407))&gt;0</formula>
    </cfRule>
  </conditionalFormatting>
  <conditionalFormatting sqref="AB407:AF407">
    <cfRule type="notContainsBlanks" dxfId="7880" priority="8167">
      <formula>LEN(TRIM(AB407))&gt;0</formula>
    </cfRule>
  </conditionalFormatting>
  <conditionalFormatting sqref="AB407:AF407">
    <cfRule type="notContainsBlanks" priority="8166">
      <formula>LEN(TRIM(AB407))&gt;0</formula>
    </cfRule>
  </conditionalFormatting>
  <conditionalFormatting sqref="AB407:AF407">
    <cfRule type="notContainsBlanks" dxfId="7879" priority="8165">
      <formula>LEN(TRIM(AB407))&gt;0</formula>
    </cfRule>
  </conditionalFormatting>
  <conditionalFormatting sqref="AB407:AF407">
    <cfRule type="notContainsBlanks" dxfId="7878" priority="8164">
      <formula>LEN(TRIM(AB407))&gt;0</formula>
    </cfRule>
  </conditionalFormatting>
  <conditionalFormatting sqref="AB407:AF407">
    <cfRule type="notContainsBlanks" dxfId="7877" priority="8163">
      <formula>LEN(TRIM(AB407))&gt;0</formula>
    </cfRule>
  </conditionalFormatting>
  <conditionalFormatting sqref="B405:E416 G407:K407 L405:L406 N407:R407 S405:S406 U407:Y407 Z405:Z406 AB407:AF407 AG405:AG406">
    <cfRule type="notContainsBlanks" dxfId="7876" priority="8162">
      <formula>LEN(TRIM(B405))&gt;0</formula>
    </cfRule>
  </conditionalFormatting>
  <conditionalFormatting sqref="G420">
    <cfRule type="notContainsBlanks" dxfId="7875" priority="8161">
      <formula>LEN(TRIM(G420))&gt;0</formula>
    </cfRule>
  </conditionalFormatting>
  <conditionalFormatting sqref="H420:K420">
    <cfRule type="notContainsBlanks" dxfId="7874" priority="8160">
      <formula>LEN(TRIM(H420))&gt;0</formula>
    </cfRule>
  </conditionalFormatting>
  <conditionalFormatting sqref="G420:K420">
    <cfRule type="notContainsBlanks" dxfId="7873" priority="8159">
      <formula>LEN(TRIM(G420))&gt;0</formula>
    </cfRule>
  </conditionalFormatting>
  <conditionalFormatting sqref="G420:K420">
    <cfRule type="notContainsBlanks" dxfId="7872" priority="8158">
      <formula>LEN(TRIM(G420))&gt;0</formula>
    </cfRule>
  </conditionalFormatting>
  <conditionalFormatting sqref="G420:K420">
    <cfRule type="notContainsBlanks" dxfId="7871" priority="8157">
      <formula>LEN(TRIM(G420))&gt;0</formula>
    </cfRule>
  </conditionalFormatting>
  <conditionalFormatting sqref="G420:K420">
    <cfRule type="notContainsBlanks" dxfId="7870" priority="8156">
      <formula>LEN(TRIM(G420))&gt;0</formula>
    </cfRule>
  </conditionalFormatting>
  <conditionalFormatting sqref="G420:K420">
    <cfRule type="notContainsBlanks" dxfId="7869" priority="8155">
      <formula>LEN(TRIM(G420))&gt;0</formula>
    </cfRule>
  </conditionalFormatting>
  <conditionalFormatting sqref="G420:K420">
    <cfRule type="notContainsBlanks" dxfId="7868" priority="8154">
      <formula>LEN(TRIM(G420))&gt;0</formula>
    </cfRule>
  </conditionalFormatting>
  <conditionalFormatting sqref="G420:K420">
    <cfRule type="notContainsBlanks" dxfId="7867" priority="8153">
      <formula>LEN(TRIM(G420))&gt;0</formula>
    </cfRule>
  </conditionalFormatting>
  <conditionalFormatting sqref="G420:K420">
    <cfRule type="notContainsBlanks" dxfId="7866" priority="8152">
      <formula>LEN(TRIM(G420))&gt;0</formula>
    </cfRule>
  </conditionalFormatting>
  <conditionalFormatting sqref="G420:K420">
    <cfRule type="notContainsBlanks" dxfId="7865" priority="8151">
      <formula>LEN(TRIM(G420))&gt;0</formula>
    </cfRule>
  </conditionalFormatting>
  <conditionalFormatting sqref="G420:K420">
    <cfRule type="notContainsBlanks" dxfId="7864" priority="8149">
      <formula>LEN(TRIM(G420))&gt;0</formula>
    </cfRule>
    <cfRule type="notContainsBlanks" dxfId="7863" priority="8150">
      <formula>LEN(TRIM(G420))&gt;0</formula>
    </cfRule>
  </conditionalFormatting>
  <conditionalFormatting sqref="G420:K420">
    <cfRule type="notContainsBlanks" dxfId="7862" priority="8148">
      <formula>LEN(TRIM(G420))&gt;0</formula>
    </cfRule>
  </conditionalFormatting>
  <conditionalFormatting sqref="G420:K420">
    <cfRule type="notContainsBlanks" dxfId="7861" priority="8147">
      <formula>LEN(TRIM(G420))&gt;0</formula>
    </cfRule>
  </conditionalFormatting>
  <conditionalFormatting sqref="G420:K420">
    <cfRule type="notContainsBlanks" dxfId="7860" priority="8146">
      <formula>LEN(TRIM(G420))&gt;0</formula>
    </cfRule>
  </conditionalFormatting>
  <conditionalFormatting sqref="G420:K420">
    <cfRule type="notContainsBlanks" dxfId="7859" priority="8145">
      <formula>LEN(TRIM(G420))&gt;0</formula>
    </cfRule>
  </conditionalFormatting>
  <conditionalFormatting sqref="G420:K420">
    <cfRule type="notContainsBlanks" dxfId="7858" priority="8144">
      <formula>LEN(TRIM(G420))&gt;0</formula>
    </cfRule>
  </conditionalFormatting>
  <conditionalFormatting sqref="G420:K420">
    <cfRule type="notContainsBlanks" dxfId="7857" priority="8143">
      <formula>LEN(TRIM(G420))&gt;0</formula>
    </cfRule>
  </conditionalFormatting>
  <conditionalFormatting sqref="G420:K420">
    <cfRule type="notContainsBlanks" dxfId="7856" priority="8142">
      <formula>LEN(TRIM(G420))&gt;0</formula>
    </cfRule>
  </conditionalFormatting>
  <conditionalFormatting sqref="G420:K420">
    <cfRule type="notContainsBlanks" dxfId="7855" priority="8141">
      <formula>LEN(TRIM(G420))&gt;0</formula>
    </cfRule>
  </conditionalFormatting>
  <conditionalFormatting sqref="G420:K420">
    <cfRule type="notContainsBlanks" dxfId="7854" priority="8140">
      <formula>LEN(TRIM(G420))&gt;0</formula>
    </cfRule>
  </conditionalFormatting>
  <conditionalFormatting sqref="G420:K420">
    <cfRule type="notContainsBlanks" priority="8139">
      <formula>LEN(TRIM(G420))&gt;0</formula>
    </cfRule>
  </conditionalFormatting>
  <conditionalFormatting sqref="G420:K420">
    <cfRule type="notContainsBlanks" dxfId="7853" priority="8138">
      <formula>LEN(TRIM(G420))&gt;0</formula>
    </cfRule>
  </conditionalFormatting>
  <conditionalFormatting sqref="G420:K420">
    <cfRule type="notContainsBlanks" dxfId="7852" priority="8137">
      <formula>LEN(TRIM(G420))&gt;0</formula>
    </cfRule>
  </conditionalFormatting>
  <conditionalFormatting sqref="G420:K420">
    <cfRule type="notContainsBlanks" dxfId="7851" priority="8136">
      <formula>LEN(TRIM(G420))&gt;0</formula>
    </cfRule>
  </conditionalFormatting>
  <conditionalFormatting sqref="G420:K420">
    <cfRule type="notContainsBlanks" dxfId="7850" priority="8135">
      <formula>LEN(TRIM(G420))&gt;0</formula>
    </cfRule>
  </conditionalFormatting>
  <conditionalFormatting sqref="N420:R420">
    <cfRule type="notContainsBlanks" dxfId="7849" priority="8134">
      <formula>LEN(TRIM(N420))&gt;0</formula>
    </cfRule>
  </conditionalFormatting>
  <conditionalFormatting sqref="N420:R420">
    <cfRule type="notContainsBlanks" dxfId="7848" priority="8133">
      <formula>LEN(TRIM(N420))&gt;0</formula>
    </cfRule>
  </conditionalFormatting>
  <conditionalFormatting sqref="N420:R420">
    <cfRule type="notContainsBlanks" dxfId="7847" priority="8132">
      <formula>LEN(TRIM(N420))&gt;0</formula>
    </cfRule>
  </conditionalFormatting>
  <conditionalFormatting sqref="N420:R420">
    <cfRule type="notContainsBlanks" dxfId="7846" priority="8131">
      <formula>LEN(TRIM(N420))&gt;0</formula>
    </cfRule>
  </conditionalFormatting>
  <conditionalFormatting sqref="N420:R420">
    <cfRule type="notContainsBlanks" dxfId="7845" priority="8130">
      <formula>LEN(TRIM(N420))&gt;0</formula>
    </cfRule>
  </conditionalFormatting>
  <conditionalFormatting sqref="N420:R420">
    <cfRule type="notContainsBlanks" dxfId="7844" priority="8129">
      <formula>LEN(TRIM(N420))&gt;0</formula>
    </cfRule>
  </conditionalFormatting>
  <conditionalFormatting sqref="N420:R420">
    <cfRule type="notContainsBlanks" dxfId="7843" priority="8128">
      <formula>LEN(TRIM(N420))&gt;0</formula>
    </cfRule>
  </conditionalFormatting>
  <conditionalFormatting sqref="N420:R420">
    <cfRule type="notContainsBlanks" dxfId="7842" priority="8127">
      <formula>LEN(TRIM(N420))&gt;0</formula>
    </cfRule>
  </conditionalFormatting>
  <conditionalFormatting sqref="N420:R420">
    <cfRule type="notContainsBlanks" dxfId="7841" priority="8126">
      <formula>LEN(TRIM(N420))&gt;0</formula>
    </cfRule>
  </conditionalFormatting>
  <conditionalFormatting sqref="N420:R420">
    <cfRule type="notContainsBlanks" dxfId="7840" priority="8124">
      <formula>LEN(TRIM(N420))&gt;0</formula>
    </cfRule>
    <cfRule type="notContainsBlanks" dxfId="7839" priority="8125">
      <formula>LEN(TRIM(N420))&gt;0</formula>
    </cfRule>
  </conditionalFormatting>
  <conditionalFormatting sqref="N420:R420">
    <cfRule type="notContainsBlanks" dxfId="7838" priority="8123">
      <formula>LEN(TRIM(N420))&gt;0</formula>
    </cfRule>
  </conditionalFormatting>
  <conditionalFormatting sqref="N420:R420">
    <cfRule type="notContainsBlanks" dxfId="7837" priority="8122">
      <formula>LEN(TRIM(N420))&gt;0</formula>
    </cfRule>
  </conditionalFormatting>
  <conditionalFormatting sqref="N420:R420">
    <cfRule type="notContainsBlanks" dxfId="7836" priority="8121">
      <formula>LEN(TRIM(N420))&gt;0</formula>
    </cfRule>
  </conditionalFormatting>
  <conditionalFormatting sqref="N420:R420">
    <cfRule type="notContainsBlanks" dxfId="7835" priority="8120">
      <formula>LEN(TRIM(N420))&gt;0</formula>
    </cfRule>
  </conditionalFormatting>
  <conditionalFormatting sqref="N420:R420">
    <cfRule type="notContainsBlanks" dxfId="7834" priority="8119">
      <formula>LEN(TRIM(N420))&gt;0</formula>
    </cfRule>
  </conditionalFormatting>
  <conditionalFormatting sqref="N420:R420">
    <cfRule type="notContainsBlanks" dxfId="7833" priority="8118">
      <formula>LEN(TRIM(N420))&gt;0</formula>
    </cfRule>
  </conditionalFormatting>
  <conditionalFormatting sqref="N420:R420">
    <cfRule type="notContainsBlanks" dxfId="7832" priority="8117">
      <formula>LEN(TRIM(N420))&gt;0</formula>
    </cfRule>
  </conditionalFormatting>
  <conditionalFormatting sqref="N420:R420">
    <cfRule type="notContainsBlanks" dxfId="7831" priority="8116">
      <formula>LEN(TRIM(N420))&gt;0</formula>
    </cfRule>
  </conditionalFormatting>
  <conditionalFormatting sqref="N420:R420">
    <cfRule type="notContainsBlanks" dxfId="7830" priority="8115">
      <formula>LEN(TRIM(N420))&gt;0</formula>
    </cfRule>
  </conditionalFormatting>
  <conditionalFormatting sqref="N420:R420">
    <cfRule type="notContainsBlanks" priority="8114">
      <formula>LEN(TRIM(N420))&gt;0</formula>
    </cfRule>
  </conditionalFormatting>
  <conditionalFormatting sqref="N420:R420">
    <cfRule type="notContainsBlanks" dxfId="7829" priority="8113">
      <formula>LEN(TRIM(N420))&gt;0</formula>
    </cfRule>
  </conditionalFormatting>
  <conditionalFormatting sqref="N420:R420">
    <cfRule type="notContainsBlanks" dxfId="7828" priority="8112">
      <formula>LEN(TRIM(N420))&gt;0</formula>
    </cfRule>
  </conditionalFormatting>
  <conditionalFormatting sqref="N420:R420">
    <cfRule type="notContainsBlanks" dxfId="7827" priority="8111">
      <formula>LEN(TRIM(N420))&gt;0</formula>
    </cfRule>
  </conditionalFormatting>
  <conditionalFormatting sqref="N420:R420">
    <cfRule type="notContainsBlanks" dxfId="7826" priority="8110">
      <formula>LEN(TRIM(N420))&gt;0</formula>
    </cfRule>
  </conditionalFormatting>
  <conditionalFormatting sqref="U420:Y420">
    <cfRule type="notContainsBlanks" dxfId="7825" priority="8109">
      <formula>LEN(TRIM(U420))&gt;0</formula>
    </cfRule>
  </conditionalFormatting>
  <conditionalFormatting sqref="U420:Y420">
    <cfRule type="notContainsBlanks" dxfId="7824" priority="8108">
      <formula>LEN(TRIM(U420))&gt;0</formula>
    </cfRule>
  </conditionalFormatting>
  <conditionalFormatting sqref="U420:Y420">
    <cfRule type="notContainsBlanks" dxfId="7823" priority="8107">
      <formula>LEN(TRIM(U420))&gt;0</formula>
    </cfRule>
  </conditionalFormatting>
  <conditionalFormatting sqref="U420:Y420">
    <cfRule type="notContainsBlanks" dxfId="7822" priority="8106">
      <formula>LEN(TRIM(U420))&gt;0</formula>
    </cfRule>
  </conditionalFormatting>
  <conditionalFormatting sqref="U420:Y420">
    <cfRule type="notContainsBlanks" dxfId="7821" priority="8105">
      <formula>LEN(TRIM(U420))&gt;0</formula>
    </cfRule>
  </conditionalFormatting>
  <conditionalFormatting sqref="U420:Y420">
    <cfRule type="notContainsBlanks" dxfId="7820" priority="8104">
      <formula>LEN(TRIM(U420))&gt;0</formula>
    </cfRule>
  </conditionalFormatting>
  <conditionalFormatting sqref="U420:Y420">
    <cfRule type="notContainsBlanks" dxfId="7819" priority="8103">
      <formula>LEN(TRIM(U420))&gt;0</formula>
    </cfRule>
  </conditionalFormatting>
  <conditionalFormatting sqref="U420:Y420">
    <cfRule type="notContainsBlanks" dxfId="7818" priority="8102">
      <formula>LEN(TRIM(U420))&gt;0</formula>
    </cfRule>
  </conditionalFormatting>
  <conditionalFormatting sqref="U420:Y420">
    <cfRule type="notContainsBlanks" dxfId="7817" priority="8101">
      <formula>LEN(TRIM(U420))&gt;0</formula>
    </cfRule>
  </conditionalFormatting>
  <conditionalFormatting sqref="U420:Y420">
    <cfRule type="notContainsBlanks" dxfId="7816" priority="8099">
      <formula>LEN(TRIM(U420))&gt;0</formula>
    </cfRule>
    <cfRule type="notContainsBlanks" dxfId="7815" priority="8100">
      <formula>LEN(TRIM(U420))&gt;0</formula>
    </cfRule>
  </conditionalFormatting>
  <conditionalFormatting sqref="U420:Y420">
    <cfRule type="notContainsBlanks" dxfId="7814" priority="8098">
      <formula>LEN(TRIM(U420))&gt;0</formula>
    </cfRule>
  </conditionalFormatting>
  <conditionalFormatting sqref="U420:Y420">
    <cfRule type="notContainsBlanks" dxfId="7813" priority="8097">
      <formula>LEN(TRIM(U420))&gt;0</formula>
    </cfRule>
  </conditionalFormatting>
  <conditionalFormatting sqref="U420:Y420">
    <cfRule type="notContainsBlanks" dxfId="7812" priority="8096">
      <formula>LEN(TRIM(U420))&gt;0</formula>
    </cfRule>
  </conditionalFormatting>
  <conditionalFormatting sqref="U420:Y420">
    <cfRule type="notContainsBlanks" dxfId="7811" priority="8095">
      <formula>LEN(TRIM(U420))&gt;0</formula>
    </cfRule>
  </conditionalFormatting>
  <conditionalFormatting sqref="U420:Y420">
    <cfRule type="notContainsBlanks" dxfId="7810" priority="8094">
      <formula>LEN(TRIM(U420))&gt;0</formula>
    </cfRule>
  </conditionalFormatting>
  <conditionalFormatting sqref="U420:Y420">
    <cfRule type="notContainsBlanks" dxfId="7809" priority="8093">
      <formula>LEN(TRIM(U420))&gt;0</formula>
    </cfRule>
  </conditionalFormatting>
  <conditionalFormatting sqref="U420:Y420">
    <cfRule type="notContainsBlanks" dxfId="7808" priority="8092">
      <formula>LEN(TRIM(U420))&gt;0</formula>
    </cfRule>
  </conditionalFormatting>
  <conditionalFormatting sqref="U420:Y420">
    <cfRule type="notContainsBlanks" dxfId="7807" priority="8091">
      <formula>LEN(TRIM(U420))&gt;0</formula>
    </cfRule>
  </conditionalFormatting>
  <conditionalFormatting sqref="U420:Y420">
    <cfRule type="notContainsBlanks" dxfId="7806" priority="8090">
      <formula>LEN(TRIM(U420))&gt;0</formula>
    </cfRule>
  </conditionalFormatting>
  <conditionalFormatting sqref="U420:Y420">
    <cfRule type="notContainsBlanks" priority="8089">
      <formula>LEN(TRIM(U420))&gt;0</formula>
    </cfRule>
  </conditionalFormatting>
  <conditionalFormatting sqref="U420:Y420">
    <cfRule type="notContainsBlanks" dxfId="7805" priority="8088">
      <formula>LEN(TRIM(U420))&gt;0</formula>
    </cfRule>
  </conditionalFormatting>
  <conditionalFormatting sqref="U420:Y420">
    <cfRule type="notContainsBlanks" dxfId="7804" priority="8087">
      <formula>LEN(TRIM(U420))&gt;0</formula>
    </cfRule>
  </conditionalFormatting>
  <conditionalFormatting sqref="U420:Y420">
    <cfRule type="notContainsBlanks" dxfId="7803" priority="8086">
      <formula>LEN(TRIM(U420))&gt;0</formula>
    </cfRule>
  </conditionalFormatting>
  <conditionalFormatting sqref="U420:Y420">
    <cfRule type="notContainsBlanks" dxfId="7802" priority="8085">
      <formula>LEN(TRIM(U420))&gt;0</formula>
    </cfRule>
  </conditionalFormatting>
  <conditionalFormatting sqref="AB420:AF420">
    <cfRule type="notContainsBlanks" dxfId="7801" priority="8084">
      <formula>LEN(TRIM(AB420))&gt;0</formula>
    </cfRule>
  </conditionalFormatting>
  <conditionalFormatting sqref="AB420:AF420">
    <cfRule type="notContainsBlanks" dxfId="7800" priority="8083">
      <formula>LEN(TRIM(AB420))&gt;0</formula>
    </cfRule>
  </conditionalFormatting>
  <conditionalFormatting sqref="AB420:AF420">
    <cfRule type="notContainsBlanks" dxfId="7799" priority="8082">
      <formula>LEN(TRIM(AB420))&gt;0</formula>
    </cfRule>
  </conditionalFormatting>
  <conditionalFormatting sqref="AB420:AF420">
    <cfRule type="notContainsBlanks" dxfId="7798" priority="8081">
      <formula>LEN(TRIM(AB420))&gt;0</formula>
    </cfRule>
  </conditionalFormatting>
  <conditionalFormatting sqref="AB420:AF420">
    <cfRule type="notContainsBlanks" dxfId="7797" priority="8080">
      <formula>LEN(TRIM(AB420))&gt;0</formula>
    </cfRule>
  </conditionalFormatting>
  <conditionalFormatting sqref="AB420:AF420">
    <cfRule type="notContainsBlanks" dxfId="7796" priority="8079">
      <formula>LEN(TRIM(AB420))&gt;0</formula>
    </cfRule>
  </conditionalFormatting>
  <conditionalFormatting sqref="AB420:AF420">
    <cfRule type="notContainsBlanks" dxfId="7795" priority="8078">
      <formula>LEN(TRIM(AB420))&gt;0</formula>
    </cfRule>
  </conditionalFormatting>
  <conditionalFormatting sqref="AB420:AF420">
    <cfRule type="notContainsBlanks" dxfId="7794" priority="8077">
      <formula>LEN(TRIM(AB420))&gt;0</formula>
    </cfRule>
  </conditionalFormatting>
  <conditionalFormatting sqref="AB420:AF420">
    <cfRule type="notContainsBlanks" dxfId="7793" priority="8076">
      <formula>LEN(TRIM(AB420))&gt;0</formula>
    </cfRule>
  </conditionalFormatting>
  <conditionalFormatting sqref="AB420:AF420">
    <cfRule type="notContainsBlanks" dxfId="7792" priority="8074">
      <formula>LEN(TRIM(AB420))&gt;0</formula>
    </cfRule>
    <cfRule type="notContainsBlanks" dxfId="7791" priority="8075">
      <formula>LEN(TRIM(AB420))&gt;0</formula>
    </cfRule>
  </conditionalFormatting>
  <conditionalFormatting sqref="AB420:AF420">
    <cfRule type="notContainsBlanks" dxfId="7790" priority="8073">
      <formula>LEN(TRIM(AB420))&gt;0</formula>
    </cfRule>
  </conditionalFormatting>
  <conditionalFormatting sqref="AB420:AF420">
    <cfRule type="notContainsBlanks" dxfId="7789" priority="8072">
      <formula>LEN(TRIM(AB420))&gt;0</formula>
    </cfRule>
  </conditionalFormatting>
  <conditionalFormatting sqref="AB420:AF420">
    <cfRule type="notContainsBlanks" dxfId="7788" priority="8071">
      <formula>LEN(TRIM(AB420))&gt;0</formula>
    </cfRule>
  </conditionalFormatting>
  <conditionalFormatting sqref="AB420:AF420">
    <cfRule type="notContainsBlanks" dxfId="7787" priority="8070">
      <formula>LEN(TRIM(AB420))&gt;0</formula>
    </cfRule>
  </conditionalFormatting>
  <conditionalFormatting sqref="AB420:AF420">
    <cfRule type="notContainsBlanks" dxfId="7786" priority="8069">
      <formula>LEN(TRIM(AB420))&gt;0</formula>
    </cfRule>
  </conditionalFormatting>
  <conditionalFormatting sqref="AB420:AF420">
    <cfRule type="notContainsBlanks" dxfId="7785" priority="8068">
      <formula>LEN(TRIM(AB420))&gt;0</formula>
    </cfRule>
  </conditionalFormatting>
  <conditionalFormatting sqref="AB420:AF420">
    <cfRule type="notContainsBlanks" dxfId="7784" priority="8067">
      <formula>LEN(TRIM(AB420))&gt;0</formula>
    </cfRule>
  </conditionalFormatting>
  <conditionalFormatting sqref="AB420:AF420">
    <cfRule type="notContainsBlanks" dxfId="7783" priority="8066">
      <formula>LEN(TRIM(AB420))&gt;0</formula>
    </cfRule>
  </conditionalFormatting>
  <conditionalFormatting sqref="AB420:AF420">
    <cfRule type="notContainsBlanks" dxfId="7782" priority="8065">
      <formula>LEN(TRIM(AB420))&gt;0</formula>
    </cfRule>
  </conditionalFormatting>
  <conditionalFormatting sqref="AB420:AF420">
    <cfRule type="notContainsBlanks" priority="8064">
      <formula>LEN(TRIM(AB420))&gt;0</formula>
    </cfRule>
  </conditionalFormatting>
  <conditionalFormatting sqref="AB420:AF420">
    <cfRule type="notContainsBlanks" dxfId="7781" priority="8063">
      <formula>LEN(TRIM(AB420))&gt;0</formula>
    </cfRule>
  </conditionalFormatting>
  <conditionalFormatting sqref="AB420:AF420">
    <cfRule type="notContainsBlanks" dxfId="7780" priority="8062">
      <formula>LEN(TRIM(AB420))&gt;0</formula>
    </cfRule>
  </conditionalFormatting>
  <conditionalFormatting sqref="AB420:AF420">
    <cfRule type="notContainsBlanks" dxfId="7779" priority="8061">
      <formula>LEN(TRIM(AB420))&gt;0</formula>
    </cfRule>
  </conditionalFormatting>
  <conditionalFormatting sqref="AB420:AF420">
    <cfRule type="notContainsBlanks" dxfId="7778" priority="8060">
      <formula>LEN(TRIM(AB420))&gt;0</formula>
    </cfRule>
  </conditionalFormatting>
  <conditionalFormatting sqref="B418:E429 G420:K420 L418:L419 N420:R420 S418:S419 U420:Y420 Z418:Z419 AB420:AF420 AG418:AG419">
    <cfRule type="notContainsBlanks" dxfId="7777" priority="8059">
      <formula>LEN(TRIM(B418))&gt;0</formula>
    </cfRule>
  </conditionalFormatting>
  <conditionalFormatting sqref="G433">
    <cfRule type="notContainsBlanks" dxfId="7776" priority="8058">
      <formula>LEN(TRIM(G433))&gt;0</formula>
    </cfRule>
  </conditionalFormatting>
  <conditionalFormatting sqref="H433:K433">
    <cfRule type="notContainsBlanks" dxfId="7775" priority="8057">
      <formula>LEN(TRIM(H433))&gt;0</formula>
    </cfRule>
  </conditionalFormatting>
  <conditionalFormatting sqref="G433:K433">
    <cfRule type="notContainsBlanks" dxfId="7774" priority="8056">
      <formula>LEN(TRIM(G433))&gt;0</formula>
    </cfRule>
  </conditionalFormatting>
  <conditionalFormatting sqref="G433:K433">
    <cfRule type="notContainsBlanks" dxfId="7773" priority="8055">
      <formula>LEN(TRIM(G433))&gt;0</formula>
    </cfRule>
  </conditionalFormatting>
  <conditionalFormatting sqref="G433:K433">
    <cfRule type="notContainsBlanks" dxfId="7772" priority="8054">
      <formula>LEN(TRIM(G433))&gt;0</formula>
    </cfRule>
  </conditionalFormatting>
  <conditionalFormatting sqref="G433:K433">
    <cfRule type="notContainsBlanks" dxfId="7771" priority="8053">
      <formula>LEN(TRIM(G433))&gt;0</formula>
    </cfRule>
  </conditionalFormatting>
  <conditionalFormatting sqref="G433:K433">
    <cfRule type="notContainsBlanks" dxfId="7770" priority="8052">
      <formula>LEN(TRIM(G433))&gt;0</formula>
    </cfRule>
  </conditionalFormatting>
  <conditionalFormatting sqref="G433:K433">
    <cfRule type="notContainsBlanks" dxfId="7769" priority="8051">
      <formula>LEN(TRIM(G433))&gt;0</formula>
    </cfRule>
  </conditionalFormatting>
  <conditionalFormatting sqref="G433:K433">
    <cfRule type="notContainsBlanks" dxfId="7768" priority="8050">
      <formula>LEN(TRIM(G433))&gt;0</formula>
    </cfRule>
  </conditionalFormatting>
  <conditionalFormatting sqref="G433:K433">
    <cfRule type="notContainsBlanks" dxfId="7767" priority="8049">
      <formula>LEN(TRIM(G433))&gt;0</formula>
    </cfRule>
  </conditionalFormatting>
  <conditionalFormatting sqref="G433:K433">
    <cfRule type="notContainsBlanks" dxfId="7766" priority="8048">
      <formula>LEN(TRIM(G433))&gt;0</formula>
    </cfRule>
  </conditionalFormatting>
  <conditionalFormatting sqref="G433:K433">
    <cfRule type="notContainsBlanks" dxfId="7765" priority="8046">
      <formula>LEN(TRIM(G433))&gt;0</formula>
    </cfRule>
    <cfRule type="notContainsBlanks" dxfId="7764" priority="8047">
      <formula>LEN(TRIM(G433))&gt;0</formula>
    </cfRule>
  </conditionalFormatting>
  <conditionalFormatting sqref="G433:K433">
    <cfRule type="notContainsBlanks" dxfId="7763" priority="8045">
      <formula>LEN(TRIM(G433))&gt;0</formula>
    </cfRule>
  </conditionalFormatting>
  <conditionalFormatting sqref="G433:K433">
    <cfRule type="notContainsBlanks" dxfId="7762" priority="8044">
      <formula>LEN(TRIM(G433))&gt;0</formula>
    </cfRule>
  </conditionalFormatting>
  <conditionalFormatting sqref="G433:K433">
    <cfRule type="notContainsBlanks" dxfId="7761" priority="8043">
      <formula>LEN(TRIM(G433))&gt;0</formula>
    </cfRule>
  </conditionalFormatting>
  <conditionalFormatting sqref="G433:K433">
    <cfRule type="notContainsBlanks" dxfId="7760" priority="8042">
      <formula>LEN(TRIM(G433))&gt;0</formula>
    </cfRule>
  </conditionalFormatting>
  <conditionalFormatting sqref="G433:K433">
    <cfRule type="notContainsBlanks" dxfId="7759" priority="8041">
      <formula>LEN(TRIM(G433))&gt;0</formula>
    </cfRule>
  </conditionalFormatting>
  <conditionalFormatting sqref="G433:K433">
    <cfRule type="notContainsBlanks" dxfId="7758" priority="8040">
      <formula>LEN(TRIM(G433))&gt;0</formula>
    </cfRule>
  </conditionalFormatting>
  <conditionalFormatting sqref="G433:K433">
    <cfRule type="notContainsBlanks" dxfId="7757" priority="8039">
      <formula>LEN(TRIM(G433))&gt;0</formula>
    </cfRule>
  </conditionalFormatting>
  <conditionalFormatting sqref="G433:K433">
    <cfRule type="notContainsBlanks" dxfId="7756" priority="8038">
      <formula>LEN(TRIM(G433))&gt;0</formula>
    </cfRule>
  </conditionalFormatting>
  <conditionalFormatting sqref="G433:K433">
    <cfRule type="notContainsBlanks" dxfId="7755" priority="8037">
      <formula>LEN(TRIM(G433))&gt;0</formula>
    </cfRule>
  </conditionalFormatting>
  <conditionalFormatting sqref="G433:K433">
    <cfRule type="notContainsBlanks" priority="8036">
      <formula>LEN(TRIM(G433))&gt;0</formula>
    </cfRule>
  </conditionalFormatting>
  <conditionalFormatting sqref="G433:K433">
    <cfRule type="notContainsBlanks" dxfId="7754" priority="8035">
      <formula>LEN(TRIM(G433))&gt;0</formula>
    </cfRule>
  </conditionalFormatting>
  <conditionalFormatting sqref="G433:K433">
    <cfRule type="notContainsBlanks" dxfId="7753" priority="8034">
      <formula>LEN(TRIM(G433))&gt;0</formula>
    </cfRule>
  </conditionalFormatting>
  <conditionalFormatting sqref="G433:K433">
    <cfRule type="notContainsBlanks" dxfId="7752" priority="8033">
      <formula>LEN(TRIM(G433))&gt;0</formula>
    </cfRule>
  </conditionalFormatting>
  <conditionalFormatting sqref="G433:K433">
    <cfRule type="notContainsBlanks" dxfId="7751" priority="8032">
      <formula>LEN(TRIM(G433))&gt;0</formula>
    </cfRule>
  </conditionalFormatting>
  <conditionalFormatting sqref="G433:K433">
    <cfRule type="notContainsBlanks" dxfId="7750" priority="8031">
      <formula>LEN(TRIM(G433))&gt;0</formula>
    </cfRule>
  </conditionalFormatting>
  <conditionalFormatting sqref="N433:R433">
    <cfRule type="notContainsBlanks" dxfId="7749" priority="8030">
      <formula>LEN(TRIM(N433))&gt;0</formula>
    </cfRule>
  </conditionalFormatting>
  <conditionalFormatting sqref="N433:R433">
    <cfRule type="notContainsBlanks" dxfId="7748" priority="8029">
      <formula>LEN(TRIM(N433))&gt;0</formula>
    </cfRule>
  </conditionalFormatting>
  <conditionalFormatting sqref="N433:R433">
    <cfRule type="notContainsBlanks" dxfId="7747" priority="8028">
      <formula>LEN(TRIM(N433))&gt;0</formula>
    </cfRule>
  </conditionalFormatting>
  <conditionalFormatting sqref="N433:R433">
    <cfRule type="notContainsBlanks" dxfId="7746" priority="8027">
      <formula>LEN(TRIM(N433))&gt;0</formula>
    </cfRule>
  </conditionalFormatting>
  <conditionalFormatting sqref="N433:R433">
    <cfRule type="notContainsBlanks" dxfId="7745" priority="8026">
      <formula>LEN(TRIM(N433))&gt;0</formula>
    </cfRule>
  </conditionalFormatting>
  <conditionalFormatting sqref="N433:R433">
    <cfRule type="notContainsBlanks" dxfId="7744" priority="8025">
      <formula>LEN(TRIM(N433))&gt;0</formula>
    </cfRule>
  </conditionalFormatting>
  <conditionalFormatting sqref="N433:R433">
    <cfRule type="notContainsBlanks" dxfId="7743" priority="8024">
      <formula>LEN(TRIM(N433))&gt;0</formula>
    </cfRule>
  </conditionalFormatting>
  <conditionalFormatting sqref="N433:R433">
    <cfRule type="notContainsBlanks" dxfId="7742" priority="8023">
      <formula>LEN(TRIM(N433))&gt;0</formula>
    </cfRule>
  </conditionalFormatting>
  <conditionalFormatting sqref="N433:R433">
    <cfRule type="notContainsBlanks" dxfId="7741" priority="8022">
      <formula>LEN(TRIM(N433))&gt;0</formula>
    </cfRule>
  </conditionalFormatting>
  <conditionalFormatting sqref="N433:R433">
    <cfRule type="notContainsBlanks" dxfId="7740" priority="8020">
      <formula>LEN(TRIM(N433))&gt;0</formula>
    </cfRule>
    <cfRule type="notContainsBlanks" dxfId="7739" priority="8021">
      <formula>LEN(TRIM(N433))&gt;0</formula>
    </cfRule>
  </conditionalFormatting>
  <conditionalFormatting sqref="N433:R433">
    <cfRule type="notContainsBlanks" dxfId="7738" priority="8019">
      <formula>LEN(TRIM(N433))&gt;0</formula>
    </cfRule>
  </conditionalFormatting>
  <conditionalFormatting sqref="N433:R433">
    <cfRule type="notContainsBlanks" dxfId="7737" priority="8018">
      <formula>LEN(TRIM(N433))&gt;0</formula>
    </cfRule>
  </conditionalFormatting>
  <conditionalFormatting sqref="N433:R433">
    <cfRule type="notContainsBlanks" dxfId="7736" priority="8017">
      <formula>LEN(TRIM(N433))&gt;0</formula>
    </cfRule>
  </conditionalFormatting>
  <conditionalFormatting sqref="N433:R433">
    <cfRule type="notContainsBlanks" dxfId="7735" priority="8016">
      <formula>LEN(TRIM(N433))&gt;0</formula>
    </cfRule>
  </conditionalFormatting>
  <conditionalFormatting sqref="N433:R433">
    <cfRule type="notContainsBlanks" dxfId="7734" priority="8015">
      <formula>LEN(TRIM(N433))&gt;0</formula>
    </cfRule>
  </conditionalFormatting>
  <conditionalFormatting sqref="N433:R433">
    <cfRule type="notContainsBlanks" dxfId="7733" priority="8014">
      <formula>LEN(TRIM(N433))&gt;0</formula>
    </cfRule>
  </conditionalFormatting>
  <conditionalFormatting sqref="N433:R433">
    <cfRule type="notContainsBlanks" dxfId="7732" priority="8013">
      <formula>LEN(TRIM(N433))&gt;0</formula>
    </cfRule>
  </conditionalFormatting>
  <conditionalFormatting sqref="N433:R433">
    <cfRule type="notContainsBlanks" dxfId="7731" priority="8012">
      <formula>LEN(TRIM(N433))&gt;0</formula>
    </cfRule>
  </conditionalFormatting>
  <conditionalFormatting sqref="N433:R433">
    <cfRule type="notContainsBlanks" dxfId="7730" priority="8011">
      <formula>LEN(TRIM(N433))&gt;0</formula>
    </cfRule>
  </conditionalFormatting>
  <conditionalFormatting sqref="N433:R433">
    <cfRule type="notContainsBlanks" priority="8010">
      <formula>LEN(TRIM(N433))&gt;0</formula>
    </cfRule>
  </conditionalFormatting>
  <conditionalFormatting sqref="N433:R433">
    <cfRule type="notContainsBlanks" dxfId="7729" priority="8009">
      <formula>LEN(TRIM(N433))&gt;0</formula>
    </cfRule>
  </conditionalFormatting>
  <conditionalFormatting sqref="N433:R433">
    <cfRule type="notContainsBlanks" dxfId="7728" priority="8008">
      <formula>LEN(TRIM(N433))&gt;0</formula>
    </cfRule>
  </conditionalFormatting>
  <conditionalFormatting sqref="N433:R433">
    <cfRule type="notContainsBlanks" dxfId="7727" priority="8007">
      <formula>LEN(TRIM(N433))&gt;0</formula>
    </cfRule>
  </conditionalFormatting>
  <conditionalFormatting sqref="N433:R433">
    <cfRule type="notContainsBlanks" dxfId="7726" priority="8006">
      <formula>LEN(TRIM(N433))&gt;0</formula>
    </cfRule>
  </conditionalFormatting>
  <conditionalFormatting sqref="N433:R433">
    <cfRule type="notContainsBlanks" dxfId="7725" priority="8005">
      <formula>LEN(TRIM(N433))&gt;0</formula>
    </cfRule>
  </conditionalFormatting>
  <conditionalFormatting sqref="G446">
    <cfRule type="notContainsBlanks" dxfId="7724" priority="8004">
      <formula>LEN(TRIM(G446))&gt;0</formula>
    </cfRule>
  </conditionalFormatting>
  <conditionalFormatting sqref="H446:K446">
    <cfRule type="notContainsBlanks" dxfId="7723" priority="8003">
      <formula>LEN(TRIM(H446))&gt;0</formula>
    </cfRule>
  </conditionalFormatting>
  <conditionalFormatting sqref="G446:K446">
    <cfRule type="notContainsBlanks" dxfId="7722" priority="8002">
      <formula>LEN(TRIM(G446))&gt;0</formula>
    </cfRule>
  </conditionalFormatting>
  <conditionalFormatting sqref="G446:K446">
    <cfRule type="notContainsBlanks" dxfId="7721" priority="8001">
      <formula>LEN(TRIM(G446))&gt;0</formula>
    </cfRule>
  </conditionalFormatting>
  <conditionalFormatting sqref="G446:K446">
    <cfRule type="notContainsBlanks" dxfId="7720" priority="8000">
      <formula>LEN(TRIM(G446))&gt;0</formula>
    </cfRule>
  </conditionalFormatting>
  <conditionalFormatting sqref="G446:K446">
    <cfRule type="notContainsBlanks" dxfId="7719" priority="7999">
      <formula>LEN(TRIM(G446))&gt;0</formula>
    </cfRule>
  </conditionalFormatting>
  <conditionalFormatting sqref="G446:K446">
    <cfRule type="notContainsBlanks" dxfId="7718" priority="7998">
      <formula>LEN(TRIM(G446))&gt;0</formula>
    </cfRule>
  </conditionalFormatting>
  <conditionalFormatting sqref="G446:K446">
    <cfRule type="notContainsBlanks" dxfId="7717" priority="7997">
      <formula>LEN(TRIM(G446))&gt;0</formula>
    </cfRule>
  </conditionalFormatting>
  <conditionalFormatting sqref="G446:K446">
    <cfRule type="notContainsBlanks" dxfId="7716" priority="7996">
      <formula>LEN(TRIM(G446))&gt;0</formula>
    </cfRule>
  </conditionalFormatting>
  <conditionalFormatting sqref="G446:K446">
    <cfRule type="notContainsBlanks" dxfId="7715" priority="7995">
      <formula>LEN(TRIM(G446))&gt;0</formula>
    </cfRule>
  </conditionalFormatting>
  <conditionalFormatting sqref="G446:K446">
    <cfRule type="notContainsBlanks" dxfId="7714" priority="7994">
      <formula>LEN(TRIM(G446))&gt;0</formula>
    </cfRule>
  </conditionalFormatting>
  <conditionalFormatting sqref="G446:K446">
    <cfRule type="notContainsBlanks" dxfId="7713" priority="7992">
      <formula>LEN(TRIM(G446))&gt;0</formula>
    </cfRule>
    <cfRule type="notContainsBlanks" dxfId="7712" priority="7993">
      <formula>LEN(TRIM(G446))&gt;0</formula>
    </cfRule>
  </conditionalFormatting>
  <conditionalFormatting sqref="G446:K446">
    <cfRule type="notContainsBlanks" dxfId="7711" priority="7991">
      <formula>LEN(TRIM(G446))&gt;0</formula>
    </cfRule>
  </conditionalFormatting>
  <conditionalFormatting sqref="G446:K446">
    <cfRule type="notContainsBlanks" dxfId="7710" priority="7990">
      <formula>LEN(TRIM(G446))&gt;0</formula>
    </cfRule>
  </conditionalFormatting>
  <conditionalFormatting sqref="G446:K446">
    <cfRule type="notContainsBlanks" dxfId="7709" priority="7989">
      <formula>LEN(TRIM(G446))&gt;0</formula>
    </cfRule>
  </conditionalFormatting>
  <conditionalFormatting sqref="G446:K446">
    <cfRule type="notContainsBlanks" dxfId="7708" priority="7988">
      <formula>LEN(TRIM(G446))&gt;0</formula>
    </cfRule>
  </conditionalFormatting>
  <conditionalFormatting sqref="G446:K446">
    <cfRule type="notContainsBlanks" dxfId="7707" priority="7987">
      <formula>LEN(TRIM(G446))&gt;0</formula>
    </cfRule>
  </conditionalFormatting>
  <conditionalFormatting sqref="G446:K446">
    <cfRule type="notContainsBlanks" dxfId="7706" priority="7986">
      <formula>LEN(TRIM(G446))&gt;0</formula>
    </cfRule>
  </conditionalFormatting>
  <conditionalFormatting sqref="G446:K446">
    <cfRule type="notContainsBlanks" dxfId="7705" priority="7985">
      <formula>LEN(TRIM(G446))&gt;0</formula>
    </cfRule>
  </conditionalFormatting>
  <conditionalFormatting sqref="G446:K446">
    <cfRule type="notContainsBlanks" dxfId="7704" priority="7984">
      <formula>LEN(TRIM(G446))&gt;0</formula>
    </cfRule>
  </conditionalFormatting>
  <conditionalFormatting sqref="G446:K446">
    <cfRule type="notContainsBlanks" dxfId="7703" priority="7983">
      <formula>LEN(TRIM(G446))&gt;0</formula>
    </cfRule>
  </conditionalFormatting>
  <conditionalFormatting sqref="G446:K446">
    <cfRule type="notContainsBlanks" priority="7982">
      <formula>LEN(TRIM(G446))&gt;0</formula>
    </cfRule>
  </conditionalFormatting>
  <conditionalFormatting sqref="G446:K446">
    <cfRule type="notContainsBlanks" dxfId="7702" priority="7981">
      <formula>LEN(TRIM(G446))&gt;0</formula>
    </cfRule>
  </conditionalFormatting>
  <conditionalFormatting sqref="G446:K446">
    <cfRule type="notContainsBlanks" dxfId="7701" priority="7980">
      <formula>LEN(TRIM(G446))&gt;0</formula>
    </cfRule>
  </conditionalFormatting>
  <conditionalFormatting sqref="G446:K446">
    <cfRule type="notContainsBlanks" dxfId="7700" priority="7979">
      <formula>LEN(TRIM(G446))&gt;0</formula>
    </cfRule>
  </conditionalFormatting>
  <conditionalFormatting sqref="G446:K446">
    <cfRule type="notContainsBlanks" dxfId="7699" priority="7978">
      <formula>LEN(TRIM(G446))&gt;0</formula>
    </cfRule>
  </conditionalFormatting>
  <conditionalFormatting sqref="G446:K446">
    <cfRule type="notContainsBlanks" dxfId="7698" priority="7977">
      <formula>LEN(TRIM(G446))&gt;0</formula>
    </cfRule>
  </conditionalFormatting>
  <conditionalFormatting sqref="B431:E442 B444:E455 B457:E468 B470:E481 B483:E494 B496:E507 B509:E520 B522:E533 B535:E546 B548:E559 B561:E572 B574:E585 B587:E598 B600:E611 B613:E624 B626:E637 B639:E650 B652:E663 B665:E676 B678:E689 B691:E702 B704:E715 B717:E728 B730:E741 B743:E754 B756:E767 B769:E780 B782:E793 B795:E806 B808:E819 B821:E832 B834:E845 B847:E858 B860:E871 B873:E884 B886:E897 B899:E910 B912:E923 B925:E936 B938:E949 B951:E962 B964:E975 B977:E988 B990:E1001 B1003:E1014 B1016:E1027 B1029:E1040 B1042:E1053 B1055:E1066 B1068:E1079 B1081:E1092 B1094:E1105 B1107:E1118 B1120:E1131 B1133:E1144 B1146:E1157 B1159:E1170 B1172:E1183 B1185:E1196 B1198:E1209 B1211:E1222 B1224:E1235 B1237:E1248 B1250:E1261 B1263:E1274 B1276:E1287 B1289:E1300 B1302:E1313 B1315:E1326 B1328:E1339">
    <cfRule type="notContainsBlanks" dxfId="7697" priority="7976">
      <formula>LEN(TRIM(B431))&gt;0</formula>
    </cfRule>
  </conditionalFormatting>
  <conditionalFormatting sqref="G459">
    <cfRule type="notContainsBlanks" dxfId="7696" priority="7975">
      <formula>LEN(TRIM(G459))&gt;0</formula>
    </cfRule>
  </conditionalFormatting>
  <conditionalFormatting sqref="H459:K459">
    <cfRule type="notContainsBlanks" dxfId="7695" priority="7974">
      <formula>LEN(TRIM(H459))&gt;0</formula>
    </cfRule>
  </conditionalFormatting>
  <conditionalFormatting sqref="G459:K459">
    <cfRule type="notContainsBlanks" dxfId="7694" priority="7973">
      <formula>LEN(TRIM(G459))&gt;0</formula>
    </cfRule>
  </conditionalFormatting>
  <conditionalFormatting sqref="G459:K459">
    <cfRule type="notContainsBlanks" dxfId="7693" priority="7972">
      <formula>LEN(TRIM(G459))&gt;0</formula>
    </cfRule>
  </conditionalFormatting>
  <conditionalFormatting sqref="G459:K459">
    <cfRule type="notContainsBlanks" dxfId="7692" priority="7971">
      <formula>LEN(TRIM(G459))&gt;0</formula>
    </cfRule>
  </conditionalFormatting>
  <conditionalFormatting sqref="G459:K459">
    <cfRule type="notContainsBlanks" dxfId="7691" priority="7970">
      <formula>LEN(TRIM(G459))&gt;0</formula>
    </cfRule>
  </conditionalFormatting>
  <conditionalFormatting sqref="G459:K459">
    <cfRule type="notContainsBlanks" dxfId="7690" priority="7969">
      <formula>LEN(TRIM(G459))&gt;0</formula>
    </cfRule>
  </conditionalFormatting>
  <conditionalFormatting sqref="G459:K459">
    <cfRule type="notContainsBlanks" dxfId="7689" priority="7968">
      <formula>LEN(TRIM(G459))&gt;0</formula>
    </cfRule>
  </conditionalFormatting>
  <conditionalFormatting sqref="G459:K459">
    <cfRule type="notContainsBlanks" dxfId="7688" priority="7967">
      <formula>LEN(TRIM(G459))&gt;0</formula>
    </cfRule>
  </conditionalFormatting>
  <conditionalFormatting sqref="G459:K459">
    <cfRule type="notContainsBlanks" dxfId="7687" priority="7966">
      <formula>LEN(TRIM(G459))&gt;0</formula>
    </cfRule>
  </conditionalFormatting>
  <conditionalFormatting sqref="G459:K459">
    <cfRule type="notContainsBlanks" dxfId="7686" priority="7965">
      <formula>LEN(TRIM(G459))&gt;0</formula>
    </cfRule>
  </conditionalFormatting>
  <conditionalFormatting sqref="G459:K459">
    <cfRule type="notContainsBlanks" dxfId="7685" priority="7963">
      <formula>LEN(TRIM(G459))&gt;0</formula>
    </cfRule>
    <cfRule type="notContainsBlanks" dxfId="7684" priority="7964">
      <formula>LEN(TRIM(G459))&gt;0</formula>
    </cfRule>
  </conditionalFormatting>
  <conditionalFormatting sqref="G459:K459">
    <cfRule type="notContainsBlanks" dxfId="7683" priority="7962">
      <formula>LEN(TRIM(G459))&gt;0</formula>
    </cfRule>
  </conditionalFormatting>
  <conditionalFormatting sqref="G459:K459">
    <cfRule type="notContainsBlanks" dxfId="7682" priority="7961">
      <formula>LEN(TRIM(G459))&gt;0</formula>
    </cfRule>
  </conditionalFormatting>
  <conditionalFormatting sqref="G459:K459">
    <cfRule type="notContainsBlanks" dxfId="7681" priority="7960">
      <formula>LEN(TRIM(G459))&gt;0</formula>
    </cfRule>
  </conditionalFormatting>
  <conditionalFormatting sqref="G459:K459">
    <cfRule type="notContainsBlanks" dxfId="7680" priority="7959">
      <formula>LEN(TRIM(G459))&gt;0</formula>
    </cfRule>
  </conditionalFormatting>
  <conditionalFormatting sqref="G459:K459">
    <cfRule type="notContainsBlanks" dxfId="7679" priority="7958">
      <formula>LEN(TRIM(G459))&gt;0</formula>
    </cfRule>
  </conditionalFormatting>
  <conditionalFormatting sqref="G459:K459">
    <cfRule type="notContainsBlanks" dxfId="7678" priority="7957">
      <formula>LEN(TRIM(G459))&gt;0</formula>
    </cfRule>
  </conditionalFormatting>
  <conditionalFormatting sqref="G459:K459">
    <cfRule type="notContainsBlanks" dxfId="7677" priority="7956">
      <formula>LEN(TRIM(G459))&gt;0</formula>
    </cfRule>
  </conditionalFormatting>
  <conditionalFormatting sqref="G459:K459">
    <cfRule type="notContainsBlanks" dxfId="7676" priority="7955">
      <formula>LEN(TRIM(G459))&gt;0</formula>
    </cfRule>
  </conditionalFormatting>
  <conditionalFormatting sqref="G459:K459">
    <cfRule type="notContainsBlanks" dxfId="7675" priority="7954">
      <formula>LEN(TRIM(G459))&gt;0</formula>
    </cfRule>
  </conditionalFormatting>
  <conditionalFormatting sqref="G459:K459">
    <cfRule type="notContainsBlanks" priority="7953">
      <formula>LEN(TRIM(G459))&gt;0</formula>
    </cfRule>
  </conditionalFormatting>
  <conditionalFormatting sqref="G459:K459">
    <cfRule type="notContainsBlanks" dxfId="7674" priority="7952">
      <formula>LEN(TRIM(G459))&gt;0</formula>
    </cfRule>
  </conditionalFormatting>
  <conditionalFormatting sqref="G459:K459">
    <cfRule type="notContainsBlanks" dxfId="7673" priority="7951">
      <formula>LEN(TRIM(G459))&gt;0</formula>
    </cfRule>
  </conditionalFormatting>
  <conditionalFormatting sqref="G459:K459">
    <cfRule type="notContainsBlanks" dxfId="7672" priority="7950">
      <formula>LEN(TRIM(G459))&gt;0</formula>
    </cfRule>
  </conditionalFormatting>
  <conditionalFormatting sqref="G459:K459">
    <cfRule type="notContainsBlanks" dxfId="7671" priority="7949">
      <formula>LEN(TRIM(G459))&gt;0</formula>
    </cfRule>
  </conditionalFormatting>
  <conditionalFormatting sqref="G459:K459">
    <cfRule type="notContainsBlanks" dxfId="7670" priority="7948">
      <formula>LEN(TRIM(G459))&gt;0</formula>
    </cfRule>
  </conditionalFormatting>
  <conditionalFormatting sqref="G472">
    <cfRule type="notContainsBlanks" dxfId="7669" priority="7947">
      <formula>LEN(TRIM(G472))&gt;0</formula>
    </cfRule>
  </conditionalFormatting>
  <conditionalFormatting sqref="H472:K472">
    <cfRule type="notContainsBlanks" dxfId="7668" priority="7946">
      <formula>LEN(TRIM(H472))&gt;0</formula>
    </cfRule>
  </conditionalFormatting>
  <conditionalFormatting sqref="G472:K472">
    <cfRule type="notContainsBlanks" dxfId="7667" priority="7945">
      <formula>LEN(TRIM(G472))&gt;0</formula>
    </cfRule>
  </conditionalFormatting>
  <conditionalFormatting sqref="G472:K472">
    <cfRule type="notContainsBlanks" dxfId="7666" priority="7944">
      <formula>LEN(TRIM(G472))&gt;0</formula>
    </cfRule>
  </conditionalFormatting>
  <conditionalFormatting sqref="G472:K472">
    <cfRule type="notContainsBlanks" dxfId="7665" priority="7943">
      <formula>LEN(TRIM(G472))&gt;0</formula>
    </cfRule>
  </conditionalFormatting>
  <conditionalFormatting sqref="G472:K472">
    <cfRule type="notContainsBlanks" dxfId="7664" priority="7942">
      <formula>LEN(TRIM(G472))&gt;0</formula>
    </cfRule>
  </conditionalFormatting>
  <conditionalFormatting sqref="G472:K472">
    <cfRule type="notContainsBlanks" dxfId="7663" priority="7941">
      <formula>LEN(TRIM(G472))&gt;0</formula>
    </cfRule>
  </conditionalFormatting>
  <conditionalFormatting sqref="G472:K472">
    <cfRule type="notContainsBlanks" dxfId="7662" priority="7940">
      <formula>LEN(TRIM(G472))&gt;0</formula>
    </cfRule>
  </conditionalFormatting>
  <conditionalFormatting sqref="G472:K472">
    <cfRule type="notContainsBlanks" dxfId="7661" priority="7939">
      <formula>LEN(TRIM(G472))&gt;0</formula>
    </cfRule>
  </conditionalFormatting>
  <conditionalFormatting sqref="G472:K472">
    <cfRule type="notContainsBlanks" dxfId="7660" priority="7938">
      <formula>LEN(TRIM(G472))&gt;0</formula>
    </cfRule>
  </conditionalFormatting>
  <conditionalFormatting sqref="G472:K472">
    <cfRule type="notContainsBlanks" dxfId="7659" priority="7937">
      <formula>LEN(TRIM(G472))&gt;0</formula>
    </cfRule>
  </conditionalFormatting>
  <conditionalFormatting sqref="G472:K472">
    <cfRule type="notContainsBlanks" dxfId="7658" priority="7935">
      <formula>LEN(TRIM(G472))&gt;0</formula>
    </cfRule>
    <cfRule type="notContainsBlanks" dxfId="7657" priority="7936">
      <formula>LEN(TRIM(G472))&gt;0</formula>
    </cfRule>
  </conditionalFormatting>
  <conditionalFormatting sqref="G472:K472">
    <cfRule type="notContainsBlanks" dxfId="7656" priority="7934">
      <formula>LEN(TRIM(G472))&gt;0</formula>
    </cfRule>
  </conditionalFormatting>
  <conditionalFormatting sqref="G472:K472">
    <cfRule type="notContainsBlanks" dxfId="7655" priority="7933">
      <formula>LEN(TRIM(G472))&gt;0</formula>
    </cfRule>
  </conditionalFormatting>
  <conditionalFormatting sqref="G472:K472">
    <cfRule type="notContainsBlanks" dxfId="7654" priority="7932">
      <formula>LEN(TRIM(G472))&gt;0</formula>
    </cfRule>
  </conditionalFormatting>
  <conditionalFormatting sqref="G472:K472">
    <cfRule type="notContainsBlanks" dxfId="7653" priority="7931">
      <formula>LEN(TRIM(G472))&gt;0</formula>
    </cfRule>
  </conditionalFormatting>
  <conditionalFormatting sqref="G472:K472">
    <cfRule type="notContainsBlanks" dxfId="7652" priority="7930">
      <formula>LEN(TRIM(G472))&gt;0</formula>
    </cfRule>
  </conditionalFormatting>
  <conditionalFormatting sqref="G472:K472">
    <cfRule type="notContainsBlanks" dxfId="7651" priority="7929">
      <formula>LEN(TRIM(G472))&gt;0</formula>
    </cfRule>
  </conditionalFormatting>
  <conditionalFormatting sqref="G472:K472">
    <cfRule type="notContainsBlanks" dxfId="7650" priority="7928">
      <formula>LEN(TRIM(G472))&gt;0</formula>
    </cfRule>
  </conditionalFormatting>
  <conditionalFormatting sqref="G472:K472">
    <cfRule type="notContainsBlanks" dxfId="7649" priority="7927">
      <formula>LEN(TRIM(G472))&gt;0</formula>
    </cfRule>
  </conditionalFormatting>
  <conditionalFormatting sqref="G472:K472">
    <cfRule type="notContainsBlanks" dxfId="7648" priority="7926">
      <formula>LEN(TRIM(G472))&gt;0</formula>
    </cfRule>
  </conditionalFormatting>
  <conditionalFormatting sqref="G472:K472">
    <cfRule type="notContainsBlanks" priority="7925">
      <formula>LEN(TRIM(G472))&gt;0</formula>
    </cfRule>
  </conditionalFormatting>
  <conditionalFormatting sqref="G472:K472">
    <cfRule type="notContainsBlanks" dxfId="7647" priority="7924">
      <formula>LEN(TRIM(G472))&gt;0</formula>
    </cfRule>
  </conditionalFormatting>
  <conditionalFormatting sqref="G472:K472">
    <cfRule type="notContainsBlanks" dxfId="7646" priority="7923">
      <formula>LEN(TRIM(G472))&gt;0</formula>
    </cfRule>
  </conditionalFormatting>
  <conditionalFormatting sqref="G472:K472">
    <cfRule type="notContainsBlanks" dxfId="7645" priority="7922">
      <formula>LEN(TRIM(G472))&gt;0</formula>
    </cfRule>
  </conditionalFormatting>
  <conditionalFormatting sqref="G472:K472">
    <cfRule type="notContainsBlanks" dxfId="7644" priority="7921">
      <formula>LEN(TRIM(G472))&gt;0</formula>
    </cfRule>
  </conditionalFormatting>
  <conditionalFormatting sqref="G472:K472">
    <cfRule type="notContainsBlanks" dxfId="7643" priority="7920">
      <formula>LEN(TRIM(G472))&gt;0</formula>
    </cfRule>
  </conditionalFormatting>
  <conditionalFormatting sqref="G485">
    <cfRule type="notContainsBlanks" dxfId="7642" priority="7919">
      <formula>LEN(TRIM(G485))&gt;0</formula>
    </cfRule>
  </conditionalFormatting>
  <conditionalFormatting sqref="H485:K485">
    <cfRule type="notContainsBlanks" dxfId="7641" priority="7918">
      <formula>LEN(TRIM(H485))&gt;0</formula>
    </cfRule>
  </conditionalFormatting>
  <conditionalFormatting sqref="G485:K485">
    <cfRule type="notContainsBlanks" dxfId="7640" priority="7917">
      <formula>LEN(TRIM(G485))&gt;0</formula>
    </cfRule>
  </conditionalFormatting>
  <conditionalFormatting sqref="G485:K485">
    <cfRule type="notContainsBlanks" dxfId="7639" priority="7916">
      <formula>LEN(TRIM(G485))&gt;0</formula>
    </cfRule>
  </conditionalFormatting>
  <conditionalFormatting sqref="G485:K485">
    <cfRule type="notContainsBlanks" dxfId="7638" priority="7915">
      <formula>LEN(TRIM(G485))&gt;0</formula>
    </cfRule>
  </conditionalFormatting>
  <conditionalFormatting sqref="G485:K485">
    <cfRule type="notContainsBlanks" dxfId="7637" priority="7914">
      <formula>LEN(TRIM(G485))&gt;0</formula>
    </cfRule>
  </conditionalFormatting>
  <conditionalFormatting sqref="G485:K485">
    <cfRule type="notContainsBlanks" dxfId="7636" priority="7913">
      <formula>LEN(TRIM(G485))&gt;0</formula>
    </cfRule>
  </conditionalFormatting>
  <conditionalFormatting sqref="G485:K485">
    <cfRule type="notContainsBlanks" dxfId="7635" priority="7912">
      <formula>LEN(TRIM(G485))&gt;0</formula>
    </cfRule>
  </conditionalFormatting>
  <conditionalFormatting sqref="G485:K485">
    <cfRule type="notContainsBlanks" dxfId="7634" priority="7911">
      <formula>LEN(TRIM(G485))&gt;0</formula>
    </cfRule>
  </conditionalFormatting>
  <conditionalFormatting sqref="G485:K485">
    <cfRule type="notContainsBlanks" dxfId="7633" priority="7910">
      <formula>LEN(TRIM(G485))&gt;0</formula>
    </cfRule>
  </conditionalFormatting>
  <conditionalFormatting sqref="G485:K485">
    <cfRule type="notContainsBlanks" dxfId="7632" priority="7909">
      <formula>LEN(TRIM(G485))&gt;0</formula>
    </cfRule>
  </conditionalFormatting>
  <conditionalFormatting sqref="G485:K485">
    <cfRule type="notContainsBlanks" dxfId="7631" priority="7907">
      <formula>LEN(TRIM(G485))&gt;0</formula>
    </cfRule>
    <cfRule type="notContainsBlanks" dxfId="7630" priority="7908">
      <formula>LEN(TRIM(G485))&gt;0</formula>
    </cfRule>
  </conditionalFormatting>
  <conditionalFormatting sqref="G485:K485">
    <cfRule type="notContainsBlanks" dxfId="7629" priority="7906">
      <formula>LEN(TRIM(G485))&gt;0</formula>
    </cfRule>
  </conditionalFormatting>
  <conditionalFormatting sqref="G485:K485">
    <cfRule type="notContainsBlanks" dxfId="7628" priority="7905">
      <formula>LEN(TRIM(G485))&gt;0</formula>
    </cfRule>
  </conditionalFormatting>
  <conditionalFormatting sqref="G485:K485">
    <cfRule type="notContainsBlanks" dxfId="7627" priority="7904">
      <formula>LEN(TRIM(G485))&gt;0</formula>
    </cfRule>
  </conditionalFormatting>
  <conditionalFormatting sqref="G485:K485">
    <cfRule type="notContainsBlanks" dxfId="7626" priority="7903">
      <formula>LEN(TRIM(G485))&gt;0</formula>
    </cfRule>
  </conditionalFormatting>
  <conditionalFormatting sqref="G485:K485">
    <cfRule type="notContainsBlanks" dxfId="7625" priority="7902">
      <formula>LEN(TRIM(G485))&gt;0</formula>
    </cfRule>
  </conditionalFormatting>
  <conditionalFormatting sqref="G485:K485">
    <cfRule type="notContainsBlanks" dxfId="7624" priority="7901">
      <formula>LEN(TRIM(G485))&gt;0</formula>
    </cfRule>
  </conditionalFormatting>
  <conditionalFormatting sqref="G485:K485">
    <cfRule type="notContainsBlanks" dxfId="7623" priority="7900">
      <formula>LEN(TRIM(G485))&gt;0</formula>
    </cfRule>
  </conditionalFormatting>
  <conditionalFormatting sqref="G485:K485">
    <cfRule type="notContainsBlanks" dxfId="7622" priority="7899">
      <formula>LEN(TRIM(G485))&gt;0</formula>
    </cfRule>
  </conditionalFormatting>
  <conditionalFormatting sqref="G485:K485">
    <cfRule type="notContainsBlanks" dxfId="7621" priority="7898">
      <formula>LEN(TRIM(G485))&gt;0</formula>
    </cfRule>
  </conditionalFormatting>
  <conditionalFormatting sqref="G485:K485">
    <cfRule type="notContainsBlanks" priority="7897">
      <formula>LEN(TRIM(G485))&gt;0</formula>
    </cfRule>
  </conditionalFormatting>
  <conditionalFormatting sqref="G485:K485">
    <cfRule type="notContainsBlanks" dxfId="7620" priority="7896">
      <formula>LEN(TRIM(G485))&gt;0</formula>
    </cfRule>
  </conditionalFormatting>
  <conditionalFormatting sqref="G485:K485">
    <cfRule type="notContainsBlanks" dxfId="7619" priority="7895">
      <formula>LEN(TRIM(G485))&gt;0</formula>
    </cfRule>
  </conditionalFormatting>
  <conditionalFormatting sqref="G485:K485">
    <cfRule type="notContainsBlanks" dxfId="7618" priority="7894">
      <formula>LEN(TRIM(G485))&gt;0</formula>
    </cfRule>
  </conditionalFormatting>
  <conditionalFormatting sqref="G485:K485">
    <cfRule type="notContainsBlanks" dxfId="7617" priority="7893">
      <formula>LEN(TRIM(G485))&gt;0</formula>
    </cfRule>
  </conditionalFormatting>
  <conditionalFormatting sqref="G485:K485">
    <cfRule type="notContainsBlanks" dxfId="7616" priority="7892">
      <formula>LEN(TRIM(G485))&gt;0</formula>
    </cfRule>
  </conditionalFormatting>
  <conditionalFormatting sqref="G498">
    <cfRule type="notContainsBlanks" dxfId="7615" priority="7891">
      <formula>LEN(TRIM(G498))&gt;0</formula>
    </cfRule>
  </conditionalFormatting>
  <conditionalFormatting sqref="H498:K498">
    <cfRule type="notContainsBlanks" dxfId="7614" priority="7890">
      <formula>LEN(TRIM(H498))&gt;0</formula>
    </cfRule>
  </conditionalFormatting>
  <conditionalFormatting sqref="G498:K498">
    <cfRule type="notContainsBlanks" dxfId="7613" priority="7889">
      <formula>LEN(TRIM(G498))&gt;0</formula>
    </cfRule>
  </conditionalFormatting>
  <conditionalFormatting sqref="G498:K498">
    <cfRule type="notContainsBlanks" dxfId="7612" priority="7888">
      <formula>LEN(TRIM(G498))&gt;0</formula>
    </cfRule>
  </conditionalFormatting>
  <conditionalFormatting sqref="G498:K498">
    <cfRule type="notContainsBlanks" dxfId="7611" priority="7887">
      <formula>LEN(TRIM(G498))&gt;0</formula>
    </cfRule>
  </conditionalFormatting>
  <conditionalFormatting sqref="G498:K498">
    <cfRule type="notContainsBlanks" dxfId="7610" priority="7886">
      <formula>LEN(TRIM(G498))&gt;0</formula>
    </cfRule>
  </conditionalFormatting>
  <conditionalFormatting sqref="G498:K498">
    <cfRule type="notContainsBlanks" dxfId="7609" priority="7885">
      <formula>LEN(TRIM(G498))&gt;0</formula>
    </cfRule>
  </conditionalFormatting>
  <conditionalFormatting sqref="G498:K498">
    <cfRule type="notContainsBlanks" dxfId="7608" priority="7884">
      <formula>LEN(TRIM(G498))&gt;0</formula>
    </cfRule>
  </conditionalFormatting>
  <conditionalFormatting sqref="G498:K498">
    <cfRule type="notContainsBlanks" dxfId="7607" priority="7883">
      <formula>LEN(TRIM(G498))&gt;0</formula>
    </cfRule>
  </conditionalFormatting>
  <conditionalFormatting sqref="G498:K498">
    <cfRule type="notContainsBlanks" dxfId="7606" priority="7882">
      <formula>LEN(TRIM(G498))&gt;0</formula>
    </cfRule>
  </conditionalFormatting>
  <conditionalFormatting sqref="G498:K498">
    <cfRule type="notContainsBlanks" dxfId="7605" priority="7881">
      <formula>LEN(TRIM(G498))&gt;0</formula>
    </cfRule>
  </conditionalFormatting>
  <conditionalFormatting sqref="G498:K498">
    <cfRule type="notContainsBlanks" dxfId="7604" priority="7879">
      <formula>LEN(TRIM(G498))&gt;0</formula>
    </cfRule>
    <cfRule type="notContainsBlanks" dxfId="7603" priority="7880">
      <formula>LEN(TRIM(G498))&gt;0</formula>
    </cfRule>
  </conditionalFormatting>
  <conditionalFormatting sqref="G498:K498">
    <cfRule type="notContainsBlanks" dxfId="7602" priority="7878">
      <formula>LEN(TRIM(G498))&gt;0</formula>
    </cfRule>
  </conditionalFormatting>
  <conditionalFormatting sqref="G498:K498">
    <cfRule type="notContainsBlanks" dxfId="7601" priority="7877">
      <formula>LEN(TRIM(G498))&gt;0</formula>
    </cfRule>
  </conditionalFormatting>
  <conditionalFormatting sqref="G498:K498">
    <cfRule type="notContainsBlanks" dxfId="7600" priority="7876">
      <formula>LEN(TRIM(G498))&gt;0</formula>
    </cfRule>
  </conditionalFormatting>
  <conditionalFormatting sqref="G498:K498">
    <cfRule type="notContainsBlanks" dxfId="7599" priority="7875">
      <formula>LEN(TRIM(G498))&gt;0</formula>
    </cfRule>
  </conditionalFormatting>
  <conditionalFormatting sqref="G498:K498">
    <cfRule type="notContainsBlanks" dxfId="7598" priority="7874">
      <formula>LEN(TRIM(G498))&gt;0</formula>
    </cfRule>
  </conditionalFormatting>
  <conditionalFormatting sqref="G498:K498">
    <cfRule type="notContainsBlanks" dxfId="7597" priority="7873">
      <formula>LEN(TRIM(G498))&gt;0</formula>
    </cfRule>
  </conditionalFormatting>
  <conditionalFormatting sqref="G498:K498">
    <cfRule type="notContainsBlanks" dxfId="7596" priority="7872">
      <formula>LEN(TRIM(G498))&gt;0</formula>
    </cfRule>
  </conditionalFormatting>
  <conditionalFormatting sqref="G498:K498">
    <cfRule type="notContainsBlanks" dxfId="7595" priority="7871">
      <formula>LEN(TRIM(G498))&gt;0</formula>
    </cfRule>
  </conditionalFormatting>
  <conditionalFormatting sqref="G498:K498">
    <cfRule type="notContainsBlanks" dxfId="7594" priority="7870">
      <formula>LEN(TRIM(G498))&gt;0</formula>
    </cfRule>
  </conditionalFormatting>
  <conditionalFormatting sqref="G498:K498">
    <cfRule type="notContainsBlanks" priority="7869">
      <formula>LEN(TRIM(G498))&gt;0</formula>
    </cfRule>
  </conditionalFormatting>
  <conditionalFormatting sqref="G498:K498">
    <cfRule type="notContainsBlanks" dxfId="7593" priority="7868">
      <formula>LEN(TRIM(G498))&gt;0</formula>
    </cfRule>
  </conditionalFormatting>
  <conditionalFormatting sqref="G498:K498">
    <cfRule type="notContainsBlanks" dxfId="7592" priority="7867">
      <formula>LEN(TRIM(G498))&gt;0</formula>
    </cfRule>
  </conditionalFormatting>
  <conditionalFormatting sqref="G498:K498">
    <cfRule type="notContainsBlanks" dxfId="7591" priority="7866">
      <formula>LEN(TRIM(G498))&gt;0</formula>
    </cfRule>
  </conditionalFormatting>
  <conditionalFormatting sqref="G498:K498">
    <cfRule type="notContainsBlanks" dxfId="7590" priority="7865">
      <formula>LEN(TRIM(G498))&gt;0</formula>
    </cfRule>
  </conditionalFormatting>
  <conditionalFormatting sqref="G498:K498">
    <cfRule type="notContainsBlanks" dxfId="7589" priority="7864">
      <formula>LEN(TRIM(G498))&gt;0</formula>
    </cfRule>
  </conditionalFormatting>
  <conditionalFormatting sqref="G511">
    <cfRule type="notContainsBlanks" dxfId="7588" priority="7863">
      <formula>LEN(TRIM(G511))&gt;0</formula>
    </cfRule>
  </conditionalFormatting>
  <conditionalFormatting sqref="H511:K511">
    <cfRule type="notContainsBlanks" dxfId="7587" priority="7862">
      <formula>LEN(TRIM(H511))&gt;0</formula>
    </cfRule>
  </conditionalFormatting>
  <conditionalFormatting sqref="G511:K511">
    <cfRule type="notContainsBlanks" dxfId="7586" priority="7861">
      <formula>LEN(TRIM(G511))&gt;0</formula>
    </cfRule>
  </conditionalFormatting>
  <conditionalFormatting sqref="G511:K511">
    <cfRule type="notContainsBlanks" dxfId="7585" priority="7860">
      <formula>LEN(TRIM(G511))&gt;0</formula>
    </cfRule>
  </conditionalFormatting>
  <conditionalFormatting sqref="G511:K511">
    <cfRule type="notContainsBlanks" dxfId="7584" priority="7859">
      <formula>LEN(TRIM(G511))&gt;0</formula>
    </cfRule>
  </conditionalFormatting>
  <conditionalFormatting sqref="G511:K511">
    <cfRule type="notContainsBlanks" dxfId="7583" priority="7858">
      <formula>LEN(TRIM(G511))&gt;0</formula>
    </cfRule>
  </conditionalFormatting>
  <conditionalFormatting sqref="G511:K511">
    <cfRule type="notContainsBlanks" dxfId="7582" priority="7857">
      <formula>LEN(TRIM(G511))&gt;0</formula>
    </cfRule>
  </conditionalFormatting>
  <conditionalFormatting sqref="G511:K511">
    <cfRule type="notContainsBlanks" dxfId="7581" priority="7856">
      <formula>LEN(TRIM(G511))&gt;0</formula>
    </cfRule>
  </conditionalFormatting>
  <conditionalFormatting sqref="G511:K511">
    <cfRule type="notContainsBlanks" dxfId="7580" priority="7855">
      <formula>LEN(TRIM(G511))&gt;0</formula>
    </cfRule>
  </conditionalFormatting>
  <conditionalFormatting sqref="G511:K511">
    <cfRule type="notContainsBlanks" dxfId="7579" priority="7854">
      <formula>LEN(TRIM(G511))&gt;0</formula>
    </cfRule>
  </conditionalFormatting>
  <conditionalFormatting sqref="G511:K511">
    <cfRule type="notContainsBlanks" dxfId="7578" priority="7853">
      <formula>LEN(TRIM(G511))&gt;0</formula>
    </cfRule>
  </conditionalFormatting>
  <conditionalFormatting sqref="G511:K511">
    <cfRule type="notContainsBlanks" dxfId="7577" priority="7851">
      <formula>LEN(TRIM(G511))&gt;0</formula>
    </cfRule>
    <cfRule type="notContainsBlanks" dxfId="7576" priority="7852">
      <formula>LEN(TRIM(G511))&gt;0</formula>
    </cfRule>
  </conditionalFormatting>
  <conditionalFormatting sqref="G511:K511">
    <cfRule type="notContainsBlanks" dxfId="7575" priority="7850">
      <formula>LEN(TRIM(G511))&gt;0</formula>
    </cfRule>
  </conditionalFormatting>
  <conditionalFormatting sqref="G511:K511">
    <cfRule type="notContainsBlanks" dxfId="7574" priority="7849">
      <formula>LEN(TRIM(G511))&gt;0</formula>
    </cfRule>
  </conditionalFormatting>
  <conditionalFormatting sqref="G511:K511">
    <cfRule type="notContainsBlanks" dxfId="7573" priority="7848">
      <formula>LEN(TRIM(G511))&gt;0</formula>
    </cfRule>
  </conditionalFormatting>
  <conditionalFormatting sqref="G511:K511">
    <cfRule type="notContainsBlanks" dxfId="7572" priority="7847">
      <formula>LEN(TRIM(G511))&gt;0</formula>
    </cfRule>
  </conditionalFormatting>
  <conditionalFormatting sqref="G511:K511">
    <cfRule type="notContainsBlanks" dxfId="7571" priority="7846">
      <formula>LEN(TRIM(G511))&gt;0</formula>
    </cfRule>
  </conditionalFormatting>
  <conditionalFormatting sqref="G511:K511">
    <cfRule type="notContainsBlanks" dxfId="7570" priority="7845">
      <formula>LEN(TRIM(G511))&gt;0</formula>
    </cfRule>
  </conditionalFormatting>
  <conditionalFormatting sqref="G511:K511">
    <cfRule type="notContainsBlanks" dxfId="7569" priority="7844">
      <formula>LEN(TRIM(G511))&gt;0</formula>
    </cfRule>
  </conditionalFormatting>
  <conditionalFormatting sqref="G511:K511">
    <cfRule type="notContainsBlanks" dxfId="7568" priority="7843">
      <formula>LEN(TRIM(G511))&gt;0</formula>
    </cfRule>
  </conditionalFormatting>
  <conditionalFormatting sqref="G511:K511">
    <cfRule type="notContainsBlanks" dxfId="7567" priority="7842">
      <formula>LEN(TRIM(G511))&gt;0</formula>
    </cfRule>
  </conditionalFormatting>
  <conditionalFormatting sqref="G511:K511">
    <cfRule type="notContainsBlanks" priority="7841">
      <formula>LEN(TRIM(G511))&gt;0</formula>
    </cfRule>
  </conditionalFormatting>
  <conditionalFormatting sqref="G511:K511">
    <cfRule type="notContainsBlanks" dxfId="7566" priority="7840">
      <formula>LEN(TRIM(G511))&gt;0</formula>
    </cfRule>
  </conditionalFormatting>
  <conditionalFormatting sqref="G511:K511">
    <cfRule type="notContainsBlanks" dxfId="7565" priority="7839">
      <formula>LEN(TRIM(G511))&gt;0</formula>
    </cfRule>
  </conditionalFormatting>
  <conditionalFormatting sqref="G511:K511">
    <cfRule type="notContainsBlanks" dxfId="7564" priority="7838">
      <formula>LEN(TRIM(G511))&gt;0</formula>
    </cfRule>
  </conditionalFormatting>
  <conditionalFormatting sqref="G511:K511">
    <cfRule type="notContainsBlanks" dxfId="7563" priority="7837">
      <formula>LEN(TRIM(G511))&gt;0</formula>
    </cfRule>
  </conditionalFormatting>
  <conditionalFormatting sqref="G511:K511">
    <cfRule type="notContainsBlanks" dxfId="7562" priority="7836">
      <formula>LEN(TRIM(G511))&gt;0</formula>
    </cfRule>
  </conditionalFormatting>
  <conditionalFormatting sqref="G524">
    <cfRule type="notContainsBlanks" dxfId="7561" priority="7835">
      <formula>LEN(TRIM(G524))&gt;0</formula>
    </cfRule>
  </conditionalFormatting>
  <conditionalFormatting sqref="H524:K524">
    <cfRule type="notContainsBlanks" dxfId="7560" priority="7834">
      <formula>LEN(TRIM(H524))&gt;0</formula>
    </cfRule>
  </conditionalFormatting>
  <conditionalFormatting sqref="G524:K524">
    <cfRule type="notContainsBlanks" dxfId="7559" priority="7833">
      <formula>LEN(TRIM(G524))&gt;0</formula>
    </cfRule>
  </conditionalFormatting>
  <conditionalFormatting sqref="G524:K524">
    <cfRule type="notContainsBlanks" dxfId="7558" priority="7832">
      <formula>LEN(TRIM(G524))&gt;0</formula>
    </cfRule>
  </conditionalFormatting>
  <conditionalFormatting sqref="G524:K524">
    <cfRule type="notContainsBlanks" dxfId="7557" priority="7831">
      <formula>LEN(TRIM(G524))&gt;0</formula>
    </cfRule>
  </conditionalFormatting>
  <conditionalFormatting sqref="G524:K524">
    <cfRule type="notContainsBlanks" dxfId="7556" priority="7830">
      <formula>LEN(TRIM(G524))&gt;0</formula>
    </cfRule>
  </conditionalFormatting>
  <conditionalFormatting sqref="G524:K524">
    <cfRule type="notContainsBlanks" dxfId="7555" priority="7829">
      <formula>LEN(TRIM(G524))&gt;0</formula>
    </cfRule>
  </conditionalFormatting>
  <conditionalFormatting sqref="G524:K524">
    <cfRule type="notContainsBlanks" dxfId="7554" priority="7828">
      <formula>LEN(TRIM(G524))&gt;0</formula>
    </cfRule>
  </conditionalFormatting>
  <conditionalFormatting sqref="G524:K524">
    <cfRule type="notContainsBlanks" dxfId="7553" priority="7827">
      <formula>LEN(TRIM(G524))&gt;0</formula>
    </cfRule>
  </conditionalFormatting>
  <conditionalFormatting sqref="G524:K524">
    <cfRule type="notContainsBlanks" dxfId="7552" priority="7826">
      <formula>LEN(TRIM(G524))&gt;0</formula>
    </cfRule>
  </conditionalFormatting>
  <conditionalFormatting sqref="G524:K524">
    <cfRule type="notContainsBlanks" dxfId="7551" priority="7825">
      <formula>LEN(TRIM(G524))&gt;0</formula>
    </cfRule>
  </conditionalFormatting>
  <conditionalFormatting sqref="G524:K524">
    <cfRule type="notContainsBlanks" dxfId="7550" priority="7823">
      <formula>LEN(TRIM(G524))&gt;0</formula>
    </cfRule>
    <cfRule type="notContainsBlanks" dxfId="7549" priority="7824">
      <formula>LEN(TRIM(G524))&gt;0</formula>
    </cfRule>
  </conditionalFormatting>
  <conditionalFormatting sqref="G524:K524">
    <cfRule type="notContainsBlanks" dxfId="7548" priority="7822">
      <formula>LEN(TRIM(G524))&gt;0</formula>
    </cfRule>
  </conditionalFormatting>
  <conditionalFormatting sqref="G524:K524">
    <cfRule type="notContainsBlanks" dxfId="7547" priority="7821">
      <formula>LEN(TRIM(G524))&gt;0</formula>
    </cfRule>
  </conditionalFormatting>
  <conditionalFormatting sqref="G524:K524">
    <cfRule type="notContainsBlanks" dxfId="7546" priority="7820">
      <formula>LEN(TRIM(G524))&gt;0</formula>
    </cfRule>
  </conditionalFormatting>
  <conditionalFormatting sqref="G524:K524">
    <cfRule type="notContainsBlanks" dxfId="7545" priority="7819">
      <formula>LEN(TRIM(G524))&gt;0</formula>
    </cfRule>
  </conditionalFormatting>
  <conditionalFormatting sqref="G524:K524">
    <cfRule type="notContainsBlanks" dxfId="7544" priority="7818">
      <formula>LEN(TRIM(G524))&gt;0</formula>
    </cfRule>
  </conditionalFormatting>
  <conditionalFormatting sqref="G524:K524">
    <cfRule type="notContainsBlanks" dxfId="7543" priority="7817">
      <formula>LEN(TRIM(G524))&gt;0</formula>
    </cfRule>
  </conditionalFormatting>
  <conditionalFormatting sqref="G524:K524">
    <cfRule type="notContainsBlanks" dxfId="7542" priority="7816">
      <formula>LEN(TRIM(G524))&gt;0</formula>
    </cfRule>
  </conditionalFormatting>
  <conditionalFormatting sqref="G524:K524">
    <cfRule type="notContainsBlanks" dxfId="7541" priority="7815">
      <formula>LEN(TRIM(G524))&gt;0</formula>
    </cfRule>
  </conditionalFormatting>
  <conditionalFormatting sqref="G524:K524">
    <cfRule type="notContainsBlanks" dxfId="7540" priority="7814">
      <formula>LEN(TRIM(G524))&gt;0</formula>
    </cfRule>
  </conditionalFormatting>
  <conditionalFormatting sqref="G524:K524">
    <cfRule type="notContainsBlanks" priority="7813">
      <formula>LEN(TRIM(G524))&gt;0</formula>
    </cfRule>
  </conditionalFormatting>
  <conditionalFormatting sqref="G524:K524">
    <cfRule type="notContainsBlanks" dxfId="7539" priority="7812">
      <formula>LEN(TRIM(G524))&gt;0</formula>
    </cfRule>
  </conditionalFormatting>
  <conditionalFormatting sqref="G524:K524">
    <cfRule type="notContainsBlanks" dxfId="7538" priority="7811">
      <formula>LEN(TRIM(G524))&gt;0</formula>
    </cfRule>
  </conditionalFormatting>
  <conditionalFormatting sqref="G524:K524">
    <cfRule type="notContainsBlanks" dxfId="7537" priority="7810">
      <formula>LEN(TRIM(G524))&gt;0</formula>
    </cfRule>
  </conditionalFormatting>
  <conditionalFormatting sqref="G524:K524">
    <cfRule type="notContainsBlanks" dxfId="7536" priority="7809">
      <formula>LEN(TRIM(G524))&gt;0</formula>
    </cfRule>
  </conditionalFormatting>
  <conditionalFormatting sqref="G524:K524">
    <cfRule type="notContainsBlanks" dxfId="7535" priority="7808">
      <formula>LEN(TRIM(G524))&gt;0</formula>
    </cfRule>
  </conditionalFormatting>
  <conditionalFormatting sqref="G537">
    <cfRule type="notContainsBlanks" dxfId="7534" priority="7807">
      <formula>LEN(TRIM(G537))&gt;0</formula>
    </cfRule>
  </conditionalFormatting>
  <conditionalFormatting sqref="H537:K537">
    <cfRule type="notContainsBlanks" dxfId="7533" priority="7806">
      <formula>LEN(TRIM(H537))&gt;0</formula>
    </cfRule>
  </conditionalFormatting>
  <conditionalFormatting sqref="G537:K537">
    <cfRule type="notContainsBlanks" dxfId="7532" priority="7805">
      <formula>LEN(TRIM(G537))&gt;0</formula>
    </cfRule>
  </conditionalFormatting>
  <conditionalFormatting sqref="G537:K537">
    <cfRule type="notContainsBlanks" dxfId="7531" priority="7804">
      <formula>LEN(TRIM(G537))&gt;0</formula>
    </cfRule>
  </conditionalFormatting>
  <conditionalFormatting sqref="G537:K537">
    <cfRule type="notContainsBlanks" dxfId="7530" priority="7803">
      <formula>LEN(TRIM(G537))&gt;0</formula>
    </cfRule>
  </conditionalFormatting>
  <conditionalFormatting sqref="G537:K537">
    <cfRule type="notContainsBlanks" dxfId="7529" priority="7802">
      <formula>LEN(TRIM(G537))&gt;0</formula>
    </cfRule>
  </conditionalFormatting>
  <conditionalFormatting sqref="G537:K537">
    <cfRule type="notContainsBlanks" dxfId="7528" priority="7801">
      <formula>LEN(TRIM(G537))&gt;0</formula>
    </cfRule>
  </conditionalFormatting>
  <conditionalFormatting sqref="G537:K537">
    <cfRule type="notContainsBlanks" dxfId="7527" priority="7800">
      <formula>LEN(TRIM(G537))&gt;0</formula>
    </cfRule>
  </conditionalFormatting>
  <conditionalFormatting sqref="G537:K537">
    <cfRule type="notContainsBlanks" dxfId="7526" priority="7799">
      <formula>LEN(TRIM(G537))&gt;0</formula>
    </cfRule>
  </conditionalFormatting>
  <conditionalFormatting sqref="G537:K537">
    <cfRule type="notContainsBlanks" dxfId="7525" priority="7798">
      <formula>LEN(TRIM(G537))&gt;0</formula>
    </cfRule>
  </conditionalFormatting>
  <conditionalFormatting sqref="G537:K537">
    <cfRule type="notContainsBlanks" dxfId="7524" priority="7797">
      <formula>LEN(TRIM(G537))&gt;0</formula>
    </cfRule>
  </conditionalFormatting>
  <conditionalFormatting sqref="G537:K537">
    <cfRule type="notContainsBlanks" dxfId="7523" priority="7795">
      <formula>LEN(TRIM(G537))&gt;0</formula>
    </cfRule>
    <cfRule type="notContainsBlanks" dxfId="7522" priority="7796">
      <formula>LEN(TRIM(G537))&gt;0</formula>
    </cfRule>
  </conditionalFormatting>
  <conditionalFormatting sqref="G537:K537">
    <cfRule type="notContainsBlanks" dxfId="7521" priority="7794">
      <formula>LEN(TRIM(G537))&gt;0</formula>
    </cfRule>
  </conditionalFormatting>
  <conditionalFormatting sqref="G537:K537">
    <cfRule type="notContainsBlanks" dxfId="7520" priority="7793">
      <formula>LEN(TRIM(G537))&gt;0</formula>
    </cfRule>
  </conditionalFormatting>
  <conditionalFormatting sqref="G537:K537">
    <cfRule type="notContainsBlanks" dxfId="7519" priority="7792">
      <formula>LEN(TRIM(G537))&gt;0</formula>
    </cfRule>
  </conditionalFormatting>
  <conditionalFormatting sqref="G537:K537">
    <cfRule type="notContainsBlanks" dxfId="7518" priority="7791">
      <formula>LEN(TRIM(G537))&gt;0</formula>
    </cfRule>
  </conditionalFormatting>
  <conditionalFormatting sqref="G537:K537">
    <cfRule type="notContainsBlanks" dxfId="7517" priority="7790">
      <formula>LEN(TRIM(G537))&gt;0</formula>
    </cfRule>
  </conditionalFormatting>
  <conditionalFormatting sqref="G537:K537">
    <cfRule type="notContainsBlanks" dxfId="7516" priority="7789">
      <formula>LEN(TRIM(G537))&gt;0</formula>
    </cfRule>
  </conditionalFormatting>
  <conditionalFormatting sqref="G537:K537">
    <cfRule type="notContainsBlanks" dxfId="7515" priority="7788">
      <formula>LEN(TRIM(G537))&gt;0</formula>
    </cfRule>
  </conditionalFormatting>
  <conditionalFormatting sqref="G537:K537">
    <cfRule type="notContainsBlanks" dxfId="7514" priority="7787">
      <formula>LEN(TRIM(G537))&gt;0</formula>
    </cfRule>
  </conditionalFormatting>
  <conditionalFormatting sqref="G537:K537">
    <cfRule type="notContainsBlanks" dxfId="7513" priority="7786">
      <formula>LEN(TRIM(G537))&gt;0</formula>
    </cfRule>
  </conditionalFormatting>
  <conditionalFormatting sqref="G537:K537">
    <cfRule type="notContainsBlanks" priority="7785">
      <formula>LEN(TRIM(G537))&gt;0</formula>
    </cfRule>
  </conditionalFormatting>
  <conditionalFormatting sqref="G537:K537">
    <cfRule type="notContainsBlanks" dxfId="7512" priority="7784">
      <formula>LEN(TRIM(G537))&gt;0</formula>
    </cfRule>
  </conditionalFormatting>
  <conditionalFormatting sqref="G537:K537">
    <cfRule type="notContainsBlanks" dxfId="7511" priority="7783">
      <formula>LEN(TRIM(G537))&gt;0</formula>
    </cfRule>
  </conditionalFormatting>
  <conditionalFormatting sqref="G537:K537">
    <cfRule type="notContainsBlanks" dxfId="7510" priority="7782">
      <formula>LEN(TRIM(G537))&gt;0</formula>
    </cfRule>
  </conditionalFormatting>
  <conditionalFormatting sqref="G537:K537">
    <cfRule type="notContainsBlanks" dxfId="7509" priority="7781">
      <formula>LEN(TRIM(G537))&gt;0</formula>
    </cfRule>
  </conditionalFormatting>
  <conditionalFormatting sqref="G537:K537">
    <cfRule type="notContainsBlanks" dxfId="7508" priority="7780">
      <formula>LEN(TRIM(G537))&gt;0</formula>
    </cfRule>
  </conditionalFormatting>
  <conditionalFormatting sqref="G550">
    <cfRule type="notContainsBlanks" dxfId="7507" priority="7779">
      <formula>LEN(TRIM(G550))&gt;0</formula>
    </cfRule>
  </conditionalFormatting>
  <conditionalFormatting sqref="H550:K550">
    <cfRule type="notContainsBlanks" dxfId="7506" priority="7778">
      <formula>LEN(TRIM(H550))&gt;0</formula>
    </cfRule>
  </conditionalFormatting>
  <conditionalFormatting sqref="G550:K550">
    <cfRule type="notContainsBlanks" dxfId="7505" priority="7777">
      <formula>LEN(TRIM(G550))&gt;0</formula>
    </cfRule>
  </conditionalFormatting>
  <conditionalFormatting sqref="G550:K550">
    <cfRule type="notContainsBlanks" dxfId="7504" priority="7776">
      <formula>LEN(TRIM(G550))&gt;0</formula>
    </cfRule>
  </conditionalFormatting>
  <conditionalFormatting sqref="G550:K550">
    <cfRule type="notContainsBlanks" dxfId="7503" priority="7775">
      <formula>LEN(TRIM(G550))&gt;0</formula>
    </cfRule>
  </conditionalFormatting>
  <conditionalFormatting sqref="G550:K550">
    <cfRule type="notContainsBlanks" dxfId="7502" priority="7774">
      <formula>LEN(TRIM(G550))&gt;0</formula>
    </cfRule>
  </conditionalFormatting>
  <conditionalFormatting sqref="G550:K550">
    <cfRule type="notContainsBlanks" dxfId="7501" priority="7773">
      <formula>LEN(TRIM(G550))&gt;0</formula>
    </cfRule>
  </conditionalFormatting>
  <conditionalFormatting sqref="G550:K550">
    <cfRule type="notContainsBlanks" dxfId="7500" priority="7772">
      <formula>LEN(TRIM(G550))&gt;0</formula>
    </cfRule>
  </conditionalFormatting>
  <conditionalFormatting sqref="G550:K550">
    <cfRule type="notContainsBlanks" dxfId="7499" priority="7771">
      <formula>LEN(TRIM(G550))&gt;0</formula>
    </cfRule>
  </conditionalFormatting>
  <conditionalFormatting sqref="G550:K550">
    <cfRule type="notContainsBlanks" dxfId="7498" priority="7770">
      <formula>LEN(TRIM(G550))&gt;0</formula>
    </cfRule>
  </conditionalFormatting>
  <conditionalFormatting sqref="G550:K550">
    <cfRule type="notContainsBlanks" dxfId="7497" priority="7769">
      <formula>LEN(TRIM(G550))&gt;0</formula>
    </cfRule>
  </conditionalFormatting>
  <conditionalFormatting sqref="G550:K550">
    <cfRule type="notContainsBlanks" dxfId="7496" priority="7767">
      <formula>LEN(TRIM(G550))&gt;0</formula>
    </cfRule>
    <cfRule type="notContainsBlanks" dxfId="7495" priority="7768">
      <formula>LEN(TRIM(G550))&gt;0</formula>
    </cfRule>
  </conditionalFormatting>
  <conditionalFormatting sqref="G550:K550">
    <cfRule type="notContainsBlanks" dxfId="7494" priority="7766">
      <formula>LEN(TRIM(G550))&gt;0</formula>
    </cfRule>
  </conditionalFormatting>
  <conditionalFormatting sqref="G550:K550">
    <cfRule type="notContainsBlanks" dxfId="7493" priority="7765">
      <formula>LEN(TRIM(G550))&gt;0</formula>
    </cfRule>
  </conditionalFormatting>
  <conditionalFormatting sqref="G550:K550">
    <cfRule type="notContainsBlanks" dxfId="7492" priority="7764">
      <formula>LEN(TRIM(G550))&gt;0</formula>
    </cfRule>
  </conditionalFormatting>
  <conditionalFormatting sqref="G550:K550">
    <cfRule type="notContainsBlanks" dxfId="7491" priority="7763">
      <formula>LEN(TRIM(G550))&gt;0</formula>
    </cfRule>
  </conditionalFormatting>
  <conditionalFormatting sqref="G550:K550">
    <cfRule type="notContainsBlanks" dxfId="7490" priority="7762">
      <formula>LEN(TRIM(G550))&gt;0</formula>
    </cfRule>
  </conditionalFormatting>
  <conditionalFormatting sqref="G550:K550">
    <cfRule type="notContainsBlanks" dxfId="7489" priority="7761">
      <formula>LEN(TRIM(G550))&gt;0</formula>
    </cfRule>
  </conditionalFormatting>
  <conditionalFormatting sqref="G550:K550">
    <cfRule type="notContainsBlanks" dxfId="7488" priority="7760">
      <formula>LEN(TRIM(G550))&gt;0</formula>
    </cfRule>
  </conditionalFormatting>
  <conditionalFormatting sqref="G550:K550">
    <cfRule type="notContainsBlanks" dxfId="7487" priority="7759">
      <formula>LEN(TRIM(G550))&gt;0</formula>
    </cfRule>
  </conditionalFormatting>
  <conditionalFormatting sqref="G550:K550">
    <cfRule type="notContainsBlanks" dxfId="7486" priority="7758">
      <formula>LEN(TRIM(G550))&gt;0</formula>
    </cfRule>
  </conditionalFormatting>
  <conditionalFormatting sqref="G550:K550">
    <cfRule type="notContainsBlanks" priority="7757">
      <formula>LEN(TRIM(G550))&gt;0</formula>
    </cfRule>
  </conditionalFormatting>
  <conditionalFormatting sqref="G550:K550">
    <cfRule type="notContainsBlanks" dxfId="7485" priority="7756">
      <formula>LEN(TRIM(G550))&gt;0</formula>
    </cfRule>
  </conditionalFormatting>
  <conditionalFormatting sqref="G550:K550">
    <cfRule type="notContainsBlanks" dxfId="7484" priority="7755">
      <formula>LEN(TRIM(G550))&gt;0</formula>
    </cfRule>
  </conditionalFormatting>
  <conditionalFormatting sqref="G550:K550">
    <cfRule type="notContainsBlanks" dxfId="7483" priority="7754">
      <formula>LEN(TRIM(G550))&gt;0</formula>
    </cfRule>
  </conditionalFormatting>
  <conditionalFormatting sqref="G550:K550">
    <cfRule type="notContainsBlanks" dxfId="7482" priority="7753">
      <formula>LEN(TRIM(G550))&gt;0</formula>
    </cfRule>
  </conditionalFormatting>
  <conditionalFormatting sqref="G550:K550">
    <cfRule type="notContainsBlanks" dxfId="7481" priority="7752">
      <formula>LEN(TRIM(G550))&gt;0</formula>
    </cfRule>
  </conditionalFormatting>
  <conditionalFormatting sqref="G563">
    <cfRule type="notContainsBlanks" dxfId="7480" priority="7751">
      <formula>LEN(TRIM(G563))&gt;0</formula>
    </cfRule>
  </conditionalFormatting>
  <conditionalFormatting sqref="H563:K563">
    <cfRule type="notContainsBlanks" dxfId="7479" priority="7750">
      <formula>LEN(TRIM(H563))&gt;0</formula>
    </cfRule>
  </conditionalFormatting>
  <conditionalFormatting sqref="G563:K563">
    <cfRule type="notContainsBlanks" dxfId="7478" priority="7749">
      <formula>LEN(TRIM(G563))&gt;0</formula>
    </cfRule>
  </conditionalFormatting>
  <conditionalFormatting sqref="G563:K563">
    <cfRule type="notContainsBlanks" dxfId="7477" priority="7748">
      <formula>LEN(TRIM(G563))&gt;0</formula>
    </cfRule>
  </conditionalFormatting>
  <conditionalFormatting sqref="G563:K563">
    <cfRule type="notContainsBlanks" dxfId="7476" priority="7747">
      <formula>LEN(TRIM(G563))&gt;0</formula>
    </cfRule>
  </conditionalFormatting>
  <conditionalFormatting sqref="G563:K563">
    <cfRule type="notContainsBlanks" dxfId="7475" priority="7746">
      <formula>LEN(TRIM(G563))&gt;0</formula>
    </cfRule>
  </conditionalFormatting>
  <conditionalFormatting sqref="G563:K563">
    <cfRule type="notContainsBlanks" dxfId="7474" priority="7745">
      <formula>LEN(TRIM(G563))&gt;0</formula>
    </cfRule>
  </conditionalFormatting>
  <conditionalFormatting sqref="G563:K563">
    <cfRule type="notContainsBlanks" dxfId="7473" priority="7744">
      <formula>LEN(TRIM(G563))&gt;0</formula>
    </cfRule>
  </conditionalFormatting>
  <conditionalFormatting sqref="G563:K563">
    <cfRule type="notContainsBlanks" dxfId="7472" priority="7743">
      <formula>LEN(TRIM(G563))&gt;0</formula>
    </cfRule>
  </conditionalFormatting>
  <conditionalFormatting sqref="G563:K563">
    <cfRule type="notContainsBlanks" dxfId="7471" priority="7742">
      <formula>LEN(TRIM(G563))&gt;0</formula>
    </cfRule>
  </conditionalFormatting>
  <conditionalFormatting sqref="G563:K563">
    <cfRule type="notContainsBlanks" dxfId="7470" priority="7741">
      <formula>LEN(TRIM(G563))&gt;0</formula>
    </cfRule>
  </conditionalFormatting>
  <conditionalFormatting sqref="G563:K563">
    <cfRule type="notContainsBlanks" dxfId="7469" priority="7739">
      <formula>LEN(TRIM(G563))&gt;0</formula>
    </cfRule>
    <cfRule type="notContainsBlanks" dxfId="7468" priority="7740">
      <formula>LEN(TRIM(G563))&gt;0</formula>
    </cfRule>
  </conditionalFormatting>
  <conditionalFormatting sqref="G563:K563">
    <cfRule type="notContainsBlanks" dxfId="7467" priority="7738">
      <formula>LEN(TRIM(G563))&gt;0</formula>
    </cfRule>
  </conditionalFormatting>
  <conditionalFormatting sqref="G563:K563">
    <cfRule type="notContainsBlanks" dxfId="7466" priority="7737">
      <formula>LEN(TRIM(G563))&gt;0</formula>
    </cfRule>
  </conditionalFormatting>
  <conditionalFormatting sqref="G563:K563">
    <cfRule type="notContainsBlanks" dxfId="7465" priority="7736">
      <formula>LEN(TRIM(G563))&gt;0</formula>
    </cfRule>
  </conditionalFormatting>
  <conditionalFormatting sqref="G563:K563">
    <cfRule type="notContainsBlanks" dxfId="7464" priority="7735">
      <formula>LEN(TRIM(G563))&gt;0</formula>
    </cfRule>
  </conditionalFormatting>
  <conditionalFormatting sqref="G563:K563">
    <cfRule type="notContainsBlanks" dxfId="7463" priority="7734">
      <formula>LEN(TRIM(G563))&gt;0</formula>
    </cfRule>
  </conditionalFormatting>
  <conditionalFormatting sqref="G563:K563">
    <cfRule type="notContainsBlanks" dxfId="7462" priority="7733">
      <formula>LEN(TRIM(G563))&gt;0</formula>
    </cfRule>
  </conditionalFormatting>
  <conditionalFormatting sqref="G563:K563">
    <cfRule type="notContainsBlanks" dxfId="7461" priority="7732">
      <formula>LEN(TRIM(G563))&gt;0</formula>
    </cfRule>
  </conditionalFormatting>
  <conditionalFormatting sqref="G563:K563">
    <cfRule type="notContainsBlanks" dxfId="7460" priority="7731">
      <formula>LEN(TRIM(G563))&gt;0</formula>
    </cfRule>
  </conditionalFormatting>
  <conditionalFormatting sqref="G563:K563">
    <cfRule type="notContainsBlanks" dxfId="7459" priority="7730">
      <formula>LEN(TRIM(G563))&gt;0</formula>
    </cfRule>
  </conditionalFormatting>
  <conditionalFormatting sqref="G563:K563">
    <cfRule type="notContainsBlanks" priority="7729">
      <formula>LEN(TRIM(G563))&gt;0</formula>
    </cfRule>
  </conditionalFormatting>
  <conditionalFormatting sqref="G563:K563">
    <cfRule type="notContainsBlanks" dxfId="7458" priority="7728">
      <formula>LEN(TRIM(G563))&gt;0</formula>
    </cfRule>
  </conditionalFormatting>
  <conditionalFormatting sqref="G563:K563">
    <cfRule type="notContainsBlanks" dxfId="7457" priority="7727">
      <formula>LEN(TRIM(G563))&gt;0</formula>
    </cfRule>
  </conditionalFormatting>
  <conditionalFormatting sqref="G563:K563">
    <cfRule type="notContainsBlanks" dxfId="7456" priority="7726">
      <formula>LEN(TRIM(G563))&gt;0</formula>
    </cfRule>
  </conditionalFormatting>
  <conditionalFormatting sqref="G563:K563">
    <cfRule type="notContainsBlanks" dxfId="7455" priority="7725">
      <formula>LEN(TRIM(G563))&gt;0</formula>
    </cfRule>
  </conditionalFormatting>
  <conditionalFormatting sqref="G563:K563">
    <cfRule type="notContainsBlanks" dxfId="7454" priority="7724">
      <formula>LEN(TRIM(G563))&gt;0</formula>
    </cfRule>
  </conditionalFormatting>
  <conditionalFormatting sqref="G576">
    <cfRule type="notContainsBlanks" dxfId="7453" priority="7723">
      <formula>LEN(TRIM(G576))&gt;0</formula>
    </cfRule>
  </conditionalFormatting>
  <conditionalFormatting sqref="H576:K576">
    <cfRule type="notContainsBlanks" dxfId="7452" priority="7722">
      <formula>LEN(TRIM(H576))&gt;0</formula>
    </cfRule>
  </conditionalFormatting>
  <conditionalFormatting sqref="G576:K576">
    <cfRule type="notContainsBlanks" dxfId="7451" priority="7721">
      <formula>LEN(TRIM(G576))&gt;0</formula>
    </cfRule>
  </conditionalFormatting>
  <conditionalFormatting sqref="G576:K576">
    <cfRule type="notContainsBlanks" dxfId="7450" priority="7720">
      <formula>LEN(TRIM(G576))&gt;0</formula>
    </cfRule>
  </conditionalFormatting>
  <conditionalFormatting sqref="G576:K576">
    <cfRule type="notContainsBlanks" dxfId="7449" priority="7719">
      <formula>LEN(TRIM(G576))&gt;0</formula>
    </cfRule>
  </conditionalFormatting>
  <conditionalFormatting sqref="G576:K576">
    <cfRule type="notContainsBlanks" dxfId="7448" priority="7718">
      <formula>LEN(TRIM(G576))&gt;0</formula>
    </cfRule>
  </conditionalFormatting>
  <conditionalFormatting sqref="G576:K576">
    <cfRule type="notContainsBlanks" dxfId="7447" priority="7717">
      <formula>LEN(TRIM(G576))&gt;0</formula>
    </cfRule>
  </conditionalFormatting>
  <conditionalFormatting sqref="G576:K576">
    <cfRule type="notContainsBlanks" dxfId="7446" priority="7716">
      <formula>LEN(TRIM(G576))&gt;0</formula>
    </cfRule>
  </conditionalFormatting>
  <conditionalFormatting sqref="G576:K576">
    <cfRule type="notContainsBlanks" dxfId="7445" priority="7715">
      <formula>LEN(TRIM(G576))&gt;0</formula>
    </cfRule>
  </conditionalFormatting>
  <conditionalFormatting sqref="G576:K576">
    <cfRule type="notContainsBlanks" dxfId="7444" priority="7714">
      <formula>LEN(TRIM(G576))&gt;0</formula>
    </cfRule>
  </conditionalFormatting>
  <conditionalFormatting sqref="G576:K576">
    <cfRule type="notContainsBlanks" dxfId="7443" priority="7713">
      <formula>LEN(TRIM(G576))&gt;0</formula>
    </cfRule>
  </conditionalFormatting>
  <conditionalFormatting sqref="G576:K576">
    <cfRule type="notContainsBlanks" dxfId="7442" priority="7711">
      <formula>LEN(TRIM(G576))&gt;0</formula>
    </cfRule>
    <cfRule type="notContainsBlanks" dxfId="7441" priority="7712">
      <formula>LEN(TRIM(G576))&gt;0</formula>
    </cfRule>
  </conditionalFormatting>
  <conditionalFormatting sqref="G576:K576">
    <cfRule type="notContainsBlanks" dxfId="7440" priority="7710">
      <formula>LEN(TRIM(G576))&gt;0</formula>
    </cfRule>
  </conditionalFormatting>
  <conditionalFormatting sqref="G576:K576">
    <cfRule type="notContainsBlanks" dxfId="7439" priority="7709">
      <formula>LEN(TRIM(G576))&gt;0</formula>
    </cfRule>
  </conditionalFormatting>
  <conditionalFormatting sqref="G576:K576">
    <cfRule type="notContainsBlanks" dxfId="7438" priority="7708">
      <formula>LEN(TRIM(G576))&gt;0</formula>
    </cfRule>
  </conditionalFormatting>
  <conditionalFormatting sqref="G576:K576">
    <cfRule type="notContainsBlanks" dxfId="7437" priority="7707">
      <formula>LEN(TRIM(G576))&gt;0</formula>
    </cfRule>
  </conditionalFormatting>
  <conditionalFormatting sqref="G576:K576">
    <cfRule type="notContainsBlanks" dxfId="7436" priority="7706">
      <formula>LEN(TRIM(G576))&gt;0</formula>
    </cfRule>
  </conditionalFormatting>
  <conditionalFormatting sqref="G576:K576">
    <cfRule type="notContainsBlanks" dxfId="7435" priority="7705">
      <formula>LEN(TRIM(G576))&gt;0</formula>
    </cfRule>
  </conditionalFormatting>
  <conditionalFormatting sqref="G576:K576">
    <cfRule type="notContainsBlanks" dxfId="7434" priority="7704">
      <formula>LEN(TRIM(G576))&gt;0</formula>
    </cfRule>
  </conditionalFormatting>
  <conditionalFormatting sqref="G576:K576">
    <cfRule type="notContainsBlanks" dxfId="7433" priority="7703">
      <formula>LEN(TRIM(G576))&gt;0</formula>
    </cfRule>
  </conditionalFormatting>
  <conditionalFormatting sqref="G576:K576">
    <cfRule type="notContainsBlanks" dxfId="7432" priority="7702">
      <formula>LEN(TRIM(G576))&gt;0</formula>
    </cfRule>
  </conditionalFormatting>
  <conditionalFormatting sqref="G576:K576">
    <cfRule type="notContainsBlanks" priority="7701">
      <formula>LEN(TRIM(G576))&gt;0</formula>
    </cfRule>
  </conditionalFormatting>
  <conditionalFormatting sqref="G576:K576">
    <cfRule type="notContainsBlanks" dxfId="7431" priority="7700">
      <formula>LEN(TRIM(G576))&gt;0</formula>
    </cfRule>
  </conditionalFormatting>
  <conditionalFormatting sqref="G576:K576">
    <cfRule type="notContainsBlanks" dxfId="7430" priority="7699">
      <formula>LEN(TRIM(G576))&gt;0</formula>
    </cfRule>
  </conditionalFormatting>
  <conditionalFormatting sqref="G576:K576">
    <cfRule type="notContainsBlanks" dxfId="7429" priority="7698">
      <formula>LEN(TRIM(G576))&gt;0</formula>
    </cfRule>
  </conditionalFormatting>
  <conditionalFormatting sqref="G576:K576">
    <cfRule type="notContainsBlanks" dxfId="7428" priority="7697">
      <formula>LEN(TRIM(G576))&gt;0</formula>
    </cfRule>
  </conditionalFormatting>
  <conditionalFormatting sqref="G576:K576">
    <cfRule type="notContainsBlanks" dxfId="7427" priority="7696">
      <formula>LEN(TRIM(G576))&gt;0</formula>
    </cfRule>
  </conditionalFormatting>
  <conditionalFormatting sqref="G589">
    <cfRule type="notContainsBlanks" dxfId="7426" priority="7695">
      <formula>LEN(TRIM(G589))&gt;0</formula>
    </cfRule>
  </conditionalFormatting>
  <conditionalFormatting sqref="H589:K589">
    <cfRule type="notContainsBlanks" dxfId="7425" priority="7694">
      <formula>LEN(TRIM(H589))&gt;0</formula>
    </cfRule>
  </conditionalFormatting>
  <conditionalFormatting sqref="G589:K589">
    <cfRule type="notContainsBlanks" dxfId="7424" priority="7693">
      <formula>LEN(TRIM(G589))&gt;0</formula>
    </cfRule>
  </conditionalFormatting>
  <conditionalFormatting sqref="G589:K589">
    <cfRule type="notContainsBlanks" dxfId="7423" priority="7692">
      <formula>LEN(TRIM(G589))&gt;0</formula>
    </cfRule>
  </conditionalFormatting>
  <conditionalFormatting sqref="G589:K589">
    <cfRule type="notContainsBlanks" dxfId="7422" priority="7691">
      <formula>LEN(TRIM(G589))&gt;0</formula>
    </cfRule>
  </conditionalFormatting>
  <conditionalFormatting sqref="G589:K589">
    <cfRule type="notContainsBlanks" dxfId="7421" priority="7690">
      <formula>LEN(TRIM(G589))&gt;0</formula>
    </cfRule>
  </conditionalFormatting>
  <conditionalFormatting sqref="G589:K589">
    <cfRule type="notContainsBlanks" dxfId="7420" priority="7689">
      <formula>LEN(TRIM(G589))&gt;0</formula>
    </cfRule>
  </conditionalFormatting>
  <conditionalFormatting sqref="G589:K589">
    <cfRule type="notContainsBlanks" dxfId="7419" priority="7688">
      <formula>LEN(TRIM(G589))&gt;0</formula>
    </cfRule>
  </conditionalFormatting>
  <conditionalFormatting sqref="G589:K589">
    <cfRule type="notContainsBlanks" dxfId="7418" priority="7687">
      <formula>LEN(TRIM(G589))&gt;0</formula>
    </cfRule>
  </conditionalFormatting>
  <conditionalFormatting sqref="G589:K589">
    <cfRule type="notContainsBlanks" dxfId="7417" priority="7686">
      <formula>LEN(TRIM(G589))&gt;0</formula>
    </cfRule>
  </conditionalFormatting>
  <conditionalFormatting sqref="G589:K589">
    <cfRule type="notContainsBlanks" dxfId="7416" priority="7685">
      <formula>LEN(TRIM(G589))&gt;0</formula>
    </cfRule>
  </conditionalFormatting>
  <conditionalFormatting sqref="G589:K589">
    <cfRule type="notContainsBlanks" dxfId="7415" priority="7683">
      <formula>LEN(TRIM(G589))&gt;0</formula>
    </cfRule>
    <cfRule type="notContainsBlanks" dxfId="7414" priority="7684">
      <formula>LEN(TRIM(G589))&gt;0</formula>
    </cfRule>
  </conditionalFormatting>
  <conditionalFormatting sqref="G589:K589">
    <cfRule type="notContainsBlanks" dxfId="7413" priority="7682">
      <formula>LEN(TRIM(G589))&gt;0</formula>
    </cfRule>
  </conditionalFormatting>
  <conditionalFormatting sqref="G589:K589">
    <cfRule type="notContainsBlanks" dxfId="7412" priority="7681">
      <formula>LEN(TRIM(G589))&gt;0</formula>
    </cfRule>
  </conditionalFormatting>
  <conditionalFormatting sqref="G589:K589">
    <cfRule type="notContainsBlanks" dxfId="7411" priority="7680">
      <formula>LEN(TRIM(G589))&gt;0</formula>
    </cfRule>
  </conditionalFormatting>
  <conditionalFormatting sqref="G589:K589">
    <cfRule type="notContainsBlanks" dxfId="7410" priority="7679">
      <formula>LEN(TRIM(G589))&gt;0</formula>
    </cfRule>
  </conditionalFormatting>
  <conditionalFormatting sqref="G589:K589">
    <cfRule type="notContainsBlanks" dxfId="7409" priority="7678">
      <formula>LEN(TRIM(G589))&gt;0</formula>
    </cfRule>
  </conditionalFormatting>
  <conditionalFormatting sqref="G589:K589">
    <cfRule type="notContainsBlanks" dxfId="7408" priority="7677">
      <formula>LEN(TRIM(G589))&gt;0</formula>
    </cfRule>
  </conditionalFormatting>
  <conditionalFormatting sqref="G589:K589">
    <cfRule type="notContainsBlanks" dxfId="7407" priority="7676">
      <formula>LEN(TRIM(G589))&gt;0</formula>
    </cfRule>
  </conditionalFormatting>
  <conditionalFormatting sqref="G589:K589">
    <cfRule type="notContainsBlanks" dxfId="7406" priority="7675">
      <formula>LEN(TRIM(G589))&gt;0</formula>
    </cfRule>
  </conditionalFormatting>
  <conditionalFormatting sqref="G589:K589">
    <cfRule type="notContainsBlanks" dxfId="7405" priority="7674">
      <formula>LEN(TRIM(G589))&gt;0</formula>
    </cfRule>
  </conditionalFormatting>
  <conditionalFormatting sqref="G589:K589">
    <cfRule type="notContainsBlanks" priority="7673">
      <formula>LEN(TRIM(G589))&gt;0</formula>
    </cfRule>
  </conditionalFormatting>
  <conditionalFormatting sqref="G589:K589">
    <cfRule type="notContainsBlanks" dxfId="7404" priority="7672">
      <formula>LEN(TRIM(G589))&gt;0</formula>
    </cfRule>
  </conditionalFormatting>
  <conditionalFormatting sqref="G589:K589">
    <cfRule type="notContainsBlanks" dxfId="7403" priority="7671">
      <formula>LEN(TRIM(G589))&gt;0</formula>
    </cfRule>
  </conditionalFormatting>
  <conditionalFormatting sqref="G589:K589">
    <cfRule type="notContainsBlanks" dxfId="7402" priority="7670">
      <formula>LEN(TRIM(G589))&gt;0</formula>
    </cfRule>
  </conditionalFormatting>
  <conditionalFormatting sqref="G589:K589">
    <cfRule type="notContainsBlanks" dxfId="7401" priority="7669">
      <formula>LEN(TRIM(G589))&gt;0</formula>
    </cfRule>
  </conditionalFormatting>
  <conditionalFormatting sqref="G589:K589">
    <cfRule type="notContainsBlanks" dxfId="7400" priority="7668">
      <formula>LEN(TRIM(G589))&gt;0</formula>
    </cfRule>
  </conditionalFormatting>
  <conditionalFormatting sqref="G602">
    <cfRule type="notContainsBlanks" dxfId="7399" priority="7667">
      <formula>LEN(TRIM(G602))&gt;0</formula>
    </cfRule>
  </conditionalFormatting>
  <conditionalFormatting sqref="H602:K602">
    <cfRule type="notContainsBlanks" dxfId="7398" priority="7666">
      <formula>LEN(TRIM(H602))&gt;0</formula>
    </cfRule>
  </conditionalFormatting>
  <conditionalFormatting sqref="G602:K602">
    <cfRule type="notContainsBlanks" dxfId="7397" priority="7665">
      <formula>LEN(TRIM(G602))&gt;0</formula>
    </cfRule>
  </conditionalFormatting>
  <conditionalFormatting sqref="G602:K602">
    <cfRule type="notContainsBlanks" dxfId="7396" priority="7664">
      <formula>LEN(TRIM(G602))&gt;0</formula>
    </cfRule>
  </conditionalFormatting>
  <conditionalFormatting sqref="G602:K602">
    <cfRule type="notContainsBlanks" dxfId="7395" priority="7663">
      <formula>LEN(TRIM(G602))&gt;0</formula>
    </cfRule>
  </conditionalFormatting>
  <conditionalFormatting sqref="G602:K602">
    <cfRule type="notContainsBlanks" dxfId="7394" priority="7662">
      <formula>LEN(TRIM(G602))&gt;0</formula>
    </cfRule>
  </conditionalFormatting>
  <conditionalFormatting sqref="G602:K602">
    <cfRule type="notContainsBlanks" dxfId="7393" priority="7661">
      <formula>LEN(TRIM(G602))&gt;0</formula>
    </cfRule>
  </conditionalFormatting>
  <conditionalFormatting sqref="G602:K602">
    <cfRule type="notContainsBlanks" dxfId="7392" priority="7660">
      <formula>LEN(TRIM(G602))&gt;0</formula>
    </cfRule>
  </conditionalFormatting>
  <conditionalFormatting sqref="G602:K602">
    <cfRule type="notContainsBlanks" dxfId="7391" priority="7659">
      <formula>LEN(TRIM(G602))&gt;0</formula>
    </cfRule>
  </conditionalFormatting>
  <conditionalFormatting sqref="G602:K602">
    <cfRule type="notContainsBlanks" dxfId="7390" priority="7658">
      <formula>LEN(TRIM(G602))&gt;0</formula>
    </cfRule>
  </conditionalFormatting>
  <conditionalFormatting sqref="G602:K602">
    <cfRule type="notContainsBlanks" dxfId="7389" priority="7657">
      <formula>LEN(TRIM(G602))&gt;0</formula>
    </cfRule>
  </conditionalFormatting>
  <conditionalFormatting sqref="G602:K602">
    <cfRule type="notContainsBlanks" dxfId="7388" priority="7655">
      <formula>LEN(TRIM(G602))&gt;0</formula>
    </cfRule>
    <cfRule type="notContainsBlanks" dxfId="7387" priority="7656">
      <formula>LEN(TRIM(G602))&gt;0</formula>
    </cfRule>
  </conditionalFormatting>
  <conditionalFormatting sqref="G602:K602">
    <cfRule type="notContainsBlanks" dxfId="7386" priority="7654">
      <formula>LEN(TRIM(G602))&gt;0</formula>
    </cfRule>
  </conditionalFormatting>
  <conditionalFormatting sqref="G602:K602">
    <cfRule type="notContainsBlanks" dxfId="7385" priority="7653">
      <formula>LEN(TRIM(G602))&gt;0</formula>
    </cfRule>
  </conditionalFormatting>
  <conditionalFormatting sqref="G602:K602">
    <cfRule type="notContainsBlanks" dxfId="7384" priority="7652">
      <formula>LEN(TRIM(G602))&gt;0</formula>
    </cfRule>
  </conditionalFormatting>
  <conditionalFormatting sqref="G602:K602">
    <cfRule type="notContainsBlanks" dxfId="7383" priority="7651">
      <formula>LEN(TRIM(G602))&gt;0</formula>
    </cfRule>
  </conditionalFormatting>
  <conditionalFormatting sqref="G602:K602">
    <cfRule type="notContainsBlanks" dxfId="7382" priority="7650">
      <formula>LEN(TRIM(G602))&gt;0</formula>
    </cfRule>
  </conditionalFormatting>
  <conditionalFormatting sqref="G602:K602">
    <cfRule type="notContainsBlanks" dxfId="7381" priority="7649">
      <formula>LEN(TRIM(G602))&gt;0</formula>
    </cfRule>
  </conditionalFormatting>
  <conditionalFormatting sqref="G602:K602">
    <cfRule type="notContainsBlanks" dxfId="7380" priority="7648">
      <formula>LEN(TRIM(G602))&gt;0</formula>
    </cfRule>
  </conditionalFormatting>
  <conditionalFormatting sqref="G602:K602">
    <cfRule type="notContainsBlanks" dxfId="7379" priority="7647">
      <formula>LEN(TRIM(G602))&gt;0</formula>
    </cfRule>
  </conditionalFormatting>
  <conditionalFormatting sqref="G602:K602">
    <cfRule type="notContainsBlanks" dxfId="7378" priority="7646">
      <formula>LEN(TRIM(G602))&gt;0</formula>
    </cfRule>
  </conditionalFormatting>
  <conditionalFormatting sqref="G602:K602">
    <cfRule type="notContainsBlanks" priority="7645">
      <formula>LEN(TRIM(G602))&gt;0</formula>
    </cfRule>
  </conditionalFormatting>
  <conditionalFormatting sqref="G602:K602">
    <cfRule type="notContainsBlanks" dxfId="7377" priority="7644">
      <formula>LEN(TRIM(G602))&gt;0</formula>
    </cfRule>
  </conditionalFormatting>
  <conditionalFormatting sqref="G602:K602">
    <cfRule type="notContainsBlanks" dxfId="7376" priority="7643">
      <formula>LEN(TRIM(G602))&gt;0</formula>
    </cfRule>
  </conditionalFormatting>
  <conditionalFormatting sqref="G602:K602">
    <cfRule type="notContainsBlanks" dxfId="7375" priority="7642">
      <formula>LEN(TRIM(G602))&gt;0</formula>
    </cfRule>
  </conditionalFormatting>
  <conditionalFormatting sqref="G602:K602">
    <cfRule type="notContainsBlanks" dxfId="7374" priority="7641">
      <formula>LEN(TRIM(G602))&gt;0</formula>
    </cfRule>
  </conditionalFormatting>
  <conditionalFormatting sqref="G602:K602">
    <cfRule type="notContainsBlanks" dxfId="7373" priority="7640">
      <formula>LEN(TRIM(G602))&gt;0</formula>
    </cfRule>
  </conditionalFormatting>
  <conditionalFormatting sqref="G615">
    <cfRule type="notContainsBlanks" dxfId="7372" priority="7639">
      <formula>LEN(TRIM(G615))&gt;0</formula>
    </cfRule>
  </conditionalFormatting>
  <conditionalFormatting sqref="H615:K615">
    <cfRule type="notContainsBlanks" dxfId="7371" priority="7638">
      <formula>LEN(TRIM(H615))&gt;0</formula>
    </cfRule>
  </conditionalFormatting>
  <conditionalFormatting sqref="G615:K615">
    <cfRule type="notContainsBlanks" dxfId="7370" priority="7637">
      <formula>LEN(TRIM(G615))&gt;0</formula>
    </cfRule>
  </conditionalFormatting>
  <conditionalFormatting sqref="G615:K615">
    <cfRule type="notContainsBlanks" dxfId="7369" priority="7636">
      <formula>LEN(TRIM(G615))&gt;0</formula>
    </cfRule>
  </conditionalFormatting>
  <conditionalFormatting sqref="G615:K615">
    <cfRule type="notContainsBlanks" dxfId="7368" priority="7635">
      <formula>LEN(TRIM(G615))&gt;0</formula>
    </cfRule>
  </conditionalFormatting>
  <conditionalFormatting sqref="G615:K615">
    <cfRule type="notContainsBlanks" dxfId="7367" priority="7634">
      <formula>LEN(TRIM(G615))&gt;0</formula>
    </cfRule>
  </conditionalFormatting>
  <conditionalFormatting sqref="G615:K615">
    <cfRule type="notContainsBlanks" dxfId="7366" priority="7633">
      <formula>LEN(TRIM(G615))&gt;0</formula>
    </cfRule>
  </conditionalFormatting>
  <conditionalFormatting sqref="G615:K615">
    <cfRule type="notContainsBlanks" dxfId="7365" priority="7632">
      <formula>LEN(TRIM(G615))&gt;0</formula>
    </cfRule>
  </conditionalFormatting>
  <conditionalFormatting sqref="G615:K615">
    <cfRule type="notContainsBlanks" dxfId="7364" priority="7631">
      <formula>LEN(TRIM(G615))&gt;0</formula>
    </cfRule>
  </conditionalFormatting>
  <conditionalFormatting sqref="G615:K615">
    <cfRule type="notContainsBlanks" dxfId="7363" priority="7630">
      <formula>LEN(TRIM(G615))&gt;0</formula>
    </cfRule>
  </conditionalFormatting>
  <conditionalFormatting sqref="G615:K615">
    <cfRule type="notContainsBlanks" dxfId="7362" priority="7629">
      <formula>LEN(TRIM(G615))&gt;0</formula>
    </cfRule>
  </conditionalFormatting>
  <conditionalFormatting sqref="G615:K615">
    <cfRule type="notContainsBlanks" dxfId="7361" priority="7627">
      <formula>LEN(TRIM(G615))&gt;0</formula>
    </cfRule>
    <cfRule type="notContainsBlanks" dxfId="7360" priority="7628">
      <formula>LEN(TRIM(G615))&gt;0</formula>
    </cfRule>
  </conditionalFormatting>
  <conditionalFormatting sqref="G615:K615">
    <cfRule type="notContainsBlanks" dxfId="7359" priority="7626">
      <formula>LEN(TRIM(G615))&gt;0</formula>
    </cfRule>
  </conditionalFormatting>
  <conditionalFormatting sqref="G615:K615">
    <cfRule type="notContainsBlanks" dxfId="7358" priority="7625">
      <formula>LEN(TRIM(G615))&gt;0</formula>
    </cfRule>
  </conditionalFormatting>
  <conditionalFormatting sqref="G615:K615">
    <cfRule type="notContainsBlanks" dxfId="7357" priority="7624">
      <formula>LEN(TRIM(G615))&gt;0</formula>
    </cfRule>
  </conditionalFormatting>
  <conditionalFormatting sqref="G615:K615">
    <cfRule type="notContainsBlanks" dxfId="7356" priority="7623">
      <formula>LEN(TRIM(G615))&gt;0</formula>
    </cfRule>
  </conditionalFormatting>
  <conditionalFormatting sqref="G615:K615">
    <cfRule type="notContainsBlanks" dxfId="7355" priority="7622">
      <formula>LEN(TRIM(G615))&gt;0</formula>
    </cfRule>
  </conditionalFormatting>
  <conditionalFormatting sqref="G615:K615">
    <cfRule type="notContainsBlanks" dxfId="7354" priority="7621">
      <formula>LEN(TRIM(G615))&gt;0</formula>
    </cfRule>
  </conditionalFormatting>
  <conditionalFormatting sqref="G615:K615">
    <cfRule type="notContainsBlanks" dxfId="7353" priority="7620">
      <formula>LEN(TRIM(G615))&gt;0</formula>
    </cfRule>
  </conditionalFormatting>
  <conditionalFormatting sqref="G615:K615">
    <cfRule type="notContainsBlanks" dxfId="7352" priority="7619">
      <formula>LEN(TRIM(G615))&gt;0</formula>
    </cfRule>
  </conditionalFormatting>
  <conditionalFormatting sqref="G615:K615">
    <cfRule type="notContainsBlanks" dxfId="7351" priority="7618">
      <formula>LEN(TRIM(G615))&gt;0</formula>
    </cfRule>
  </conditionalFormatting>
  <conditionalFormatting sqref="G615:K615">
    <cfRule type="notContainsBlanks" priority="7617">
      <formula>LEN(TRIM(G615))&gt;0</formula>
    </cfRule>
  </conditionalFormatting>
  <conditionalFormatting sqref="G615:K615">
    <cfRule type="notContainsBlanks" dxfId="7350" priority="7616">
      <formula>LEN(TRIM(G615))&gt;0</formula>
    </cfRule>
  </conditionalFormatting>
  <conditionalFormatting sqref="G615:K615">
    <cfRule type="notContainsBlanks" dxfId="7349" priority="7615">
      <formula>LEN(TRIM(G615))&gt;0</formula>
    </cfRule>
  </conditionalFormatting>
  <conditionalFormatting sqref="G615:K615">
    <cfRule type="notContainsBlanks" dxfId="7348" priority="7614">
      <formula>LEN(TRIM(G615))&gt;0</formula>
    </cfRule>
  </conditionalFormatting>
  <conditionalFormatting sqref="G615:K615">
    <cfRule type="notContainsBlanks" dxfId="7347" priority="7613">
      <formula>LEN(TRIM(G615))&gt;0</formula>
    </cfRule>
  </conditionalFormatting>
  <conditionalFormatting sqref="G615:K615">
    <cfRule type="notContainsBlanks" dxfId="7346" priority="7612">
      <formula>LEN(TRIM(G615))&gt;0</formula>
    </cfRule>
  </conditionalFormatting>
  <conditionalFormatting sqref="G628">
    <cfRule type="notContainsBlanks" dxfId="7345" priority="7611">
      <formula>LEN(TRIM(G628))&gt;0</formula>
    </cfRule>
  </conditionalFormatting>
  <conditionalFormatting sqref="H628:K628">
    <cfRule type="notContainsBlanks" dxfId="7344" priority="7610">
      <formula>LEN(TRIM(H628))&gt;0</formula>
    </cfRule>
  </conditionalFormatting>
  <conditionalFormatting sqref="G628:K628">
    <cfRule type="notContainsBlanks" dxfId="7343" priority="7609">
      <formula>LEN(TRIM(G628))&gt;0</formula>
    </cfRule>
  </conditionalFormatting>
  <conditionalFormatting sqref="G628:K628">
    <cfRule type="notContainsBlanks" dxfId="7342" priority="7608">
      <formula>LEN(TRIM(G628))&gt;0</formula>
    </cfRule>
  </conditionalFormatting>
  <conditionalFormatting sqref="G628:K628">
    <cfRule type="notContainsBlanks" dxfId="7341" priority="7607">
      <formula>LEN(TRIM(G628))&gt;0</formula>
    </cfRule>
  </conditionalFormatting>
  <conditionalFormatting sqref="G628:K628">
    <cfRule type="notContainsBlanks" dxfId="7340" priority="7606">
      <formula>LEN(TRIM(G628))&gt;0</formula>
    </cfRule>
  </conditionalFormatting>
  <conditionalFormatting sqref="G628:K628">
    <cfRule type="notContainsBlanks" dxfId="7339" priority="7605">
      <formula>LEN(TRIM(G628))&gt;0</formula>
    </cfRule>
  </conditionalFormatting>
  <conditionalFormatting sqref="G628:K628">
    <cfRule type="notContainsBlanks" dxfId="7338" priority="7604">
      <formula>LEN(TRIM(G628))&gt;0</formula>
    </cfRule>
  </conditionalFormatting>
  <conditionalFormatting sqref="G628:K628">
    <cfRule type="notContainsBlanks" dxfId="7337" priority="7603">
      <formula>LEN(TRIM(G628))&gt;0</formula>
    </cfRule>
  </conditionalFormatting>
  <conditionalFormatting sqref="G628:K628">
    <cfRule type="notContainsBlanks" dxfId="7336" priority="7602">
      <formula>LEN(TRIM(G628))&gt;0</formula>
    </cfRule>
  </conditionalFormatting>
  <conditionalFormatting sqref="G628:K628">
    <cfRule type="notContainsBlanks" dxfId="7335" priority="7601">
      <formula>LEN(TRIM(G628))&gt;0</formula>
    </cfRule>
  </conditionalFormatting>
  <conditionalFormatting sqref="G628:K628">
    <cfRule type="notContainsBlanks" dxfId="7334" priority="7599">
      <formula>LEN(TRIM(G628))&gt;0</formula>
    </cfRule>
    <cfRule type="notContainsBlanks" dxfId="7333" priority="7600">
      <formula>LEN(TRIM(G628))&gt;0</formula>
    </cfRule>
  </conditionalFormatting>
  <conditionalFormatting sqref="G628:K628">
    <cfRule type="notContainsBlanks" dxfId="7332" priority="7598">
      <formula>LEN(TRIM(G628))&gt;0</formula>
    </cfRule>
  </conditionalFormatting>
  <conditionalFormatting sqref="G628:K628">
    <cfRule type="notContainsBlanks" dxfId="7331" priority="7597">
      <formula>LEN(TRIM(G628))&gt;0</formula>
    </cfRule>
  </conditionalFormatting>
  <conditionalFormatting sqref="G628:K628">
    <cfRule type="notContainsBlanks" dxfId="7330" priority="7596">
      <formula>LEN(TRIM(G628))&gt;0</formula>
    </cfRule>
  </conditionalFormatting>
  <conditionalFormatting sqref="G628:K628">
    <cfRule type="notContainsBlanks" dxfId="7329" priority="7595">
      <formula>LEN(TRIM(G628))&gt;0</formula>
    </cfRule>
  </conditionalFormatting>
  <conditionalFormatting sqref="G628:K628">
    <cfRule type="notContainsBlanks" dxfId="7328" priority="7594">
      <formula>LEN(TRIM(G628))&gt;0</formula>
    </cfRule>
  </conditionalFormatting>
  <conditionalFormatting sqref="G628:K628">
    <cfRule type="notContainsBlanks" dxfId="7327" priority="7593">
      <formula>LEN(TRIM(G628))&gt;0</formula>
    </cfRule>
  </conditionalFormatting>
  <conditionalFormatting sqref="G628:K628">
    <cfRule type="notContainsBlanks" dxfId="7326" priority="7592">
      <formula>LEN(TRIM(G628))&gt;0</formula>
    </cfRule>
  </conditionalFormatting>
  <conditionalFormatting sqref="G628:K628">
    <cfRule type="notContainsBlanks" dxfId="7325" priority="7591">
      <formula>LEN(TRIM(G628))&gt;0</formula>
    </cfRule>
  </conditionalFormatting>
  <conditionalFormatting sqref="G628:K628">
    <cfRule type="notContainsBlanks" dxfId="7324" priority="7590">
      <formula>LEN(TRIM(G628))&gt;0</formula>
    </cfRule>
  </conditionalFormatting>
  <conditionalFormatting sqref="G628:K628">
    <cfRule type="notContainsBlanks" priority="7589">
      <formula>LEN(TRIM(G628))&gt;0</formula>
    </cfRule>
  </conditionalFormatting>
  <conditionalFormatting sqref="G628:K628">
    <cfRule type="notContainsBlanks" dxfId="7323" priority="7588">
      <formula>LEN(TRIM(G628))&gt;0</formula>
    </cfRule>
  </conditionalFormatting>
  <conditionalFormatting sqref="G628:K628">
    <cfRule type="notContainsBlanks" dxfId="7322" priority="7587">
      <formula>LEN(TRIM(G628))&gt;0</formula>
    </cfRule>
  </conditionalFormatting>
  <conditionalFormatting sqref="G628:K628">
    <cfRule type="notContainsBlanks" dxfId="7321" priority="7586">
      <formula>LEN(TRIM(G628))&gt;0</formula>
    </cfRule>
  </conditionalFormatting>
  <conditionalFormatting sqref="G628:K628">
    <cfRule type="notContainsBlanks" dxfId="7320" priority="7585">
      <formula>LEN(TRIM(G628))&gt;0</formula>
    </cfRule>
  </conditionalFormatting>
  <conditionalFormatting sqref="G628:K628">
    <cfRule type="notContainsBlanks" dxfId="7319" priority="7584">
      <formula>LEN(TRIM(G628))&gt;0</formula>
    </cfRule>
  </conditionalFormatting>
  <conditionalFormatting sqref="G641">
    <cfRule type="notContainsBlanks" dxfId="7318" priority="7583">
      <formula>LEN(TRIM(G641))&gt;0</formula>
    </cfRule>
  </conditionalFormatting>
  <conditionalFormatting sqref="H641:K641">
    <cfRule type="notContainsBlanks" dxfId="7317" priority="7582">
      <formula>LEN(TRIM(H641))&gt;0</formula>
    </cfRule>
  </conditionalFormatting>
  <conditionalFormatting sqref="G641:K641">
    <cfRule type="notContainsBlanks" dxfId="7316" priority="7581">
      <formula>LEN(TRIM(G641))&gt;0</formula>
    </cfRule>
  </conditionalFormatting>
  <conditionalFormatting sqref="G641:K641">
    <cfRule type="notContainsBlanks" dxfId="7315" priority="7580">
      <formula>LEN(TRIM(G641))&gt;0</formula>
    </cfRule>
  </conditionalFormatting>
  <conditionalFormatting sqref="G641:K641">
    <cfRule type="notContainsBlanks" dxfId="7314" priority="7579">
      <formula>LEN(TRIM(G641))&gt;0</formula>
    </cfRule>
  </conditionalFormatting>
  <conditionalFormatting sqref="G641:K641">
    <cfRule type="notContainsBlanks" dxfId="7313" priority="7578">
      <formula>LEN(TRIM(G641))&gt;0</formula>
    </cfRule>
  </conditionalFormatting>
  <conditionalFormatting sqref="G641:K641">
    <cfRule type="notContainsBlanks" dxfId="7312" priority="7577">
      <formula>LEN(TRIM(G641))&gt;0</formula>
    </cfRule>
  </conditionalFormatting>
  <conditionalFormatting sqref="G641:K641">
    <cfRule type="notContainsBlanks" dxfId="7311" priority="7576">
      <formula>LEN(TRIM(G641))&gt;0</formula>
    </cfRule>
  </conditionalFormatting>
  <conditionalFormatting sqref="G641:K641">
    <cfRule type="notContainsBlanks" dxfId="7310" priority="7575">
      <formula>LEN(TRIM(G641))&gt;0</formula>
    </cfRule>
  </conditionalFormatting>
  <conditionalFormatting sqref="G641:K641">
    <cfRule type="notContainsBlanks" dxfId="7309" priority="7574">
      <formula>LEN(TRIM(G641))&gt;0</formula>
    </cfRule>
  </conditionalFormatting>
  <conditionalFormatting sqref="G641:K641">
    <cfRule type="notContainsBlanks" dxfId="7308" priority="7573">
      <formula>LEN(TRIM(G641))&gt;0</formula>
    </cfRule>
  </conditionalFormatting>
  <conditionalFormatting sqref="G641:K641">
    <cfRule type="notContainsBlanks" dxfId="7307" priority="7571">
      <formula>LEN(TRIM(G641))&gt;0</formula>
    </cfRule>
    <cfRule type="notContainsBlanks" dxfId="7306" priority="7572">
      <formula>LEN(TRIM(G641))&gt;0</formula>
    </cfRule>
  </conditionalFormatting>
  <conditionalFormatting sqref="G641:K641">
    <cfRule type="notContainsBlanks" dxfId="7305" priority="7570">
      <formula>LEN(TRIM(G641))&gt;0</formula>
    </cfRule>
  </conditionalFormatting>
  <conditionalFormatting sqref="G641:K641">
    <cfRule type="notContainsBlanks" dxfId="7304" priority="7569">
      <formula>LEN(TRIM(G641))&gt;0</formula>
    </cfRule>
  </conditionalFormatting>
  <conditionalFormatting sqref="G641:K641">
    <cfRule type="notContainsBlanks" dxfId="7303" priority="7568">
      <formula>LEN(TRIM(G641))&gt;0</formula>
    </cfRule>
  </conditionalFormatting>
  <conditionalFormatting sqref="G641:K641">
    <cfRule type="notContainsBlanks" dxfId="7302" priority="7567">
      <formula>LEN(TRIM(G641))&gt;0</formula>
    </cfRule>
  </conditionalFormatting>
  <conditionalFormatting sqref="G641:K641">
    <cfRule type="notContainsBlanks" dxfId="7301" priority="7566">
      <formula>LEN(TRIM(G641))&gt;0</formula>
    </cfRule>
  </conditionalFormatting>
  <conditionalFormatting sqref="G641:K641">
    <cfRule type="notContainsBlanks" dxfId="7300" priority="7565">
      <formula>LEN(TRIM(G641))&gt;0</formula>
    </cfRule>
  </conditionalFormatting>
  <conditionalFormatting sqref="G641:K641">
    <cfRule type="notContainsBlanks" dxfId="7299" priority="7564">
      <formula>LEN(TRIM(G641))&gt;0</formula>
    </cfRule>
  </conditionalFormatting>
  <conditionalFormatting sqref="G641:K641">
    <cfRule type="notContainsBlanks" dxfId="7298" priority="7563">
      <formula>LEN(TRIM(G641))&gt;0</formula>
    </cfRule>
  </conditionalFormatting>
  <conditionalFormatting sqref="G641:K641">
    <cfRule type="notContainsBlanks" dxfId="7297" priority="7562">
      <formula>LEN(TRIM(G641))&gt;0</formula>
    </cfRule>
  </conditionalFormatting>
  <conditionalFormatting sqref="G641:K641">
    <cfRule type="notContainsBlanks" priority="7561">
      <formula>LEN(TRIM(G641))&gt;0</formula>
    </cfRule>
  </conditionalFormatting>
  <conditionalFormatting sqref="G641:K641">
    <cfRule type="notContainsBlanks" dxfId="7296" priority="7560">
      <formula>LEN(TRIM(G641))&gt;0</formula>
    </cfRule>
  </conditionalFormatting>
  <conditionalFormatting sqref="G641:K641">
    <cfRule type="notContainsBlanks" dxfId="7295" priority="7559">
      <formula>LEN(TRIM(G641))&gt;0</formula>
    </cfRule>
  </conditionalFormatting>
  <conditionalFormatting sqref="G641:K641">
    <cfRule type="notContainsBlanks" dxfId="7294" priority="7558">
      <formula>LEN(TRIM(G641))&gt;0</formula>
    </cfRule>
  </conditionalFormatting>
  <conditionalFormatting sqref="G641:K641">
    <cfRule type="notContainsBlanks" dxfId="7293" priority="7557">
      <formula>LEN(TRIM(G641))&gt;0</formula>
    </cfRule>
  </conditionalFormatting>
  <conditionalFormatting sqref="G641:K641">
    <cfRule type="notContainsBlanks" dxfId="7292" priority="7556">
      <formula>LEN(TRIM(G641))&gt;0</formula>
    </cfRule>
  </conditionalFormatting>
  <conditionalFormatting sqref="G654">
    <cfRule type="notContainsBlanks" dxfId="7291" priority="7555">
      <formula>LEN(TRIM(G654))&gt;0</formula>
    </cfRule>
  </conditionalFormatting>
  <conditionalFormatting sqref="H654:K654">
    <cfRule type="notContainsBlanks" dxfId="7290" priority="7554">
      <formula>LEN(TRIM(H654))&gt;0</formula>
    </cfRule>
  </conditionalFormatting>
  <conditionalFormatting sqref="G654:K654">
    <cfRule type="notContainsBlanks" dxfId="7289" priority="7553">
      <formula>LEN(TRIM(G654))&gt;0</formula>
    </cfRule>
  </conditionalFormatting>
  <conditionalFormatting sqref="G654:K654">
    <cfRule type="notContainsBlanks" dxfId="7288" priority="7552">
      <formula>LEN(TRIM(G654))&gt;0</formula>
    </cfRule>
  </conditionalFormatting>
  <conditionalFormatting sqref="G654:K654">
    <cfRule type="notContainsBlanks" dxfId="7287" priority="7551">
      <formula>LEN(TRIM(G654))&gt;0</formula>
    </cfRule>
  </conditionalFormatting>
  <conditionalFormatting sqref="G654:K654">
    <cfRule type="notContainsBlanks" dxfId="7286" priority="7550">
      <formula>LEN(TRIM(G654))&gt;0</formula>
    </cfRule>
  </conditionalFormatting>
  <conditionalFormatting sqref="G654:K654">
    <cfRule type="notContainsBlanks" dxfId="7285" priority="7549">
      <formula>LEN(TRIM(G654))&gt;0</formula>
    </cfRule>
  </conditionalFormatting>
  <conditionalFormatting sqref="G654:K654">
    <cfRule type="notContainsBlanks" dxfId="7284" priority="7548">
      <formula>LEN(TRIM(G654))&gt;0</formula>
    </cfRule>
  </conditionalFormatting>
  <conditionalFormatting sqref="G654:K654">
    <cfRule type="notContainsBlanks" dxfId="7283" priority="7547">
      <formula>LEN(TRIM(G654))&gt;0</formula>
    </cfRule>
  </conditionalFormatting>
  <conditionalFormatting sqref="G654:K654">
    <cfRule type="notContainsBlanks" dxfId="7282" priority="7546">
      <formula>LEN(TRIM(G654))&gt;0</formula>
    </cfRule>
  </conditionalFormatting>
  <conditionalFormatting sqref="G654:K654">
    <cfRule type="notContainsBlanks" dxfId="7281" priority="7545">
      <formula>LEN(TRIM(G654))&gt;0</formula>
    </cfRule>
  </conditionalFormatting>
  <conditionalFormatting sqref="G654:K654">
    <cfRule type="notContainsBlanks" dxfId="7280" priority="7543">
      <formula>LEN(TRIM(G654))&gt;0</formula>
    </cfRule>
    <cfRule type="notContainsBlanks" dxfId="7279" priority="7544">
      <formula>LEN(TRIM(G654))&gt;0</formula>
    </cfRule>
  </conditionalFormatting>
  <conditionalFormatting sqref="G654:K654">
    <cfRule type="notContainsBlanks" dxfId="7278" priority="7542">
      <formula>LEN(TRIM(G654))&gt;0</formula>
    </cfRule>
  </conditionalFormatting>
  <conditionalFormatting sqref="G654:K654">
    <cfRule type="notContainsBlanks" dxfId="7277" priority="7541">
      <formula>LEN(TRIM(G654))&gt;0</formula>
    </cfRule>
  </conditionalFormatting>
  <conditionalFormatting sqref="G654:K654">
    <cfRule type="notContainsBlanks" dxfId="7276" priority="7540">
      <formula>LEN(TRIM(G654))&gt;0</formula>
    </cfRule>
  </conditionalFormatting>
  <conditionalFormatting sqref="G654:K654">
    <cfRule type="notContainsBlanks" dxfId="7275" priority="7539">
      <formula>LEN(TRIM(G654))&gt;0</formula>
    </cfRule>
  </conditionalFormatting>
  <conditionalFormatting sqref="G654:K654">
    <cfRule type="notContainsBlanks" dxfId="7274" priority="7538">
      <formula>LEN(TRIM(G654))&gt;0</formula>
    </cfRule>
  </conditionalFormatting>
  <conditionalFormatting sqref="G654:K654">
    <cfRule type="notContainsBlanks" dxfId="7273" priority="7537">
      <formula>LEN(TRIM(G654))&gt;0</formula>
    </cfRule>
  </conditionalFormatting>
  <conditionalFormatting sqref="G654:K654">
    <cfRule type="notContainsBlanks" dxfId="7272" priority="7536">
      <formula>LEN(TRIM(G654))&gt;0</formula>
    </cfRule>
  </conditionalFormatting>
  <conditionalFormatting sqref="G654:K654">
    <cfRule type="notContainsBlanks" dxfId="7271" priority="7535">
      <formula>LEN(TRIM(G654))&gt;0</formula>
    </cfRule>
  </conditionalFormatting>
  <conditionalFormatting sqref="G654:K654">
    <cfRule type="notContainsBlanks" dxfId="7270" priority="7534">
      <formula>LEN(TRIM(G654))&gt;0</formula>
    </cfRule>
  </conditionalFormatting>
  <conditionalFormatting sqref="G654:K654">
    <cfRule type="notContainsBlanks" priority="7533">
      <formula>LEN(TRIM(G654))&gt;0</formula>
    </cfRule>
  </conditionalFormatting>
  <conditionalFormatting sqref="G654:K654">
    <cfRule type="notContainsBlanks" dxfId="7269" priority="7532">
      <formula>LEN(TRIM(G654))&gt;0</formula>
    </cfRule>
  </conditionalFormatting>
  <conditionalFormatting sqref="G654:K654">
    <cfRule type="notContainsBlanks" dxfId="7268" priority="7531">
      <formula>LEN(TRIM(G654))&gt;0</formula>
    </cfRule>
  </conditionalFormatting>
  <conditionalFormatting sqref="G654:K654">
    <cfRule type="notContainsBlanks" dxfId="7267" priority="7530">
      <formula>LEN(TRIM(G654))&gt;0</formula>
    </cfRule>
  </conditionalFormatting>
  <conditionalFormatting sqref="G654:K654">
    <cfRule type="notContainsBlanks" dxfId="7266" priority="7529">
      <formula>LEN(TRIM(G654))&gt;0</formula>
    </cfRule>
  </conditionalFormatting>
  <conditionalFormatting sqref="G654:K654">
    <cfRule type="notContainsBlanks" dxfId="7265" priority="7528">
      <formula>LEN(TRIM(G654))&gt;0</formula>
    </cfRule>
  </conditionalFormatting>
  <conditionalFormatting sqref="G667">
    <cfRule type="notContainsBlanks" dxfId="7264" priority="7527">
      <formula>LEN(TRIM(G667))&gt;0</formula>
    </cfRule>
  </conditionalFormatting>
  <conditionalFormatting sqref="H667:K667">
    <cfRule type="notContainsBlanks" dxfId="7263" priority="7526">
      <formula>LEN(TRIM(H667))&gt;0</formula>
    </cfRule>
  </conditionalFormatting>
  <conditionalFormatting sqref="G667:K667">
    <cfRule type="notContainsBlanks" dxfId="7262" priority="7525">
      <formula>LEN(TRIM(G667))&gt;0</formula>
    </cfRule>
  </conditionalFormatting>
  <conditionalFormatting sqref="G667:K667">
    <cfRule type="notContainsBlanks" dxfId="7261" priority="7524">
      <formula>LEN(TRIM(G667))&gt;0</formula>
    </cfRule>
  </conditionalFormatting>
  <conditionalFormatting sqref="G667:K667">
    <cfRule type="notContainsBlanks" dxfId="7260" priority="7523">
      <formula>LEN(TRIM(G667))&gt;0</formula>
    </cfRule>
  </conditionalFormatting>
  <conditionalFormatting sqref="G667:K667">
    <cfRule type="notContainsBlanks" dxfId="7259" priority="7522">
      <formula>LEN(TRIM(G667))&gt;0</formula>
    </cfRule>
  </conditionalFormatting>
  <conditionalFormatting sqref="G667:K667">
    <cfRule type="notContainsBlanks" dxfId="7258" priority="7521">
      <formula>LEN(TRIM(G667))&gt;0</formula>
    </cfRule>
  </conditionalFormatting>
  <conditionalFormatting sqref="G667:K667">
    <cfRule type="notContainsBlanks" dxfId="7257" priority="7520">
      <formula>LEN(TRIM(G667))&gt;0</formula>
    </cfRule>
  </conditionalFormatting>
  <conditionalFormatting sqref="G667:K667">
    <cfRule type="notContainsBlanks" dxfId="7256" priority="7519">
      <formula>LEN(TRIM(G667))&gt;0</formula>
    </cfRule>
  </conditionalFormatting>
  <conditionalFormatting sqref="G667:K667">
    <cfRule type="notContainsBlanks" dxfId="7255" priority="7518">
      <formula>LEN(TRIM(G667))&gt;0</formula>
    </cfRule>
  </conditionalFormatting>
  <conditionalFormatting sqref="G667:K667">
    <cfRule type="notContainsBlanks" dxfId="7254" priority="7517">
      <formula>LEN(TRIM(G667))&gt;0</formula>
    </cfRule>
  </conditionalFormatting>
  <conditionalFormatting sqref="G667:K667">
    <cfRule type="notContainsBlanks" dxfId="7253" priority="7515">
      <formula>LEN(TRIM(G667))&gt;0</formula>
    </cfRule>
    <cfRule type="notContainsBlanks" dxfId="7252" priority="7516">
      <formula>LEN(TRIM(G667))&gt;0</formula>
    </cfRule>
  </conditionalFormatting>
  <conditionalFormatting sqref="G667:K667">
    <cfRule type="notContainsBlanks" dxfId="7251" priority="7514">
      <formula>LEN(TRIM(G667))&gt;0</formula>
    </cfRule>
  </conditionalFormatting>
  <conditionalFormatting sqref="G667:K667">
    <cfRule type="notContainsBlanks" dxfId="7250" priority="7513">
      <formula>LEN(TRIM(G667))&gt;0</formula>
    </cfRule>
  </conditionalFormatting>
  <conditionalFormatting sqref="G667:K667">
    <cfRule type="notContainsBlanks" dxfId="7249" priority="7512">
      <formula>LEN(TRIM(G667))&gt;0</formula>
    </cfRule>
  </conditionalFormatting>
  <conditionalFormatting sqref="G667:K667">
    <cfRule type="notContainsBlanks" dxfId="7248" priority="7511">
      <formula>LEN(TRIM(G667))&gt;0</formula>
    </cfRule>
  </conditionalFormatting>
  <conditionalFormatting sqref="G667:K667">
    <cfRule type="notContainsBlanks" dxfId="7247" priority="7510">
      <formula>LEN(TRIM(G667))&gt;0</formula>
    </cfRule>
  </conditionalFormatting>
  <conditionalFormatting sqref="G667:K667">
    <cfRule type="notContainsBlanks" dxfId="7246" priority="7509">
      <formula>LEN(TRIM(G667))&gt;0</formula>
    </cfRule>
  </conditionalFormatting>
  <conditionalFormatting sqref="G667:K667">
    <cfRule type="notContainsBlanks" dxfId="7245" priority="7508">
      <formula>LEN(TRIM(G667))&gt;0</formula>
    </cfRule>
  </conditionalFormatting>
  <conditionalFormatting sqref="G667:K667">
    <cfRule type="notContainsBlanks" dxfId="7244" priority="7507">
      <formula>LEN(TRIM(G667))&gt;0</formula>
    </cfRule>
  </conditionalFormatting>
  <conditionalFormatting sqref="G667:K667">
    <cfRule type="notContainsBlanks" dxfId="7243" priority="7506">
      <formula>LEN(TRIM(G667))&gt;0</formula>
    </cfRule>
  </conditionalFormatting>
  <conditionalFormatting sqref="G667:K667">
    <cfRule type="notContainsBlanks" priority="7505">
      <formula>LEN(TRIM(G667))&gt;0</formula>
    </cfRule>
  </conditionalFormatting>
  <conditionalFormatting sqref="G667:K667">
    <cfRule type="notContainsBlanks" dxfId="7242" priority="7504">
      <formula>LEN(TRIM(G667))&gt;0</formula>
    </cfRule>
  </conditionalFormatting>
  <conditionalFormatting sqref="G667:K667">
    <cfRule type="notContainsBlanks" dxfId="7241" priority="7503">
      <formula>LEN(TRIM(G667))&gt;0</formula>
    </cfRule>
  </conditionalFormatting>
  <conditionalFormatting sqref="G667:K667">
    <cfRule type="notContainsBlanks" dxfId="7240" priority="7502">
      <formula>LEN(TRIM(G667))&gt;0</formula>
    </cfRule>
  </conditionalFormatting>
  <conditionalFormatting sqref="G667:K667">
    <cfRule type="notContainsBlanks" dxfId="7239" priority="7501">
      <formula>LEN(TRIM(G667))&gt;0</formula>
    </cfRule>
  </conditionalFormatting>
  <conditionalFormatting sqref="G667:K667">
    <cfRule type="notContainsBlanks" dxfId="7238" priority="7500">
      <formula>LEN(TRIM(G667))&gt;0</formula>
    </cfRule>
  </conditionalFormatting>
  <conditionalFormatting sqref="G680">
    <cfRule type="notContainsBlanks" dxfId="7237" priority="7499">
      <formula>LEN(TRIM(G680))&gt;0</formula>
    </cfRule>
  </conditionalFormatting>
  <conditionalFormatting sqref="H680:K680">
    <cfRule type="notContainsBlanks" dxfId="7236" priority="7498">
      <formula>LEN(TRIM(H680))&gt;0</formula>
    </cfRule>
  </conditionalFormatting>
  <conditionalFormatting sqref="G680:K680">
    <cfRule type="notContainsBlanks" dxfId="7235" priority="7497">
      <formula>LEN(TRIM(G680))&gt;0</formula>
    </cfRule>
  </conditionalFormatting>
  <conditionalFormatting sqref="G680:K680">
    <cfRule type="notContainsBlanks" dxfId="7234" priority="7496">
      <formula>LEN(TRIM(G680))&gt;0</formula>
    </cfRule>
  </conditionalFormatting>
  <conditionalFormatting sqref="G680:K680">
    <cfRule type="notContainsBlanks" dxfId="7233" priority="7495">
      <formula>LEN(TRIM(G680))&gt;0</formula>
    </cfRule>
  </conditionalFormatting>
  <conditionalFormatting sqref="G680:K680">
    <cfRule type="notContainsBlanks" dxfId="7232" priority="7494">
      <formula>LEN(TRIM(G680))&gt;0</formula>
    </cfRule>
  </conditionalFormatting>
  <conditionalFormatting sqref="G680:K680">
    <cfRule type="notContainsBlanks" dxfId="7231" priority="7493">
      <formula>LEN(TRIM(G680))&gt;0</formula>
    </cfRule>
  </conditionalFormatting>
  <conditionalFormatting sqref="G680:K680">
    <cfRule type="notContainsBlanks" dxfId="7230" priority="7492">
      <formula>LEN(TRIM(G680))&gt;0</formula>
    </cfRule>
  </conditionalFormatting>
  <conditionalFormatting sqref="G680:K680">
    <cfRule type="notContainsBlanks" dxfId="7229" priority="7491">
      <formula>LEN(TRIM(G680))&gt;0</formula>
    </cfRule>
  </conditionalFormatting>
  <conditionalFormatting sqref="G680:K680">
    <cfRule type="notContainsBlanks" dxfId="7228" priority="7490">
      <formula>LEN(TRIM(G680))&gt;0</formula>
    </cfRule>
  </conditionalFormatting>
  <conditionalFormatting sqref="G680:K680">
    <cfRule type="notContainsBlanks" dxfId="7227" priority="7489">
      <formula>LEN(TRIM(G680))&gt;0</formula>
    </cfRule>
  </conditionalFormatting>
  <conditionalFormatting sqref="G680:K680">
    <cfRule type="notContainsBlanks" dxfId="7226" priority="7487">
      <formula>LEN(TRIM(G680))&gt;0</formula>
    </cfRule>
    <cfRule type="notContainsBlanks" dxfId="7225" priority="7488">
      <formula>LEN(TRIM(G680))&gt;0</formula>
    </cfRule>
  </conditionalFormatting>
  <conditionalFormatting sqref="G680:K680">
    <cfRule type="notContainsBlanks" dxfId="7224" priority="7486">
      <formula>LEN(TRIM(G680))&gt;0</formula>
    </cfRule>
  </conditionalFormatting>
  <conditionalFormatting sqref="G680:K680">
    <cfRule type="notContainsBlanks" dxfId="7223" priority="7485">
      <formula>LEN(TRIM(G680))&gt;0</formula>
    </cfRule>
  </conditionalFormatting>
  <conditionalFormatting sqref="G680:K680">
    <cfRule type="notContainsBlanks" dxfId="7222" priority="7484">
      <formula>LEN(TRIM(G680))&gt;0</formula>
    </cfRule>
  </conditionalFormatting>
  <conditionalFormatting sqref="G680:K680">
    <cfRule type="notContainsBlanks" dxfId="7221" priority="7483">
      <formula>LEN(TRIM(G680))&gt;0</formula>
    </cfRule>
  </conditionalFormatting>
  <conditionalFormatting sqref="G680:K680">
    <cfRule type="notContainsBlanks" dxfId="7220" priority="7482">
      <formula>LEN(TRIM(G680))&gt;0</formula>
    </cfRule>
  </conditionalFormatting>
  <conditionalFormatting sqref="G680:K680">
    <cfRule type="notContainsBlanks" dxfId="7219" priority="7481">
      <formula>LEN(TRIM(G680))&gt;0</formula>
    </cfRule>
  </conditionalFormatting>
  <conditionalFormatting sqref="G680:K680">
    <cfRule type="notContainsBlanks" dxfId="7218" priority="7480">
      <formula>LEN(TRIM(G680))&gt;0</formula>
    </cfRule>
  </conditionalFormatting>
  <conditionalFormatting sqref="G680:K680">
    <cfRule type="notContainsBlanks" dxfId="7217" priority="7479">
      <formula>LEN(TRIM(G680))&gt;0</formula>
    </cfRule>
  </conditionalFormatting>
  <conditionalFormatting sqref="G680:K680">
    <cfRule type="notContainsBlanks" dxfId="7216" priority="7478">
      <formula>LEN(TRIM(G680))&gt;0</formula>
    </cfRule>
  </conditionalFormatting>
  <conditionalFormatting sqref="G680:K680">
    <cfRule type="notContainsBlanks" priority="7477">
      <formula>LEN(TRIM(G680))&gt;0</formula>
    </cfRule>
  </conditionalFormatting>
  <conditionalFormatting sqref="G680:K680">
    <cfRule type="notContainsBlanks" dxfId="7215" priority="7476">
      <formula>LEN(TRIM(G680))&gt;0</formula>
    </cfRule>
  </conditionalFormatting>
  <conditionalFormatting sqref="G680:K680">
    <cfRule type="notContainsBlanks" dxfId="7214" priority="7475">
      <formula>LEN(TRIM(G680))&gt;0</formula>
    </cfRule>
  </conditionalFormatting>
  <conditionalFormatting sqref="G680:K680">
    <cfRule type="notContainsBlanks" dxfId="7213" priority="7474">
      <formula>LEN(TRIM(G680))&gt;0</formula>
    </cfRule>
  </conditionalFormatting>
  <conditionalFormatting sqref="G680:K680">
    <cfRule type="notContainsBlanks" dxfId="7212" priority="7473">
      <formula>LEN(TRIM(G680))&gt;0</formula>
    </cfRule>
  </conditionalFormatting>
  <conditionalFormatting sqref="G680:K680">
    <cfRule type="notContainsBlanks" dxfId="7211" priority="7472">
      <formula>LEN(TRIM(G680))&gt;0</formula>
    </cfRule>
  </conditionalFormatting>
  <conditionalFormatting sqref="G693">
    <cfRule type="notContainsBlanks" dxfId="7210" priority="7471">
      <formula>LEN(TRIM(G693))&gt;0</formula>
    </cfRule>
  </conditionalFormatting>
  <conditionalFormatting sqref="H693:K693">
    <cfRule type="notContainsBlanks" dxfId="7209" priority="7470">
      <formula>LEN(TRIM(H693))&gt;0</formula>
    </cfRule>
  </conditionalFormatting>
  <conditionalFormatting sqref="G693:K693">
    <cfRule type="notContainsBlanks" dxfId="7208" priority="7469">
      <formula>LEN(TRIM(G693))&gt;0</formula>
    </cfRule>
  </conditionalFormatting>
  <conditionalFormatting sqref="G693:K693">
    <cfRule type="notContainsBlanks" dxfId="7207" priority="7468">
      <formula>LEN(TRIM(G693))&gt;0</formula>
    </cfRule>
  </conditionalFormatting>
  <conditionalFormatting sqref="G693:K693">
    <cfRule type="notContainsBlanks" dxfId="7206" priority="7467">
      <formula>LEN(TRIM(G693))&gt;0</formula>
    </cfRule>
  </conditionalFormatting>
  <conditionalFormatting sqref="G693:K693">
    <cfRule type="notContainsBlanks" dxfId="7205" priority="7466">
      <formula>LEN(TRIM(G693))&gt;0</formula>
    </cfRule>
  </conditionalFormatting>
  <conditionalFormatting sqref="G693:K693">
    <cfRule type="notContainsBlanks" dxfId="7204" priority="7465">
      <formula>LEN(TRIM(G693))&gt;0</formula>
    </cfRule>
  </conditionalFormatting>
  <conditionalFormatting sqref="G693:K693">
    <cfRule type="notContainsBlanks" dxfId="7203" priority="7464">
      <formula>LEN(TRIM(G693))&gt;0</formula>
    </cfRule>
  </conditionalFormatting>
  <conditionalFormatting sqref="G693:K693">
    <cfRule type="notContainsBlanks" dxfId="7202" priority="7463">
      <formula>LEN(TRIM(G693))&gt;0</formula>
    </cfRule>
  </conditionalFormatting>
  <conditionalFormatting sqref="G693:K693">
    <cfRule type="notContainsBlanks" dxfId="7201" priority="7462">
      <formula>LEN(TRIM(G693))&gt;0</formula>
    </cfRule>
  </conditionalFormatting>
  <conditionalFormatting sqref="G693:K693">
    <cfRule type="notContainsBlanks" dxfId="7200" priority="7461">
      <formula>LEN(TRIM(G693))&gt;0</formula>
    </cfRule>
  </conditionalFormatting>
  <conditionalFormatting sqref="G693:K693">
    <cfRule type="notContainsBlanks" dxfId="7199" priority="7459">
      <formula>LEN(TRIM(G693))&gt;0</formula>
    </cfRule>
    <cfRule type="notContainsBlanks" dxfId="7198" priority="7460">
      <formula>LEN(TRIM(G693))&gt;0</formula>
    </cfRule>
  </conditionalFormatting>
  <conditionalFormatting sqref="G693:K693">
    <cfRule type="notContainsBlanks" dxfId="7197" priority="7458">
      <formula>LEN(TRIM(G693))&gt;0</formula>
    </cfRule>
  </conditionalFormatting>
  <conditionalFormatting sqref="G693:K693">
    <cfRule type="notContainsBlanks" dxfId="7196" priority="7457">
      <formula>LEN(TRIM(G693))&gt;0</formula>
    </cfRule>
  </conditionalFormatting>
  <conditionalFormatting sqref="G693:K693">
    <cfRule type="notContainsBlanks" dxfId="7195" priority="7456">
      <formula>LEN(TRIM(G693))&gt;0</formula>
    </cfRule>
  </conditionalFormatting>
  <conditionalFormatting sqref="G693:K693">
    <cfRule type="notContainsBlanks" dxfId="7194" priority="7455">
      <formula>LEN(TRIM(G693))&gt;0</formula>
    </cfRule>
  </conditionalFormatting>
  <conditionalFormatting sqref="G693:K693">
    <cfRule type="notContainsBlanks" dxfId="7193" priority="7454">
      <formula>LEN(TRIM(G693))&gt;0</formula>
    </cfRule>
  </conditionalFormatting>
  <conditionalFormatting sqref="G693:K693">
    <cfRule type="notContainsBlanks" dxfId="7192" priority="7453">
      <formula>LEN(TRIM(G693))&gt;0</formula>
    </cfRule>
  </conditionalFormatting>
  <conditionalFormatting sqref="G693:K693">
    <cfRule type="notContainsBlanks" dxfId="7191" priority="7452">
      <formula>LEN(TRIM(G693))&gt;0</formula>
    </cfRule>
  </conditionalFormatting>
  <conditionalFormatting sqref="G693:K693">
    <cfRule type="notContainsBlanks" dxfId="7190" priority="7451">
      <formula>LEN(TRIM(G693))&gt;0</formula>
    </cfRule>
  </conditionalFormatting>
  <conditionalFormatting sqref="G693:K693">
    <cfRule type="notContainsBlanks" dxfId="7189" priority="7450">
      <formula>LEN(TRIM(G693))&gt;0</formula>
    </cfRule>
  </conditionalFormatting>
  <conditionalFormatting sqref="G693:K693">
    <cfRule type="notContainsBlanks" priority="7449">
      <formula>LEN(TRIM(G693))&gt;0</formula>
    </cfRule>
  </conditionalFormatting>
  <conditionalFormatting sqref="G693:K693">
    <cfRule type="notContainsBlanks" dxfId="7188" priority="7448">
      <formula>LEN(TRIM(G693))&gt;0</formula>
    </cfRule>
  </conditionalFormatting>
  <conditionalFormatting sqref="G693:K693">
    <cfRule type="notContainsBlanks" dxfId="7187" priority="7447">
      <formula>LEN(TRIM(G693))&gt;0</formula>
    </cfRule>
  </conditionalFormatting>
  <conditionalFormatting sqref="G693:K693">
    <cfRule type="notContainsBlanks" dxfId="7186" priority="7446">
      <formula>LEN(TRIM(G693))&gt;0</formula>
    </cfRule>
  </conditionalFormatting>
  <conditionalFormatting sqref="G693:K693">
    <cfRule type="notContainsBlanks" dxfId="7185" priority="7445">
      <formula>LEN(TRIM(G693))&gt;0</formula>
    </cfRule>
  </conditionalFormatting>
  <conditionalFormatting sqref="G693:K693">
    <cfRule type="notContainsBlanks" dxfId="7184" priority="7444">
      <formula>LEN(TRIM(G693))&gt;0</formula>
    </cfRule>
  </conditionalFormatting>
  <conditionalFormatting sqref="G706">
    <cfRule type="notContainsBlanks" dxfId="7183" priority="7443">
      <formula>LEN(TRIM(G706))&gt;0</formula>
    </cfRule>
  </conditionalFormatting>
  <conditionalFormatting sqref="H706:K706">
    <cfRule type="notContainsBlanks" dxfId="7182" priority="7442">
      <formula>LEN(TRIM(H706))&gt;0</formula>
    </cfRule>
  </conditionalFormatting>
  <conditionalFormatting sqref="G706:K706">
    <cfRule type="notContainsBlanks" dxfId="7181" priority="7441">
      <formula>LEN(TRIM(G706))&gt;0</formula>
    </cfRule>
  </conditionalFormatting>
  <conditionalFormatting sqref="G706:K706">
    <cfRule type="notContainsBlanks" dxfId="7180" priority="7440">
      <formula>LEN(TRIM(G706))&gt;0</formula>
    </cfRule>
  </conditionalFormatting>
  <conditionalFormatting sqref="G706:K706">
    <cfRule type="notContainsBlanks" dxfId="7179" priority="7439">
      <formula>LEN(TRIM(G706))&gt;0</formula>
    </cfRule>
  </conditionalFormatting>
  <conditionalFormatting sqref="G706:K706">
    <cfRule type="notContainsBlanks" dxfId="7178" priority="7438">
      <formula>LEN(TRIM(G706))&gt;0</formula>
    </cfRule>
  </conditionalFormatting>
  <conditionalFormatting sqref="G706:K706">
    <cfRule type="notContainsBlanks" dxfId="7177" priority="7437">
      <formula>LEN(TRIM(G706))&gt;0</formula>
    </cfRule>
  </conditionalFormatting>
  <conditionalFormatting sqref="G706:K706">
    <cfRule type="notContainsBlanks" dxfId="7176" priority="7436">
      <formula>LEN(TRIM(G706))&gt;0</formula>
    </cfRule>
  </conditionalFormatting>
  <conditionalFormatting sqref="G706:K706">
    <cfRule type="notContainsBlanks" dxfId="7175" priority="7435">
      <formula>LEN(TRIM(G706))&gt;0</formula>
    </cfRule>
  </conditionalFormatting>
  <conditionalFormatting sqref="G706:K706">
    <cfRule type="notContainsBlanks" dxfId="7174" priority="7434">
      <formula>LEN(TRIM(G706))&gt;0</formula>
    </cfRule>
  </conditionalFormatting>
  <conditionalFormatting sqref="G706:K706">
    <cfRule type="notContainsBlanks" dxfId="7173" priority="7433">
      <formula>LEN(TRIM(G706))&gt;0</formula>
    </cfRule>
  </conditionalFormatting>
  <conditionalFormatting sqref="G706:K706">
    <cfRule type="notContainsBlanks" dxfId="7172" priority="7431">
      <formula>LEN(TRIM(G706))&gt;0</formula>
    </cfRule>
    <cfRule type="notContainsBlanks" dxfId="7171" priority="7432">
      <formula>LEN(TRIM(G706))&gt;0</formula>
    </cfRule>
  </conditionalFormatting>
  <conditionalFormatting sqref="G706:K706">
    <cfRule type="notContainsBlanks" dxfId="7170" priority="7430">
      <formula>LEN(TRIM(G706))&gt;0</formula>
    </cfRule>
  </conditionalFormatting>
  <conditionalFormatting sqref="G706:K706">
    <cfRule type="notContainsBlanks" dxfId="7169" priority="7429">
      <formula>LEN(TRIM(G706))&gt;0</formula>
    </cfRule>
  </conditionalFormatting>
  <conditionalFormatting sqref="G706:K706">
    <cfRule type="notContainsBlanks" dxfId="7168" priority="7428">
      <formula>LEN(TRIM(G706))&gt;0</formula>
    </cfRule>
  </conditionalFormatting>
  <conditionalFormatting sqref="G706:K706">
    <cfRule type="notContainsBlanks" dxfId="7167" priority="7427">
      <formula>LEN(TRIM(G706))&gt;0</formula>
    </cfRule>
  </conditionalFormatting>
  <conditionalFormatting sqref="G706:K706">
    <cfRule type="notContainsBlanks" dxfId="7166" priority="7426">
      <formula>LEN(TRIM(G706))&gt;0</formula>
    </cfRule>
  </conditionalFormatting>
  <conditionalFormatting sqref="G706:K706">
    <cfRule type="notContainsBlanks" dxfId="7165" priority="7425">
      <formula>LEN(TRIM(G706))&gt;0</formula>
    </cfRule>
  </conditionalFormatting>
  <conditionalFormatting sqref="G706:K706">
    <cfRule type="notContainsBlanks" dxfId="7164" priority="7424">
      <formula>LEN(TRIM(G706))&gt;0</formula>
    </cfRule>
  </conditionalFormatting>
  <conditionalFormatting sqref="G706:K706">
    <cfRule type="notContainsBlanks" dxfId="7163" priority="7423">
      <formula>LEN(TRIM(G706))&gt;0</formula>
    </cfRule>
  </conditionalFormatting>
  <conditionalFormatting sqref="G706:K706">
    <cfRule type="notContainsBlanks" dxfId="7162" priority="7422">
      <formula>LEN(TRIM(G706))&gt;0</formula>
    </cfRule>
  </conditionalFormatting>
  <conditionalFormatting sqref="G706:K706">
    <cfRule type="notContainsBlanks" priority="7421">
      <formula>LEN(TRIM(G706))&gt;0</formula>
    </cfRule>
  </conditionalFormatting>
  <conditionalFormatting sqref="G706:K706">
    <cfRule type="notContainsBlanks" dxfId="7161" priority="7420">
      <formula>LEN(TRIM(G706))&gt;0</formula>
    </cfRule>
  </conditionalFormatting>
  <conditionalFormatting sqref="G706:K706">
    <cfRule type="notContainsBlanks" dxfId="7160" priority="7419">
      <formula>LEN(TRIM(G706))&gt;0</formula>
    </cfRule>
  </conditionalFormatting>
  <conditionalFormatting sqref="G706:K706">
    <cfRule type="notContainsBlanks" dxfId="7159" priority="7418">
      <formula>LEN(TRIM(G706))&gt;0</formula>
    </cfRule>
  </conditionalFormatting>
  <conditionalFormatting sqref="G706:K706">
    <cfRule type="notContainsBlanks" dxfId="7158" priority="7417">
      <formula>LEN(TRIM(G706))&gt;0</formula>
    </cfRule>
  </conditionalFormatting>
  <conditionalFormatting sqref="G706:K706">
    <cfRule type="notContainsBlanks" dxfId="7157" priority="7416">
      <formula>LEN(TRIM(G706))&gt;0</formula>
    </cfRule>
  </conditionalFormatting>
  <conditionalFormatting sqref="G719">
    <cfRule type="notContainsBlanks" dxfId="7156" priority="7415">
      <formula>LEN(TRIM(G719))&gt;0</formula>
    </cfRule>
  </conditionalFormatting>
  <conditionalFormatting sqref="H719:K719">
    <cfRule type="notContainsBlanks" dxfId="7155" priority="7414">
      <formula>LEN(TRIM(H719))&gt;0</formula>
    </cfRule>
  </conditionalFormatting>
  <conditionalFormatting sqref="G719:K719">
    <cfRule type="notContainsBlanks" dxfId="7154" priority="7413">
      <formula>LEN(TRIM(G719))&gt;0</formula>
    </cfRule>
  </conditionalFormatting>
  <conditionalFormatting sqref="G719:K719">
    <cfRule type="notContainsBlanks" dxfId="7153" priority="7412">
      <formula>LEN(TRIM(G719))&gt;0</formula>
    </cfRule>
  </conditionalFormatting>
  <conditionalFormatting sqref="G719:K719">
    <cfRule type="notContainsBlanks" dxfId="7152" priority="7411">
      <formula>LEN(TRIM(G719))&gt;0</formula>
    </cfRule>
  </conditionalFormatting>
  <conditionalFormatting sqref="G719:K719">
    <cfRule type="notContainsBlanks" dxfId="7151" priority="7410">
      <formula>LEN(TRIM(G719))&gt;0</formula>
    </cfRule>
  </conditionalFormatting>
  <conditionalFormatting sqref="G719:K719">
    <cfRule type="notContainsBlanks" dxfId="7150" priority="7409">
      <formula>LEN(TRIM(G719))&gt;0</formula>
    </cfRule>
  </conditionalFormatting>
  <conditionalFormatting sqref="G719:K719">
    <cfRule type="notContainsBlanks" dxfId="7149" priority="7408">
      <formula>LEN(TRIM(G719))&gt;0</formula>
    </cfRule>
  </conditionalFormatting>
  <conditionalFormatting sqref="G719:K719">
    <cfRule type="notContainsBlanks" dxfId="7148" priority="7407">
      <formula>LEN(TRIM(G719))&gt;0</formula>
    </cfRule>
  </conditionalFormatting>
  <conditionalFormatting sqref="G719:K719">
    <cfRule type="notContainsBlanks" dxfId="7147" priority="7406">
      <formula>LEN(TRIM(G719))&gt;0</formula>
    </cfRule>
  </conditionalFormatting>
  <conditionalFormatting sqref="G719:K719">
    <cfRule type="notContainsBlanks" dxfId="7146" priority="7405">
      <formula>LEN(TRIM(G719))&gt;0</formula>
    </cfRule>
  </conditionalFormatting>
  <conditionalFormatting sqref="G719:K719">
    <cfRule type="notContainsBlanks" dxfId="7145" priority="7403">
      <formula>LEN(TRIM(G719))&gt;0</formula>
    </cfRule>
    <cfRule type="notContainsBlanks" dxfId="7144" priority="7404">
      <formula>LEN(TRIM(G719))&gt;0</formula>
    </cfRule>
  </conditionalFormatting>
  <conditionalFormatting sqref="G719:K719">
    <cfRule type="notContainsBlanks" dxfId="7143" priority="7402">
      <formula>LEN(TRIM(G719))&gt;0</formula>
    </cfRule>
  </conditionalFormatting>
  <conditionalFormatting sqref="G719:K719">
    <cfRule type="notContainsBlanks" dxfId="7142" priority="7401">
      <formula>LEN(TRIM(G719))&gt;0</formula>
    </cfRule>
  </conditionalFormatting>
  <conditionalFormatting sqref="G719:K719">
    <cfRule type="notContainsBlanks" dxfId="7141" priority="7400">
      <formula>LEN(TRIM(G719))&gt;0</formula>
    </cfRule>
  </conditionalFormatting>
  <conditionalFormatting sqref="G719:K719">
    <cfRule type="notContainsBlanks" dxfId="7140" priority="7399">
      <formula>LEN(TRIM(G719))&gt;0</formula>
    </cfRule>
  </conditionalFormatting>
  <conditionalFormatting sqref="G719:K719">
    <cfRule type="notContainsBlanks" dxfId="7139" priority="7398">
      <formula>LEN(TRIM(G719))&gt;0</formula>
    </cfRule>
  </conditionalFormatting>
  <conditionalFormatting sqref="G719:K719">
    <cfRule type="notContainsBlanks" dxfId="7138" priority="7397">
      <formula>LEN(TRIM(G719))&gt;0</formula>
    </cfRule>
  </conditionalFormatting>
  <conditionalFormatting sqref="G719:K719">
    <cfRule type="notContainsBlanks" dxfId="7137" priority="7396">
      <formula>LEN(TRIM(G719))&gt;0</formula>
    </cfRule>
  </conditionalFormatting>
  <conditionalFormatting sqref="G719:K719">
    <cfRule type="notContainsBlanks" dxfId="7136" priority="7395">
      <formula>LEN(TRIM(G719))&gt;0</formula>
    </cfRule>
  </conditionalFormatting>
  <conditionalFormatting sqref="G719:K719">
    <cfRule type="notContainsBlanks" dxfId="7135" priority="7394">
      <formula>LEN(TRIM(G719))&gt;0</formula>
    </cfRule>
  </conditionalFormatting>
  <conditionalFormatting sqref="G719:K719">
    <cfRule type="notContainsBlanks" priority="7393">
      <formula>LEN(TRIM(G719))&gt;0</formula>
    </cfRule>
  </conditionalFormatting>
  <conditionalFormatting sqref="G719:K719">
    <cfRule type="notContainsBlanks" dxfId="7134" priority="7392">
      <formula>LEN(TRIM(G719))&gt;0</formula>
    </cfRule>
  </conditionalFormatting>
  <conditionalFormatting sqref="G719:K719">
    <cfRule type="notContainsBlanks" dxfId="7133" priority="7391">
      <formula>LEN(TRIM(G719))&gt;0</formula>
    </cfRule>
  </conditionalFormatting>
  <conditionalFormatting sqref="G719:K719">
    <cfRule type="notContainsBlanks" dxfId="7132" priority="7390">
      <formula>LEN(TRIM(G719))&gt;0</formula>
    </cfRule>
  </conditionalFormatting>
  <conditionalFormatting sqref="G719:K719">
    <cfRule type="notContainsBlanks" dxfId="7131" priority="7389">
      <formula>LEN(TRIM(G719))&gt;0</formula>
    </cfRule>
  </conditionalFormatting>
  <conditionalFormatting sqref="G719:K719">
    <cfRule type="notContainsBlanks" dxfId="7130" priority="7388">
      <formula>LEN(TRIM(G719))&gt;0</formula>
    </cfRule>
  </conditionalFormatting>
  <conditionalFormatting sqref="G732">
    <cfRule type="notContainsBlanks" dxfId="7129" priority="7387">
      <formula>LEN(TRIM(G732))&gt;0</formula>
    </cfRule>
  </conditionalFormatting>
  <conditionalFormatting sqref="H732:K732">
    <cfRule type="notContainsBlanks" dxfId="7128" priority="7386">
      <formula>LEN(TRIM(H732))&gt;0</formula>
    </cfRule>
  </conditionalFormatting>
  <conditionalFormatting sqref="G732:K732">
    <cfRule type="notContainsBlanks" dxfId="7127" priority="7385">
      <formula>LEN(TRIM(G732))&gt;0</formula>
    </cfRule>
  </conditionalFormatting>
  <conditionalFormatting sqref="G732:K732">
    <cfRule type="notContainsBlanks" dxfId="7126" priority="7384">
      <formula>LEN(TRIM(G732))&gt;0</formula>
    </cfRule>
  </conditionalFormatting>
  <conditionalFormatting sqref="G732:K732">
    <cfRule type="notContainsBlanks" dxfId="7125" priority="7383">
      <formula>LEN(TRIM(G732))&gt;0</formula>
    </cfRule>
  </conditionalFormatting>
  <conditionalFormatting sqref="G732:K732">
    <cfRule type="notContainsBlanks" dxfId="7124" priority="7382">
      <formula>LEN(TRIM(G732))&gt;0</formula>
    </cfRule>
  </conditionalFormatting>
  <conditionalFormatting sqref="G732:K732">
    <cfRule type="notContainsBlanks" dxfId="7123" priority="7381">
      <formula>LEN(TRIM(G732))&gt;0</formula>
    </cfRule>
  </conditionalFormatting>
  <conditionalFormatting sqref="G732:K732">
    <cfRule type="notContainsBlanks" dxfId="7122" priority="7380">
      <formula>LEN(TRIM(G732))&gt;0</formula>
    </cfRule>
  </conditionalFormatting>
  <conditionalFormatting sqref="G732:K732">
    <cfRule type="notContainsBlanks" dxfId="7121" priority="7379">
      <formula>LEN(TRIM(G732))&gt;0</formula>
    </cfRule>
  </conditionalFormatting>
  <conditionalFormatting sqref="G732:K732">
    <cfRule type="notContainsBlanks" dxfId="7120" priority="7378">
      <formula>LEN(TRIM(G732))&gt;0</formula>
    </cfRule>
  </conditionalFormatting>
  <conditionalFormatting sqref="G732:K732">
    <cfRule type="notContainsBlanks" dxfId="7119" priority="7377">
      <formula>LEN(TRIM(G732))&gt;0</formula>
    </cfRule>
  </conditionalFormatting>
  <conditionalFormatting sqref="G732:K732">
    <cfRule type="notContainsBlanks" dxfId="7118" priority="7375">
      <formula>LEN(TRIM(G732))&gt;0</formula>
    </cfRule>
    <cfRule type="notContainsBlanks" dxfId="7117" priority="7376">
      <formula>LEN(TRIM(G732))&gt;0</formula>
    </cfRule>
  </conditionalFormatting>
  <conditionalFormatting sqref="G732:K732">
    <cfRule type="notContainsBlanks" dxfId="7116" priority="7374">
      <formula>LEN(TRIM(G732))&gt;0</formula>
    </cfRule>
  </conditionalFormatting>
  <conditionalFormatting sqref="G732:K732">
    <cfRule type="notContainsBlanks" dxfId="7115" priority="7373">
      <formula>LEN(TRIM(G732))&gt;0</formula>
    </cfRule>
  </conditionalFormatting>
  <conditionalFormatting sqref="G732:K732">
    <cfRule type="notContainsBlanks" dxfId="7114" priority="7372">
      <formula>LEN(TRIM(G732))&gt;0</formula>
    </cfRule>
  </conditionalFormatting>
  <conditionalFormatting sqref="G732:K732">
    <cfRule type="notContainsBlanks" dxfId="7113" priority="7371">
      <formula>LEN(TRIM(G732))&gt;0</formula>
    </cfRule>
  </conditionalFormatting>
  <conditionalFormatting sqref="G732:K732">
    <cfRule type="notContainsBlanks" dxfId="7112" priority="7370">
      <formula>LEN(TRIM(G732))&gt;0</formula>
    </cfRule>
  </conditionalFormatting>
  <conditionalFormatting sqref="G732:K732">
    <cfRule type="notContainsBlanks" dxfId="7111" priority="7369">
      <formula>LEN(TRIM(G732))&gt;0</formula>
    </cfRule>
  </conditionalFormatting>
  <conditionalFormatting sqref="G732:K732">
    <cfRule type="notContainsBlanks" dxfId="7110" priority="7368">
      <formula>LEN(TRIM(G732))&gt;0</formula>
    </cfRule>
  </conditionalFormatting>
  <conditionalFormatting sqref="G732:K732">
    <cfRule type="notContainsBlanks" dxfId="7109" priority="7367">
      <formula>LEN(TRIM(G732))&gt;0</formula>
    </cfRule>
  </conditionalFormatting>
  <conditionalFormatting sqref="G732:K732">
    <cfRule type="notContainsBlanks" dxfId="7108" priority="7366">
      <formula>LEN(TRIM(G732))&gt;0</formula>
    </cfRule>
  </conditionalFormatting>
  <conditionalFormatting sqref="G732:K732">
    <cfRule type="notContainsBlanks" priority="7365">
      <formula>LEN(TRIM(G732))&gt;0</formula>
    </cfRule>
  </conditionalFormatting>
  <conditionalFormatting sqref="G732:K732">
    <cfRule type="notContainsBlanks" dxfId="7107" priority="7364">
      <formula>LEN(TRIM(G732))&gt;0</formula>
    </cfRule>
  </conditionalFormatting>
  <conditionalFormatting sqref="G732:K732">
    <cfRule type="notContainsBlanks" dxfId="7106" priority="7363">
      <formula>LEN(TRIM(G732))&gt;0</formula>
    </cfRule>
  </conditionalFormatting>
  <conditionalFormatting sqref="G732:K732">
    <cfRule type="notContainsBlanks" dxfId="7105" priority="7362">
      <formula>LEN(TRIM(G732))&gt;0</formula>
    </cfRule>
  </conditionalFormatting>
  <conditionalFormatting sqref="G732:K732">
    <cfRule type="notContainsBlanks" dxfId="7104" priority="7361">
      <formula>LEN(TRIM(G732))&gt;0</formula>
    </cfRule>
  </conditionalFormatting>
  <conditionalFormatting sqref="G732:K732">
    <cfRule type="notContainsBlanks" dxfId="7103" priority="7360">
      <formula>LEN(TRIM(G732))&gt;0</formula>
    </cfRule>
  </conditionalFormatting>
  <conditionalFormatting sqref="G745">
    <cfRule type="notContainsBlanks" dxfId="7102" priority="7359">
      <formula>LEN(TRIM(G745))&gt;0</formula>
    </cfRule>
  </conditionalFormatting>
  <conditionalFormatting sqref="H745:K745">
    <cfRule type="notContainsBlanks" dxfId="7101" priority="7358">
      <formula>LEN(TRIM(H745))&gt;0</formula>
    </cfRule>
  </conditionalFormatting>
  <conditionalFormatting sqref="G745:K745">
    <cfRule type="notContainsBlanks" dxfId="7100" priority="7357">
      <formula>LEN(TRIM(G745))&gt;0</formula>
    </cfRule>
  </conditionalFormatting>
  <conditionalFormatting sqref="G745:K745">
    <cfRule type="notContainsBlanks" dxfId="7099" priority="7356">
      <formula>LEN(TRIM(G745))&gt;0</formula>
    </cfRule>
  </conditionalFormatting>
  <conditionalFormatting sqref="G745:K745">
    <cfRule type="notContainsBlanks" dxfId="7098" priority="7355">
      <formula>LEN(TRIM(G745))&gt;0</formula>
    </cfRule>
  </conditionalFormatting>
  <conditionalFormatting sqref="G745:K745">
    <cfRule type="notContainsBlanks" dxfId="7097" priority="7354">
      <formula>LEN(TRIM(G745))&gt;0</formula>
    </cfRule>
  </conditionalFormatting>
  <conditionalFormatting sqref="G745:K745">
    <cfRule type="notContainsBlanks" dxfId="7096" priority="7353">
      <formula>LEN(TRIM(G745))&gt;0</formula>
    </cfRule>
  </conditionalFormatting>
  <conditionalFormatting sqref="G745:K745">
    <cfRule type="notContainsBlanks" dxfId="7095" priority="7352">
      <formula>LEN(TRIM(G745))&gt;0</formula>
    </cfRule>
  </conditionalFormatting>
  <conditionalFormatting sqref="G745:K745">
    <cfRule type="notContainsBlanks" dxfId="7094" priority="7351">
      <formula>LEN(TRIM(G745))&gt;0</formula>
    </cfRule>
  </conditionalFormatting>
  <conditionalFormatting sqref="G745:K745">
    <cfRule type="notContainsBlanks" dxfId="7093" priority="7350">
      <formula>LEN(TRIM(G745))&gt;0</formula>
    </cfRule>
  </conditionalFormatting>
  <conditionalFormatting sqref="G745:K745">
    <cfRule type="notContainsBlanks" dxfId="7092" priority="7349">
      <formula>LEN(TRIM(G745))&gt;0</formula>
    </cfRule>
  </conditionalFormatting>
  <conditionalFormatting sqref="G745:K745">
    <cfRule type="notContainsBlanks" dxfId="7091" priority="7347">
      <formula>LEN(TRIM(G745))&gt;0</formula>
    </cfRule>
    <cfRule type="notContainsBlanks" dxfId="7090" priority="7348">
      <formula>LEN(TRIM(G745))&gt;0</formula>
    </cfRule>
  </conditionalFormatting>
  <conditionalFormatting sqref="G745:K745">
    <cfRule type="notContainsBlanks" dxfId="7089" priority="7346">
      <formula>LEN(TRIM(G745))&gt;0</formula>
    </cfRule>
  </conditionalFormatting>
  <conditionalFormatting sqref="G745:K745">
    <cfRule type="notContainsBlanks" dxfId="7088" priority="7345">
      <formula>LEN(TRIM(G745))&gt;0</formula>
    </cfRule>
  </conditionalFormatting>
  <conditionalFormatting sqref="G745:K745">
    <cfRule type="notContainsBlanks" dxfId="7087" priority="7344">
      <formula>LEN(TRIM(G745))&gt;0</formula>
    </cfRule>
  </conditionalFormatting>
  <conditionalFormatting sqref="G745:K745">
    <cfRule type="notContainsBlanks" dxfId="7086" priority="7343">
      <formula>LEN(TRIM(G745))&gt;0</formula>
    </cfRule>
  </conditionalFormatting>
  <conditionalFormatting sqref="G745:K745">
    <cfRule type="notContainsBlanks" dxfId="7085" priority="7342">
      <formula>LEN(TRIM(G745))&gt;0</formula>
    </cfRule>
  </conditionalFormatting>
  <conditionalFormatting sqref="G745:K745">
    <cfRule type="notContainsBlanks" dxfId="7084" priority="7341">
      <formula>LEN(TRIM(G745))&gt;0</formula>
    </cfRule>
  </conditionalFormatting>
  <conditionalFormatting sqref="G745:K745">
    <cfRule type="notContainsBlanks" dxfId="7083" priority="7340">
      <formula>LEN(TRIM(G745))&gt;0</formula>
    </cfRule>
  </conditionalFormatting>
  <conditionalFormatting sqref="G745:K745">
    <cfRule type="notContainsBlanks" dxfId="7082" priority="7339">
      <formula>LEN(TRIM(G745))&gt;0</formula>
    </cfRule>
  </conditionalFormatting>
  <conditionalFormatting sqref="G745:K745">
    <cfRule type="notContainsBlanks" dxfId="7081" priority="7338">
      <formula>LEN(TRIM(G745))&gt;0</formula>
    </cfRule>
  </conditionalFormatting>
  <conditionalFormatting sqref="G745:K745">
    <cfRule type="notContainsBlanks" priority="7337">
      <formula>LEN(TRIM(G745))&gt;0</formula>
    </cfRule>
  </conditionalFormatting>
  <conditionalFormatting sqref="G745:K745">
    <cfRule type="notContainsBlanks" dxfId="7080" priority="7336">
      <formula>LEN(TRIM(G745))&gt;0</formula>
    </cfRule>
  </conditionalFormatting>
  <conditionalFormatting sqref="G745:K745">
    <cfRule type="notContainsBlanks" dxfId="7079" priority="7335">
      <formula>LEN(TRIM(G745))&gt;0</formula>
    </cfRule>
  </conditionalFormatting>
  <conditionalFormatting sqref="G745:K745">
    <cfRule type="notContainsBlanks" dxfId="7078" priority="7334">
      <formula>LEN(TRIM(G745))&gt;0</formula>
    </cfRule>
  </conditionalFormatting>
  <conditionalFormatting sqref="G745:K745">
    <cfRule type="notContainsBlanks" dxfId="7077" priority="7333">
      <formula>LEN(TRIM(G745))&gt;0</formula>
    </cfRule>
  </conditionalFormatting>
  <conditionalFormatting sqref="G745:K745">
    <cfRule type="notContainsBlanks" dxfId="7076" priority="7332">
      <formula>LEN(TRIM(G745))&gt;0</formula>
    </cfRule>
  </conditionalFormatting>
  <conditionalFormatting sqref="G758">
    <cfRule type="notContainsBlanks" dxfId="7075" priority="7331">
      <formula>LEN(TRIM(G758))&gt;0</formula>
    </cfRule>
  </conditionalFormatting>
  <conditionalFormatting sqref="H758:K758">
    <cfRule type="notContainsBlanks" dxfId="7074" priority="7330">
      <formula>LEN(TRIM(H758))&gt;0</formula>
    </cfRule>
  </conditionalFormatting>
  <conditionalFormatting sqref="G758:K758">
    <cfRule type="notContainsBlanks" dxfId="7073" priority="7329">
      <formula>LEN(TRIM(G758))&gt;0</formula>
    </cfRule>
  </conditionalFormatting>
  <conditionalFormatting sqref="G758:K758">
    <cfRule type="notContainsBlanks" dxfId="7072" priority="7328">
      <formula>LEN(TRIM(G758))&gt;0</formula>
    </cfRule>
  </conditionalFormatting>
  <conditionalFormatting sqref="G758:K758">
    <cfRule type="notContainsBlanks" dxfId="7071" priority="7327">
      <formula>LEN(TRIM(G758))&gt;0</formula>
    </cfRule>
  </conditionalFormatting>
  <conditionalFormatting sqref="G758:K758">
    <cfRule type="notContainsBlanks" dxfId="7070" priority="7326">
      <formula>LEN(TRIM(G758))&gt;0</formula>
    </cfRule>
  </conditionalFormatting>
  <conditionalFormatting sqref="G758:K758">
    <cfRule type="notContainsBlanks" dxfId="7069" priority="7325">
      <formula>LEN(TRIM(G758))&gt;0</formula>
    </cfRule>
  </conditionalFormatting>
  <conditionalFormatting sqref="G758:K758">
    <cfRule type="notContainsBlanks" dxfId="7068" priority="7324">
      <formula>LEN(TRIM(G758))&gt;0</formula>
    </cfRule>
  </conditionalFormatting>
  <conditionalFormatting sqref="G758:K758">
    <cfRule type="notContainsBlanks" dxfId="7067" priority="7323">
      <formula>LEN(TRIM(G758))&gt;0</formula>
    </cfRule>
  </conditionalFormatting>
  <conditionalFormatting sqref="G758:K758">
    <cfRule type="notContainsBlanks" dxfId="7066" priority="7322">
      <formula>LEN(TRIM(G758))&gt;0</formula>
    </cfRule>
  </conditionalFormatting>
  <conditionalFormatting sqref="G758:K758">
    <cfRule type="notContainsBlanks" dxfId="7065" priority="7321">
      <formula>LEN(TRIM(G758))&gt;0</formula>
    </cfRule>
  </conditionalFormatting>
  <conditionalFormatting sqref="G758:K758">
    <cfRule type="notContainsBlanks" dxfId="7064" priority="7319">
      <formula>LEN(TRIM(G758))&gt;0</formula>
    </cfRule>
    <cfRule type="notContainsBlanks" dxfId="7063" priority="7320">
      <formula>LEN(TRIM(G758))&gt;0</formula>
    </cfRule>
  </conditionalFormatting>
  <conditionalFormatting sqref="G758:K758">
    <cfRule type="notContainsBlanks" dxfId="7062" priority="7318">
      <formula>LEN(TRIM(G758))&gt;0</formula>
    </cfRule>
  </conditionalFormatting>
  <conditionalFormatting sqref="G758:K758">
    <cfRule type="notContainsBlanks" dxfId="7061" priority="7317">
      <formula>LEN(TRIM(G758))&gt;0</formula>
    </cfRule>
  </conditionalFormatting>
  <conditionalFormatting sqref="G758:K758">
    <cfRule type="notContainsBlanks" dxfId="7060" priority="7316">
      <formula>LEN(TRIM(G758))&gt;0</formula>
    </cfRule>
  </conditionalFormatting>
  <conditionalFormatting sqref="G758:K758">
    <cfRule type="notContainsBlanks" dxfId="7059" priority="7315">
      <formula>LEN(TRIM(G758))&gt;0</formula>
    </cfRule>
  </conditionalFormatting>
  <conditionalFormatting sqref="G758:K758">
    <cfRule type="notContainsBlanks" dxfId="7058" priority="7314">
      <formula>LEN(TRIM(G758))&gt;0</formula>
    </cfRule>
  </conditionalFormatting>
  <conditionalFormatting sqref="G758:K758">
    <cfRule type="notContainsBlanks" dxfId="7057" priority="7313">
      <formula>LEN(TRIM(G758))&gt;0</formula>
    </cfRule>
  </conditionalFormatting>
  <conditionalFormatting sqref="G758:K758">
    <cfRule type="notContainsBlanks" dxfId="7056" priority="7312">
      <formula>LEN(TRIM(G758))&gt;0</formula>
    </cfRule>
  </conditionalFormatting>
  <conditionalFormatting sqref="G758:K758">
    <cfRule type="notContainsBlanks" dxfId="7055" priority="7311">
      <formula>LEN(TRIM(G758))&gt;0</formula>
    </cfRule>
  </conditionalFormatting>
  <conditionalFormatting sqref="G758:K758">
    <cfRule type="notContainsBlanks" dxfId="7054" priority="7310">
      <formula>LEN(TRIM(G758))&gt;0</formula>
    </cfRule>
  </conditionalFormatting>
  <conditionalFormatting sqref="G758:K758">
    <cfRule type="notContainsBlanks" priority="7309">
      <formula>LEN(TRIM(G758))&gt;0</formula>
    </cfRule>
  </conditionalFormatting>
  <conditionalFormatting sqref="G758:K758">
    <cfRule type="notContainsBlanks" dxfId="7053" priority="7308">
      <formula>LEN(TRIM(G758))&gt;0</formula>
    </cfRule>
  </conditionalFormatting>
  <conditionalFormatting sqref="G758:K758">
    <cfRule type="notContainsBlanks" dxfId="7052" priority="7307">
      <formula>LEN(TRIM(G758))&gt;0</formula>
    </cfRule>
  </conditionalFormatting>
  <conditionalFormatting sqref="G758:K758">
    <cfRule type="notContainsBlanks" dxfId="7051" priority="7306">
      <formula>LEN(TRIM(G758))&gt;0</formula>
    </cfRule>
  </conditionalFormatting>
  <conditionalFormatting sqref="G758:K758">
    <cfRule type="notContainsBlanks" dxfId="7050" priority="7305">
      <formula>LEN(TRIM(G758))&gt;0</formula>
    </cfRule>
  </conditionalFormatting>
  <conditionalFormatting sqref="G758:K758">
    <cfRule type="notContainsBlanks" dxfId="7049" priority="7304">
      <formula>LEN(TRIM(G758))&gt;0</formula>
    </cfRule>
  </conditionalFormatting>
  <conditionalFormatting sqref="G771">
    <cfRule type="notContainsBlanks" dxfId="7048" priority="7303">
      <formula>LEN(TRIM(G771))&gt;0</formula>
    </cfRule>
  </conditionalFormatting>
  <conditionalFormatting sqref="H771:K771">
    <cfRule type="notContainsBlanks" dxfId="7047" priority="7302">
      <formula>LEN(TRIM(H771))&gt;0</formula>
    </cfRule>
  </conditionalFormatting>
  <conditionalFormatting sqref="G771:K771">
    <cfRule type="notContainsBlanks" dxfId="7046" priority="7301">
      <formula>LEN(TRIM(G771))&gt;0</formula>
    </cfRule>
  </conditionalFormatting>
  <conditionalFormatting sqref="G771:K771">
    <cfRule type="notContainsBlanks" dxfId="7045" priority="7300">
      <formula>LEN(TRIM(G771))&gt;0</formula>
    </cfRule>
  </conditionalFormatting>
  <conditionalFormatting sqref="G771:K771">
    <cfRule type="notContainsBlanks" dxfId="7044" priority="7299">
      <formula>LEN(TRIM(G771))&gt;0</formula>
    </cfRule>
  </conditionalFormatting>
  <conditionalFormatting sqref="G771:K771">
    <cfRule type="notContainsBlanks" dxfId="7043" priority="7298">
      <formula>LEN(TRIM(G771))&gt;0</formula>
    </cfRule>
  </conditionalFormatting>
  <conditionalFormatting sqref="G771:K771">
    <cfRule type="notContainsBlanks" dxfId="7042" priority="7297">
      <formula>LEN(TRIM(G771))&gt;0</formula>
    </cfRule>
  </conditionalFormatting>
  <conditionalFormatting sqref="G771:K771">
    <cfRule type="notContainsBlanks" dxfId="7041" priority="7296">
      <formula>LEN(TRIM(G771))&gt;0</formula>
    </cfRule>
  </conditionalFormatting>
  <conditionalFormatting sqref="G771:K771">
    <cfRule type="notContainsBlanks" dxfId="7040" priority="7295">
      <formula>LEN(TRIM(G771))&gt;0</formula>
    </cfRule>
  </conditionalFormatting>
  <conditionalFormatting sqref="G771:K771">
    <cfRule type="notContainsBlanks" dxfId="7039" priority="7294">
      <formula>LEN(TRIM(G771))&gt;0</formula>
    </cfRule>
  </conditionalFormatting>
  <conditionalFormatting sqref="G771:K771">
    <cfRule type="notContainsBlanks" dxfId="7038" priority="7293">
      <formula>LEN(TRIM(G771))&gt;0</formula>
    </cfRule>
  </conditionalFormatting>
  <conditionalFormatting sqref="G771:K771">
    <cfRule type="notContainsBlanks" dxfId="7037" priority="7291">
      <formula>LEN(TRIM(G771))&gt;0</formula>
    </cfRule>
    <cfRule type="notContainsBlanks" dxfId="7036" priority="7292">
      <formula>LEN(TRIM(G771))&gt;0</formula>
    </cfRule>
  </conditionalFormatting>
  <conditionalFormatting sqref="G771:K771">
    <cfRule type="notContainsBlanks" dxfId="7035" priority="7290">
      <formula>LEN(TRIM(G771))&gt;0</formula>
    </cfRule>
  </conditionalFormatting>
  <conditionalFormatting sqref="G771:K771">
    <cfRule type="notContainsBlanks" dxfId="7034" priority="7289">
      <formula>LEN(TRIM(G771))&gt;0</formula>
    </cfRule>
  </conditionalFormatting>
  <conditionalFormatting sqref="G771:K771">
    <cfRule type="notContainsBlanks" dxfId="7033" priority="7288">
      <formula>LEN(TRIM(G771))&gt;0</formula>
    </cfRule>
  </conditionalFormatting>
  <conditionalFormatting sqref="G771:K771">
    <cfRule type="notContainsBlanks" dxfId="7032" priority="7287">
      <formula>LEN(TRIM(G771))&gt;0</formula>
    </cfRule>
  </conditionalFormatting>
  <conditionalFormatting sqref="G771:K771">
    <cfRule type="notContainsBlanks" dxfId="7031" priority="7286">
      <formula>LEN(TRIM(G771))&gt;0</formula>
    </cfRule>
  </conditionalFormatting>
  <conditionalFormatting sqref="G771:K771">
    <cfRule type="notContainsBlanks" dxfId="7030" priority="7285">
      <formula>LEN(TRIM(G771))&gt;0</formula>
    </cfRule>
  </conditionalFormatting>
  <conditionalFormatting sqref="G771:K771">
    <cfRule type="notContainsBlanks" dxfId="7029" priority="7284">
      <formula>LEN(TRIM(G771))&gt;0</formula>
    </cfRule>
  </conditionalFormatting>
  <conditionalFormatting sqref="G771:K771">
    <cfRule type="notContainsBlanks" dxfId="7028" priority="7283">
      <formula>LEN(TRIM(G771))&gt;0</formula>
    </cfRule>
  </conditionalFormatting>
  <conditionalFormatting sqref="G771:K771">
    <cfRule type="notContainsBlanks" dxfId="7027" priority="7282">
      <formula>LEN(TRIM(G771))&gt;0</formula>
    </cfRule>
  </conditionalFormatting>
  <conditionalFormatting sqref="G771:K771">
    <cfRule type="notContainsBlanks" priority="7281">
      <formula>LEN(TRIM(G771))&gt;0</formula>
    </cfRule>
  </conditionalFormatting>
  <conditionalFormatting sqref="G771:K771">
    <cfRule type="notContainsBlanks" dxfId="7026" priority="7280">
      <formula>LEN(TRIM(G771))&gt;0</formula>
    </cfRule>
  </conditionalFormatting>
  <conditionalFormatting sqref="G771:K771">
    <cfRule type="notContainsBlanks" dxfId="7025" priority="7279">
      <formula>LEN(TRIM(G771))&gt;0</formula>
    </cfRule>
  </conditionalFormatting>
  <conditionalFormatting sqref="G771:K771">
    <cfRule type="notContainsBlanks" dxfId="7024" priority="7278">
      <formula>LEN(TRIM(G771))&gt;0</formula>
    </cfRule>
  </conditionalFormatting>
  <conditionalFormatting sqref="G771:K771">
    <cfRule type="notContainsBlanks" dxfId="7023" priority="7277">
      <formula>LEN(TRIM(G771))&gt;0</formula>
    </cfRule>
  </conditionalFormatting>
  <conditionalFormatting sqref="G771:K771">
    <cfRule type="notContainsBlanks" dxfId="7022" priority="7276">
      <formula>LEN(TRIM(G771))&gt;0</formula>
    </cfRule>
  </conditionalFormatting>
  <conditionalFormatting sqref="G784">
    <cfRule type="notContainsBlanks" dxfId="7021" priority="7275">
      <formula>LEN(TRIM(G784))&gt;0</formula>
    </cfRule>
  </conditionalFormatting>
  <conditionalFormatting sqref="H784:K784">
    <cfRule type="notContainsBlanks" dxfId="7020" priority="7274">
      <formula>LEN(TRIM(H784))&gt;0</formula>
    </cfRule>
  </conditionalFormatting>
  <conditionalFormatting sqref="G784:K784">
    <cfRule type="notContainsBlanks" dxfId="7019" priority="7273">
      <formula>LEN(TRIM(G784))&gt;0</formula>
    </cfRule>
  </conditionalFormatting>
  <conditionalFormatting sqref="G784:K784">
    <cfRule type="notContainsBlanks" dxfId="7018" priority="7272">
      <formula>LEN(TRIM(G784))&gt;0</formula>
    </cfRule>
  </conditionalFormatting>
  <conditionalFormatting sqref="G784:K784">
    <cfRule type="notContainsBlanks" dxfId="7017" priority="7271">
      <formula>LEN(TRIM(G784))&gt;0</formula>
    </cfRule>
  </conditionalFormatting>
  <conditionalFormatting sqref="G784:K784">
    <cfRule type="notContainsBlanks" dxfId="7016" priority="7270">
      <formula>LEN(TRIM(G784))&gt;0</formula>
    </cfRule>
  </conditionalFormatting>
  <conditionalFormatting sqref="G784:K784">
    <cfRule type="notContainsBlanks" dxfId="7015" priority="7269">
      <formula>LEN(TRIM(G784))&gt;0</formula>
    </cfRule>
  </conditionalFormatting>
  <conditionalFormatting sqref="G784:K784">
    <cfRule type="notContainsBlanks" dxfId="7014" priority="7268">
      <formula>LEN(TRIM(G784))&gt;0</formula>
    </cfRule>
  </conditionalFormatting>
  <conditionalFormatting sqref="G784:K784">
    <cfRule type="notContainsBlanks" dxfId="7013" priority="7267">
      <formula>LEN(TRIM(G784))&gt;0</formula>
    </cfRule>
  </conditionalFormatting>
  <conditionalFormatting sqref="G784:K784">
    <cfRule type="notContainsBlanks" dxfId="7012" priority="7266">
      <formula>LEN(TRIM(G784))&gt;0</formula>
    </cfRule>
  </conditionalFormatting>
  <conditionalFormatting sqref="G784:K784">
    <cfRule type="notContainsBlanks" dxfId="7011" priority="7265">
      <formula>LEN(TRIM(G784))&gt;0</formula>
    </cfRule>
  </conditionalFormatting>
  <conditionalFormatting sqref="G784:K784">
    <cfRule type="notContainsBlanks" dxfId="7010" priority="7263">
      <formula>LEN(TRIM(G784))&gt;0</formula>
    </cfRule>
    <cfRule type="notContainsBlanks" dxfId="7009" priority="7264">
      <formula>LEN(TRIM(G784))&gt;0</formula>
    </cfRule>
  </conditionalFormatting>
  <conditionalFormatting sqref="G784:K784">
    <cfRule type="notContainsBlanks" dxfId="7008" priority="7262">
      <formula>LEN(TRIM(G784))&gt;0</formula>
    </cfRule>
  </conditionalFormatting>
  <conditionalFormatting sqref="G784:K784">
    <cfRule type="notContainsBlanks" dxfId="7007" priority="7261">
      <formula>LEN(TRIM(G784))&gt;0</formula>
    </cfRule>
  </conditionalFormatting>
  <conditionalFormatting sqref="G784:K784">
    <cfRule type="notContainsBlanks" dxfId="7006" priority="7260">
      <formula>LEN(TRIM(G784))&gt;0</formula>
    </cfRule>
  </conditionalFormatting>
  <conditionalFormatting sqref="G784:K784">
    <cfRule type="notContainsBlanks" dxfId="7005" priority="7259">
      <formula>LEN(TRIM(G784))&gt;0</formula>
    </cfRule>
  </conditionalFormatting>
  <conditionalFormatting sqref="G784:K784">
    <cfRule type="notContainsBlanks" dxfId="7004" priority="7258">
      <formula>LEN(TRIM(G784))&gt;0</formula>
    </cfRule>
  </conditionalFormatting>
  <conditionalFormatting sqref="G784:K784">
    <cfRule type="notContainsBlanks" dxfId="7003" priority="7257">
      <formula>LEN(TRIM(G784))&gt;0</formula>
    </cfRule>
  </conditionalFormatting>
  <conditionalFormatting sqref="G784:K784">
    <cfRule type="notContainsBlanks" dxfId="7002" priority="7256">
      <formula>LEN(TRIM(G784))&gt;0</formula>
    </cfRule>
  </conditionalFormatting>
  <conditionalFormatting sqref="G784:K784">
    <cfRule type="notContainsBlanks" dxfId="7001" priority="7255">
      <formula>LEN(TRIM(G784))&gt;0</formula>
    </cfRule>
  </conditionalFormatting>
  <conditionalFormatting sqref="G784:K784">
    <cfRule type="notContainsBlanks" dxfId="7000" priority="7254">
      <formula>LEN(TRIM(G784))&gt;0</formula>
    </cfRule>
  </conditionalFormatting>
  <conditionalFormatting sqref="G784:K784">
    <cfRule type="notContainsBlanks" priority="7253">
      <formula>LEN(TRIM(G784))&gt;0</formula>
    </cfRule>
  </conditionalFormatting>
  <conditionalFormatting sqref="G784:K784">
    <cfRule type="notContainsBlanks" dxfId="6999" priority="7252">
      <formula>LEN(TRIM(G784))&gt;0</formula>
    </cfRule>
  </conditionalFormatting>
  <conditionalFormatting sqref="G784:K784">
    <cfRule type="notContainsBlanks" dxfId="6998" priority="7251">
      <formula>LEN(TRIM(G784))&gt;0</formula>
    </cfRule>
  </conditionalFormatting>
  <conditionalFormatting sqref="G784:K784">
    <cfRule type="notContainsBlanks" dxfId="6997" priority="7250">
      <formula>LEN(TRIM(G784))&gt;0</formula>
    </cfRule>
  </conditionalFormatting>
  <conditionalFormatting sqref="G784:K784">
    <cfRule type="notContainsBlanks" dxfId="6996" priority="7249">
      <formula>LEN(TRIM(G784))&gt;0</formula>
    </cfRule>
  </conditionalFormatting>
  <conditionalFormatting sqref="G784:K784">
    <cfRule type="notContainsBlanks" dxfId="6995" priority="7248">
      <formula>LEN(TRIM(G784))&gt;0</formula>
    </cfRule>
  </conditionalFormatting>
  <conditionalFormatting sqref="G797">
    <cfRule type="notContainsBlanks" dxfId="6994" priority="7247">
      <formula>LEN(TRIM(G797))&gt;0</formula>
    </cfRule>
  </conditionalFormatting>
  <conditionalFormatting sqref="H797:K797">
    <cfRule type="notContainsBlanks" dxfId="6993" priority="7246">
      <formula>LEN(TRIM(H797))&gt;0</formula>
    </cfRule>
  </conditionalFormatting>
  <conditionalFormatting sqref="G797:K797">
    <cfRule type="notContainsBlanks" dxfId="6992" priority="7245">
      <formula>LEN(TRIM(G797))&gt;0</formula>
    </cfRule>
  </conditionalFormatting>
  <conditionalFormatting sqref="G797:K797">
    <cfRule type="notContainsBlanks" dxfId="6991" priority="7244">
      <formula>LEN(TRIM(G797))&gt;0</formula>
    </cfRule>
  </conditionalFormatting>
  <conditionalFormatting sqref="G797:K797">
    <cfRule type="notContainsBlanks" dxfId="6990" priority="7243">
      <formula>LEN(TRIM(G797))&gt;0</formula>
    </cfRule>
  </conditionalFormatting>
  <conditionalFormatting sqref="G797:K797">
    <cfRule type="notContainsBlanks" dxfId="6989" priority="7242">
      <formula>LEN(TRIM(G797))&gt;0</formula>
    </cfRule>
  </conditionalFormatting>
  <conditionalFormatting sqref="G797:K797">
    <cfRule type="notContainsBlanks" dxfId="6988" priority="7241">
      <formula>LEN(TRIM(G797))&gt;0</formula>
    </cfRule>
  </conditionalFormatting>
  <conditionalFormatting sqref="G797:K797">
    <cfRule type="notContainsBlanks" dxfId="6987" priority="7240">
      <formula>LEN(TRIM(G797))&gt;0</formula>
    </cfRule>
  </conditionalFormatting>
  <conditionalFormatting sqref="G797:K797">
    <cfRule type="notContainsBlanks" dxfId="6986" priority="7239">
      <formula>LEN(TRIM(G797))&gt;0</formula>
    </cfRule>
  </conditionalFormatting>
  <conditionalFormatting sqref="G797:K797">
    <cfRule type="notContainsBlanks" dxfId="6985" priority="7238">
      <formula>LEN(TRIM(G797))&gt;0</formula>
    </cfRule>
  </conditionalFormatting>
  <conditionalFormatting sqref="G797:K797">
    <cfRule type="notContainsBlanks" dxfId="6984" priority="7237">
      <formula>LEN(TRIM(G797))&gt;0</formula>
    </cfRule>
  </conditionalFormatting>
  <conditionalFormatting sqref="G797:K797">
    <cfRule type="notContainsBlanks" dxfId="6983" priority="7235">
      <formula>LEN(TRIM(G797))&gt;0</formula>
    </cfRule>
    <cfRule type="notContainsBlanks" dxfId="6982" priority="7236">
      <formula>LEN(TRIM(G797))&gt;0</formula>
    </cfRule>
  </conditionalFormatting>
  <conditionalFormatting sqref="G797:K797">
    <cfRule type="notContainsBlanks" dxfId="6981" priority="7234">
      <formula>LEN(TRIM(G797))&gt;0</formula>
    </cfRule>
  </conditionalFormatting>
  <conditionalFormatting sqref="G797:K797">
    <cfRule type="notContainsBlanks" dxfId="6980" priority="7233">
      <formula>LEN(TRIM(G797))&gt;0</formula>
    </cfRule>
  </conditionalFormatting>
  <conditionalFormatting sqref="G797:K797">
    <cfRule type="notContainsBlanks" dxfId="6979" priority="7232">
      <formula>LEN(TRIM(G797))&gt;0</formula>
    </cfRule>
  </conditionalFormatting>
  <conditionalFormatting sqref="G797:K797">
    <cfRule type="notContainsBlanks" dxfId="6978" priority="7231">
      <formula>LEN(TRIM(G797))&gt;0</formula>
    </cfRule>
  </conditionalFormatting>
  <conditionalFormatting sqref="G797:K797">
    <cfRule type="notContainsBlanks" dxfId="6977" priority="7230">
      <formula>LEN(TRIM(G797))&gt;0</formula>
    </cfRule>
  </conditionalFormatting>
  <conditionalFormatting sqref="G797:K797">
    <cfRule type="notContainsBlanks" dxfId="6976" priority="7229">
      <formula>LEN(TRIM(G797))&gt;0</formula>
    </cfRule>
  </conditionalFormatting>
  <conditionalFormatting sqref="G797:K797">
    <cfRule type="notContainsBlanks" dxfId="6975" priority="7228">
      <formula>LEN(TRIM(G797))&gt;0</formula>
    </cfRule>
  </conditionalFormatting>
  <conditionalFormatting sqref="G797:K797">
    <cfRule type="notContainsBlanks" dxfId="6974" priority="7227">
      <formula>LEN(TRIM(G797))&gt;0</formula>
    </cfRule>
  </conditionalFormatting>
  <conditionalFormatting sqref="G797:K797">
    <cfRule type="notContainsBlanks" dxfId="6973" priority="7226">
      <formula>LEN(TRIM(G797))&gt;0</formula>
    </cfRule>
  </conditionalFormatting>
  <conditionalFormatting sqref="G797:K797">
    <cfRule type="notContainsBlanks" priority="7225">
      <formula>LEN(TRIM(G797))&gt;0</formula>
    </cfRule>
  </conditionalFormatting>
  <conditionalFormatting sqref="G797:K797">
    <cfRule type="notContainsBlanks" dxfId="6972" priority="7224">
      <formula>LEN(TRIM(G797))&gt;0</formula>
    </cfRule>
  </conditionalFormatting>
  <conditionalFormatting sqref="G797:K797">
    <cfRule type="notContainsBlanks" dxfId="6971" priority="7223">
      <formula>LEN(TRIM(G797))&gt;0</formula>
    </cfRule>
  </conditionalFormatting>
  <conditionalFormatting sqref="G797:K797">
    <cfRule type="notContainsBlanks" dxfId="6970" priority="7222">
      <formula>LEN(TRIM(G797))&gt;0</formula>
    </cfRule>
  </conditionalFormatting>
  <conditionalFormatting sqref="G797:K797">
    <cfRule type="notContainsBlanks" dxfId="6969" priority="7221">
      <formula>LEN(TRIM(G797))&gt;0</formula>
    </cfRule>
  </conditionalFormatting>
  <conditionalFormatting sqref="G797:K797">
    <cfRule type="notContainsBlanks" dxfId="6968" priority="7220">
      <formula>LEN(TRIM(G797))&gt;0</formula>
    </cfRule>
  </conditionalFormatting>
  <conditionalFormatting sqref="G810">
    <cfRule type="notContainsBlanks" dxfId="6967" priority="7219">
      <formula>LEN(TRIM(G810))&gt;0</formula>
    </cfRule>
  </conditionalFormatting>
  <conditionalFormatting sqref="H810:K810">
    <cfRule type="notContainsBlanks" dxfId="6966" priority="7218">
      <formula>LEN(TRIM(H810))&gt;0</formula>
    </cfRule>
  </conditionalFormatting>
  <conditionalFormatting sqref="G810:K810">
    <cfRule type="notContainsBlanks" dxfId="6965" priority="7217">
      <formula>LEN(TRIM(G810))&gt;0</formula>
    </cfRule>
  </conditionalFormatting>
  <conditionalFormatting sqref="G810:K810">
    <cfRule type="notContainsBlanks" dxfId="6964" priority="7216">
      <formula>LEN(TRIM(G810))&gt;0</formula>
    </cfRule>
  </conditionalFormatting>
  <conditionalFormatting sqref="G810:K810">
    <cfRule type="notContainsBlanks" dxfId="6963" priority="7215">
      <formula>LEN(TRIM(G810))&gt;0</formula>
    </cfRule>
  </conditionalFormatting>
  <conditionalFormatting sqref="G810:K810">
    <cfRule type="notContainsBlanks" dxfId="6962" priority="7214">
      <formula>LEN(TRIM(G810))&gt;0</formula>
    </cfRule>
  </conditionalFormatting>
  <conditionalFormatting sqref="G810:K810">
    <cfRule type="notContainsBlanks" dxfId="6961" priority="7213">
      <formula>LEN(TRIM(G810))&gt;0</formula>
    </cfRule>
  </conditionalFormatting>
  <conditionalFormatting sqref="G810:K810">
    <cfRule type="notContainsBlanks" dxfId="6960" priority="7212">
      <formula>LEN(TRIM(G810))&gt;0</formula>
    </cfRule>
  </conditionalFormatting>
  <conditionalFormatting sqref="G810:K810">
    <cfRule type="notContainsBlanks" dxfId="6959" priority="7211">
      <formula>LEN(TRIM(G810))&gt;0</formula>
    </cfRule>
  </conditionalFormatting>
  <conditionalFormatting sqref="G810:K810">
    <cfRule type="notContainsBlanks" dxfId="6958" priority="7210">
      <formula>LEN(TRIM(G810))&gt;0</formula>
    </cfRule>
  </conditionalFormatting>
  <conditionalFormatting sqref="G810:K810">
    <cfRule type="notContainsBlanks" dxfId="6957" priority="7209">
      <formula>LEN(TRIM(G810))&gt;0</formula>
    </cfRule>
  </conditionalFormatting>
  <conditionalFormatting sqref="G810:K810">
    <cfRule type="notContainsBlanks" dxfId="6956" priority="7207">
      <formula>LEN(TRIM(G810))&gt;0</formula>
    </cfRule>
    <cfRule type="notContainsBlanks" dxfId="6955" priority="7208">
      <formula>LEN(TRIM(G810))&gt;0</formula>
    </cfRule>
  </conditionalFormatting>
  <conditionalFormatting sqref="G810:K810">
    <cfRule type="notContainsBlanks" dxfId="6954" priority="7206">
      <formula>LEN(TRIM(G810))&gt;0</formula>
    </cfRule>
  </conditionalFormatting>
  <conditionalFormatting sqref="G810:K810">
    <cfRule type="notContainsBlanks" dxfId="6953" priority="7205">
      <formula>LEN(TRIM(G810))&gt;0</formula>
    </cfRule>
  </conditionalFormatting>
  <conditionalFormatting sqref="G810:K810">
    <cfRule type="notContainsBlanks" dxfId="6952" priority="7204">
      <formula>LEN(TRIM(G810))&gt;0</formula>
    </cfRule>
  </conditionalFormatting>
  <conditionalFormatting sqref="G810:K810">
    <cfRule type="notContainsBlanks" dxfId="6951" priority="7203">
      <formula>LEN(TRIM(G810))&gt;0</formula>
    </cfRule>
  </conditionalFormatting>
  <conditionalFormatting sqref="G810:K810">
    <cfRule type="notContainsBlanks" dxfId="6950" priority="7202">
      <formula>LEN(TRIM(G810))&gt;0</formula>
    </cfRule>
  </conditionalFormatting>
  <conditionalFormatting sqref="G810:K810">
    <cfRule type="notContainsBlanks" dxfId="6949" priority="7201">
      <formula>LEN(TRIM(G810))&gt;0</formula>
    </cfRule>
  </conditionalFormatting>
  <conditionalFormatting sqref="G810:K810">
    <cfRule type="notContainsBlanks" dxfId="6948" priority="7200">
      <formula>LEN(TRIM(G810))&gt;0</formula>
    </cfRule>
  </conditionalFormatting>
  <conditionalFormatting sqref="G810:K810">
    <cfRule type="notContainsBlanks" dxfId="6947" priority="7199">
      <formula>LEN(TRIM(G810))&gt;0</formula>
    </cfRule>
  </conditionalFormatting>
  <conditionalFormatting sqref="G810:K810">
    <cfRule type="notContainsBlanks" dxfId="6946" priority="7198">
      <formula>LEN(TRIM(G810))&gt;0</formula>
    </cfRule>
  </conditionalFormatting>
  <conditionalFormatting sqref="G810:K810">
    <cfRule type="notContainsBlanks" priority="7197">
      <formula>LEN(TRIM(G810))&gt;0</formula>
    </cfRule>
  </conditionalFormatting>
  <conditionalFormatting sqref="G810:K810">
    <cfRule type="notContainsBlanks" dxfId="6945" priority="7196">
      <formula>LEN(TRIM(G810))&gt;0</formula>
    </cfRule>
  </conditionalFormatting>
  <conditionalFormatting sqref="G810:K810">
    <cfRule type="notContainsBlanks" dxfId="6944" priority="7195">
      <formula>LEN(TRIM(G810))&gt;0</formula>
    </cfRule>
  </conditionalFormatting>
  <conditionalFormatting sqref="G810:K810">
    <cfRule type="notContainsBlanks" dxfId="6943" priority="7194">
      <formula>LEN(TRIM(G810))&gt;0</formula>
    </cfRule>
  </conditionalFormatting>
  <conditionalFormatting sqref="G810:K810">
    <cfRule type="notContainsBlanks" dxfId="6942" priority="7193">
      <formula>LEN(TRIM(G810))&gt;0</formula>
    </cfRule>
  </conditionalFormatting>
  <conditionalFormatting sqref="G810:K810">
    <cfRule type="notContainsBlanks" dxfId="6941" priority="7192">
      <formula>LEN(TRIM(G810))&gt;0</formula>
    </cfRule>
  </conditionalFormatting>
  <conditionalFormatting sqref="G823">
    <cfRule type="notContainsBlanks" dxfId="6940" priority="7191">
      <formula>LEN(TRIM(G823))&gt;0</formula>
    </cfRule>
  </conditionalFormatting>
  <conditionalFormatting sqref="H823:K823">
    <cfRule type="notContainsBlanks" dxfId="6939" priority="7190">
      <formula>LEN(TRIM(H823))&gt;0</formula>
    </cfRule>
  </conditionalFormatting>
  <conditionalFormatting sqref="G823:K823">
    <cfRule type="notContainsBlanks" dxfId="6938" priority="7189">
      <formula>LEN(TRIM(G823))&gt;0</formula>
    </cfRule>
  </conditionalFormatting>
  <conditionalFormatting sqref="G823:K823">
    <cfRule type="notContainsBlanks" dxfId="6937" priority="7188">
      <formula>LEN(TRIM(G823))&gt;0</formula>
    </cfRule>
  </conditionalFormatting>
  <conditionalFormatting sqref="G823:K823">
    <cfRule type="notContainsBlanks" dxfId="6936" priority="7187">
      <formula>LEN(TRIM(G823))&gt;0</formula>
    </cfRule>
  </conditionalFormatting>
  <conditionalFormatting sqref="G823:K823">
    <cfRule type="notContainsBlanks" dxfId="6935" priority="7186">
      <formula>LEN(TRIM(G823))&gt;0</formula>
    </cfRule>
  </conditionalFormatting>
  <conditionalFormatting sqref="G823:K823">
    <cfRule type="notContainsBlanks" dxfId="6934" priority="7185">
      <formula>LEN(TRIM(G823))&gt;0</formula>
    </cfRule>
  </conditionalFormatting>
  <conditionalFormatting sqref="G823:K823">
    <cfRule type="notContainsBlanks" dxfId="6933" priority="7184">
      <formula>LEN(TRIM(G823))&gt;0</formula>
    </cfRule>
  </conditionalFormatting>
  <conditionalFormatting sqref="G823:K823">
    <cfRule type="notContainsBlanks" dxfId="6932" priority="7183">
      <formula>LEN(TRIM(G823))&gt;0</formula>
    </cfRule>
  </conditionalFormatting>
  <conditionalFormatting sqref="G823:K823">
    <cfRule type="notContainsBlanks" dxfId="6931" priority="7182">
      <formula>LEN(TRIM(G823))&gt;0</formula>
    </cfRule>
  </conditionalFormatting>
  <conditionalFormatting sqref="G823:K823">
    <cfRule type="notContainsBlanks" dxfId="6930" priority="7181">
      <formula>LEN(TRIM(G823))&gt;0</formula>
    </cfRule>
  </conditionalFormatting>
  <conditionalFormatting sqref="G823:K823">
    <cfRule type="notContainsBlanks" dxfId="6929" priority="7179">
      <formula>LEN(TRIM(G823))&gt;0</formula>
    </cfRule>
    <cfRule type="notContainsBlanks" dxfId="6928" priority="7180">
      <formula>LEN(TRIM(G823))&gt;0</formula>
    </cfRule>
  </conditionalFormatting>
  <conditionalFormatting sqref="G823:K823">
    <cfRule type="notContainsBlanks" dxfId="6927" priority="7178">
      <formula>LEN(TRIM(G823))&gt;0</formula>
    </cfRule>
  </conditionalFormatting>
  <conditionalFormatting sqref="G823:K823">
    <cfRule type="notContainsBlanks" dxfId="6926" priority="7177">
      <formula>LEN(TRIM(G823))&gt;0</formula>
    </cfRule>
  </conditionalFormatting>
  <conditionalFormatting sqref="G823:K823">
    <cfRule type="notContainsBlanks" dxfId="6925" priority="7176">
      <formula>LEN(TRIM(G823))&gt;0</formula>
    </cfRule>
  </conditionalFormatting>
  <conditionalFormatting sqref="G823:K823">
    <cfRule type="notContainsBlanks" dxfId="6924" priority="7175">
      <formula>LEN(TRIM(G823))&gt;0</formula>
    </cfRule>
  </conditionalFormatting>
  <conditionalFormatting sqref="G823:K823">
    <cfRule type="notContainsBlanks" dxfId="6923" priority="7174">
      <formula>LEN(TRIM(G823))&gt;0</formula>
    </cfRule>
  </conditionalFormatting>
  <conditionalFormatting sqref="G823:K823">
    <cfRule type="notContainsBlanks" dxfId="6922" priority="7173">
      <formula>LEN(TRIM(G823))&gt;0</formula>
    </cfRule>
  </conditionalFormatting>
  <conditionalFormatting sqref="G823:K823">
    <cfRule type="notContainsBlanks" dxfId="6921" priority="7172">
      <formula>LEN(TRIM(G823))&gt;0</formula>
    </cfRule>
  </conditionalFormatting>
  <conditionalFormatting sqref="G823:K823">
    <cfRule type="notContainsBlanks" dxfId="6920" priority="7171">
      <formula>LEN(TRIM(G823))&gt;0</formula>
    </cfRule>
  </conditionalFormatting>
  <conditionalFormatting sqref="G823:K823">
    <cfRule type="notContainsBlanks" dxfId="6919" priority="7170">
      <formula>LEN(TRIM(G823))&gt;0</formula>
    </cfRule>
  </conditionalFormatting>
  <conditionalFormatting sqref="G823:K823">
    <cfRule type="notContainsBlanks" priority="7169">
      <formula>LEN(TRIM(G823))&gt;0</formula>
    </cfRule>
  </conditionalFormatting>
  <conditionalFormatting sqref="G823:K823">
    <cfRule type="notContainsBlanks" dxfId="6918" priority="7168">
      <formula>LEN(TRIM(G823))&gt;0</formula>
    </cfRule>
  </conditionalFormatting>
  <conditionalFormatting sqref="G823:K823">
    <cfRule type="notContainsBlanks" dxfId="6917" priority="7167">
      <formula>LEN(TRIM(G823))&gt;0</formula>
    </cfRule>
  </conditionalFormatting>
  <conditionalFormatting sqref="G823:K823">
    <cfRule type="notContainsBlanks" dxfId="6916" priority="7166">
      <formula>LEN(TRIM(G823))&gt;0</formula>
    </cfRule>
  </conditionalFormatting>
  <conditionalFormatting sqref="G823:K823">
    <cfRule type="notContainsBlanks" dxfId="6915" priority="7165">
      <formula>LEN(TRIM(G823))&gt;0</formula>
    </cfRule>
  </conditionalFormatting>
  <conditionalFormatting sqref="G823:K823">
    <cfRule type="notContainsBlanks" dxfId="6914" priority="7164">
      <formula>LEN(TRIM(G823))&gt;0</formula>
    </cfRule>
  </conditionalFormatting>
  <conditionalFormatting sqref="G836">
    <cfRule type="notContainsBlanks" dxfId="6913" priority="7163">
      <formula>LEN(TRIM(G836))&gt;0</formula>
    </cfRule>
  </conditionalFormatting>
  <conditionalFormatting sqref="H836:K836">
    <cfRule type="notContainsBlanks" dxfId="6912" priority="7162">
      <formula>LEN(TRIM(H836))&gt;0</formula>
    </cfRule>
  </conditionalFormatting>
  <conditionalFormatting sqref="G836:K836">
    <cfRule type="notContainsBlanks" dxfId="6911" priority="7161">
      <formula>LEN(TRIM(G836))&gt;0</formula>
    </cfRule>
  </conditionalFormatting>
  <conditionalFormatting sqref="G836:K836">
    <cfRule type="notContainsBlanks" dxfId="6910" priority="7160">
      <formula>LEN(TRIM(G836))&gt;0</formula>
    </cfRule>
  </conditionalFormatting>
  <conditionalFormatting sqref="G836:K836">
    <cfRule type="notContainsBlanks" dxfId="6909" priority="7159">
      <formula>LEN(TRIM(G836))&gt;0</formula>
    </cfRule>
  </conditionalFormatting>
  <conditionalFormatting sqref="G836:K836">
    <cfRule type="notContainsBlanks" dxfId="6908" priority="7158">
      <formula>LEN(TRIM(G836))&gt;0</formula>
    </cfRule>
  </conditionalFormatting>
  <conditionalFormatting sqref="G836:K836">
    <cfRule type="notContainsBlanks" dxfId="6907" priority="7157">
      <formula>LEN(TRIM(G836))&gt;0</formula>
    </cfRule>
  </conditionalFormatting>
  <conditionalFormatting sqref="G836:K836">
    <cfRule type="notContainsBlanks" dxfId="6906" priority="7156">
      <formula>LEN(TRIM(G836))&gt;0</formula>
    </cfRule>
  </conditionalFormatting>
  <conditionalFormatting sqref="G836:K836">
    <cfRule type="notContainsBlanks" dxfId="6905" priority="7155">
      <formula>LEN(TRIM(G836))&gt;0</formula>
    </cfRule>
  </conditionalFormatting>
  <conditionalFormatting sqref="G836:K836">
    <cfRule type="notContainsBlanks" dxfId="6904" priority="7154">
      <formula>LEN(TRIM(G836))&gt;0</formula>
    </cfRule>
  </conditionalFormatting>
  <conditionalFormatting sqref="G836:K836">
    <cfRule type="notContainsBlanks" dxfId="6903" priority="7153">
      <formula>LEN(TRIM(G836))&gt;0</formula>
    </cfRule>
  </conditionalFormatting>
  <conditionalFormatting sqref="G836:K836">
    <cfRule type="notContainsBlanks" dxfId="6902" priority="7151">
      <formula>LEN(TRIM(G836))&gt;0</formula>
    </cfRule>
    <cfRule type="notContainsBlanks" dxfId="6901" priority="7152">
      <formula>LEN(TRIM(G836))&gt;0</formula>
    </cfRule>
  </conditionalFormatting>
  <conditionalFormatting sqref="G836:K836">
    <cfRule type="notContainsBlanks" dxfId="6900" priority="7150">
      <formula>LEN(TRIM(G836))&gt;0</formula>
    </cfRule>
  </conditionalFormatting>
  <conditionalFormatting sqref="G836:K836">
    <cfRule type="notContainsBlanks" dxfId="6899" priority="7149">
      <formula>LEN(TRIM(G836))&gt;0</formula>
    </cfRule>
  </conditionalFormatting>
  <conditionalFormatting sqref="G836:K836">
    <cfRule type="notContainsBlanks" dxfId="6898" priority="7148">
      <formula>LEN(TRIM(G836))&gt;0</formula>
    </cfRule>
  </conditionalFormatting>
  <conditionalFormatting sqref="G836:K836">
    <cfRule type="notContainsBlanks" dxfId="6897" priority="7147">
      <formula>LEN(TRIM(G836))&gt;0</formula>
    </cfRule>
  </conditionalFormatting>
  <conditionalFormatting sqref="G836:K836">
    <cfRule type="notContainsBlanks" dxfId="6896" priority="7146">
      <formula>LEN(TRIM(G836))&gt;0</formula>
    </cfRule>
  </conditionalFormatting>
  <conditionalFormatting sqref="G836:K836">
    <cfRule type="notContainsBlanks" dxfId="6895" priority="7145">
      <formula>LEN(TRIM(G836))&gt;0</formula>
    </cfRule>
  </conditionalFormatting>
  <conditionalFormatting sqref="G836:K836">
    <cfRule type="notContainsBlanks" dxfId="6894" priority="7144">
      <formula>LEN(TRIM(G836))&gt;0</formula>
    </cfRule>
  </conditionalFormatting>
  <conditionalFormatting sqref="G836:K836">
    <cfRule type="notContainsBlanks" dxfId="6893" priority="7143">
      <formula>LEN(TRIM(G836))&gt;0</formula>
    </cfRule>
  </conditionalFormatting>
  <conditionalFormatting sqref="G836:K836">
    <cfRule type="notContainsBlanks" dxfId="6892" priority="7142">
      <formula>LEN(TRIM(G836))&gt;0</formula>
    </cfRule>
  </conditionalFormatting>
  <conditionalFormatting sqref="G836:K836">
    <cfRule type="notContainsBlanks" priority="7141">
      <formula>LEN(TRIM(G836))&gt;0</formula>
    </cfRule>
  </conditionalFormatting>
  <conditionalFormatting sqref="G836:K836">
    <cfRule type="notContainsBlanks" dxfId="6891" priority="7140">
      <formula>LEN(TRIM(G836))&gt;0</formula>
    </cfRule>
  </conditionalFormatting>
  <conditionalFormatting sqref="G836:K836">
    <cfRule type="notContainsBlanks" dxfId="6890" priority="7139">
      <formula>LEN(TRIM(G836))&gt;0</formula>
    </cfRule>
  </conditionalFormatting>
  <conditionalFormatting sqref="G836:K836">
    <cfRule type="notContainsBlanks" dxfId="6889" priority="7138">
      <formula>LEN(TRIM(G836))&gt;0</formula>
    </cfRule>
  </conditionalFormatting>
  <conditionalFormatting sqref="G836:K836">
    <cfRule type="notContainsBlanks" dxfId="6888" priority="7137">
      <formula>LEN(TRIM(G836))&gt;0</formula>
    </cfRule>
  </conditionalFormatting>
  <conditionalFormatting sqref="G836:K836">
    <cfRule type="notContainsBlanks" dxfId="6887" priority="7136">
      <formula>LEN(TRIM(G836))&gt;0</formula>
    </cfRule>
  </conditionalFormatting>
  <conditionalFormatting sqref="G849">
    <cfRule type="notContainsBlanks" dxfId="6886" priority="7135">
      <formula>LEN(TRIM(G849))&gt;0</formula>
    </cfRule>
  </conditionalFormatting>
  <conditionalFormatting sqref="H849:K849">
    <cfRule type="notContainsBlanks" dxfId="6885" priority="7134">
      <formula>LEN(TRIM(H849))&gt;0</formula>
    </cfRule>
  </conditionalFormatting>
  <conditionalFormatting sqref="G849:K849">
    <cfRule type="notContainsBlanks" dxfId="6884" priority="7133">
      <formula>LEN(TRIM(G849))&gt;0</formula>
    </cfRule>
  </conditionalFormatting>
  <conditionalFormatting sqref="G849:K849">
    <cfRule type="notContainsBlanks" dxfId="6883" priority="7132">
      <formula>LEN(TRIM(G849))&gt;0</formula>
    </cfRule>
  </conditionalFormatting>
  <conditionalFormatting sqref="G849:K849">
    <cfRule type="notContainsBlanks" dxfId="6882" priority="7131">
      <formula>LEN(TRIM(G849))&gt;0</formula>
    </cfRule>
  </conditionalFormatting>
  <conditionalFormatting sqref="G849:K849">
    <cfRule type="notContainsBlanks" dxfId="6881" priority="7130">
      <formula>LEN(TRIM(G849))&gt;0</formula>
    </cfRule>
  </conditionalFormatting>
  <conditionalFormatting sqref="G849:K849">
    <cfRule type="notContainsBlanks" dxfId="6880" priority="7129">
      <formula>LEN(TRIM(G849))&gt;0</formula>
    </cfRule>
  </conditionalFormatting>
  <conditionalFormatting sqref="G849:K849">
    <cfRule type="notContainsBlanks" dxfId="6879" priority="7128">
      <formula>LEN(TRIM(G849))&gt;0</formula>
    </cfRule>
  </conditionalFormatting>
  <conditionalFormatting sqref="G849:K849">
    <cfRule type="notContainsBlanks" dxfId="6878" priority="7127">
      <formula>LEN(TRIM(G849))&gt;0</formula>
    </cfRule>
  </conditionalFormatting>
  <conditionalFormatting sqref="G849:K849">
    <cfRule type="notContainsBlanks" dxfId="6877" priority="7126">
      <formula>LEN(TRIM(G849))&gt;0</formula>
    </cfRule>
  </conditionalFormatting>
  <conditionalFormatting sqref="G849:K849">
    <cfRule type="notContainsBlanks" dxfId="6876" priority="7125">
      <formula>LEN(TRIM(G849))&gt;0</formula>
    </cfRule>
  </conditionalFormatting>
  <conditionalFormatting sqref="G849:K849">
    <cfRule type="notContainsBlanks" dxfId="6875" priority="7123">
      <formula>LEN(TRIM(G849))&gt;0</formula>
    </cfRule>
    <cfRule type="notContainsBlanks" dxfId="6874" priority="7124">
      <formula>LEN(TRIM(G849))&gt;0</formula>
    </cfRule>
  </conditionalFormatting>
  <conditionalFormatting sqref="G849:K849">
    <cfRule type="notContainsBlanks" dxfId="6873" priority="7122">
      <formula>LEN(TRIM(G849))&gt;0</formula>
    </cfRule>
  </conditionalFormatting>
  <conditionalFormatting sqref="G849:K849">
    <cfRule type="notContainsBlanks" dxfId="6872" priority="7121">
      <formula>LEN(TRIM(G849))&gt;0</formula>
    </cfRule>
  </conditionalFormatting>
  <conditionalFormatting sqref="G849:K849">
    <cfRule type="notContainsBlanks" dxfId="6871" priority="7120">
      <formula>LEN(TRIM(G849))&gt;0</formula>
    </cfRule>
  </conditionalFormatting>
  <conditionalFormatting sqref="G849:K849">
    <cfRule type="notContainsBlanks" dxfId="6870" priority="7119">
      <formula>LEN(TRIM(G849))&gt;0</formula>
    </cfRule>
  </conditionalFormatting>
  <conditionalFormatting sqref="G849:K849">
    <cfRule type="notContainsBlanks" dxfId="6869" priority="7118">
      <formula>LEN(TRIM(G849))&gt;0</formula>
    </cfRule>
  </conditionalFormatting>
  <conditionalFormatting sqref="G849:K849">
    <cfRule type="notContainsBlanks" dxfId="6868" priority="7117">
      <formula>LEN(TRIM(G849))&gt;0</formula>
    </cfRule>
  </conditionalFormatting>
  <conditionalFormatting sqref="G849:K849">
    <cfRule type="notContainsBlanks" dxfId="6867" priority="7116">
      <formula>LEN(TRIM(G849))&gt;0</formula>
    </cfRule>
  </conditionalFormatting>
  <conditionalFormatting sqref="G849:K849">
    <cfRule type="notContainsBlanks" dxfId="6866" priority="7115">
      <formula>LEN(TRIM(G849))&gt;0</formula>
    </cfRule>
  </conditionalFormatting>
  <conditionalFormatting sqref="G849:K849">
    <cfRule type="notContainsBlanks" dxfId="6865" priority="7114">
      <formula>LEN(TRIM(G849))&gt;0</formula>
    </cfRule>
  </conditionalFormatting>
  <conditionalFormatting sqref="G849:K849">
    <cfRule type="notContainsBlanks" priority="7113">
      <formula>LEN(TRIM(G849))&gt;0</formula>
    </cfRule>
  </conditionalFormatting>
  <conditionalFormatting sqref="G849:K849">
    <cfRule type="notContainsBlanks" dxfId="6864" priority="7112">
      <formula>LEN(TRIM(G849))&gt;0</formula>
    </cfRule>
  </conditionalFormatting>
  <conditionalFormatting sqref="G849:K849">
    <cfRule type="notContainsBlanks" dxfId="6863" priority="7111">
      <formula>LEN(TRIM(G849))&gt;0</formula>
    </cfRule>
  </conditionalFormatting>
  <conditionalFormatting sqref="G849:K849">
    <cfRule type="notContainsBlanks" dxfId="6862" priority="7110">
      <formula>LEN(TRIM(G849))&gt;0</formula>
    </cfRule>
  </conditionalFormatting>
  <conditionalFormatting sqref="G849:K849">
    <cfRule type="notContainsBlanks" dxfId="6861" priority="7109">
      <formula>LEN(TRIM(G849))&gt;0</formula>
    </cfRule>
  </conditionalFormatting>
  <conditionalFormatting sqref="G849:K849">
    <cfRule type="notContainsBlanks" dxfId="6860" priority="7108">
      <formula>LEN(TRIM(G849))&gt;0</formula>
    </cfRule>
  </conditionalFormatting>
  <conditionalFormatting sqref="G862">
    <cfRule type="notContainsBlanks" dxfId="6859" priority="7107">
      <formula>LEN(TRIM(G862))&gt;0</formula>
    </cfRule>
  </conditionalFormatting>
  <conditionalFormatting sqref="H862:K862">
    <cfRule type="notContainsBlanks" dxfId="6858" priority="7106">
      <formula>LEN(TRIM(H862))&gt;0</formula>
    </cfRule>
  </conditionalFormatting>
  <conditionalFormatting sqref="G862:K862">
    <cfRule type="notContainsBlanks" dxfId="6857" priority="7105">
      <formula>LEN(TRIM(G862))&gt;0</formula>
    </cfRule>
  </conditionalFormatting>
  <conditionalFormatting sqref="G862:K862">
    <cfRule type="notContainsBlanks" dxfId="6856" priority="7104">
      <formula>LEN(TRIM(G862))&gt;0</formula>
    </cfRule>
  </conditionalFormatting>
  <conditionalFormatting sqref="G862:K862">
    <cfRule type="notContainsBlanks" dxfId="6855" priority="7103">
      <formula>LEN(TRIM(G862))&gt;0</formula>
    </cfRule>
  </conditionalFormatting>
  <conditionalFormatting sqref="G862:K862">
    <cfRule type="notContainsBlanks" dxfId="6854" priority="7102">
      <formula>LEN(TRIM(G862))&gt;0</formula>
    </cfRule>
  </conditionalFormatting>
  <conditionalFormatting sqref="G862:K862">
    <cfRule type="notContainsBlanks" dxfId="6853" priority="7101">
      <formula>LEN(TRIM(G862))&gt;0</formula>
    </cfRule>
  </conditionalFormatting>
  <conditionalFormatting sqref="G862:K862">
    <cfRule type="notContainsBlanks" dxfId="6852" priority="7100">
      <formula>LEN(TRIM(G862))&gt;0</formula>
    </cfRule>
  </conditionalFormatting>
  <conditionalFormatting sqref="G862:K862">
    <cfRule type="notContainsBlanks" dxfId="6851" priority="7099">
      <formula>LEN(TRIM(G862))&gt;0</formula>
    </cfRule>
  </conditionalFormatting>
  <conditionalFormatting sqref="G862:K862">
    <cfRule type="notContainsBlanks" dxfId="6850" priority="7098">
      <formula>LEN(TRIM(G862))&gt;0</formula>
    </cfRule>
  </conditionalFormatting>
  <conditionalFormatting sqref="G862:K862">
    <cfRule type="notContainsBlanks" dxfId="6849" priority="7097">
      <formula>LEN(TRIM(G862))&gt;0</formula>
    </cfRule>
  </conditionalFormatting>
  <conditionalFormatting sqref="G862:K862">
    <cfRule type="notContainsBlanks" dxfId="6848" priority="7095">
      <formula>LEN(TRIM(G862))&gt;0</formula>
    </cfRule>
    <cfRule type="notContainsBlanks" dxfId="6847" priority="7096">
      <formula>LEN(TRIM(G862))&gt;0</formula>
    </cfRule>
  </conditionalFormatting>
  <conditionalFormatting sqref="G862:K862">
    <cfRule type="notContainsBlanks" dxfId="6846" priority="7094">
      <formula>LEN(TRIM(G862))&gt;0</formula>
    </cfRule>
  </conditionalFormatting>
  <conditionalFormatting sqref="G862:K862">
    <cfRule type="notContainsBlanks" dxfId="6845" priority="7093">
      <formula>LEN(TRIM(G862))&gt;0</formula>
    </cfRule>
  </conditionalFormatting>
  <conditionalFormatting sqref="G862:K862">
    <cfRule type="notContainsBlanks" dxfId="6844" priority="7092">
      <formula>LEN(TRIM(G862))&gt;0</formula>
    </cfRule>
  </conditionalFormatting>
  <conditionalFormatting sqref="G862:K862">
    <cfRule type="notContainsBlanks" dxfId="6843" priority="7091">
      <formula>LEN(TRIM(G862))&gt;0</formula>
    </cfRule>
  </conditionalFormatting>
  <conditionalFormatting sqref="G862:K862">
    <cfRule type="notContainsBlanks" dxfId="6842" priority="7090">
      <formula>LEN(TRIM(G862))&gt;0</formula>
    </cfRule>
  </conditionalFormatting>
  <conditionalFormatting sqref="G862:K862">
    <cfRule type="notContainsBlanks" dxfId="6841" priority="7089">
      <formula>LEN(TRIM(G862))&gt;0</formula>
    </cfRule>
  </conditionalFormatting>
  <conditionalFormatting sqref="G862:K862">
    <cfRule type="notContainsBlanks" dxfId="6840" priority="7088">
      <formula>LEN(TRIM(G862))&gt;0</formula>
    </cfRule>
  </conditionalFormatting>
  <conditionalFormatting sqref="G862:K862">
    <cfRule type="notContainsBlanks" dxfId="6839" priority="7087">
      <formula>LEN(TRIM(G862))&gt;0</formula>
    </cfRule>
  </conditionalFormatting>
  <conditionalFormatting sqref="G862:K862">
    <cfRule type="notContainsBlanks" dxfId="6838" priority="7086">
      <formula>LEN(TRIM(G862))&gt;0</formula>
    </cfRule>
  </conditionalFormatting>
  <conditionalFormatting sqref="G862:K862">
    <cfRule type="notContainsBlanks" priority="7085">
      <formula>LEN(TRIM(G862))&gt;0</formula>
    </cfRule>
  </conditionalFormatting>
  <conditionalFormatting sqref="G862:K862">
    <cfRule type="notContainsBlanks" dxfId="6837" priority="7084">
      <formula>LEN(TRIM(G862))&gt;0</formula>
    </cfRule>
  </conditionalFormatting>
  <conditionalFormatting sqref="G862:K862">
    <cfRule type="notContainsBlanks" dxfId="6836" priority="7083">
      <formula>LEN(TRIM(G862))&gt;0</formula>
    </cfRule>
  </conditionalFormatting>
  <conditionalFormatting sqref="G862:K862">
    <cfRule type="notContainsBlanks" dxfId="6835" priority="7082">
      <formula>LEN(TRIM(G862))&gt;0</formula>
    </cfRule>
  </conditionalFormatting>
  <conditionalFormatting sqref="G862:K862">
    <cfRule type="notContainsBlanks" dxfId="6834" priority="7081">
      <formula>LEN(TRIM(G862))&gt;0</formula>
    </cfRule>
  </conditionalFormatting>
  <conditionalFormatting sqref="G862:K862">
    <cfRule type="notContainsBlanks" dxfId="6833" priority="7080">
      <formula>LEN(TRIM(G862))&gt;0</formula>
    </cfRule>
  </conditionalFormatting>
  <conditionalFormatting sqref="G875">
    <cfRule type="notContainsBlanks" dxfId="6832" priority="7079">
      <formula>LEN(TRIM(G875))&gt;0</formula>
    </cfRule>
  </conditionalFormatting>
  <conditionalFormatting sqref="H875:K875">
    <cfRule type="notContainsBlanks" dxfId="6831" priority="7078">
      <formula>LEN(TRIM(H875))&gt;0</formula>
    </cfRule>
  </conditionalFormatting>
  <conditionalFormatting sqref="G875:K875">
    <cfRule type="notContainsBlanks" dxfId="6830" priority="7077">
      <formula>LEN(TRIM(G875))&gt;0</formula>
    </cfRule>
  </conditionalFormatting>
  <conditionalFormatting sqref="G875:K875">
    <cfRule type="notContainsBlanks" dxfId="6829" priority="7076">
      <formula>LEN(TRIM(G875))&gt;0</formula>
    </cfRule>
  </conditionalFormatting>
  <conditionalFormatting sqref="G875:K875">
    <cfRule type="notContainsBlanks" dxfId="6828" priority="7075">
      <formula>LEN(TRIM(G875))&gt;0</formula>
    </cfRule>
  </conditionalFormatting>
  <conditionalFormatting sqref="G875:K875">
    <cfRule type="notContainsBlanks" dxfId="6827" priority="7074">
      <formula>LEN(TRIM(G875))&gt;0</formula>
    </cfRule>
  </conditionalFormatting>
  <conditionalFormatting sqref="G875:K875">
    <cfRule type="notContainsBlanks" dxfId="6826" priority="7073">
      <formula>LEN(TRIM(G875))&gt;0</formula>
    </cfRule>
  </conditionalFormatting>
  <conditionalFormatting sqref="G875:K875">
    <cfRule type="notContainsBlanks" dxfId="6825" priority="7072">
      <formula>LEN(TRIM(G875))&gt;0</formula>
    </cfRule>
  </conditionalFormatting>
  <conditionalFormatting sqref="G875:K875">
    <cfRule type="notContainsBlanks" dxfId="6824" priority="7071">
      <formula>LEN(TRIM(G875))&gt;0</formula>
    </cfRule>
  </conditionalFormatting>
  <conditionalFormatting sqref="G875:K875">
    <cfRule type="notContainsBlanks" dxfId="6823" priority="7070">
      <formula>LEN(TRIM(G875))&gt;0</formula>
    </cfRule>
  </conditionalFormatting>
  <conditionalFormatting sqref="G875:K875">
    <cfRule type="notContainsBlanks" dxfId="6822" priority="7069">
      <formula>LEN(TRIM(G875))&gt;0</formula>
    </cfRule>
  </conditionalFormatting>
  <conditionalFormatting sqref="G875:K875">
    <cfRule type="notContainsBlanks" dxfId="6821" priority="7067">
      <formula>LEN(TRIM(G875))&gt;0</formula>
    </cfRule>
    <cfRule type="notContainsBlanks" dxfId="6820" priority="7068">
      <formula>LEN(TRIM(G875))&gt;0</formula>
    </cfRule>
  </conditionalFormatting>
  <conditionalFormatting sqref="G875:K875">
    <cfRule type="notContainsBlanks" dxfId="6819" priority="7066">
      <formula>LEN(TRIM(G875))&gt;0</formula>
    </cfRule>
  </conditionalFormatting>
  <conditionalFormatting sqref="G875:K875">
    <cfRule type="notContainsBlanks" dxfId="6818" priority="7065">
      <formula>LEN(TRIM(G875))&gt;0</formula>
    </cfRule>
  </conditionalFormatting>
  <conditionalFormatting sqref="G875:K875">
    <cfRule type="notContainsBlanks" dxfId="6817" priority="7064">
      <formula>LEN(TRIM(G875))&gt;0</formula>
    </cfRule>
  </conditionalFormatting>
  <conditionalFormatting sqref="G875:K875">
    <cfRule type="notContainsBlanks" dxfId="6816" priority="7063">
      <formula>LEN(TRIM(G875))&gt;0</formula>
    </cfRule>
  </conditionalFormatting>
  <conditionalFormatting sqref="G875:K875">
    <cfRule type="notContainsBlanks" dxfId="6815" priority="7062">
      <formula>LEN(TRIM(G875))&gt;0</formula>
    </cfRule>
  </conditionalFormatting>
  <conditionalFormatting sqref="G875:K875">
    <cfRule type="notContainsBlanks" dxfId="6814" priority="7061">
      <formula>LEN(TRIM(G875))&gt;0</formula>
    </cfRule>
  </conditionalFormatting>
  <conditionalFormatting sqref="G875:K875">
    <cfRule type="notContainsBlanks" dxfId="6813" priority="7060">
      <formula>LEN(TRIM(G875))&gt;0</formula>
    </cfRule>
  </conditionalFormatting>
  <conditionalFormatting sqref="G875:K875">
    <cfRule type="notContainsBlanks" dxfId="6812" priority="7059">
      <formula>LEN(TRIM(G875))&gt;0</formula>
    </cfRule>
  </conditionalFormatting>
  <conditionalFormatting sqref="G875:K875">
    <cfRule type="notContainsBlanks" dxfId="6811" priority="7058">
      <formula>LEN(TRIM(G875))&gt;0</formula>
    </cfRule>
  </conditionalFormatting>
  <conditionalFormatting sqref="G875:K875">
    <cfRule type="notContainsBlanks" priority="7057">
      <formula>LEN(TRIM(G875))&gt;0</formula>
    </cfRule>
  </conditionalFormatting>
  <conditionalFormatting sqref="G875:K875">
    <cfRule type="notContainsBlanks" dxfId="6810" priority="7056">
      <formula>LEN(TRIM(G875))&gt;0</formula>
    </cfRule>
  </conditionalFormatting>
  <conditionalFormatting sqref="G875:K875">
    <cfRule type="notContainsBlanks" dxfId="6809" priority="7055">
      <formula>LEN(TRIM(G875))&gt;0</formula>
    </cfRule>
  </conditionalFormatting>
  <conditionalFormatting sqref="G875:K875">
    <cfRule type="notContainsBlanks" dxfId="6808" priority="7054">
      <formula>LEN(TRIM(G875))&gt;0</formula>
    </cfRule>
  </conditionalFormatting>
  <conditionalFormatting sqref="G875:K875">
    <cfRule type="notContainsBlanks" dxfId="6807" priority="7053">
      <formula>LEN(TRIM(G875))&gt;0</formula>
    </cfRule>
  </conditionalFormatting>
  <conditionalFormatting sqref="G875:K875">
    <cfRule type="notContainsBlanks" dxfId="6806" priority="7052">
      <formula>LEN(TRIM(G875))&gt;0</formula>
    </cfRule>
  </conditionalFormatting>
  <conditionalFormatting sqref="G888">
    <cfRule type="notContainsBlanks" dxfId="6805" priority="7051">
      <formula>LEN(TRIM(G888))&gt;0</formula>
    </cfRule>
  </conditionalFormatting>
  <conditionalFormatting sqref="H888:K888">
    <cfRule type="notContainsBlanks" dxfId="6804" priority="7050">
      <formula>LEN(TRIM(H888))&gt;0</formula>
    </cfRule>
  </conditionalFormatting>
  <conditionalFormatting sqref="G888:K888">
    <cfRule type="notContainsBlanks" dxfId="6803" priority="7049">
      <formula>LEN(TRIM(G888))&gt;0</formula>
    </cfRule>
  </conditionalFormatting>
  <conditionalFormatting sqref="G888:K888">
    <cfRule type="notContainsBlanks" dxfId="6802" priority="7048">
      <formula>LEN(TRIM(G888))&gt;0</formula>
    </cfRule>
  </conditionalFormatting>
  <conditionalFormatting sqref="G888:K888">
    <cfRule type="notContainsBlanks" dxfId="6801" priority="7047">
      <formula>LEN(TRIM(G888))&gt;0</formula>
    </cfRule>
  </conditionalFormatting>
  <conditionalFormatting sqref="G888:K888">
    <cfRule type="notContainsBlanks" dxfId="6800" priority="7046">
      <formula>LEN(TRIM(G888))&gt;0</formula>
    </cfRule>
  </conditionalFormatting>
  <conditionalFormatting sqref="G888:K888">
    <cfRule type="notContainsBlanks" dxfId="6799" priority="7045">
      <formula>LEN(TRIM(G888))&gt;0</formula>
    </cfRule>
  </conditionalFormatting>
  <conditionalFormatting sqref="G888:K888">
    <cfRule type="notContainsBlanks" dxfId="6798" priority="7044">
      <formula>LEN(TRIM(G888))&gt;0</formula>
    </cfRule>
  </conditionalFormatting>
  <conditionalFormatting sqref="G888:K888">
    <cfRule type="notContainsBlanks" dxfId="6797" priority="7043">
      <formula>LEN(TRIM(G888))&gt;0</formula>
    </cfRule>
  </conditionalFormatting>
  <conditionalFormatting sqref="G888:K888">
    <cfRule type="notContainsBlanks" dxfId="6796" priority="7042">
      <formula>LEN(TRIM(G888))&gt;0</formula>
    </cfRule>
  </conditionalFormatting>
  <conditionalFormatting sqref="G888:K888">
    <cfRule type="notContainsBlanks" dxfId="6795" priority="7041">
      <formula>LEN(TRIM(G888))&gt;0</formula>
    </cfRule>
  </conditionalFormatting>
  <conditionalFormatting sqref="G888:K888">
    <cfRule type="notContainsBlanks" dxfId="6794" priority="7039">
      <formula>LEN(TRIM(G888))&gt;0</formula>
    </cfRule>
    <cfRule type="notContainsBlanks" dxfId="6793" priority="7040">
      <formula>LEN(TRIM(G888))&gt;0</formula>
    </cfRule>
  </conditionalFormatting>
  <conditionalFormatting sqref="G888:K888">
    <cfRule type="notContainsBlanks" dxfId="6792" priority="7038">
      <formula>LEN(TRIM(G888))&gt;0</formula>
    </cfRule>
  </conditionalFormatting>
  <conditionalFormatting sqref="G888:K888">
    <cfRule type="notContainsBlanks" dxfId="6791" priority="7037">
      <formula>LEN(TRIM(G888))&gt;0</formula>
    </cfRule>
  </conditionalFormatting>
  <conditionalFormatting sqref="G888:K888">
    <cfRule type="notContainsBlanks" dxfId="6790" priority="7036">
      <formula>LEN(TRIM(G888))&gt;0</formula>
    </cfRule>
  </conditionalFormatting>
  <conditionalFormatting sqref="G888:K888">
    <cfRule type="notContainsBlanks" dxfId="6789" priority="7035">
      <formula>LEN(TRIM(G888))&gt;0</formula>
    </cfRule>
  </conditionalFormatting>
  <conditionalFormatting sqref="G888:K888">
    <cfRule type="notContainsBlanks" dxfId="6788" priority="7034">
      <formula>LEN(TRIM(G888))&gt;0</formula>
    </cfRule>
  </conditionalFormatting>
  <conditionalFormatting sqref="G888:K888">
    <cfRule type="notContainsBlanks" dxfId="6787" priority="7033">
      <formula>LEN(TRIM(G888))&gt;0</formula>
    </cfRule>
  </conditionalFormatting>
  <conditionalFormatting sqref="G888:K888">
    <cfRule type="notContainsBlanks" dxfId="6786" priority="7032">
      <formula>LEN(TRIM(G888))&gt;0</formula>
    </cfRule>
  </conditionalFormatting>
  <conditionalFormatting sqref="G888:K888">
    <cfRule type="notContainsBlanks" dxfId="6785" priority="7031">
      <formula>LEN(TRIM(G888))&gt;0</formula>
    </cfRule>
  </conditionalFormatting>
  <conditionalFormatting sqref="G888:K888">
    <cfRule type="notContainsBlanks" dxfId="6784" priority="7030">
      <formula>LEN(TRIM(G888))&gt;0</formula>
    </cfRule>
  </conditionalFormatting>
  <conditionalFormatting sqref="G888:K888">
    <cfRule type="notContainsBlanks" priority="7029">
      <formula>LEN(TRIM(G888))&gt;0</formula>
    </cfRule>
  </conditionalFormatting>
  <conditionalFormatting sqref="G888:K888">
    <cfRule type="notContainsBlanks" dxfId="6783" priority="7028">
      <formula>LEN(TRIM(G888))&gt;0</formula>
    </cfRule>
  </conditionalFormatting>
  <conditionalFormatting sqref="G888:K888">
    <cfRule type="notContainsBlanks" dxfId="6782" priority="7027">
      <formula>LEN(TRIM(G888))&gt;0</formula>
    </cfRule>
  </conditionalFormatting>
  <conditionalFormatting sqref="G888:K888">
    <cfRule type="notContainsBlanks" dxfId="6781" priority="7026">
      <formula>LEN(TRIM(G888))&gt;0</formula>
    </cfRule>
  </conditionalFormatting>
  <conditionalFormatting sqref="G888:K888">
    <cfRule type="notContainsBlanks" dxfId="6780" priority="7025">
      <formula>LEN(TRIM(G888))&gt;0</formula>
    </cfRule>
  </conditionalFormatting>
  <conditionalFormatting sqref="G888:K888">
    <cfRule type="notContainsBlanks" dxfId="6779" priority="7024">
      <formula>LEN(TRIM(G888))&gt;0</formula>
    </cfRule>
  </conditionalFormatting>
  <conditionalFormatting sqref="G901">
    <cfRule type="notContainsBlanks" dxfId="6778" priority="7023">
      <formula>LEN(TRIM(G901))&gt;0</formula>
    </cfRule>
  </conditionalFormatting>
  <conditionalFormatting sqref="H901:K901">
    <cfRule type="notContainsBlanks" dxfId="6777" priority="7022">
      <formula>LEN(TRIM(H901))&gt;0</formula>
    </cfRule>
  </conditionalFormatting>
  <conditionalFormatting sqref="G901:K901">
    <cfRule type="notContainsBlanks" dxfId="6776" priority="7021">
      <formula>LEN(TRIM(G901))&gt;0</formula>
    </cfRule>
  </conditionalFormatting>
  <conditionalFormatting sqref="G901:K901">
    <cfRule type="notContainsBlanks" dxfId="6775" priority="7020">
      <formula>LEN(TRIM(G901))&gt;0</formula>
    </cfRule>
  </conditionalFormatting>
  <conditionalFormatting sqref="G901:K901">
    <cfRule type="notContainsBlanks" dxfId="6774" priority="7019">
      <formula>LEN(TRIM(G901))&gt;0</formula>
    </cfRule>
  </conditionalFormatting>
  <conditionalFormatting sqref="G901:K901">
    <cfRule type="notContainsBlanks" dxfId="6773" priority="7018">
      <formula>LEN(TRIM(G901))&gt;0</formula>
    </cfRule>
  </conditionalFormatting>
  <conditionalFormatting sqref="G901:K901">
    <cfRule type="notContainsBlanks" dxfId="6772" priority="7017">
      <formula>LEN(TRIM(G901))&gt;0</formula>
    </cfRule>
  </conditionalFormatting>
  <conditionalFormatting sqref="G901:K901">
    <cfRule type="notContainsBlanks" dxfId="6771" priority="7016">
      <formula>LEN(TRIM(G901))&gt;0</formula>
    </cfRule>
  </conditionalFormatting>
  <conditionalFormatting sqref="G901:K901">
    <cfRule type="notContainsBlanks" dxfId="6770" priority="7015">
      <formula>LEN(TRIM(G901))&gt;0</formula>
    </cfRule>
  </conditionalFormatting>
  <conditionalFormatting sqref="G901:K901">
    <cfRule type="notContainsBlanks" dxfId="6769" priority="7014">
      <formula>LEN(TRIM(G901))&gt;0</formula>
    </cfRule>
  </conditionalFormatting>
  <conditionalFormatting sqref="G901:K901">
    <cfRule type="notContainsBlanks" dxfId="6768" priority="7013">
      <formula>LEN(TRIM(G901))&gt;0</formula>
    </cfRule>
  </conditionalFormatting>
  <conditionalFormatting sqref="G901:K901">
    <cfRule type="notContainsBlanks" dxfId="6767" priority="7011">
      <formula>LEN(TRIM(G901))&gt;0</formula>
    </cfRule>
    <cfRule type="notContainsBlanks" dxfId="6766" priority="7012">
      <formula>LEN(TRIM(G901))&gt;0</formula>
    </cfRule>
  </conditionalFormatting>
  <conditionalFormatting sqref="G901:K901">
    <cfRule type="notContainsBlanks" dxfId="6765" priority="7010">
      <formula>LEN(TRIM(G901))&gt;0</formula>
    </cfRule>
  </conditionalFormatting>
  <conditionalFormatting sqref="G901:K901">
    <cfRule type="notContainsBlanks" dxfId="6764" priority="7009">
      <formula>LEN(TRIM(G901))&gt;0</formula>
    </cfRule>
  </conditionalFormatting>
  <conditionalFormatting sqref="G901:K901">
    <cfRule type="notContainsBlanks" dxfId="6763" priority="7008">
      <formula>LEN(TRIM(G901))&gt;0</formula>
    </cfRule>
  </conditionalFormatting>
  <conditionalFormatting sqref="G901:K901">
    <cfRule type="notContainsBlanks" dxfId="6762" priority="7007">
      <formula>LEN(TRIM(G901))&gt;0</formula>
    </cfRule>
  </conditionalFormatting>
  <conditionalFormatting sqref="G901:K901">
    <cfRule type="notContainsBlanks" dxfId="6761" priority="7006">
      <formula>LEN(TRIM(G901))&gt;0</formula>
    </cfRule>
  </conditionalFormatting>
  <conditionalFormatting sqref="G901:K901">
    <cfRule type="notContainsBlanks" dxfId="6760" priority="7005">
      <formula>LEN(TRIM(G901))&gt;0</formula>
    </cfRule>
  </conditionalFormatting>
  <conditionalFormatting sqref="G901:K901">
    <cfRule type="notContainsBlanks" dxfId="6759" priority="7004">
      <formula>LEN(TRIM(G901))&gt;0</formula>
    </cfRule>
  </conditionalFormatting>
  <conditionalFormatting sqref="G901:K901">
    <cfRule type="notContainsBlanks" dxfId="6758" priority="7003">
      <formula>LEN(TRIM(G901))&gt;0</formula>
    </cfRule>
  </conditionalFormatting>
  <conditionalFormatting sqref="G901:K901">
    <cfRule type="notContainsBlanks" dxfId="6757" priority="7002">
      <formula>LEN(TRIM(G901))&gt;0</formula>
    </cfRule>
  </conditionalFormatting>
  <conditionalFormatting sqref="G901:K901">
    <cfRule type="notContainsBlanks" priority="7001">
      <formula>LEN(TRIM(G901))&gt;0</formula>
    </cfRule>
  </conditionalFormatting>
  <conditionalFormatting sqref="G901:K901">
    <cfRule type="notContainsBlanks" dxfId="6756" priority="7000">
      <formula>LEN(TRIM(G901))&gt;0</formula>
    </cfRule>
  </conditionalFormatting>
  <conditionalFormatting sqref="G901:K901">
    <cfRule type="notContainsBlanks" dxfId="6755" priority="6999">
      <formula>LEN(TRIM(G901))&gt;0</formula>
    </cfRule>
  </conditionalFormatting>
  <conditionalFormatting sqref="G901:K901">
    <cfRule type="notContainsBlanks" dxfId="6754" priority="6998">
      <formula>LEN(TRIM(G901))&gt;0</formula>
    </cfRule>
  </conditionalFormatting>
  <conditionalFormatting sqref="G901:K901">
    <cfRule type="notContainsBlanks" dxfId="6753" priority="6997">
      <formula>LEN(TRIM(G901))&gt;0</formula>
    </cfRule>
  </conditionalFormatting>
  <conditionalFormatting sqref="G901:K901">
    <cfRule type="notContainsBlanks" dxfId="6752" priority="6996">
      <formula>LEN(TRIM(G901))&gt;0</formula>
    </cfRule>
  </conditionalFormatting>
  <conditionalFormatting sqref="G914">
    <cfRule type="notContainsBlanks" dxfId="6751" priority="6995">
      <formula>LEN(TRIM(G914))&gt;0</formula>
    </cfRule>
  </conditionalFormatting>
  <conditionalFormatting sqref="H914:K914">
    <cfRule type="notContainsBlanks" dxfId="6750" priority="6994">
      <formula>LEN(TRIM(H914))&gt;0</formula>
    </cfRule>
  </conditionalFormatting>
  <conditionalFormatting sqref="G914:K914">
    <cfRule type="notContainsBlanks" dxfId="6749" priority="6993">
      <formula>LEN(TRIM(G914))&gt;0</formula>
    </cfRule>
  </conditionalFormatting>
  <conditionalFormatting sqref="G914:K914">
    <cfRule type="notContainsBlanks" dxfId="6748" priority="6992">
      <formula>LEN(TRIM(G914))&gt;0</formula>
    </cfRule>
  </conditionalFormatting>
  <conditionalFormatting sqref="G914:K914">
    <cfRule type="notContainsBlanks" dxfId="6747" priority="6991">
      <formula>LEN(TRIM(G914))&gt;0</formula>
    </cfRule>
  </conditionalFormatting>
  <conditionalFormatting sqref="G914:K914">
    <cfRule type="notContainsBlanks" dxfId="6746" priority="6990">
      <formula>LEN(TRIM(G914))&gt;0</formula>
    </cfRule>
  </conditionalFormatting>
  <conditionalFormatting sqref="G914:K914">
    <cfRule type="notContainsBlanks" dxfId="6745" priority="6989">
      <formula>LEN(TRIM(G914))&gt;0</formula>
    </cfRule>
  </conditionalFormatting>
  <conditionalFormatting sqref="G914:K914">
    <cfRule type="notContainsBlanks" dxfId="6744" priority="6988">
      <formula>LEN(TRIM(G914))&gt;0</formula>
    </cfRule>
  </conditionalFormatting>
  <conditionalFormatting sqref="G914:K914">
    <cfRule type="notContainsBlanks" dxfId="6743" priority="6987">
      <formula>LEN(TRIM(G914))&gt;0</formula>
    </cfRule>
  </conditionalFormatting>
  <conditionalFormatting sqref="G914:K914">
    <cfRule type="notContainsBlanks" dxfId="6742" priority="6986">
      <formula>LEN(TRIM(G914))&gt;0</formula>
    </cfRule>
  </conditionalFormatting>
  <conditionalFormatting sqref="G914:K914">
    <cfRule type="notContainsBlanks" dxfId="6741" priority="6985">
      <formula>LEN(TRIM(G914))&gt;0</formula>
    </cfRule>
  </conditionalFormatting>
  <conditionalFormatting sqref="G914:K914">
    <cfRule type="notContainsBlanks" dxfId="6740" priority="6983">
      <formula>LEN(TRIM(G914))&gt;0</formula>
    </cfRule>
    <cfRule type="notContainsBlanks" dxfId="6739" priority="6984">
      <formula>LEN(TRIM(G914))&gt;0</formula>
    </cfRule>
  </conditionalFormatting>
  <conditionalFormatting sqref="G914:K914">
    <cfRule type="notContainsBlanks" dxfId="6738" priority="6982">
      <formula>LEN(TRIM(G914))&gt;0</formula>
    </cfRule>
  </conditionalFormatting>
  <conditionalFormatting sqref="G914:K914">
    <cfRule type="notContainsBlanks" dxfId="6737" priority="6981">
      <formula>LEN(TRIM(G914))&gt;0</formula>
    </cfRule>
  </conditionalFormatting>
  <conditionalFormatting sqref="G914:K914">
    <cfRule type="notContainsBlanks" dxfId="6736" priority="6980">
      <formula>LEN(TRIM(G914))&gt;0</formula>
    </cfRule>
  </conditionalFormatting>
  <conditionalFormatting sqref="G914:K914">
    <cfRule type="notContainsBlanks" dxfId="6735" priority="6979">
      <formula>LEN(TRIM(G914))&gt;0</formula>
    </cfRule>
  </conditionalFormatting>
  <conditionalFormatting sqref="G914:K914">
    <cfRule type="notContainsBlanks" dxfId="6734" priority="6978">
      <formula>LEN(TRIM(G914))&gt;0</formula>
    </cfRule>
  </conditionalFormatting>
  <conditionalFormatting sqref="G914:K914">
    <cfRule type="notContainsBlanks" dxfId="6733" priority="6977">
      <formula>LEN(TRIM(G914))&gt;0</formula>
    </cfRule>
  </conditionalFormatting>
  <conditionalFormatting sqref="G914:K914">
    <cfRule type="notContainsBlanks" dxfId="6732" priority="6976">
      <formula>LEN(TRIM(G914))&gt;0</formula>
    </cfRule>
  </conditionalFormatting>
  <conditionalFormatting sqref="G914:K914">
    <cfRule type="notContainsBlanks" dxfId="6731" priority="6975">
      <formula>LEN(TRIM(G914))&gt;0</formula>
    </cfRule>
  </conditionalFormatting>
  <conditionalFormatting sqref="G914:K914">
    <cfRule type="notContainsBlanks" dxfId="6730" priority="6974">
      <formula>LEN(TRIM(G914))&gt;0</formula>
    </cfRule>
  </conditionalFormatting>
  <conditionalFormatting sqref="G914:K914">
    <cfRule type="notContainsBlanks" priority="6973">
      <formula>LEN(TRIM(G914))&gt;0</formula>
    </cfRule>
  </conditionalFormatting>
  <conditionalFormatting sqref="G914:K914">
    <cfRule type="notContainsBlanks" dxfId="6729" priority="6972">
      <formula>LEN(TRIM(G914))&gt;0</formula>
    </cfRule>
  </conditionalFormatting>
  <conditionalFormatting sqref="G914:K914">
    <cfRule type="notContainsBlanks" dxfId="6728" priority="6971">
      <formula>LEN(TRIM(G914))&gt;0</formula>
    </cfRule>
  </conditionalFormatting>
  <conditionalFormatting sqref="G914:K914">
    <cfRule type="notContainsBlanks" dxfId="6727" priority="6970">
      <formula>LEN(TRIM(G914))&gt;0</formula>
    </cfRule>
  </conditionalFormatting>
  <conditionalFormatting sqref="G914:K914">
    <cfRule type="notContainsBlanks" dxfId="6726" priority="6969">
      <formula>LEN(TRIM(G914))&gt;0</formula>
    </cfRule>
  </conditionalFormatting>
  <conditionalFormatting sqref="G914:K914">
    <cfRule type="notContainsBlanks" dxfId="6725" priority="6968">
      <formula>LEN(TRIM(G914))&gt;0</formula>
    </cfRule>
  </conditionalFormatting>
  <conditionalFormatting sqref="G927">
    <cfRule type="notContainsBlanks" dxfId="6724" priority="6967">
      <formula>LEN(TRIM(G927))&gt;0</formula>
    </cfRule>
  </conditionalFormatting>
  <conditionalFormatting sqref="H927:K927">
    <cfRule type="notContainsBlanks" dxfId="6723" priority="6966">
      <formula>LEN(TRIM(H927))&gt;0</formula>
    </cfRule>
  </conditionalFormatting>
  <conditionalFormatting sqref="G927:K927">
    <cfRule type="notContainsBlanks" dxfId="6722" priority="6965">
      <formula>LEN(TRIM(G927))&gt;0</formula>
    </cfRule>
  </conditionalFormatting>
  <conditionalFormatting sqref="G927:K927">
    <cfRule type="notContainsBlanks" dxfId="6721" priority="6964">
      <formula>LEN(TRIM(G927))&gt;0</formula>
    </cfRule>
  </conditionalFormatting>
  <conditionalFormatting sqref="G927:K927">
    <cfRule type="notContainsBlanks" dxfId="6720" priority="6963">
      <formula>LEN(TRIM(G927))&gt;0</formula>
    </cfRule>
  </conditionalFormatting>
  <conditionalFormatting sqref="G927:K927">
    <cfRule type="notContainsBlanks" dxfId="6719" priority="6962">
      <formula>LEN(TRIM(G927))&gt;0</formula>
    </cfRule>
  </conditionalFormatting>
  <conditionalFormatting sqref="G927:K927">
    <cfRule type="notContainsBlanks" dxfId="6718" priority="6961">
      <formula>LEN(TRIM(G927))&gt;0</formula>
    </cfRule>
  </conditionalFormatting>
  <conditionalFormatting sqref="G927:K927">
    <cfRule type="notContainsBlanks" dxfId="6717" priority="6960">
      <formula>LEN(TRIM(G927))&gt;0</formula>
    </cfRule>
  </conditionalFormatting>
  <conditionalFormatting sqref="G927:K927">
    <cfRule type="notContainsBlanks" dxfId="6716" priority="6959">
      <formula>LEN(TRIM(G927))&gt;0</formula>
    </cfRule>
  </conditionalFormatting>
  <conditionalFormatting sqref="G927:K927">
    <cfRule type="notContainsBlanks" dxfId="6715" priority="6958">
      <formula>LEN(TRIM(G927))&gt;0</formula>
    </cfRule>
  </conditionalFormatting>
  <conditionalFormatting sqref="G927:K927">
    <cfRule type="notContainsBlanks" dxfId="6714" priority="6957">
      <formula>LEN(TRIM(G927))&gt;0</formula>
    </cfRule>
  </conditionalFormatting>
  <conditionalFormatting sqref="G927:K927">
    <cfRule type="notContainsBlanks" dxfId="6713" priority="6955">
      <formula>LEN(TRIM(G927))&gt;0</formula>
    </cfRule>
    <cfRule type="notContainsBlanks" dxfId="6712" priority="6956">
      <formula>LEN(TRIM(G927))&gt;0</formula>
    </cfRule>
  </conditionalFormatting>
  <conditionalFormatting sqref="G927:K927">
    <cfRule type="notContainsBlanks" dxfId="6711" priority="6954">
      <formula>LEN(TRIM(G927))&gt;0</formula>
    </cfRule>
  </conditionalFormatting>
  <conditionalFormatting sqref="G927:K927">
    <cfRule type="notContainsBlanks" dxfId="6710" priority="6953">
      <formula>LEN(TRIM(G927))&gt;0</formula>
    </cfRule>
  </conditionalFormatting>
  <conditionalFormatting sqref="G927:K927">
    <cfRule type="notContainsBlanks" dxfId="6709" priority="6952">
      <formula>LEN(TRIM(G927))&gt;0</formula>
    </cfRule>
  </conditionalFormatting>
  <conditionalFormatting sqref="G927:K927">
    <cfRule type="notContainsBlanks" dxfId="6708" priority="6951">
      <formula>LEN(TRIM(G927))&gt;0</formula>
    </cfRule>
  </conditionalFormatting>
  <conditionalFormatting sqref="G927:K927">
    <cfRule type="notContainsBlanks" dxfId="6707" priority="6950">
      <formula>LEN(TRIM(G927))&gt;0</formula>
    </cfRule>
  </conditionalFormatting>
  <conditionalFormatting sqref="G927:K927">
    <cfRule type="notContainsBlanks" dxfId="6706" priority="6949">
      <formula>LEN(TRIM(G927))&gt;0</formula>
    </cfRule>
  </conditionalFormatting>
  <conditionalFormatting sqref="G927:K927">
    <cfRule type="notContainsBlanks" dxfId="6705" priority="6948">
      <formula>LEN(TRIM(G927))&gt;0</formula>
    </cfRule>
  </conditionalFormatting>
  <conditionalFormatting sqref="G927:K927">
    <cfRule type="notContainsBlanks" dxfId="6704" priority="6947">
      <formula>LEN(TRIM(G927))&gt;0</formula>
    </cfRule>
  </conditionalFormatting>
  <conditionalFormatting sqref="G927:K927">
    <cfRule type="notContainsBlanks" dxfId="6703" priority="6946">
      <formula>LEN(TRIM(G927))&gt;0</formula>
    </cfRule>
  </conditionalFormatting>
  <conditionalFormatting sqref="G927:K927">
    <cfRule type="notContainsBlanks" priority="6945">
      <formula>LEN(TRIM(G927))&gt;0</formula>
    </cfRule>
  </conditionalFormatting>
  <conditionalFormatting sqref="G927:K927">
    <cfRule type="notContainsBlanks" dxfId="6702" priority="6944">
      <formula>LEN(TRIM(G927))&gt;0</formula>
    </cfRule>
  </conditionalFormatting>
  <conditionalFormatting sqref="G927:K927">
    <cfRule type="notContainsBlanks" dxfId="6701" priority="6943">
      <formula>LEN(TRIM(G927))&gt;0</formula>
    </cfRule>
  </conditionalFormatting>
  <conditionalFormatting sqref="G927:K927">
    <cfRule type="notContainsBlanks" dxfId="6700" priority="6942">
      <formula>LEN(TRIM(G927))&gt;0</formula>
    </cfRule>
  </conditionalFormatting>
  <conditionalFormatting sqref="G927:K927">
    <cfRule type="notContainsBlanks" dxfId="6699" priority="6941">
      <formula>LEN(TRIM(G927))&gt;0</formula>
    </cfRule>
  </conditionalFormatting>
  <conditionalFormatting sqref="G927:K927">
    <cfRule type="notContainsBlanks" dxfId="6698" priority="6940">
      <formula>LEN(TRIM(G927))&gt;0</formula>
    </cfRule>
  </conditionalFormatting>
  <conditionalFormatting sqref="G940">
    <cfRule type="notContainsBlanks" dxfId="6697" priority="6939">
      <formula>LEN(TRIM(G940))&gt;0</formula>
    </cfRule>
  </conditionalFormatting>
  <conditionalFormatting sqref="H940:K940">
    <cfRule type="notContainsBlanks" dxfId="6696" priority="6938">
      <formula>LEN(TRIM(H940))&gt;0</formula>
    </cfRule>
  </conditionalFormatting>
  <conditionalFormatting sqref="G940:K940">
    <cfRule type="notContainsBlanks" dxfId="6695" priority="6937">
      <formula>LEN(TRIM(G940))&gt;0</formula>
    </cfRule>
  </conditionalFormatting>
  <conditionalFormatting sqref="G940:K940">
    <cfRule type="notContainsBlanks" dxfId="6694" priority="6936">
      <formula>LEN(TRIM(G940))&gt;0</formula>
    </cfRule>
  </conditionalFormatting>
  <conditionalFormatting sqref="G940:K940">
    <cfRule type="notContainsBlanks" dxfId="6693" priority="6935">
      <formula>LEN(TRIM(G940))&gt;0</formula>
    </cfRule>
  </conditionalFormatting>
  <conditionalFormatting sqref="G940:K940">
    <cfRule type="notContainsBlanks" dxfId="6692" priority="6934">
      <formula>LEN(TRIM(G940))&gt;0</formula>
    </cfRule>
  </conditionalFormatting>
  <conditionalFormatting sqref="G940:K940">
    <cfRule type="notContainsBlanks" dxfId="6691" priority="6933">
      <formula>LEN(TRIM(G940))&gt;0</formula>
    </cfRule>
  </conditionalFormatting>
  <conditionalFormatting sqref="G940:K940">
    <cfRule type="notContainsBlanks" dxfId="6690" priority="6932">
      <formula>LEN(TRIM(G940))&gt;0</formula>
    </cfRule>
  </conditionalFormatting>
  <conditionalFormatting sqref="G940:K940">
    <cfRule type="notContainsBlanks" dxfId="6689" priority="6931">
      <formula>LEN(TRIM(G940))&gt;0</formula>
    </cfRule>
  </conditionalFormatting>
  <conditionalFormatting sqref="G940:K940">
    <cfRule type="notContainsBlanks" dxfId="6688" priority="6930">
      <formula>LEN(TRIM(G940))&gt;0</formula>
    </cfRule>
  </conditionalFormatting>
  <conditionalFormatting sqref="G940:K940">
    <cfRule type="notContainsBlanks" dxfId="6687" priority="6929">
      <formula>LEN(TRIM(G940))&gt;0</formula>
    </cfRule>
  </conditionalFormatting>
  <conditionalFormatting sqref="G940:K940">
    <cfRule type="notContainsBlanks" dxfId="6686" priority="6927">
      <formula>LEN(TRIM(G940))&gt;0</formula>
    </cfRule>
    <cfRule type="notContainsBlanks" dxfId="6685" priority="6928">
      <formula>LEN(TRIM(G940))&gt;0</formula>
    </cfRule>
  </conditionalFormatting>
  <conditionalFormatting sqref="G940:K940">
    <cfRule type="notContainsBlanks" dxfId="6684" priority="6926">
      <formula>LEN(TRIM(G940))&gt;0</formula>
    </cfRule>
  </conditionalFormatting>
  <conditionalFormatting sqref="G940:K940">
    <cfRule type="notContainsBlanks" dxfId="6683" priority="6925">
      <formula>LEN(TRIM(G940))&gt;0</formula>
    </cfRule>
  </conditionalFormatting>
  <conditionalFormatting sqref="G940:K940">
    <cfRule type="notContainsBlanks" dxfId="6682" priority="6924">
      <formula>LEN(TRIM(G940))&gt;0</formula>
    </cfRule>
  </conditionalFormatting>
  <conditionalFormatting sqref="G940:K940">
    <cfRule type="notContainsBlanks" dxfId="6681" priority="6923">
      <formula>LEN(TRIM(G940))&gt;0</formula>
    </cfRule>
  </conditionalFormatting>
  <conditionalFormatting sqref="G940:K940">
    <cfRule type="notContainsBlanks" dxfId="6680" priority="6922">
      <formula>LEN(TRIM(G940))&gt;0</formula>
    </cfRule>
  </conditionalFormatting>
  <conditionalFormatting sqref="G940:K940">
    <cfRule type="notContainsBlanks" dxfId="6679" priority="6921">
      <formula>LEN(TRIM(G940))&gt;0</formula>
    </cfRule>
  </conditionalFormatting>
  <conditionalFormatting sqref="G940:K940">
    <cfRule type="notContainsBlanks" dxfId="6678" priority="6920">
      <formula>LEN(TRIM(G940))&gt;0</formula>
    </cfRule>
  </conditionalFormatting>
  <conditionalFormatting sqref="G940:K940">
    <cfRule type="notContainsBlanks" dxfId="6677" priority="6919">
      <formula>LEN(TRIM(G940))&gt;0</formula>
    </cfRule>
  </conditionalFormatting>
  <conditionalFormatting sqref="G940:K940">
    <cfRule type="notContainsBlanks" dxfId="6676" priority="6918">
      <formula>LEN(TRIM(G940))&gt;0</formula>
    </cfRule>
  </conditionalFormatting>
  <conditionalFormatting sqref="G940:K940">
    <cfRule type="notContainsBlanks" priority="6917">
      <formula>LEN(TRIM(G940))&gt;0</formula>
    </cfRule>
  </conditionalFormatting>
  <conditionalFormatting sqref="G940:K940">
    <cfRule type="notContainsBlanks" dxfId="6675" priority="6916">
      <formula>LEN(TRIM(G940))&gt;0</formula>
    </cfRule>
  </conditionalFormatting>
  <conditionalFormatting sqref="G940:K940">
    <cfRule type="notContainsBlanks" dxfId="6674" priority="6915">
      <formula>LEN(TRIM(G940))&gt;0</formula>
    </cfRule>
  </conditionalFormatting>
  <conditionalFormatting sqref="G940:K940">
    <cfRule type="notContainsBlanks" dxfId="6673" priority="6914">
      <formula>LEN(TRIM(G940))&gt;0</formula>
    </cfRule>
  </conditionalFormatting>
  <conditionalFormatting sqref="G940:K940">
    <cfRule type="notContainsBlanks" dxfId="6672" priority="6913">
      <formula>LEN(TRIM(G940))&gt;0</formula>
    </cfRule>
  </conditionalFormatting>
  <conditionalFormatting sqref="G940:K940">
    <cfRule type="notContainsBlanks" dxfId="6671" priority="6912">
      <formula>LEN(TRIM(G940))&gt;0</formula>
    </cfRule>
  </conditionalFormatting>
  <conditionalFormatting sqref="G953">
    <cfRule type="notContainsBlanks" dxfId="6670" priority="6911">
      <formula>LEN(TRIM(G953))&gt;0</formula>
    </cfRule>
  </conditionalFormatting>
  <conditionalFormatting sqref="H953:K953">
    <cfRule type="notContainsBlanks" dxfId="6669" priority="6910">
      <formula>LEN(TRIM(H953))&gt;0</formula>
    </cfRule>
  </conditionalFormatting>
  <conditionalFormatting sqref="G953:K953">
    <cfRule type="notContainsBlanks" dxfId="6668" priority="6909">
      <formula>LEN(TRIM(G953))&gt;0</formula>
    </cfRule>
  </conditionalFormatting>
  <conditionalFormatting sqref="G953:K953">
    <cfRule type="notContainsBlanks" dxfId="6667" priority="6908">
      <formula>LEN(TRIM(G953))&gt;0</formula>
    </cfRule>
  </conditionalFormatting>
  <conditionalFormatting sqref="G953:K953">
    <cfRule type="notContainsBlanks" dxfId="6666" priority="6907">
      <formula>LEN(TRIM(G953))&gt;0</formula>
    </cfRule>
  </conditionalFormatting>
  <conditionalFormatting sqref="G953:K953">
    <cfRule type="notContainsBlanks" dxfId="6665" priority="6906">
      <formula>LEN(TRIM(G953))&gt;0</formula>
    </cfRule>
  </conditionalFormatting>
  <conditionalFormatting sqref="G953:K953">
    <cfRule type="notContainsBlanks" dxfId="6664" priority="6905">
      <formula>LEN(TRIM(G953))&gt;0</formula>
    </cfRule>
  </conditionalFormatting>
  <conditionalFormatting sqref="G953:K953">
    <cfRule type="notContainsBlanks" dxfId="6663" priority="6904">
      <formula>LEN(TRIM(G953))&gt;0</formula>
    </cfRule>
  </conditionalFormatting>
  <conditionalFormatting sqref="G953:K953">
    <cfRule type="notContainsBlanks" dxfId="6662" priority="6903">
      <formula>LEN(TRIM(G953))&gt;0</formula>
    </cfRule>
  </conditionalFormatting>
  <conditionalFormatting sqref="G953:K953">
    <cfRule type="notContainsBlanks" dxfId="6661" priority="6902">
      <formula>LEN(TRIM(G953))&gt;0</formula>
    </cfRule>
  </conditionalFormatting>
  <conditionalFormatting sqref="G953:K953">
    <cfRule type="notContainsBlanks" dxfId="6660" priority="6901">
      <formula>LEN(TRIM(G953))&gt;0</formula>
    </cfRule>
  </conditionalFormatting>
  <conditionalFormatting sqref="G953:K953">
    <cfRule type="notContainsBlanks" dxfId="6659" priority="6899">
      <formula>LEN(TRIM(G953))&gt;0</formula>
    </cfRule>
    <cfRule type="notContainsBlanks" dxfId="6658" priority="6900">
      <formula>LEN(TRIM(G953))&gt;0</formula>
    </cfRule>
  </conditionalFormatting>
  <conditionalFormatting sqref="G953:K953">
    <cfRule type="notContainsBlanks" dxfId="6657" priority="6898">
      <formula>LEN(TRIM(G953))&gt;0</formula>
    </cfRule>
  </conditionalFormatting>
  <conditionalFormatting sqref="G953:K953">
    <cfRule type="notContainsBlanks" dxfId="6656" priority="6897">
      <formula>LEN(TRIM(G953))&gt;0</formula>
    </cfRule>
  </conditionalFormatting>
  <conditionalFormatting sqref="G953:K953">
    <cfRule type="notContainsBlanks" dxfId="6655" priority="6896">
      <formula>LEN(TRIM(G953))&gt;0</formula>
    </cfRule>
  </conditionalFormatting>
  <conditionalFormatting sqref="G953:K953">
    <cfRule type="notContainsBlanks" dxfId="6654" priority="6895">
      <formula>LEN(TRIM(G953))&gt;0</formula>
    </cfRule>
  </conditionalFormatting>
  <conditionalFormatting sqref="G953:K953">
    <cfRule type="notContainsBlanks" dxfId="6653" priority="6894">
      <formula>LEN(TRIM(G953))&gt;0</formula>
    </cfRule>
  </conditionalFormatting>
  <conditionalFormatting sqref="G953:K953">
    <cfRule type="notContainsBlanks" dxfId="6652" priority="6893">
      <formula>LEN(TRIM(G953))&gt;0</formula>
    </cfRule>
  </conditionalFormatting>
  <conditionalFormatting sqref="G953:K953">
    <cfRule type="notContainsBlanks" dxfId="6651" priority="6892">
      <formula>LEN(TRIM(G953))&gt;0</formula>
    </cfRule>
  </conditionalFormatting>
  <conditionalFormatting sqref="G953:K953">
    <cfRule type="notContainsBlanks" dxfId="6650" priority="6891">
      <formula>LEN(TRIM(G953))&gt;0</formula>
    </cfRule>
  </conditionalFormatting>
  <conditionalFormatting sqref="G953:K953">
    <cfRule type="notContainsBlanks" dxfId="6649" priority="6890">
      <formula>LEN(TRIM(G953))&gt;0</formula>
    </cfRule>
  </conditionalFormatting>
  <conditionalFormatting sqref="G953:K953">
    <cfRule type="notContainsBlanks" priority="6889">
      <formula>LEN(TRIM(G953))&gt;0</formula>
    </cfRule>
  </conditionalFormatting>
  <conditionalFormatting sqref="G953:K953">
    <cfRule type="notContainsBlanks" dxfId="6648" priority="6888">
      <formula>LEN(TRIM(G953))&gt;0</formula>
    </cfRule>
  </conditionalFormatting>
  <conditionalFormatting sqref="G953:K953">
    <cfRule type="notContainsBlanks" dxfId="6647" priority="6887">
      <formula>LEN(TRIM(G953))&gt;0</formula>
    </cfRule>
  </conditionalFormatting>
  <conditionalFormatting sqref="G953:K953">
    <cfRule type="notContainsBlanks" dxfId="6646" priority="6886">
      <formula>LEN(TRIM(G953))&gt;0</formula>
    </cfRule>
  </conditionalFormatting>
  <conditionalFormatting sqref="G953:K953">
    <cfRule type="notContainsBlanks" dxfId="6645" priority="6885">
      <formula>LEN(TRIM(G953))&gt;0</formula>
    </cfRule>
  </conditionalFormatting>
  <conditionalFormatting sqref="G953:K953">
    <cfRule type="notContainsBlanks" dxfId="6644" priority="6884">
      <formula>LEN(TRIM(G953))&gt;0</formula>
    </cfRule>
  </conditionalFormatting>
  <conditionalFormatting sqref="G966">
    <cfRule type="notContainsBlanks" dxfId="6643" priority="6883">
      <formula>LEN(TRIM(G966))&gt;0</formula>
    </cfRule>
  </conditionalFormatting>
  <conditionalFormatting sqref="H966:K966">
    <cfRule type="notContainsBlanks" dxfId="6642" priority="6882">
      <formula>LEN(TRIM(H966))&gt;0</formula>
    </cfRule>
  </conditionalFormatting>
  <conditionalFormatting sqref="G966:K966">
    <cfRule type="notContainsBlanks" dxfId="6641" priority="6881">
      <formula>LEN(TRIM(G966))&gt;0</formula>
    </cfRule>
  </conditionalFormatting>
  <conditionalFormatting sqref="G966:K966">
    <cfRule type="notContainsBlanks" dxfId="6640" priority="6880">
      <formula>LEN(TRIM(G966))&gt;0</formula>
    </cfRule>
  </conditionalFormatting>
  <conditionalFormatting sqref="G966:K966">
    <cfRule type="notContainsBlanks" dxfId="6639" priority="6879">
      <formula>LEN(TRIM(G966))&gt;0</formula>
    </cfRule>
  </conditionalFormatting>
  <conditionalFormatting sqref="G966:K966">
    <cfRule type="notContainsBlanks" dxfId="6638" priority="6878">
      <formula>LEN(TRIM(G966))&gt;0</formula>
    </cfRule>
  </conditionalFormatting>
  <conditionalFormatting sqref="G966:K966">
    <cfRule type="notContainsBlanks" dxfId="6637" priority="6877">
      <formula>LEN(TRIM(G966))&gt;0</formula>
    </cfRule>
  </conditionalFormatting>
  <conditionalFormatting sqref="G966:K966">
    <cfRule type="notContainsBlanks" dxfId="6636" priority="6876">
      <formula>LEN(TRIM(G966))&gt;0</formula>
    </cfRule>
  </conditionalFormatting>
  <conditionalFormatting sqref="G966:K966">
    <cfRule type="notContainsBlanks" dxfId="6635" priority="6875">
      <formula>LEN(TRIM(G966))&gt;0</formula>
    </cfRule>
  </conditionalFormatting>
  <conditionalFormatting sqref="G966:K966">
    <cfRule type="notContainsBlanks" dxfId="6634" priority="6874">
      <formula>LEN(TRIM(G966))&gt;0</formula>
    </cfRule>
  </conditionalFormatting>
  <conditionalFormatting sqref="G966:K966">
    <cfRule type="notContainsBlanks" dxfId="6633" priority="6873">
      <formula>LEN(TRIM(G966))&gt;0</formula>
    </cfRule>
  </conditionalFormatting>
  <conditionalFormatting sqref="G966:K966">
    <cfRule type="notContainsBlanks" dxfId="6632" priority="6871">
      <formula>LEN(TRIM(G966))&gt;0</formula>
    </cfRule>
    <cfRule type="notContainsBlanks" dxfId="6631" priority="6872">
      <formula>LEN(TRIM(G966))&gt;0</formula>
    </cfRule>
  </conditionalFormatting>
  <conditionalFormatting sqref="G966:K966">
    <cfRule type="notContainsBlanks" dxfId="6630" priority="6870">
      <formula>LEN(TRIM(G966))&gt;0</formula>
    </cfRule>
  </conditionalFormatting>
  <conditionalFormatting sqref="G966:K966">
    <cfRule type="notContainsBlanks" dxfId="6629" priority="6869">
      <formula>LEN(TRIM(G966))&gt;0</formula>
    </cfRule>
  </conditionalFormatting>
  <conditionalFormatting sqref="G966:K966">
    <cfRule type="notContainsBlanks" dxfId="6628" priority="6868">
      <formula>LEN(TRIM(G966))&gt;0</formula>
    </cfRule>
  </conditionalFormatting>
  <conditionalFormatting sqref="G966:K966">
    <cfRule type="notContainsBlanks" dxfId="6627" priority="6867">
      <formula>LEN(TRIM(G966))&gt;0</formula>
    </cfRule>
  </conditionalFormatting>
  <conditionalFormatting sqref="G966:K966">
    <cfRule type="notContainsBlanks" dxfId="6626" priority="6866">
      <formula>LEN(TRIM(G966))&gt;0</formula>
    </cfRule>
  </conditionalFormatting>
  <conditionalFormatting sqref="G966:K966">
    <cfRule type="notContainsBlanks" dxfId="6625" priority="6865">
      <formula>LEN(TRIM(G966))&gt;0</formula>
    </cfRule>
  </conditionalFormatting>
  <conditionalFormatting sqref="G966:K966">
    <cfRule type="notContainsBlanks" dxfId="6624" priority="6864">
      <formula>LEN(TRIM(G966))&gt;0</formula>
    </cfRule>
  </conditionalFormatting>
  <conditionalFormatting sqref="G966:K966">
    <cfRule type="notContainsBlanks" dxfId="6623" priority="6863">
      <formula>LEN(TRIM(G966))&gt;0</formula>
    </cfRule>
  </conditionalFormatting>
  <conditionalFormatting sqref="G966:K966">
    <cfRule type="notContainsBlanks" dxfId="6622" priority="6862">
      <formula>LEN(TRIM(G966))&gt;0</formula>
    </cfRule>
  </conditionalFormatting>
  <conditionalFormatting sqref="G966:K966">
    <cfRule type="notContainsBlanks" priority="6861">
      <formula>LEN(TRIM(G966))&gt;0</formula>
    </cfRule>
  </conditionalFormatting>
  <conditionalFormatting sqref="G966:K966">
    <cfRule type="notContainsBlanks" dxfId="6621" priority="6860">
      <formula>LEN(TRIM(G966))&gt;0</formula>
    </cfRule>
  </conditionalFormatting>
  <conditionalFormatting sqref="G966:K966">
    <cfRule type="notContainsBlanks" dxfId="6620" priority="6859">
      <formula>LEN(TRIM(G966))&gt;0</formula>
    </cfRule>
  </conditionalFormatting>
  <conditionalFormatting sqref="G966:K966">
    <cfRule type="notContainsBlanks" dxfId="6619" priority="6858">
      <formula>LEN(TRIM(G966))&gt;0</formula>
    </cfRule>
  </conditionalFormatting>
  <conditionalFormatting sqref="G966:K966">
    <cfRule type="notContainsBlanks" dxfId="6618" priority="6857">
      <formula>LEN(TRIM(G966))&gt;0</formula>
    </cfRule>
  </conditionalFormatting>
  <conditionalFormatting sqref="G966:K966">
    <cfRule type="notContainsBlanks" dxfId="6617" priority="6856">
      <formula>LEN(TRIM(G966))&gt;0</formula>
    </cfRule>
  </conditionalFormatting>
  <conditionalFormatting sqref="G979">
    <cfRule type="notContainsBlanks" dxfId="6616" priority="6855">
      <formula>LEN(TRIM(G979))&gt;0</formula>
    </cfRule>
  </conditionalFormatting>
  <conditionalFormatting sqref="H979:K979">
    <cfRule type="notContainsBlanks" dxfId="6615" priority="6854">
      <formula>LEN(TRIM(H979))&gt;0</formula>
    </cfRule>
  </conditionalFormatting>
  <conditionalFormatting sqref="G979:K979">
    <cfRule type="notContainsBlanks" dxfId="6614" priority="6853">
      <formula>LEN(TRIM(G979))&gt;0</formula>
    </cfRule>
  </conditionalFormatting>
  <conditionalFormatting sqref="G979:K979">
    <cfRule type="notContainsBlanks" dxfId="6613" priority="6852">
      <formula>LEN(TRIM(G979))&gt;0</formula>
    </cfRule>
  </conditionalFormatting>
  <conditionalFormatting sqref="G979:K979">
    <cfRule type="notContainsBlanks" dxfId="6612" priority="6851">
      <formula>LEN(TRIM(G979))&gt;0</formula>
    </cfRule>
  </conditionalFormatting>
  <conditionalFormatting sqref="G979:K979">
    <cfRule type="notContainsBlanks" dxfId="6611" priority="6850">
      <formula>LEN(TRIM(G979))&gt;0</formula>
    </cfRule>
  </conditionalFormatting>
  <conditionalFormatting sqref="G979:K979">
    <cfRule type="notContainsBlanks" dxfId="6610" priority="6849">
      <formula>LEN(TRIM(G979))&gt;0</formula>
    </cfRule>
  </conditionalFormatting>
  <conditionalFormatting sqref="G979:K979">
    <cfRule type="notContainsBlanks" dxfId="6609" priority="6848">
      <formula>LEN(TRIM(G979))&gt;0</formula>
    </cfRule>
  </conditionalFormatting>
  <conditionalFormatting sqref="G979:K979">
    <cfRule type="notContainsBlanks" dxfId="6608" priority="6847">
      <formula>LEN(TRIM(G979))&gt;0</formula>
    </cfRule>
  </conditionalFormatting>
  <conditionalFormatting sqref="G979:K979">
    <cfRule type="notContainsBlanks" dxfId="6607" priority="6846">
      <formula>LEN(TRIM(G979))&gt;0</formula>
    </cfRule>
  </conditionalFormatting>
  <conditionalFormatting sqref="G979:K979">
    <cfRule type="notContainsBlanks" dxfId="6606" priority="6845">
      <formula>LEN(TRIM(G979))&gt;0</formula>
    </cfRule>
  </conditionalFormatting>
  <conditionalFormatting sqref="G979:K979">
    <cfRule type="notContainsBlanks" dxfId="6605" priority="6843">
      <formula>LEN(TRIM(G979))&gt;0</formula>
    </cfRule>
    <cfRule type="notContainsBlanks" dxfId="6604" priority="6844">
      <formula>LEN(TRIM(G979))&gt;0</formula>
    </cfRule>
  </conditionalFormatting>
  <conditionalFormatting sqref="G979:K979">
    <cfRule type="notContainsBlanks" dxfId="6603" priority="6842">
      <formula>LEN(TRIM(G979))&gt;0</formula>
    </cfRule>
  </conditionalFormatting>
  <conditionalFormatting sqref="G979:K979">
    <cfRule type="notContainsBlanks" dxfId="6602" priority="6841">
      <formula>LEN(TRIM(G979))&gt;0</formula>
    </cfRule>
  </conditionalFormatting>
  <conditionalFormatting sqref="G979:K979">
    <cfRule type="notContainsBlanks" dxfId="6601" priority="6840">
      <formula>LEN(TRIM(G979))&gt;0</formula>
    </cfRule>
  </conditionalFormatting>
  <conditionalFormatting sqref="G979:K979">
    <cfRule type="notContainsBlanks" dxfId="6600" priority="6839">
      <formula>LEN(TRIM(G979))&gt;0</formula>
    </cfRule>
  </conditionalFormatting>
  <conditionalFormatting sqref="G979:K979">
    <cfRule type="notContainsBlanks" dxfId="6599" priority="6838">
      <formula>LEN(TRIM(G979))&gt;0</formula>
    </cfRule>
  </conditionalFormatting>
  <conditionalFormatting sqref="G979:K979">
    <cfRule type="notContainsBlanks" dxfId="6598" priority="6837">
      <formula>LEN(TRIM(G979))&gt;0</formula>
    </cfRule>
  </conditionalFormatting>
  <conditionalFormatting sqref="G979:K979">
    <cfRule type="notContainsBlanks" dxfId="6597" priority="6836">
      <formula>LEN(TRIM(G979))&gt;0</formula>
    </cfRule>
  </conditionalFormatting>
  <conditionalFormatting sqref="G979:K979">
    <cfRule type="notContainsBlanks" dxfId="6596" priority="6835">
      <formula>LEN(TRIM(G979))&gt;0</formula>
    </cfRule>
  </conditionalFormatting>
  <conditionalFormatting sqref="G979:K979">
    <cfRule type="notContainsBlanks" dxfId="6595" priority="6834">
      <formula>LEN(TRIM(G979))&gt;0</formula>
    </cfRule>
  </conditionalFormatting>
  <conditionalFormatting sqref="G979:K979">
    <cfRule type="notContainsBlanks" priority="6833">
      <formula>LEN(TRIM(G979))&gt;0</formula>
    </cfRule>
  </conditionalFormatting>
  <conditionalFormatting sqref="G979:K979">
    <cfRule type="notContainsBlanks" dxfId="6594" priority="6832">
      <formula>LEN(TRIM(G979))&gt;0</formula>
    </cfRule>
  </conditionalFormatting>
  <conditionalFormatting sqref="G979:K979">
    <cfRule type="notContainsBlanks" dxfId="6593" priority="6831">
      <formula>LEN(TRIM(G979))&gt;0</formula>
    </cfRule>
  </conditionalFormatting>
  <conditionalFormatting sqref="G979:K979">
    <cfRule type="notContainsBlanks" dxfId="6592" priority="6830">
      <formula>LEN(TRIM(G979))&gt;0</formula>
    </cfRule>
  </conditionalFormatting>
  <conditionalFormatting sqref="G979:K979">
    <cfRule type="notContainsBlanks" dxfId="6591" priority="6829">
      <formula>LEN(TRIM(G979))&gt;0</formula>
    </cfRule>
  </conditionalFormatting>
  <conditionalFormatting sqref="G979:K979">
    <cfRule type="notContainsBlanks" dxfId="6590" priority="6828">
      <formula>LEN(TRIM(G979))&gt;0</formula>
    </cfRule>
  </conditionalFormatting>
  <conditionalFormatting sqref="G992">
    <cfRule type="notContainsBlanks" dxfId="6589" priority="6827">
      <formula>LEN(TRIM(G992))&gt;0</formula>
    </cfRule>
  </conditionalFormatting>
  <conditionalFormatting sqref="H992:K992">
    <cfRule type="notContainsBlanks" dxfId="6588" priority="6826">
      <formula>LEN(TRIM(H992))&gt;0</formula>
    </cfRule>
  </conditionalFormatting>
  <conditionalFormatting sqref="G992:K992">
    <cfRule type="notContainsBlanks" dxfId="6587" priority="6825">
      <formula>LEN(TRIM(G992))&gt;0</formula>
    </cfRule>
  </conditionalFormatting>
  <conditionalFormatting sqref="G992:K992">
    <cfRule type="notContainsBlanks" dxfId="6586" priority="6824">
      <formula>LEN(TRIM(G992))&gt;0</formula>
    </cfRule>
  </conditionalFormatting>
  <conditionalFormatting sqref="G992:K992">
    <cfRule type="notContainsBlanks" dxfId="6585" priority="6823">
      <formula>LEN(TRIM(G992))&gt;0</formula>
    </cfRule>
  </conditionalFormatting>
  <conditionalFormatting sqref="G992:K992">
    <cfRule type="notContainsBlanks" dxfId="6584" priority="6822">
      <formula>LEN(TRIM(G992))&gt;0</formula>
    </cfRule>
  </conditionalFormatting>
  <conditionalFormatting sqref="G992:K992">
    <cfRule type="notContainsBlanks" dxfId="6583" priority="6821">
      <formula>LEN(TRIM(G992))&gt;0</formula>
    </cfRule>
  </conditionalFormatting>
  <conditionalFormatting sqref="G992:K992">
    <cfRule type="notContainsBlanks" dxfId="6582" priority="6820">
      <formula>LEN(TRIM(G992))&gt;0</formula>
    </cfRule>
  </conditionalFormatting>
  <conditionalFormatting sqref="G992:K992">
    <cfRule type="notContainsBlanks" dxfId="6581" priority="6819">
      <formula>LEN(TRIM(G992))&gt;0</formula>
    </cfRule>
  </conditionalFormatting>
  <conditionalFormatting sqref="G992:K992">
    <cfRule type="notContainsBlanks" dxfId="6580" priority="6818">
      <formula>LEN(TRIM(G992))&gt;0</formula>
    </cfRule>
  </conditionalFormatting>
  <conditionalFormatting sqref="G992:K992">
    <cfRule type="notContainsBlanks" dxfId="6579" priority="6817">
      <formula>LEN(TRIM(G992))&gt;0</formula>
    </cfRule>
  </conditionalFormatting>
  <conditionalFormatting sqref="G992:K992">
    <cfRule type="notContainsBlanks" dxfId="6578" priority="6815">
      <formula>LEN(TRIM(G992))&gt;0</formula>
    </cfRule>
    <cfRule type="notContainsBlanks" dxfId="6577" priority="6816">
      <formula>LEN(TRIM(G992))&gt;0</formula>
    </cfRule>
  </conditionalFormatting>
  <conditionalFormatting sqref="G992:K992">
    <cfRule type="notContainsBlanks" dxfId="6576" priority="6814">
      <formula>LEN(TRIM(G992))&gt;0</formula>
    </cfRule>
  </conditionalFormatting>
  <conditionalFormatting sqref="G992:K992">
    <cfRule type="notContainsBlanks" dxfId="6575" priority="6813">
      <formula>LEN(TRIM(G992))&gt;0</formula>
    </cfRule>
  </conditionalFormatting>
  <conditionalFormatting sqref="G992:K992">
    <cfRule type="notContainsBlanks" dxfId="6574" priority="6812">
      <formula>LEN(TRIM(G992))&gt;0</formula>
    </cfRule>
  </conditionalFormatting>
  <conditionalFormatting sqref="G992:K992">
    <cfRule type="notContainsBlanks" dxfId="6573" priority="6811">
      <formula>LEN(TRIM(G992))&gt;0</formula>
    </cfRule>
  </conditionalFormatting>
  <conditionalFormatting sqref="G992:K992">
    <cfRule type="notContainsBlanks" dxfId="6572" priority="6810">
      <formula>LEN(TRIM(G992))&gt;0</formula>
    </cfRule>
  </conditionalFormatting>
  <conditionalFormatting sqref="G992:K992">
    <cfRule type="notContainsBlanks" dxfId="6571" priority="6809">
      <formula>LEN(TRIM(G992))&gt;0</formula>
    </cfRule>
  </conditionalFormatting>
  <conditionalFormatting sqref="G992:K992">
    <cfRule type="notContainsBlanks" dxfId="6570" priority="6808">
      <formula>LEN(TRIM(G992))&gt;0</formula>
    </cfRule>
  </conditionalFormatting>
  <conditionalFormatting sqref="G992:K992">
    <cfRule type="notContainsBlanks" dxfId="6569" priority="6807">
      <formula>LEN(TRIM(G992))&gt;0</formula>
    </cfRule>
  </conditionalFormatting>
  <conditionalFormatting sqref="G992:K992">
    <cfRule type="notContainsBlanks" dxfId="6568" priority="6806">
      <formula>LEN(TRIM(G992))&gt;0</formula>
    </cfRule>
  </conditionalFormatting>
  <conditionalFormatting sqref="G992:K992">
    <cfRule type="notContainsBlanks" priority="6805">
      <formula>LEN(TRIM(G992))&gt;0</formula>
    </cfRule>
  </conditionalFormatting>
  <conditionalFormatting sqref="G992:K992">
    <cfRule type="notContainsBlanks" dxfId="6567" priority="6804">
      <formula>LEN(TRIM(G992))&gt;0</formula>
    </cfRule>
  </conditionalFormatting>
  <conditionalFormatting sqref="G992:K992">
    <cfRule type="notContainsBlanks" dxfId="6566" priority="6803">
      <formula>LEN(TRIM(G992))&gt;0</formula>
    </cfRule>
  </conditionalFormatting>
  <conditionalFormatting sqref="G992:K992">
    <cfRule type="notContainsBlanks" dxfId="6565" priority="6802">
      <formula>LEN(TRIM(G992))&gt;0</formula>
    </cfRule>
  </conditionalFormatting>
  <conditionalFormatting sqref="G992:K992">
    <cfRule type="notContainsBlanks" dxfId="6564" priority="6801">
      <formula>LEN(TRIM(G992))&gt;0</formula>
    </cfRule>
  </conditionalFormatting>
  <conditionalFormatting sqref="G992:K992">
    <cfRule type="notContainsBlanks" dxfId="6563" priority="6800">
      <formula>LEN(TRIM(G992))&gt;0</formula>
    </cfRule>
  </conditionalFormatting>
  <conditionalFormatting sqref="G1005">
    <cfRule type="notContainsBlanks" dxfId="6562" priority="6799">
      <formula>LEN(TRIM(G1005))&gt;0</formula>
    </cfRule>
  </conditionalFormatting>
  <conditionalFormatting sqref="H1005:K1005">
    <cfRule type="notContainsBlanks" dxfId="6561" priority="6798">
      <formula>LEN(TRIM(H1005))&gt;0</formula>
    </cfRule>
  </conditionalFormatting>
  <conditionalFormatting sqref="G1005:K1005">
    <cfRule type="notContainsBlanks" dxfId="6560" priority="6797">
      <formula>LEN(TRIM(G1005))&gt;0</formula>
    </cfRule>
  </conditionalFormatting>
  <conditionalFormatting sqref="G1005:K1005">
    <cfRule type="notContainsBlanks" dxfId="6559" priority="6796">
      <formula>LEN(TRIM(G1005))&gt;0</formula>
    </cfRule>
  </conditionalFormatting>
  <conditionalFormatting sqref="G1005:K1005">
    <cfRule type="notContainsBlanks" dxfId="6558" priority="6795">
      <formula>LEN(TRIM(G1005))&gt;0</formula>
    </cfRule>
  </conditionalFormatting>
  <conditionalFormatting sqref="G1005:K1005">
    <cfRule type="notContainsBlanks" dxfId="6557" priority="6794">
      <formula>LEN(TRIM(G1005))&gt;0</formula>
    </cfRule>
  </conditionalFormatting>
  <conditionalFormatting sqref="G1005:K1005">
    <cfRule type="notContainsBlanks" dxfId="6556" priority="6793">
      <formula>LEN(TRIM(G1005))&gt;0</formula>
    </cfRule>
  </conditionalFormatting>
  <conditionalFormatting sqref="G1005:K1005">
    <cfRule type="notContainsBlanks" dxfId="6555" priority="6792">
      <formula>LEN(TRIM(G1005))&gt;0</formula>
    </cfRule>
  </conditionalFormatting>
  <conditionalFormatting sqref="G1005:K1005">
    <cfRule type="notContainsBlanks" dxfId="6554" priority="6791">
      <formula>LEN(TRIM(G1005))&gt;0</formula>
    </cfRule>
  </conditionalFormatting>
  <conditionalFormatting sqref="G1005:K1005">
    <cfRule type="notContainsBlanks" dxfId="6553" priority="6790">
      <formula>LEN(TRIM(G1005))&gt;0</formula>
    </cfRule>
  </conditionalFormatting>
  <conditionalFormatting sqref="G1005:K1005">
    <cfRule type="notContainsBlanks" dxfId="6552" priority="6789">
      <formula>LEN(TRIM(G1005))&gt;0</formula>
    </cfRule>
  </conditionalFormatting>
  <conditionalFormatting sqref="G1005:K1005">
    <cfRule type="notContainsBlanks" dxfId="6551" priority="6787">
      <formula>LEN(TRIM(G1005))&gt;0</formula>
    </cfRule>
    <cfRule type="notContainsBlanks" dxfId="6550" priority="6788">
      <formula>LEN(TRIM(G1005))&gt;0</formula>
    </cfRule>
  </conditionalFormatting>
  <conditionalFormatting sqref="G1005:K1005">
    <cfRule type="notContainsBlanks" dxfId="6549" priority="6786">
      <formula>LEN(TRIM(G1005))&gt;0</formula>
    </cfRule>
  </conditionalFormatting>
  <conditionalFormatting sqref="G1005:K1005">
    <cfRule type="notContainsBlanks" dxfId="6548" priority="6785">
      <formula>LEN(TRIM(G1005))&gt;0</formula>
    </cfRule>
  </conditionalFormatting>
  <conditionalFormatting sqref="G1005:K1005">
    <cfRule type="notContainsBlanks" dxfId="6547" priority="6784">
      <formula>LEN(TRIM(G1005))&gt;0</formula>
    </cfRule>
  </conditionalFormatting>
  <conditionalFormatting sqref="G1005:K1005">
    <cfRule type="notContainsBlanks" dxfId="6546" priority="6783">
      <formula>LEN(TRIM(G1005))&gt;0</formula>
    </cfRule>
  </conditionalFormatting>
  <conditionalFormatting sqref="G1005:K1005">
    <cfRule type="notContainsBlanks" dxfId="6545" priority="6782">
      <formula>LEN(TRIM(G1005))&gt;0</formula>
    </cfRule>
  </conditionalFormatting>
  <conditionalFormatting sqref="G1005:K1005">
    <cfRule type="notContainsBlanks" dxfId="6544" priority="6781">
      <formula>LEN(TRIM(G1005))&gt;0</formula>
    </cfRule>
  </conditionalFormatting>
  <conditionalFormatting sqref="G1005:K1005">
    <cfRule type="notContainsBlanks" dxfId="6543" priority="6780">
      <formula>LEN(TRIM(G1005))&gt;0</formula>
    </cfRule>
  </conditionalFormatting>
  <conditionalFormatting sqref="G1005:K1005">
    <cfRule type="notContainsBlanks" dxfId="6542" priority="6779">
      <formula>LEN(TRIM(G1005))&gt;0</formula>
    </cfRule>
  </conditionalFormatting>
  <conditionalFormatting sqref="G1005:K1005">
    <cfRule type="notContainsBlanks" dxfId="6541" priority="6778">
      <formula>LEN(TRIM(G1005))&gt;0</formula>
    </cfRule>
  </conditionalFormatting>
  <conditionalFormatting sqref="G1005:K1005">
    <cfRule type="notContainsBlanks" priority="6777">
      <formula>LEN(TRIM(G1005))&gt;0</formula>
    </cfRule>
  </conditionalFormatting>
  <conditionalFormatting sqref="G1005:K1005">
    <cfRule type="notContainsBlanks" dxfId="6540" priority="6776">
      <formula>LEN(TRIM(G1005))&gt;0</formula>
    </cfRule>
  </conditionalFormatting>
  <conditionalFormatting sqref="G1005:K1005">
    <cfRule type="notContainsBlanks" dxfId="6539" priority="6775">
      <formula>LEN(TRIM(G1005))&gt;0</formula>
    </cfRule>
  </conditionalFormatting>
  <conditionalFormatting sqref="G1005:K1005">
    <cfRule type="notContainsBlanks" dxfId="6538" priority="6774">
      <formula>LEN(TRIM(G1005))&gt;0</formula>
    </cfRule>
  </conditionalFormatting>
  <conditionalFormatting sqref="G1005:K1005">
    <cfRule type="notContainsBlanks" dxfId="6537" priority="6773">
      <formula>LEN(TRIM(G1005))&gt;0</formula>
    </cfRule>
  </conditionalFormatting>
  <conditionalFormatting sqref="G1005:K1005">
    <cfRule type="notContainsBlanks" dxfId="6536" priority="6772">
      <formula>LEN(TRIM(G1005))&gt;0</formula>
    </cfRule>
  </conditionalFormatting>
  <conditionalFormatting sqref="G1018">
    <cfRule type="notContainsBlanks" dxfId="6535" priority="6771">
      <formula>LEN(TRIM(G1018))&gt;0</formula>
    </cfRule>
  </conditionalFormatting>
  <conditionalFormatting sqref="H1018:K1018">
    <cfRule type="notContainsBlanks" dxfId="6534" priority="6770">
      <formula>LEN(TRIM(H1018))&gt;0</formula>
    </cfRule>
  </conditionalFormatting>
  <conditionalFormatting sqref="G1018:K1018">
    <cfRule type="notContainsBlanks" dxfId="6533" priority="6769">
      <formula>LEN(TRIM(G1018))&gt;0</formula>
    </cfRule>
  </conditionalFormatting>
  <conditionalFormatting sqref="G1018:K1018">
    <cfRule type="notContainsBlanks" dxfId="6532" priority="6768">
      <formula>LEN(TRIM(G1018))&gt;0</formula>
    </cfRule>
  </conditionalFormatting>
  <conditionalFormatting sqref="G1018:K1018">
    <cfRule type="notContainsBlanks" dxfId="6531" priority="6767">
      <formula>LEN(TRIM(G1018))&gt;0</formula>
    </cfRule>
  </conditionalFormatting>
  <conditionalFormatting sqref="G1018:K1018">
    <cfRule type="notContainsBlanks" dxfId="6530" priority="6766">
      <formula>LEN(TRIM(G1018))&gt;0</formula>
    </cfRule>
  </conditionalFormatting>
  <conditionalFormatting sqref="G1018:K1018">
    <cfRule type="notContainsBlanks" dxfId="6529" priority="6765">
      <formula>LEN(TRIM(G1018))&gt;0</formula>
    </cfRule>
  </conditionalFormatting>
  <conditionalFormatting sqref="G1018:K1018">
    <cfRule type="notContainsBlanks" dxfId="6528" priority="6764">
      <formula>LEN(TRIM(G1018))&gt;0</formula>
    </cfRule>
  </conditionalFormatting>
  <conditionalFormatting sqref="G1018:K1018">
    <cfRule type="notContainsBlanks" dxfId="6527" priority="6763">
      <formula>LEN(TRIM(G1018))&gt;0</formula>
    </cfRule>
  </conditionalFormatting>
  <conditionalFormatting sqref="G1018:K1018">
    <cfRule type="notContainsBlanks" dxfId="6526" priority="6762">
      <formula>LEN(TRIM(G1018))&gt;0</formula>
    </cfRule>
  </conditionalFormatting>
  <conditionalFormatting sqref="G1018:K1018">
    <cfRule type="notContainsBlanks" dxfId="6525" priority="6761">
      <formula>LEN(TRIM(G1018))&gt;0</formula>
    </cfRule>
  </conditionalFormatting>
  <conditionalFormatting sqref="G1018:K1018">
    <cfRule type="notContainsBlanks" dxfId="6524" priority="6759">
      <formula>LEN(TRIM(G1018))&gt;0</formula>
    </cfRule>
    <cfRule type="notContainsBlanks" dxfId="6523" priority="6760">
      <formula>LEN(TRIM(G1018))&gt;0</formula>
    </cfRule>
  </conditionalFormatting>
  <conditionalFormatting sqref="G1018:K1018">
    <cfRule type="notContainsBlanks" dxfId="6522" priority="6758">
      <formula>LEN(TRIM(G1018))&gt;0</formula>
    </cfRule>
  </conditionalFormatting>
  <conditionalFormatting sqref="G1018:K1018">
    <cfRule type="notContainsBlanks" dxfId="6521" priority="6757">
      <formula>LEN(TRIM(G1018))&gt;0</formula>
    </cfRule>
  </conditionalFormatting>
  <conditionalFormatting sqref="G1018:K1018">
    <cfRule type="notContainsBlanks" dxfId="6520" priority="6756">
      <formula>LEN(TRIM(G1018))&gt;0</formula>
    </cfRule>
  </conditionalFormatting>
  <conditionalFormatting sqref="G1018:K1018">
    <cfRule type="notContainsBlanks" dxfId="6519" priority="6755">
      <formula>LEN(TRIM(G1018))&gt;0</formula>
    </cfRule>
  </conditionalFormatting>
  <conditionalFormatting sqref="G1018:K1018">
    <cfRule type="notContainsBlanks" dxfId="6518" priority="6754">
      <formula>LEN(TRIM(G1018))&gt;0</formula>
    </cfRule>
  </conditionalFormatting>
  <conditionalFormatting sqref="G1018:K1018">
    <cfRule type="notContainsBlanks" dxfId="6517" priority="6753">
      <formula>LEN(TRIM(G1018))&gt;0</formula>
    </cfRule>
  </conditionalFormatting>
  <conditionalFormatting sqref="G1018:K1018">
    <cfRule type="notContainsBlanks" dxfId="6516" priority="6752">
      <formula>LEN(TRIM(G1018))&gt;0</formula>
    </cfRule>
  </conditionalFormatting>
  <conditionalFormatting sqref="G1018:K1018">
    <cfRule type="notContainsBlanks" dxfId="6515" priority="6751">
      <formula>LEN(TRIM(G1018))&gt;0</formula>
    </cfRule>
  </conditionalFormatting>
  <conditionalFormatting sqref="G1018:K1018">
    <cfRule type="notContainsBlanks" dxfId="6514" priority="6750">
      <formula>LEN(TRIM(G1018))&gt;0</formula>
    </cfRule>
  </conditionalFormatting>
  <conditionalFormatting sqref="G1018:K1018">
    <cfRule type="notContainsBlanks" priority="6749">
      <formula>LEN(TRIM(G1018))&gt;0</formula>
    </cfRule>
  </conditionalFormatting>
  <conditionalFormatting sqref="G1018:K1018">
    <cfRule type="notContainsBlanks" dxfId="6513" priority="6748">
      <formula>LEN(TRIM(G1018))&gt;0</formula>
    </cfRule>
  </conditionalFormatting>
  <conditionalFormatting sqref="G1018:K1018">
    <cfRule type="notContainsBlanks" dxfId="6512" priority="6747">
      <formula>LEN(TRIM(G1018))&gt;0</formula>
    </cfRule>
  </conditionalFormatting>
  <conditionalFormatting sqref="G1018:K1018">
    <cfRule type="notContainsBlanks" dxfId="6511" priority="6746">
      <formula>LEN(TRIM(G1018))&gt;0</formula>
    </cfRule>
  </conditionalFormatting>
  <conditionalFormatting sqref="G1018:K1018">
    <cfRule type="notContainsBlanks" dxfId="6510" priority="6745">
      <formula>LEN(TRIM(G1018))&gt;0</formula>
    </cfRule>
  </conditionalFormatting>
  <conditionalFormatting sqref="G1018:K1018">
    <cfRule type="notContainsBlanks" dxfId="6509" priority="6744">
      <formula>LEN(TRIM(G1018))&gt;0</formula>
    </cfRule>
  </conditionalFormatting>
  <conditionalFormatting sqref="G1031">
    <cfRule type="notContainsBlanks" dxfId="6508" priority="6743">
      <formula>LEN(TRIM(G1031))&gt;0</formula>
    </cfRule>
  </conditionalFormatting>
  <conditionalFormatting sqref="H1031:K1031">
    <cfRule type="notContainsBlanks" dxfId="6507" priority="6742">
      <formula>LEN(TRIM(H1031))&gt;0</formula>
    </cfRule>
  </conditionalFormatting>
  <conditionalFormatting sqref="G1031:K1031">
    <cfRule type="notContainsBlanks" dxfId="6506" priority="6741">
      <formula>LEN(TRIM(G1031))&gt;0</formula>
    </cfRule>
  </conditionalFormatting>
  <conditionalFormatting sqref="G1031:K1031">
    <cfRule type="notContainsBlanks" dxfId="6505" priority="6740">
      <formula>LEN(TRIM(G1031))&gt;0</formula>
    </cfRule>
  </conditionalFormatting>
  <conditionalFormatting sqref="G1031:K1031">
    <cfRule type="notContainsBlanks" dxfId="6504" priority="6739">
      <formula>LEN(TRIM(G1031))&gt;0</formula>
    </cfRule>
  </conditionalFormatting>
  <conditionalFormatting sqref="G1031:K1031">
    <cfRule type="notContainsBlanks" dxfId="6503" priority="6738">
      <formula>LEN(TRIM(G1031))&gt;0</formula>
    </cfRule>
  </conditionalFormatting>
  <conditionalFormatting sqref="G1031:K1031">
    <cfRule type="notContainsBlanks" dxfId="6502" priority="6737">
      <formula>LEN(TRIM(G1031))&gt;0</formula>
    </cfRule>
  </conditionalFormatting>
  <conditionalFormatting sqref="G1031:K1031">
    <cfRule type="notContainsBlanks" dxfId="6501" priority="6736">
      <formula>LEN(TRIM(G1031))&gt;0</formula>
    </cfRule>
  </conditionalFormatting>
  <conditionalFormatting sqref="G1031:K1031">
    <cfRule type="notContainsBlanks" dxfId="6500" priority="6735">
      <formula>LEN(TRIM(G1031))&gt;0</formula>
    </cfRule>
  </conditionalFormatting>
  <conditionalFormatting sqref="G1031:K1031">
    <cfRule type="notContainsBlanks" dxfId="6499" priority="6734">
      <formula>LEN(TRIM(G1031))&gt;0</formula>
    </cfRule>
  </conditionalFormatting>
  <conditionalFormatting sqref="G1031:K1031">
    <cfRule type="notContainsBlanks" dxfId="6498" priority="6733">
      <formula>LEN(TRIM(G1031))&gt;0</formula>
    </cfRule>
  </conditionalFormatting>
  <conditionalFormatting sqref="G1031:K1031">
    <cfRule type="notContainsBlanks" dxfId="6497" priority="6731">
      <formula>LEN(TRIM(G1031))&gt;0</formula>
    </cfRule>
    <cfRule type="notContainsBlanks" dxfId="6496" priority="6732">
      <formula>LEN(TRIM(G1031))&gt;0</formula>
    </cfRule>
  </conditionalFormatting>
  <conditionalFormatting sqref="G1031:K1031">
    <cfRule type="notContainsBlanks" dxfId="6495" priority="6730">
      <formula>LEN(TRIM(G1031))&gt;0</formula>
    </cfRule>
  </conditionalFormatting>
  <conditionalFormatting sqref="G1031:K1031">
    <cfRule type="notContainsBlanks" dxfId="6494" priority="6729">
      <formula>LEN(TRIM(G1031))&gt;0</formula>
    </cfRule>
  </conditionalFormatting>
  <conditionalFormatting sqref="G1031:K1031">
    <cfRule type="notContainsBlanks" dxfId="6493" priority="6728">
      <formula>LEN(TRIM(G1031))&gt;0</formula>
    </cfRule>
  </conditionalFormatting>
  <conditionalFormatting sqref="G1031:K1031">
    <cfRule type="notContainsBlanks" dxfId="6492" priority="6727">
      <formula>LEN(TRIM(G1031))&gt;0</formula>
    </cfRule>
  </conditionalFormatting>
  <conditionalFormatting sqref="G1031:K1031">
    <cfRule type="notContainsBlanks" dxfId="6491" priority="6726">
      <formula>LEN(TRIM(G1031))&gt;0</formula>
    </cfRule>
  </conditionalFormatting>
  <conditionalFormatting sqref="G1031:K1031">
    <cfRule type="notContainsBlanks" dxfId="6490" priority="6725">
      <formula>LEN(TRIM(G1031))&gt;0</formula>
    </cfRule>
  </conditionalFormatting>
  <conditionalFormatting sqref="G1031:K1031">
    <cfRule type="notContainsBlanks" dxfId="6489" priority="6724">
      <formula>LEN(TRIM(G1031))&gt;0</formula>
    </cfRule>
  </conditionalFormatting>
  <conditionalFormatting sqref="G1031:K1031">
    <cfRule type="notContainsBlanks" dxfId="6488" priority="6723">
      <formula>LEN(TRIM(G1031))&gt;0</formula>
    </cfRule>
  </conditionalFormatting>
  <conditionalFormatting sqref="G1031:K1031">
    <cfRule type="notContainsBlanks" dxfId="6487" priority="6722">
      <formula>LEN(TRIM(G1031))&gt;0</formula>
    </cfRule>
  </conditionalFormatting>
  <conditionalFormatting sqref="G1031:K1031">
    <cfRule type="notContainsBlanks" priority="6721">
      <formula>LEN(TRIM(G1031))&gt;0</formula>
    </cfRule>
  </conditionalFormatting>
  <conditionalFormatting sqref="G1031:K1031">
    <cfRule type="notContainsBlanks" dxfId="6486" priority="6720">
      <formula>LEN(TRIM(G1031))&gt;0</formula>
    </cfRule>
  </conditionalFormatting>
  <conditionalFormatting sqref="G1031:K1031">
    <cfRule type="notContainsBlanks" dxfId="6485" priority="6719">
      <formula>LEN(TRIM(G1031))&gt;0</formula>
    </cfRule>
  </conditionalFormatting>
  <conditionalFormatting sqref="G1031:K1031">
    <cfRule type="notContainsBlanks" dxfId="6484" priority="6718">
      <formula>LEN(TRIM(G1031))&gt;0</formula>
    </cfRule>
  </conditionalFormatting>
  <conditionalFormatting sqref="G1031:K1031">
    <cfRule type="notContainsBlanks" dxfId="6483" priority="6717">
      <formula>LEN(TRIM(G1031))&gt;0</formula>
    </cfRule>
  </conditionalFormatting>
  <conditionalFormatting sqref="G1031:K1031">
    <cfRule type="notContainsBlanks" dxfId="6482" priority="6716">
      <formula>LEN(TRIM(G1031))&gt;0</formula>
    </cfRule>
  </conditionalFormatting>
  <conditionalFormatting sqref="G1044">
    <cfRule type="notContainsBlanks" dxfId="6481" priority="6715">
      <formula>LEN(TRIM(G1044))&gt;0</formula>
    </cfRule>
  </conditionalFormatting>
  <conditionalFormatting sqref="H1044:K1044">
    <cfRule type="notContainsBlanks" dxfId="6480" priority="6714">
      <formula>LEN(TRIM(H1044))&gt;0</formula>
    </cfRule>
  </conditionalFormatting>
  <conditionalFormatting sqref="G1044:K1044">
    <cfRule type="notContainsBlanks" dxfId="6479" priority="6713">
      <formula>LEN(TRIM(G1044))&gt;0</formula>
    </cfRule>
  </conditionalFormatting>
  <conditionalFormatting sqref="G1044:K1044">
    <cfRule type="notContainsBlanks" dxfId="6478" priority="6712">
      <formula>LEN(TRIM(G1044))&gt;0</formula>
    </cfRule>
  </conditionalFormatting>
  <conditionalFormatting sqref="G1044:K1044">
    <cfRule type="notContainsBlanks" dxfId="6477" priority="6711">
      <formula>LEN(TRIM(G1044))&gt;0</formula>
    </cfRule>
  </conditionalFormatting>
  <conditionalFormatting sqref="G1044:K1044">
    <cfRule type="notContainsBlanks" dxfId="6476" priority="6710">
      <formula>LEN(TRIM(G1044))&gt;0</formula>
    </cfRule>
  </conditionalFormatting>
  <conditionalFormatting sqref="G1044:K1044">
    <cfRule type="notContainsBlanks" dxfId="6475" priority="6709">
      <formula>LEN(TRIM(G1044))&gt;0</formula>
    </cfRule>
  </conditionalFormatting>
  <conditionalFormatting sqref="G1044:K1044">
    <cfRule type="notContainsBlanks" dxfId="6474" priority="6708">
      <formula>LEN(TRIM(G1044))&gt;0</formula>
    </cfRule>
  </conditionalFormatting>
  <conditionalFormatting sqref="G1044:K1044">
    <cfRule type="notContainsBlanks" dxfId="6473" priority="6707">
      <formula>LEN(TRIM(G1044))&gt;0</formula>
    </cfRule>
  </conditionalFormatting>
  <conditionalFormatting sqref="G1044:K1044">
    <cfRule type="notContainsBlanks" dxfId="6472" priority="6706">
      <formula>LEN(TRIM(G1044))&gt;0</formula>
    </cfRule>
  </conditionalFormatting>
  <conditionalFormatting sqref="G1044:K1044">
    <cfRule type="notContainsBlanks" dxfId="6471" priority="6705">
      <formula>LEN(TRIM(G1044))&gt;0</formula>
    </cfRule>
  </conditionalFormatting>
  <conditionalFormatting sqref="G1044:K1044">
    <cfRule type="notContainsBlanks" dxfId="6470" priority="6703">
      <formula>LEN(TRIM(G1044))&gt;0</formula>
    </cfRule>
    <cfRule type="notContainsBlanks" dxfId="6469" priority="6704">
      <formula>LEN(TRIM(G1044))&gt;0</formula>
    </cfRule>
  </conditionalFormatting>
  <conditionalFormatting sqref="G1044:K1044">
    <cfRule type="notContainsBlanks" dxfId="6468" priority="6702">
      <formula>LEN(TRIM(G1044))&gt;0</formula>
    </cfRule>
  </conditionalFormatting>
  <conditionalFormatting sqref="G1044:K1044">
    <cfRule type="notContainsBlanks" dxfId="6467" priority="6701">
      <formula>LEN(TRIM(G1044))&gt;0</formula>
    </cfRule>
  </conditionalFormatting>
  <conditionalFormatting sqref="G1044:K1044">
    <cfRule type="notContainsBlanks" dxfId="6466" priority="6700">
      <formula>LEN(TRIM(G1044))&gt;0</formula>
    </cfRule>
  </conditionalFormatting>
  <conditionalFormatting sqref="G1044:K1044">
    <cfRule type="notContainsBlanks" dxfId="6465" priority="6699">
      <formula>LEN(TRIM(G1044))&gt;0</formula>
    </cfRule>
  </conditionalFormatting>
  <conditionalFormatting sqref="G1044:K1044">
    <cfRule type="notContainsBlanks" dxfId="6464" priority="6698">
      <formula>LEN(TRIM(G1044))&gt;0</formula>
    </cfRule>
  </conditionalFormatting>
  <conditionalFormatting sqref="G1044:K1044">
    <cfRule type="notContainsBlanks" dxfId="6463" priority="6697">
      <formula>LEN(TRIM(G1044))&gt;0</formula>
    </cfRule>
  </conditionalFormatting>
  <conditionalFormatting sqref="G1044:K1044">
    <cfRule type="notContainsBlanks" dxfId="6462" priority="6696">
      <formula>LEN(TRIM(G1044))&gt;0</formula>
    </cfRule>
  </conditionalFormatting>
  <conditionalFormatting sqref="G1044:K1044">
    <cfRule type="notContainsBlanks" dxfId="6461" priority="6695">
      <formula>LEN(TRIM(G1044))&gt;0</formula>
    </cfRule>
  </conditionalFormatting>
  <conditionalFormatting sqref="G1044:K1044">
    <cfRule type="notContainsBlanks" dxfId="6460" priority="6694">
      <formula>LEN(TRIM(G1044))&gt;0</formula>
    </cfRule>
  </conditionalFormatting>
  <conditionalFormatting sqref="G1044:K1044">
    <cfRule type="notContainsBlanks" priority="6693">
      <formula>LEN(TRIM(G1044))&gt;0</formula>
    </cfRule>
  </conditionalFormatting>
  <conditionalFormatting sqref="G1044:K1044">
    <cfRule type="notContainsBlanks" dxfId="6459" priority="6692">
      <formula>LEN(TRIM(G1044))&gt;0</formula>
    </cfRule>
  </conditionalFormatting>
  <conditionalFormatting sqref="G1044:K1044">
    <cfRule type="notContainsBlanks" dxfId="6458" priority="6691">
      <formula>LEN(TRIM(G1044))&gt;0</formula>
    </cfRule>
  </conditionalFormatting>
  <conditionalFormatting sqref="G1044:K1044">
    <cfRule type="notContainsBlanks" dxfId="6457" priority="6690">
      <formula>LEN(TRIM(G1044))&gt;0</formula>
    </cfRule>
  </conditionalFormatting>
  <conditionalFormatting sqref="G1044:K1044">
    <cfRule type="notContainsBlanks" dxfId="6456" priority="6689">
      <formula>LEN(TRIM(G1044))&gt;0</formula>
    </cfRule>
  </conditionalFormatting>
  <conditionalFormatting sqref="G1044:K1044">
    <cfRule type="notContainsBlanks" dxfId="6455" priority="6688">
      <formula>LEN(TRIM(G1044))&gt;0</formula>
    </cfRule>
  </conditionalFormatting>
  <conditionalFormatting sqref="G1057">
    <cfRule type="notContainsBlanks" dxfId="6454" priority="6687">
      <formula>LEN(TRIM(G1057))&gt;0</formula>
    </cfRule>
  </conditionalFormatting>
  <conditionalFormatting sqref="H1057:K1057">
    <cfRule type="notContainsBlanks" dxfId="6453" priority="6686">
      <formula>LEN(TRIM(H1057))&gt;0</formula>
    </cfRule>
  </conditionalFormatting>
  <conditionalFormatting sqref="G1057:K1057">
    <cfRule type="notContainsBlanks" dxfId="6452" priority="6685">
      <formula>LEN(TRIM(G1057))&gt;0</formula>
    </cfRule>
  </conditionalFormatting>
  <conditionalFormatting sqref="G1057:K1057">
    <cfRule type="notContainsBlanks" dxfId="6451" priority="6684">
      <formula>LEN(TRIM(G1057))&gt;0</formula>
    </cfRule>
  </conditionalFormatting>
  <conditionalFormatting sqref="G1057:K1057">
    <cfRule type="notContainsBlanks" dxfId="6450" priority="6683">
      <formula>LEN(TRIM(G1057))&gt;0</formula>
    </cfRule>
  </conditionalFormatting>
  <conditionalFormatting sqref="G1057:K1057">
    <cfRule type="notContainsBlanks" dxfId="6449" priority="6682">
      <formula>LEN(TRIM(G1057))&gt;0</formula>
    </cfRule>
  </conditionalFormatting>
  <conditionalFormatting sqref="G1057:K1057">
    <cfRule type="notContainsBlanks" dxfId="6448" priority="6681">
      <formula>LEN(TRIM(G1057))&gt;0</formula>
    </cfRule>
  </conditionalFormatting>
  <conditionalFormatting sqref="G1057:K1057">
    <cfRule type="notContainsBlanks" dxfId="6447" priority="6680">
      <formula>LEN(TRIM(G1057))&gt;0</formula>
    </cfRule>
  </conditionalFormatting>
  <conditionalFormatting sqref="G1057:K1057">
    <cfRule type="notContainsBlanks" dxfId="6446" priority="6679">
      <formula>LEN(TRIM(G1057))&gt;0</formula>
    </cfRule>
  </conditionalFormatting>
  <conditionalFormatting sqref="G1057:K1057">
    <cfRule type="notContainsBlanks" dxfId="6445" priority="6678">
      <formula>LEN(TRIM(G1057))&gt;0</formula>
    </cfRule>
  </conditionalFormatting>
  <conditionalFormatting sqref="G1057:K1057">
    <cfRule type="notContainsBlanks" dxfId="6444" priority="6677">
      <formula>LEN(TRIM(G1057))&gt;0</formula>
    </cfRule>
  </conditionalFormatting>
  <conditionalFormatting sqref="G1057:K1057">
    <cfRule type="notContainsBlanks" dxfId="6443" priority="6675">
      <formula>LEN(TRIM(G1057))&gt;0</formula>
    </cfRule>
    <cfRule type="notContainsBlanks" dxfId="6442" priority="6676">
      <formula>LEN(TRIM(G1057))&gt;0</formula>
    </cfRule>
  </conditionalFormatting>
  <conditionalFormatting sqref="G1057:K1057">
    <cfRule type="notContainsBlanks" dxfId="6441" priority="6674">
      <formula>LEN(TRIM(G1057))&gt;0</formula>
    </cfRule>
  </conditionalFormatting>
  <conditionalFormatting sqref="G1057:K1057">
    <cfRule type="notContainsBlanks" dxfId="6440" priority="6673">
      <formula>LEN(TRIM(G1057))&gt;0</formula>
    </cfRule>
  </conditionalFormatting>
  <conditionalFormatting sqref="G1057:K1057">
    <cfRule type="notContainsBlanks" dxfId="6439" priority="6672">
      <formula>LEN(TRIM(G1057))&gt;0</formula>
    </cfRule>
  </conditionalFormatting>
  <conditionalFormatting sqref="G1057:K1057">
    <cfRule type="notContainsBlanks" dxfId="6438" priority="6671">
      <formula>LEN(TRIM(G1057))&gt;0</formula>
    </cfRule>
  </conditionalFormatting>
  <conditionalFormatting sqref="G1057:K1057">
    <cfRule type="notContainsBlanks" dxfId="6437" priority="6670">
      <formula>LEN(TRIM(G1057))&gt;0</formula>
    </cfRule>
  </conditionalFormatting>
  <conditionalFormatting sqref="G1057:K1057">
    <cfRule type="notContainsBlanks" dxfId="6436" priority="6669">
      <formula>LEN(TRIM(G1057))&gt;0</formula>
    </cfRule>
  </conditionalFormatting>
  <conditionalFormatting sqref="G1057:K1057">
    <cfRule type="notContainsBlanks" dxfId="6435" priority="6668">
      <formula>LEN(TRIM(G1057))&gt;0</formula>
    </cfRule>
  </conditionalFormatting>
  <conditionalFormatting sqref="G1057:K1057">
    <cfRule type="notContainsBlanks" dxfId="6434" priority="6667">
      <formula>LEN(TRIM(G1057))&gt;0</formula>
    </cfRule>
  </conditionalFormatting>
  <conditionalFormatting sqref="G1057:K1057">
    <cfRule type="notContainsBlanks" dxfId="6433" priority="6666">
      <formula>LEN(TRIM(G1057))&gt;0</formula>
    </cfRule>
  </conditionalFormatting>
  <conditionalFormatting sqref="G1057:K1057">
    <cfRule type="notContainsBlanks" priority="6665">
      <formula>LEN(TRIM(G1057))&gt;0</formula>
    </cfRule>
  </conditionalFormatting>
  <conditionalFormatting sqref="G1057:K1057">
    <cfRule type="notContainsBlanks" dxfId="6432" priority="6664">
      <formula>LEN(TRIM(G1057))&gt;0</formula>
    </cfRule>
  </conditionalFormatting>
  <conditionalFormatting sqref="G1057:K1057">
    <cfRule type="notContainsBlanks" dxfId="6431" priority="6663">
      <formula>LEN(TRIM(G1057))&gt;0</formula>
    </cfRule>
  </conditionalFormatting>
  <conditionalFormatting sqref="G1057:K1057">
    <cfRule type="notContainsBlanks" dxfId="6430" priority="6662">
      <formula>LEN(TRIM(G1057))&gt;0</formula>
    </cfRule>
  </conditionalFormatting>
  <conditionalFormatting sqref="G1057:K1057">
    <cfRule type="notContainsBlanks" dxfId="6429" priority="6661">
      <formula>LEN(TRIM(G1057))&gt;0</formula>
    </cfRule>
  </conditionalFormatting>
  <conditionalFormatting sqref="G1057:K1057">
    <cfRule type="notContainsBlanks" dxfId="6428" priority="6660">
      <formula>LEN(TRIM(G1057))&gt;0</formula>
    </cfRule>
  </conditionalFormatting>
  <conditionalFormatting sqref="G1070">
    <cfRule type="notContainsBlanks" dxfId="6427" priority="6659">
      <formula>LEN(TRIM(G1070))&gt;0</formula>
    </cfRule>
  </conditionalFormatting>
  <conditionalFormatting sqref="H1070:K1070">
    <cfRule type="notContainsBlanks" dxfId="6426" priority="6658">
      <formula>LEN(TRIM(H1070))&gt;0</formula>
    </cfRule>
  </conditionalFormatting>
  <conditionalFormatting sqref="G1070:K1070">
    <cfRule type="notContainsBlanks" dxfId="6425" priority="6657">
      <formula>LEN(TRIM(G1070))&gt;0</formula>
    </cfRule>
  </conditionalFormatting>
  <conditionalFormatting sqref="G1070:K1070">
    <cfRule type="notContainsBlanks" dxfId="6424" priority="6656">
      <formula>LEN(TRIM(G1070))&gt;0</formula>
    </cfRule>
  </conditionalFormatting>
  <conditionalFormatting sqref="G1070:K1070">
    <cfRule type="notContainsBlanks" dxfId="6423" priority="6655">
      <formula>LEN(TRIM(G1070))&gt;0</formula>
    </cfRule>
  </conditionalFormatting>
  <conditionalFormatting sqref="G1070:K1070">
    <cfRule type="notContainsBlanks" dxfId="6422" priority="6654">
      <formula>LEN(TRIM(G1070))&gt;0</formula>
    </cfRule>
  </conditionalFormatting>
  <conditionalFormatting sqref="G1070:K1070">
    <cfRule type="notContainsBlanks" dxfId="6421" priority="6653">
      <formula>LEN(TRIM(G1070))&gt;0</formula>
    </cfRule>
  </conditionalFormatting>
  <conditionalFormatting sqref="G1070:K1070">
    <cfRule type="notContainsBlanks" dxfId="6420" priority="6652">
      <formula>LEN(TRIM(G1070))&gt;0</formula>
    </cfRule>
  </conditionalFormatting>
  <conditionalFormatting sqref="G1070:K1070">
    <cfRule type="notContainsBlanks" dxfId="6419" priority="6651">
      <formula>LEN(TRIM(G1070))&gt;0</formula>
    </cfRule>
  </conditionalFormatting>
  <conditionalFormatting sqref="G1070:K1070">
    <cfRule type="notContainsBlanks" dxfId="6418" priority="6650">
      <formula>LEN(TRIM(G1070))&gt;0</formula>
    </cfRule>
  </conditionalFormatting>
  <conditionalFormatting sqref="G1070:K1070">
    <cfRule type="notContainsBlanks" dxfId="6417" priority="6649">
      <formula>LEN(TRIM(G1070))&gt;0</formula>
    </cfRule>
  </conditionalFormatting>
  <conditionalFormatting sqref="G1070:K1070">
    <cfRule type="notContainsBlanks" dxfId="6416" priority="6647">
      <formula>LEN(TRIM(G1070))&gt;0</formula>
    </cfRule>
    <cfRule type="notContainsBlanks" dxfId="6415" priority="6648">
      <formula>LEN(TRIM(G1070))&gt;0</formula>
    </cfRule>
  </conditionalFormatting>
  <conditionalFormatting sqref="G1070:K1070">
    <cfRule type="notContainsBlanks" dxfId="6414" priority="6646">
      <formula>LEN(TRIM(G1070))&gt;0</formula>
    </cfRule>
  </conditionalFormatting>
  <conditionalFormatting sqref="G1070:K1070">
    <cfRule type="notContainsBlanks" dxfId="6413" priority="6645">
      <formula>LEN(TRIM(G1070))&gt;0</formula>
    </cfRule>
  </conditionalFormatting>
  <conditionalFormatting sqref="G1070:K1070">
    <cfRule type="notContainsBlanks" dxfId="6412" priority="6644">
      <formula>LEN(TRIM(G1070))&gt;0</formula>
    </cfRule>
  </conditionalFormatting>
  <conditionalFormatting sqref="G1070:K1070">
    <cfRule type="notContainsBlanks" dxfId="6411" priority="6643">
      <formula>LEN(TRIM(G1070))&gt;0</formula>
    </cfRule>
  </conditionalFormatting>
  <conditionalFormatting sqref="G1070:K1070">
    <cfRule type="notContainsBlanks" dxfId="6410" priority="6642">
      <formula>LEN(TRIM(G1070))&gt;0</formula>
    </cfRule>
  </conditionalFormatting>
  <conditionalFormatting sqref="G1070:K1070">
    <cfRule type="notContainsBlanks" dxfId="6409" priority="6641">
      <formula>LEN(TRIM(G1070))&gt;0</formula>
    </cfRule>
  </conditionalFormatting>
  <conditionalFormatting sqref="G1070:K1070">
    <cfRule type="notContainsBlanks" dxfId="6408" priority="6640">
      <formula>LEN(TRIM(G1070))&gt;0</formula>
    </cfRule>
  </conditionalFormatting>
  <conditionalFormatting sqref="G1070:K1070">
    <cfRule type="notContainsBlanks" dxfId="6407" priority="6639">
      <formula>LEN(TRIM(G1070))&gt;0</formula>
    </cfRule>
  </conditionalFormatting>
  <conditionalFormatting sqref="G1070:K1070">
    <cfRule type="notContainsBlanks" dxfId="6406" priority="6638">
      <formula>LEN(TRIM(G1070))&gt;0</formula>
    </cfRule>
  </conditionalFormatting>
  <conditionalFormatting sqref="G1070:K1070">
    <cfRule type="notContainsBlanks" priority="6637">
      <formula>LEN(TRIM(G1070))&gt;0</formula>
    </cfRule>
  </conditionalFormatting>
  <conditionalFormatting sqref="G1070:K1070">
    <cfRule type="notContainsBlanks" dxfId="6405" priority="6636">
      <formula>LEN(TRIM(G1070))&gt;0</formula>
    </cfRule>
  </conditionalFormatting>
  <conditionalFormatting sqref="G1070:K1070">
    <cfRule type="notContainsBlanks" dxfId="6404" priority="6635">
      <formula>LEN(TRIM(G1070))&gt;0</formula>
    </cfRule>
  </conditionalFormatting>
  <conditionalFormatting sqref="G1070:K1070">
    <cfRule type="notContainsBlanks" dxfId="6403" priority="6634">
      <formula>LEN(TRIM(G1070))&gt;0</formula>
    </cfRule>
  </conditionalFormatting>
  <conditionalFormatting sqref="G1070:K1070">
    <cfRule type="notContainsBlanks" dxfId="6402" priority="6633">
      <formula>LEN(TRIM(G1070))&gt;0</formula>
    </cfRule>
  </conditionalFormatting>
  <conditionalFormatting sqref="G1070:K1070">
    <cfRule type="notContainsBlanks" dxfId="6401" priority="6632">
      <formula>LEN(TRIM(G1070))&gt;0</formula>
    </cfRule>
  </conditionalFormatting>
  <conditionalFormatting sqref="G1083">
    <cfRule type="notContainsBlanks" dxfId="6400" priority="6631">
      <formula>LEN(TRIM(G1083))&gt;0</formula>
    </cfRule>
  </conditionalFormatting>
  <conditionalFormatting sqref="H1083:K1083">
    <cfRule type="notContainsBlanks" dxfId="6399" priority="6630">
      <formula>LEN(TRIM(H1083))&gt;0</formula>
    </cfRule>
  </conditionalFormatting>
  <conditionalFormatting sqref="G1083:K1083">
    <cfRule type="notContainsBlanks" dxfId="6398" priority="6629">
      <formula>LEN(TRIM(G1083))&gt;0</formula>
    </cfRule>
  </conditionalFormatting>
  <conditionalFormatting sqref="G1083:K1083">
    <cfRule type="notContainsBlanks" dxfId="6397" priority="6628">
      <formula>LEN(TRIM(G1083))&gt;0</formula>
    </cfRule>
  </conditionalFormatting>
  <conditionalFormatting sqref="G1083:K1083">
    <cfRule type="notContainsBlanks" dxfId="6396" priority="6627">
      <formula>LEN(TRIM(G1083))&gt;0</formula>
    </cfRule>
  </conditionalFormatting>
  <conditionalFormatting sqref="G1083:K1083">
    <cfRule type="notContainsBlanks" dxfId="6395" priority="6626">
      <formula>LEN(TRIM(G1083))&gt;0</formula>
    </cfRule>
  </conditionalFormatting>
  <conditionalFormatting sqref="G1083:K1083">
    <cfRule type="notContainsBlanks" dxfId="6394" priority="6625">
      <formula>LEN(TRIM(G1083))&gt;0</formula>
    </cfRule>
  </conditionalFormatting>
  <conditionalFormatting sqref="G1083:K1083">
    <cfRule type="notContainsBlanks" dxfId="6393" priority="6624">
      <formula>LEN(TRIM(G1083))&gt;0</formula>
    </cfRule>
  </conditionalFormatting>
  <conditionalFormatting sqref="G1083:K1083">
    <cfRule type="notContainsBlanks" dxfId="6392" priority="6623">
      <formula>LEN(TRIM(G1083))&gt;0</formula>
    </cfRule>
  </conditionalFormatting>
  <conditionalFormatting sqref="G1083:K1083">
    <cfRule type="notContainsBlanks" dxfId="6391" priority="6622">
      <formula>LEN(TRIM(G1083))&gt;0</formula>
    </cfRule>
  </conditionalFormatting>
  <conditionalFormatting sqref="G1083:K1083">
    <cfRule type="notContainsBlanks" dxfId="6390" priority="6621">
      <formula>LEN(TRIM(G1083))&gt;0</formula>
    </cfRule>
  </conditionalFormatting>
  <conditionalFormatting sqref="G1083:K1083">
    <cfRule type="notContainsBlanks" dxfId="6389" priority="6619">
      <formula>LEN(TRIM(G1083))&gt;0</formula>
    </cfRule>
    <cfRule type="notContainsBlanks" dxfId="6388" priority="6620">
      <formula>LEN(TRIM(G1083))&gt;0</formula>
    </cfRule>
  </conditionalFormatting>
  <conditionalFormatting sqref="G1083:K1083">
    <cfRule type="notContainsBlanks" dxfId="6387" priority="6618">
      <formula>LEN(TRIM(G1083))&gt;0</formula>
    </cfRule>
  </conditionalFormatting>
  <conditionalFormatting sqref="G1083:K1083">
    <cfRule type="notContainsBlanks" dxfId="6386" priority="6617">
      <formula>LEN(TRIM(G1083))&gt;0</formula>
    </cfRule>
  </conditionalFormatting>
  <conditionalFormatting sqref="G1083:K1083">
    <cfRule type="notContainsBlanks" dxfId="6385" priority="6616">
      <formula>LEN(TRIM(G1083))&gt;0</formula>
    </cfRule>
  </conditionalFormatting>
  <conditionalFormatting sqref="G1083:K1083">
    <cfRule type="notContainsBlanks" dxfId="6384" priority="6615">
      <formula>LEN(TRIM(G1083))&gt;0</formula>
    </cfRule>
  </conditionalFormatting>
  <conditionalFormatting sqref="G1083:K1083">
    <cfRule type="notContainsBlanks" dxfId="6383" priority="6614">
      <formula>LEN(TRIM(G1083))&gt;0</formula>
    </cfRule>
  </conditionalFormatting>
  <conditionalFormatting sqref="G1083:K1083">
    <cfRule type="notContainsBlanks" dxfId="6382" priority="6613">
      <formula>LEN(TRIM(G1083))&gt;0</formula>
    </cfRule>
  </conditionalFormatting>
  <conditionalFormatting sqref="G1083:K1083">
    <cfRule type="notContainsBlanks" dxfId="6381" priority="6612">
      <formula>LEN(TRIM(G1083))&gt;0</formula>
    </cfRule>
  </conditionalFormatting>
  <conditionalFormatting sqref="G1083:K1083">
    <cfRule type="notContainsBlanks" dxfId="6380" priority="6611">
      <formula>LEN(TRIM(G1083))&gt;0</formula>
    </cfRule>
  </conditionalFormatting>
  <conditionalFormatting sqref="G1083:K1083">
    <cfRule type="notContainsBlanks" dxfId="6379" priority="6610">
      <formula>LEN(TRIM(G1083))&gt;0</formula>
    </cfRule>
  </conditionalFormatting>
  <conditionalFormatting sqref="G1083:K1083">
    <cfRule type="notContainsBlanks" priority="6609">
      <formula>LEN(TRIM(G1083))&gt;0</formula>
    </cfRule>
  </conditionalFormatting>
  <conditionalFormatting sqref="G1083:K1083">
    <cfRule type="notContainsBlanks" dxfId="6378" priority="6608">
      <formula>LEN(TRIM(G1083))&gt;0</formula>
    </cfRule>
  </conditionalFormatting>
  <conditionalFormatting sqref="G1083:K1083">
    <cfRule type="notContainsBlanks" dxfId="6377" priority="6607">
      <formula>LEN(TRIM(G1083))&gt;0</formula>
    </cfRule>
  </conditionalFormatting>
  <conditionalFormatting sqref="G1083:K1083">
    <cfRule type="notContainsBlanks" dxfId="6376" priority="6606">
      <formula>LEN(TRIM(G1083))&gt;0</formula>
    </cfRule>
  </conditionalFormatting>
  <conditionalFormatting sqref="G1083:K1083">
    <cfRule type="notContainsBlanks" dxfId="6375" priority="6605">
      <formula>LEN(TRIM(G1083))&gt;0</formula>
    </cfRule>
  </conditionalFormatting>
  <conditionalFormatting sqref="G1083:K1083">
    <cfRule type="notContainsBlanks" dxfId="6374" priority="6604">
      <formula>LEN(TRIM(G1083))&gt;0</formula>
    </cfRule>
  </conditionalFormatting>
  <conditionalFormatting sqref="G1096">
    <cfRule type="notContainsBlanks" dxfId="6373" priority="6603">
      <formula>LEN(TRIM(G1096))&gt;0</formula>
    </cfRule>
  </conditionalFormatting>
  <conditionalFormatting sqref="H1096:K1096">
    <cfRule type="notContainsBlanks" dxfId="6372" priority="6602">
      <formula>LEN(TRIM(H1096))&gt;0</formula>
    </cfRule>
  </conditionalFormatting>
  <conditionalFormatting sqref="G1096:K1096">
    <cfRule type="notContainsBlanks" dxfId="6371" priority="6601">
      <formula>LEN(TRIM(G1096))&gt;0</formula>
    </cfRule>
  </conditionalFormatting>
  <conditionalFormatting sqref="G1096:K1096">
    <cfRule type="notContainsBlanks" dxfId="6370" priority="6600">
      <formula>LEN(TRIM(G1096))&gt;0</formula>
    </cfRule>
  </conditionalFormatting>
  <conditionalFormatting sqref="G1096:K1096">
    <cfRule type="notContainsBlanks" dxfId="6369" priority="6599">
      <formula>LEN(TRIM(G1096))&gt;0</formula>
    </cfRule>
  </conditionalFormatting>
  <conditionalFormatting sqref="G1096:K1096">
    <cfRule type="notContainsBlanks" dxfId="6368" priority="6598">
      <formula>LEN(TRIM(G1096))&gt;0</formula>
    </cfRule>
  </conditionalFormatting>
  <conditionalFormatting sqref="G1096:K1096">
    <cfRule type="notContainsBlanks" dxfId="6367" priority="6597">
      <formula>LEN(TRIM(G1096))&gt;0</formula>
    </cfRule>
  </conditionalFormatting>
  <conditionalFormatting sqref="G1096:K1096">
    <cfRule type="notContainsBlanks" dxfId="6366" priority="6596">
      <formula>LEN(TRIM(G1096))&gt;0</formula>
    </cfRule>
  </conditionalFormatting>
  <conditionalFormatting sqref="G1096:K1096">
    <cfRule type="notContainsBlanks" dxfId="6365" priority="6595">
      <formula>LEN(TRIM(G1096))&gt;0</formula>
    </cfRule>
  </conditionalFormatting>
  <conditionalFormatting sqref="G1096:K1096">
    <cfRule type="notContainsBlanks" dxfId="6364" priority="6594">
      <formula>LEN(TRIM(G1096))&gt;0</formula>
    </cfRule>
  </conditionalFormatting>
  <conditionalFormatting sqref="G1096:K1096">
    <cfRule type="notContainsBlanks" dxfId="6363" priority="6593">
      <formula>LEN(TRIM(G1096))&gt;0</formula>
    </cfRule>
  </conditionalFormatting>
  <conditionalFormatting sqref="G1096:K1096">
    <cfRule type="notContainsBlanks" dxfId="6362" priority="6591">
      <formula>LEN(TRIM(G1096))&gt;0</formula>
    </cfRule>
    <cfRule type="notContainsBlanks" dxfId="6361" priority="6592">
      <formula>LEN(TRIM(G1096))&gt;0</formula>
    </cfRule>
  </conditionalFormatting>
  <conditionalFormatting sqref="G1096:K1096">
    <cfRule type="notContainsBlanks" dxfId="6360" priority="6590">
      <formula>LEN(TRIM(G1096))&gt;0</formula>
    </cfRule>
  </conditionalFormatting>
  <conditionalFormatting sqref="G1096:K1096">
    <cfRule type="notContainsBlanks" dxfId="6359" priority="6589">
      <formula>LEN(TRIM(G1096))&gt;0</formula>
    </cfRule>
  </conditionalFormatting>
  <conditionalFormatting sqref="G1096:K1096">
    <cfRule type="notContainsBlanks" dxfId="6358" priority="6588">
      <formula>LEN(TRIM(G1096))&gt;0</formula>
    </cfRule>
  </conditionalFormatting>
  <conditionalFormatting sqref="G1096:K1096">
    <cfRule type="notContainsBlanks" dxfId="6357" priority="6587">
      <formula>LEN(TRIM(G1096))&gt;0</formula>
    </cfRule>
  </conditionalFormatting>
  <conditionalFormatting sqref="G1096:K1096">
    <cfRule type="notContainsBlanks" dxfId="6356" priority="6586">
      <formula>LEN(TRIM(G1096))&gt;0</formula>
    </cfRule>
  </conditionalFormatting>
  <conditionalFormatting sqref="G1096:K1096">
    <cfRule type="notContainsBlanks" dxfId="6355" priority="6585">
      <formula>LEN(TRIM(G1096))&gt;0</formula>
    </cfRule>
  </conditionalFormatting>
  <conditionalFormatting sqref="G1096:K1096">
    <cfRule type="notContainsBlanks" dxfId="6354" priority="6584">
      <formula>LEN(TRIM(G1096))&gt;0</formula>
    </cfRule>
  </conditionalFormatting>
  <conditionalFormatting sqref="G1096:K1096">
    <cfRule type="notContainsBlanks" dxfId="6353" priority="6583">
      <formula>LEN(TRIM(G1096))&gt;0</formula>
    </cfRule>
  </conditionalFormatting>
  <conditionalFormatting sqref="G1096:K1096">
    <cfRule type="notContainsBlanks" dxfId="6352" priority="6582">
      <formula>LEN(TRIM(G1096))&gt;0</formula>
    </cfRule>
  </conditionalFormatting>
  <conditionalFormatting sqref="G1096:K1096">
    <cfRule type="notContainsBlanks" priority="6581">
      <formula>LEN(TRIM(G1096))&gt;0</formula>
    </cfRule>
  </conditionalFormatting>
  <conditionalFormatting sqref="G1096:K1096">
    <cfRule type="notContainsBlanks" dxfId="6351" priority="6580">
      <formula>LEN(TRIM(G1096))&gt;0</formula>
    </cfRule>
  </conditionalFormatting>
  <conditionalFormatting sqref="G1096:K1096">
    <cfRule type="notContainsBlanks" dxfId="6350" priority="6579">
      <formula>LEN(TRIM(G1096))&gt;0</formula>
    </cfRule>
  </conditionalFormatting>
  <conditionalFormatting sqref="G1096:K1096">
    <cfRule type="notContainsBlanks" dxfId="6349" priority="6578">
      <formula>LEN(TRIM(G1096))&gt;0</formula>
    </cfRule>
  </conditionalFormatting>
  <conditionalFormatting sqref="G1096:K1096">
    <cfRule type="notContainsBlanks" dxfId="6348" priority="6577">
      <formula>LEN(TRIM(G1096))&gt;0</formula>
    </cfRule>
  </conditionalFormatting>
  <conditionalFormatting sqref="G1096:K1096">
    <cfRule type="notContainsBlanks" dxfId="6347" priority="6576">
      <formula>LEN(TRIM(G1096))&gt;0</formula>
    </cfRule>
  </conditionalFormatting>
  <conditionalFormatting sqref="G1109">
    <cfRule type="notContainsBlanks" dxfId="6346" priority="6575">
      <formula>LEN(TRIM(G1109))&gt;0</formula>
    </cfRule>
  </conditionalFormatting>
  <conditionalFormatting sqref="H1109:K1109">
    <cfRule type="notContainsBlanks" dxfId="6345" priority="6574">
      <formula>LEN(TRIM(H1109))&gt;0</formula>
    </cfRule>
  </conditionalFormatting>
  <conditionalFormatting sqref="G1109:K1109">
    <cfRule type="notContainsBlanks" dxfId="6344" priority="6573">
      <formula>LEN(TRIM(G1109))&gt;0</formula>
    </cfRule>
  </conditionalFormatting>
  <conditionalFormatting sqref="G1109:K1109">
    <cfRule type="notContainsBlanks" dxfId="6343" priority="6572">
      <formula>LEN(TRIM(G1109))&gt;0</formula>
    </cfRule>
  </conditionalFormatting>
  <conditionalFormatting sqref="G1109:K1109">
    <cfRule type="notContainsBlanks" dxfId="6342" priority="6571">
      <formula>LEN(TRIM(G1109))&gt;0</formula>
    </cfRule>
  </conditionalFormatting>
  <conditionalFormatting sqref="G1109:K1109">
    <cfRule type="notContainsBlanks" dxfId="6341" priority="6570">
      <formula>LEN(TRIM(G1109))&gt;0</formula>
    </cfRule>
  </conditionalFormatting>
  <conditionalFormatting sqref="G1109:K1109">
    <cfRule type="notContainsBlanks" dxfId="6340" priority="6569">
      <formula>LEN(TRIM(G1109))&gt;0</formula>
    </cfRule>
  </conditionalFormatting>
  <conditionalFormatting sqref="G1109:K1109">
    <cfRule type="notContainsBlanks" dxfId="6339" priority="6568">
      <formula>LEN(TRIM(G1109))&gt;0</formula>
    </cfRule>
  </conditionalFormatting>
  <conditionalFormatting sqref="G1109:K1109">
    <cfRule type="notContainsBlanks" dxfId="6338" priority="6567">
      <formula>LEN(TRIM(G1109))&gt;0</formula>
    </cfRule>
  </conditionalFormatting>
  <conditionalFormatting sqref="G1109:K1109">
    <cfRule type="notContainsBlanks" dxfId="6337" priority="6566">
      <formula>LEN(TRIM(G1109))&gt;0</formula>
    </cfRule>
  </conditionalFormatting>
  <conditionalFormatting sqref="G1109:K1109">
    <cfRule type="notContainsBlanks" dxfId="6336" priority="6565">
      <formula>LEN(TRIM(G1109))&gt;0</formula>
    </cfRule>
  </conditionalFormatting>
  <conditionalFormatting sqref="G1109:K1109">
    <cfRule type="notContainsBlanks" dxfId="6335" priority="6563">
      <formula>LEN(TRIM(G1109))&gt;0</formula>
    </cfRule>
    <cfRule type="notContainsBlanks" dxfId="6334" priority="6564">
      <formula>LEN(TRIM(G1109))&gt;0</formula>
    </cfRule>
  </conditionalFormatting>
  <conditionalFormatting sqref="G1109:K1109">
    <cfRule type="notContainsBlanks" dxfId="6333" priority="6562">
      <formula>LEN(TRIM(G1109))&gt;0</formula>
    </cfRule>
  </conditionalFormatting>
  <conditionalFormatting sqref="G1109:K1109">
    <cfRule type="notContainsBlanks" dxfId="6332" priority="6561">
      <formula>LEN(TRIM(G1109))&gt;0</formula>
    </cfRule>
  </conditionalFormatting>
  <conditionalFormatting sqref="G1109:K1109">
    <cfRule type="notContainsBlanks" dxfId="6331" priority="6560">
      <formula>LEN(TRIM(G1109))&gt;0</formula>
    </cfRule>
  </conditionalFormatting>
  <conditionalFormatting sqref="G1109:K1109">
    <cfRule type="notContainsBlanks" dxfId="6330" priority="6559">
      <formula>LEN(TRIM(G1109))&gt;0</formula>
    </cfRule>
  </conditionalFormatting>
  <conditionalFormatting sqref="G1109:K1109">
    <cfRule type="notContainsBlanks" dxfId="6329" priority="6558">
      <formula>LEN(TRIM(G1109))&gt;0</formula>
    </cfRule>
  </conditionalFormatting>
  <conditionalFormatting sqref="G1109:K1109">
    <cfRule type="notContainsBlanks" dxfId="6328" priority="6557">
      <formula>LEN(TRIM(G1109))&gt;0</formula>
    </cfRule>
  </conditionalFormatting>
  <conditionalFormatting sqref="G1109:K1109">
    <cfRule type="notContainsBlanks" dxfId="6327" priority="6556">
      <formula>LEN(TRIM(G1109))&gt;0</formula>
    </cfRule>
  </conditionalFormatting>
  <conditionalFormatting sqref="G1109:K1109">
    <cfRule type="notContainsBlanks" dxfId="6326" priority="6555">
      <formula>LEN(TRIM(G1109))&gt;0</formula>
    </cfRule>
  </conditionalFormatting>
  <conditionalFormatting sqref="G1109:K1109">
    <cfRule type="notContainsBlanks" dxfId="6325" priority="6554">
      <formula>LEN(TRIM(G1109))&gt;0</formula>
    </cfRule>
  </conditionalFormatting>
  <conditionalFormatting sqref="G1109:K1109">
    <cfRule type="notContainsBlanks" priority="6553">
      <formula>LEN(TRIM(G1109))&gt;0</formula>
    </cfRule>
  </conditionalFormatting>
  <conditionalFormatting sqref="G1109:K1109">
    <cfRule type="notContainsBlanks" dxfId="6324" priority="6552">
      <formula>LEN(TRIM(G1109))&gt;0</formula>
    </cfRule>
  </conditionalFormatting>
  <conditionalFormatting sqref="G1109:K1109">
    <cfRule type="notContainsBlanks" dxfId="6323" priority="6551">
      <formula>LEN(TRIM(G1109))&gt;0</formula>
    </cfRule>
  </conditionalFormatting>
  <conditionalFormatting sqref="G1109:K1109">
    <cfRule type="notContainsBlanks" dxfId="6322" priority="6550">
      <formula>LEN(TRIM(G1109))&gt;0</formula>
    </cfRule>
  </conditionalFormatting>
  <conditionalFormatting sqref="G1109:K1109">
    <cfRule type="notContainsBlanks" dxfId="6321" priority="6549">
      <formula>LEN(TRIM(G1109))&gt;0</formula>
    </cfRule>
  </conditionalFormatting>
  <conditionalFormatting sqref="G1109:K1109">
    <cfRule type="notContainsBlanks" dxfId="6320" priority="6548">
      <formula>LEN(TRIM(G1109))&gt;0</formula>
    </cfRule>
  </conditionalFormatting>
  <conditionalFormatting sqref="G1122">
    <cfRule type="notContainsBlanks" dxfId="6319" priority="6547">
      <formula>LEN(TRIM(G1122))&gt;0</formula>
    </cfRule>
  </conditionalFormatting>
  <conditionalFormatting sqref="H1122:K1122">
    <cfRule type="notContainsBlanks" dxfId="6318" priority="6546">
      <formula>LEN(TRIM(H1122))&gt;0</formula>
    </cfRule>
  </conditionalFormatting>
  <conditionalFormatting sqref="G1122:K1122">
    <cfRule type="notContainsBlanks" dxfId="6317" priority="6545">
      <formula>LEN(TRIM(G1122))&gt;0</formula>
    </cfRule>
  </conditionalFormatting>
  <conditionalFormatting sqref="G1122:K1122">
    <cfRule type="notContainsBlanks" dxfId="6316" priority="6544">
      <formula>LEN(TRIM(G1122))&gt;0</formula>
    </cfRule>
  </conditionalFormatting>
  <conditionalFormatting sqref="G1122:K1122">
    <cfRule type="notContainsBlanks" dxfId="6315" priority="6543">
      <formula>LEN(TRIM(G1122))&gt;0</formula>
    </cfRule>
  </conditionalFormatting>
  <conditionalFormatting sqref="G1122:K1122">
    <cfRule type="notContainsBlanks" dxfId="6314" priority="6542">
      <formula>LEN(TRIM(G1122))&gt;0</formula>
    </cfRule>
  </conditionalFormatting>
  <conditionalFormatting sqref="G1122:K1122">
    <cfRule type="notContainsBlanks" dxfId="6313" priority="6541">
      <formula>LEN(TRIM(G1122))&gt;0</formula>
    </cfRule>
  </conditionalFormatting>
  <conditionalFormatting sqref="G1122:K1122">
    <cfRule type="notContainsBlanks" dxfId="6312" priority="6540">
      <formula>LEN(TRIM(G1122))&gt;0</formula>
    </cfRule>
  </conditionalFormatting>
  <conditionalFormatting sqref="G1122:K1122">
    <cfRule type="notContainsBlanks" dxfId="6311" priority="6539">
      <formula>LEN(TRIM(G1122))&gt;0</formula>
    </cfRule>
  </conditionalFormatting>
  <conditionalFormatting sqref="G1122:K1122">
    <cfRule type="notContainsBlanks" dxfId="6310" priority="6538">
      <formula>LEN(TRIM(G1122))&gt;0</formula>
    </cfRule>
  </conditionalFormatting>
  <conditionalFormatting sqref="G1122:K1122">
    <cfRule type="notContainsBlanks" dxfId="6309" priority="6537">
      <formula>LEN(TRIM(G1122))&gt;0</formula>
    </cfRule>
  </conditionalFormatting>
  <conditionalFormatting sqref="G1122:K1122">
    <cfRule type="notContainsBlanks" dxfId="6308" priority="6535">
      <formula>LEN(TRIM(G1122))&gt;0</formula>
    </cfRule>
    <cfRule type="notContainsBlanks" dxfId="6307" priority="6536">
      <formula>LEN(TRIM(G1122))&gt;0</formula>
    </cfRule>
  </conditionalFormatting>
  <conditionalFormatting sqref="G1122:K1122">
    <cfRule type="notContainsBlanks" dxfId="6306" priority="6534">
      <formula>LEN(TRIM(G1122))&gt;0</formula>
    </cfRule>
  </conditionalFormatting>
  <conditionalFormatting sqref="G1122:K1122">
    <cfRule type="notContainsBlanks" dxfId="6305" priority="6533">
      <formula>LEN(TRIM(G1122))&gt;0</formula>
    </cfRule>
  </conditionalFormatting>
  <conditionalFormatting sqref="G1122:K1122">
    <cfRule type="notContainsBlanks" dxfId="6304" priority="6532">
      <formula>LEN(TRIM(G1122))&gt;0</formula>
    </cfRule>
  </conditionalFormatting>
  <conditionalFormatting sqref="G1122:K1122">
    <cfRule type="notContainsBlanks" dxfId="6303" priority="6531">
      <formula>LEN(TRIM(G1122))&gt;0</formula>
    </cfRule>
  </conditionalFormatting>
  <conditionalFormatting sqref="G1122:K1122">
    <cfRule type="notContainsBlanks" dxfId="6302" priority="6530">
      <formula>LEN(TRIM(G1122))&gt;0</formula>
    </cfRule>
  </conditionalFormatting>
  <conditionalFormatting sqref="G1122:K1122">
    <cfRule type="notContainsBlanks" dxfId="6301" priority="6529">
      <formula>LEN(TRIM(G1122))&gt;0</formula>
    </cfRule>
  </conditionalFormatting>
  <conditionalFormatting sqref="G1122:K1122">
    <cfRule type="notContainsBlanks" dxfId="6300" priority="6528">
      <formula>LEN(TRIM(G1122))&gt;0</formula>
    </cfRule>
  </conditionalFormatting>
  <conditionalFormatting sqref="G1122:K1122">
    <cfRule type="notContainsBlanks" dxfId="6299" priority="6527">
      <formula>LEN(TRIM(G1122))&gt;0</formula>
    </cfRule>
  </conditionalFormatting>
  <conditionalFormatting sqref="G1122:K1122">
    <cfRule type="notContainsBlanks" dxfId="6298" priority="6526">
      <formula>LEN(TRIM(G1122))&gt;0</formula>
    </cfRule>
  </conditionalFormatting>
  <conditionalFormatting sqref="G1122:K1122">
    <cfRule type="notContainsBlanks" priority="6525">
      <formula>LEN(TRIM(G1122))&gt;0</formula>
    </cfRule>
  </conditionalFormatting>
  <conditionalFormatting sqref="G1122:K1122">
    <cfRule type="notContainsBlanks" dxfId="6297" priority="6524">
      <formula>LEN(TRIM(G1122))&gt;0</formula>
    </cfRule>
  </conditionalFormatting>
  <conditionalFormatting sqref="G1122:K1122">
    <cfRule type="notContainsBlanks" dxfId="6296" priority="6523">
      <formula>LEN(TRIM(G1122))&gt;0</formula>
    </cfRule>
  </conditionalFormatting>
  <conditionalFormatting sqref="G1122:K1122">
    <cfRule type="notContainsBlanks" dxfId="6295" priority="6522">
      <formula>LEN(TRIM(G1122))&gt;0</formula>
    </cfRule>
  </conditionalFormatting>
  <conditionalFormatting sqref="G1122:K1122">
    <cfRule type="notContainsBlanks" dxfId="6294" priority="6521">
      <formula>LEN(TRIM(G1122))&gt;0</formula>
    </cfRule>
  </conditionalFormatting>
  <conditionalFormatting sqref="G1122:K1122">
    <cfRule type="notContainsBlanks" dxfId="6293" priority="6520">
      <formula>LEN(TRIM(G1122))&gt;0</formula>
    </cfRule>
  </conditionalFormatting>
  <conditionalFormatting sqref="G1135">
    <cfRule type="notContainsBlanks" dxfId="6292" priority="6519">
      <formula>LEN(TRIM(G1135))&gt;0</formula>
    </cfRule>
  </conditionalFormatting>
  <conditionalFormatting sqref="H1135:K1135">
    <cfRule type="notContainsBlanks" dxfId="6291" priority="6518">
      <formula>LEN(TRIM(H1135))&gt;0</formula>
    </cfRule>
  </conditionalFormatting>
  <conditionalFormatting sqref="G1135:K1135">
    <cfRule type="notContainsBlanks" dxfId="6290" priority="6517">
      <formula>LEN(TRIM(G1135))&gt;0</formula>
    </cfRule>
  </conditionalFormatting>
  <conditionalFormatting sqref="G1135:K1135">
    <cfRule type="notContainsBlanks" dxfId="6289" priority="6516">
      <formula>LEN(TRIM(G1135))&gt;0</formula>
    </cfRule>
  </conditionalFormatting>
  <conditionalFormatting sqref="G1135:K1135">
    <cfRule type="notContainsBlanks" dxfId="6288" priority="6515">
      <formula>LEN(TRIM(G1135))&gt;0</formula>
    </cfRule>
  </conditionalFormatting>
  <conditionalFormatting sqref="G1135:K1135">
    <cfRule type="notContainsBlanks" dxfId="6287" priority="6514">
      <formula>LEN(TRIM(G1135))&gt;0</formula>
    </cfRule>
  </conditionalFormatting>
  <conditionalFormatting sqref="G1135:K1135">
    <cfRule type="notContainsBlanks" dxfId="6286" priority="6513">
      <formula>LEN(TRIM(G1135))&gt;0</formula>
    </cfRule>
  </conditionalFormatting>
  <conditionalFormatting sqref="G1135:K1135">
    <cfRule type="notContainsBlanks" dxfId="6285" priority="6512">
      <formula>LEN(TRIM(G1135))&gt;0</formula>
    </cfRule>
  </conditionalFormatting>
  <conditionalFormatting sqref="G1135:K1135">
    <cfRule type="notContainsBlanks" dxfId="6284" priority="6511">
      <formula>LEN(TRIM(G1135))&gt;0</formula>
    </cfRule>
  </conditionalFormatting>
  <conditionalFormatting sqref="G1135:K1135">
    <cfRule type="notContainsBlanks" dxfId="6283" priority="6510">
      <formula>LEN(TRIM(G1135))&gt;0</formula>
    </cfRule>
  </conditionalFormatting>
  <conditionalFormatting sqref="G1135:K1135">
    <cfRule type="notContainsBlanks" dxfId="6282" priority="6509">
      <formula>LEN(TRIM(G1135))&gt;0</formula>
    </cfRule>
  </conditionalFormatting>
  <conditionalFormatting sqref="G1135:K1135">
    <cfRule type="notContainsBlanks" dxfId="6281" priority="6507">
      <formula>LEN(TRIM(G1135))&gt;0</formula>
    </cfRule>
    <cfRule type="notContainsBlanks" dxfId="6280" priority="6508">
      <formula>LEN(TRIM(G1135))&gt;0</formula>
    </cfRule>
  </conditionalFormatting>
  <conditionalFormatting sqref="G1135:K1135">
    <cfRule type="notContainsBlanks" dxfId="6279" priority="6506">
      <formula>LEN(TRIM(G1135))&gt;0</formula>
    </cfRule>
  </conditionalFormatting>
  <conditionalFormatting sqref="G1135:K1135">
    <cfRule type="notContainsBlanks" dxfId="6278" priority="6505">
      <formula>LEN(TRIM(G1135))&gt;0</formula>
    </cfRule>
  </conditionalFormatting>
  <conditionalFormatting sqref="G1135:K1135">
    <cfRule type="notContainsBlanks" dxfId="6277" priority="6504">
      <formula>LEN(TRIM(G1135))&gt;0</formula>
    </cfRule>
  </conditionalFormatting>
  <conditionalFormatting sqref="G1135:K1135">
    <cfRule type="notContainsBlanks" dxfId="6276" priority="6503">
      <formula>LEN(TRIM(G1135))&gt;0</formula>
    </cfRule>
  </conditionalFormatting>
  <conditionalFormatting sqref="G1135:K1135">
    <cfRule type="notContainsBlanks" dxfId="6275" priority="6502">
      <formula>LEN(TRIM(G1135))&gt;0</formula>
    </cfRule>
  </conditionalFormatting>
  <conditionalFormatting sqref="G1135:K1135">
    <cfRule type="notContainsBlanks" dxfId="6274" priority="6501">
      <formula>LEN(TRIM(G1135))&gt;0</formula>
    </cfRule>
  </conditionalFormatting>
  <conditionalFormatting sqref="G1135:K1135">
    <cfRule type="notContainsBlanks" dxfId="6273" priority="6500">
      <formula>LEN(TRIM(G1135))&gt;0</formula>
    </cfRule>
  </conditionalFormatting>
  <conditionalFormatting sqref="G1135:K1135">
    <cfRule type="notContainsBlanks" dxfId="6272" priority="6499">
      <formula>LEN(TRIM(G1135))&gt;0</formula>
    </cfRule>
  </conditionalFormatting>
  <conditionalFormatting sqref="G1135:K1135">
    <cfRule type="notContainsBlanks" dxfId="6271" priority="6498">
      <formula>LEN(TRIM(G1135))&gt;0</formula>
    </cfRule>
  </conditionalFormatting>
  <conditionalFormatting sqref="G1135:K1135">
    <cfRule type="notContainsBlanks" priority="6497">
      <formula>LEN(TRIM(G1135))&gt;0</formula>
    </cfRule>
  </conditionalFormatting>
  <conditionalFormatting sqref="G1135:K1135">
    <cfRule type="notContainsBlanks" dxfId="6270" priority="6496">
      <formula>LEN(TRIM(G1135))&gt;0</formula>
    </cfRule>
  </conditionalFormatting>
  <conditionalFormatting sqref="G1135:K1135">
    <cfRule type="notContainsBlanks" dxfId="6269" priority="6495">
      <formula>LEN(TRIM(G1135))&gt;0</formula>
    </cfRule>
  </conditionalFormatting>
  <conditionalFormatting sqref="G1135:K1135">
    <cfRule type="notContainsBlanks" dxfId="6268" priority="6494">
      <formula>LEN(TRIM(G1135))&gt;0</formula>
    </cfRule>
  </conditionalFormatting>
  <conditionalFormatting sqref="G1135:K1135">
    <cfRule type="notContainsBlanks" dxfId="6267" priority="6493">
      <formula>LEN(TRIM(G1135))&gt;0</formula>
    </cfRule>
  </conditionalFormatting>
  <conditionalFormatting sqref="G1135:K1135">
    <cfRule type="notContainsBlanks" dxfId="6266" priority="6492">
      <formula>LEN(TRIM(G1135))&gt;0</formula>
    </cfRule>
  </conditionalFormatting>
  <conditionalFormatting sqref="G1148">
    <cfRule type="notContainsBlanks" dxfId="6265" priority="6491">
      <formula>LEN(TRIM(G1148))&gt;0</formula>
    </cfRule>
  </conditionalFormatting>
  <conditionalFormatting sqref="H1148:K1148">
    <cfRule type="notContainsBlanks" dxfId="6264" priority="6490">
      <formula>LEN(TRIM(H1148))&gt;0</formula>
    </cfRule>
  </conditionalFormatting>
  <conditionalFormatting sqref="G1148:K1148">
    <cfRule type="notContainsBlanks" dxfId="6263" priority="6489">
      <formula>LEN(TRIM(G1148))&gt;0</formula>
    </cfRule>
  </conditionalFormatting>
  <conditionalFormatting sqref="G1148:K1148">
    <cfRule type="notContainsBlanks" dxfId="6262" priority="6488">
      <formula>LEN(TRIM(G1148))&gt;0</formula>
    </cfRule>
  </conditionalFormatting>
  <conditionalFormatting sqref="G1148:K1148">
    <cfRule type="notContainsBlanks" dxfId="6261" priority="6487">
      <formula>LEN(TRIM(G1148))&gt;0</formula>
    </cfRule>
  </conditionalFormatting>
  <conditionalFormatting sqref="G1148:K1148">
    <cfRule type="notContainsBlanks" dxfId="6260" priority="6486">
      <formula>LEN(TRIM(G1148))&gt;0</formula>
    </cfRule>
  </conditionalFormatting>
  <conditionalFormatting sqref="G1148:K1148">
    <cfRule type="notContainsBlanks" dxfId="6259" priority="6485">
      <formula>LEN(TRIM(G1148))&gt;0</formula>
    </cfRule>
  </conditionalFormatting>
  <conditionalFormatting sqref="G1148:K1148">
    <cfRule type="notContainsBlanks" dxfId="6258" priority="6484">
      <formula>LEN(TRIM(G1148))&gt;0</formula>
    </cfRule>
  </conditionalFormatting>
  <conditionalFormatting sqref="G1148:K1148">
    <cfRule type="notContainsBlanks" dxfId="6257" priority="6483">
      <formula>LEN(TRIM(G1148))&gt;0</formula>
    </cfRule>
  </conditionalFormatting>
  <conditionalFormatting sqref="G1148:K1148">
    <cfRule type="notContainsBlanks" dxfId="6256" priority="6482">
      <formula>LEN(TRIM(G1148))&gt;0</formula>
    </cfRule>
  </conditionalFormatting>
  <conditionalFormatting sqref="G1148:K1148">
    <cfRule type="notContainsBlanks" dxfId="6255" priority="6481">
      <formula>LEN(TRIM(G1148))&gt;0</formula>
    </cfRule>
  </conditionalFormatting>
  <conditionalFormatting sqref="G1148:K1148">
    <cfRule type="notContainsBlanks" dxfId="6254" priority="6479">
      <formula>LEN(TRIM(G1148))&gt;0</formula>
    </cfRule>
    <cfRule type="notContainsBlanks" dxfId="6253" priority="6480">
      <formula>LEN(TRIM(G1148))&gt;0</formula>
    </cfRule>
  </conditionalFormatting>
  <conditionalFormatting sqref="G1148:K1148">
    <cfRule type="notContainsBlanks" dxfId="6252" priority="6478">
      <formula>LEN(TRIM(G1148))&gt;0</formula>
    </cfRule>
  </conditionalFormatting>
  <conditionalFormatting sqref="G1148:K1148">
    <cfRule type="notContainsBlanks" dxfId="6251" priority="6477">
      <formula>LEN(TRIM(G1148))&gt;0</formula>
    </cfRule>
  </conditionalFormatting>
  <conditionalFormatting sqref="G1148:K1148">
    <cfRule type="notContainsBlanks" dxfId="6250" priority="6476">
      <formula>LEN(TRIM(G1148))&gt;0</formula>
    </cfRule>
  </conditionalFormatting>
  <conditionalFormatting sqref="G1148:K1148">
    <cfRule type="notContainsBlanks" dxfId="6249" priority="6475">
      <formula>LEN(TRIM(G1148))&gt;0</formula>
    </cfRule>
  </conditionalFormatting>
  <conditionalFormatting sqref="G1148:K1148">
    <cfRule type="notContainsBlanks" dxfId="6248" priority="6474">
      <formula>LEN(TRIM(G1148))&gt;0</formula>
    </cfRule>
  </conditionalFormatting>
  <conditionalFormatting sqref="G1148:K1148">
    <cfRule type="notContainsBlanks" dxfId="6247" priority="6473">
      <formula>LEN(TRIM(G1148))&gt;0</formula>
    </cfRule>
  </conditionalFormatting>
  <conditionalFormatting sqref="G1148:K1148">
    <cfRule type="notContainsBlanks" dxfId="6246" priority="6472">
      <formula>LEN(TRIM(G1148))&gt;0</formula>
    </cfRule>
  </conditionalFormatting>
  <conditionalFormatting sqref="G1148:K1148">
    <cfRule type="notContainsBlanks" dxfId="6245" priority="6471">
      <formula>LEN(TRIM(G1148))&gt;0</formula>
    </cfRule>
  </conditionalFormatting>
  <conditionalFormatting sqref="G1148:K1148">
    <cfRule type="notContainsBlanks" dxfId="6244" priority="6470">
      <formula>LEN(TRIM(G1148))&gt;0</formula>
    </cfRule>
  </conditionalFormatting>
  <conditionalFormatting sqref="G1148:K1148">
    <cfRule type="notContainsBlanks" priority="6469">
      <formula>LEN(TRIM(G1148))&gt;0</formula>
    </cfRule>
  </conditionalFormatting>
  <conditionalFormatting sqref="G1148:K1148">
    <cfRule type="notContainsBlanks" dxfId="6243" priority="6468">
      <formula>LEN(TRIM(G1148))&gt;0</formula>
    </cfRule>
  </conditionalFormatting>
  <conditionalFormatting sqref="G1148:K1148">
    <cfRule type="notContainsBlanks" dxfId="6242" priority="6467">
      <formula>LEN(TRIM(G1148))&gt;0</formula>
    </cfRule>
  </conditionalFormatting>
  <conditionalFormatting sqref="G1148:K1148">
    <cfRule type="notContainsBlanks" dxfId="6241" priority="6466">
      <formula>LEN(TRIM(G1148))&gt;0</formula>
    </cfRule>
  </conditionalFormatting>
  <conditionalFormatting sqref="G1148:K1148">
    <cfRule type="notContainsBlanks" dxfId="6240" priority="6465">
      <formula>LEN(TRIM(G1148))&gt;0</formula>
    </cfRule>
  </conditionalFormatting>
  <conditionalFormatting sqref="G1148:K1148">
    <cfRule type="notContainsBlanks" dxfId="6239" priority="6464">
      <formula>LEN(TRIM(G1148))&gt;0</formula>
    </cfRule>
  </conditionalFormatting>
  <conditionalFormatting sqref="G1161">
    <cfRule type="notContainsBlanks" dxfId="6238" priority="6463">
      <formula>LEN(TRIM(G1161))&gt;0</formula>
    </cfRule>
  </conditionalFormatting>
  <conditionalFormatting sqref="H1161:K1161">
    <cfRule type="notContainsBlanks" dxfId="6237" priority="6462">
      <formula>LEN(TRIM(H1161))&gt;0</formula>
    </cfRule>
  </conditionalFormatting>
  <conditionalFormatting sqref="G1161:K1161">
    <cfRule type="notContainsBlanks" dxfId="6236" priority="6461">
      <formula>LEN(TRIM(G1161))&gt;0</formula>
    </cfRule>
  </conditionalFormatting>
  <conditionalFormatting sqref="G1161:K1161">
    <cfRule type="notContainsBlanks" dxfId="6235" priority="6460">
      <formula>LEN(TRIM(G1161))&gt;0</formula>
    </cfRule>
  </conditionalFormatting>
  <conditionalFormatting sqref="G1161:K1161">
    <cfRule type="notContainsBlanks" dxfId="6234" priority="6459">
      <formula>LEN(TRIM(G1161))&gt;0</formula>
    </cfRule>
  </conditionalFormatting>
  <conditionalFormatting sqref="G1161:K1161">
    <cfRule type="notContainsBlanks" dxfId="6233" priority="6458">
      <formula>LEN(TRIM(G1161))&gt;0</formula>
    </cfRule>
  </conditionalFormatting>
  <conditionalFormatting sqref="G1161:K1161">
    <cfRule type="notContainsBlanks" dxfId="6232" priority="6457">
      <formula>LEN(TRIM(G1161))&gt;0</formula>
    </cfRule>
  </conditionalFormatting>
  <conditionalFormatting sqref="G1161:K1161">
    <cfRule type="notContainsBlanks" dxfId="6231" priority="6456">
      <formula>LEN(TRIM(G1161))&gt;0</formula>
    </cfRule>
  </conditionalFormatting>
  <conditionalFormatting sqref="G1161:K1161">
    <cfRule type="notContainsBlanks" dxfId="6230" priority="6455">
      <formula>LEN(TRIM(G1161))&gt;0</formula>
    </cfRule>
  </conditionalFormatting>
  <conditionalFormatting sqref="G1161:K1161">
    <cfRule type="notContainsBlanks" dxfId="6229" priority="6454">
      <formula>LEN(TRIM(G1161))&gt;0</formula>
    </cfRule>
  </conditionalFormatting>
  <conditionalFormatting sqref="G1161:K1161">
    <cfRule type="notContainsBlanks" dxfId="6228" priority="6453">
      <formula>LEN(TRIM(G1161))&gt;0</formula>
    </cfRule>
  </conditionalFormatting>
  <conditionalFormatting sqref="G1161:K1161">
    <cfRule type="notContainsBlanks" dxfId="6227" priority="6451">
      <formula>LEN(TRIM(G1161))&gt;0</formula>
    </cfRule>
    <cfRule type="notContainsBlanks" dxfId="6226" priority="6452">
      <formula>LEN(TRIM(G1161))&gt;0</formula>
    </cfRule>
  </conditionalFormatting>
  <conditionalFormatting sqref="G1161:K1161">
    <cfRule type="notContainsBlanks" dxfId="6225" priority="6450">
      <formula>LEN(TRIM(G1161))&gt;0</formula>
    </cfRule>
  </conditionalFormatting>
  <conditionalFormatting sqref="G1161:K1161">
    <cfRule type="notContainsBlanks" dxfId="6224" priority="6449">
      <formula>LEN(TRIM(G1161))&gt;0</formula>
    </cfRule>
  </conditionalFormatting>
  <conditionalFormatting sqref="G1161:K1161">
    <cfRule type="notContainsBlanks" dxfId="6223" priority="6448">
      <formula>LEN(TRIM(G1161))&gt;0</formula>
    </cfRule>
  </conditionalFormatting>
  <conditionalFormatting sqref="G1161:K1161">
    <cfRule type="notContainsBlanks" dxfId="6222" priority="6447">
      <formula>LEN(TRIM(G1161))&gt;0</formula>
    </cfRule>
  </conditionalFormatting>
  <conditionalFormatting sqref="G1161:K1161">
    <cfRule type="notContainsBlanks" dxfId="6221" priority="6446">
      <formula>LEN(TRIM(G1161))&gt;0</formula>
    </cfRule>
  </conditionalFormatting>
  <conditionalFormatting sqref="G1161:K1161">
    <cfRule type="notContainsBlanks" dxfId="6220" priority="6445">
      <formula>LEN(TRIM(G1161))&gt;0</formula>
    </cfRule>
  </conditionalFormatting>
  <conditionalFormatting sqref="G1161:K1161">
    <cfRule type="notContainsBlanks" dxfId="6219" priority="6444">
      <formula>LEN(TRIM(G1161))&gt;0</formula>
    </cfRule>
  </conditionalFormatting>
  <conditionalFormatting sqref="G1161:K1161">
    <cfRule type="notContainsBlanks" dxfId="6218" priority="6443">
      <formula>LEN(TRIM(G1161))&gt;0</formula>
    </cfRule>
  </conditionalFormatting>
  <conditionalFormatting sqref="G1161:K1161">
    <cfRule type="notContainsBlanks" dxfId="6217" priority="6442">
      <formula>LEN(TRIM(G1161))&gt;0</formula>
    </cfRule>
  </conditionalFormatting>
  <conditionalFormatting sqref="G1161:K1161">
    <cfRule type="notContainsBlanks" priority="6441">
      <formula>LEN(TRIM(G1161))&gt;0</formula>
    </cfRule>
  </conditionalFormatting>
  <conditionalFormatting sqref="G1161:K1161">
    <cfRule type="notContainsBlanks" dxfId="6216" priority="6440">
      <formula>LEN(TRIM(G1161))&gt;0</formula>
    </cfRule>
  </conditionalFormatting>
  <conditionalFormatting sqref="G1161:K1161">
    <cfRule type="notContainsBlanks" dxfId="6215" priority="6439">
      <formula>LEN(TRIM(G1161))&gt;0</formula>
    </cfRule>
  </conditionalFormatting>
  <conditionalFormatting sqref="G1161:K1161">
    <cfRule type="notContainsBlanks" dxfId="6214" priority="6438">
      <formula>LEN(TRIM(G1161))&gt;0</formula>
    </cfRule>
  </conditionalFormatting>
  <conditionalFormatting sqref="G1161:K1161">
    <cfRule type="notContainsBlanks" dxfId="6213" priority="6437">
      <formula>LEN(TRIM(G1161))&gt;0</formula>
    </cfRule>
  </conditionalFormatting>
  <conditionalFormatting sqref="G1161:K1161">
    <cfRule type="notContainsBlanks" dxfId="6212" priority="6436">
      <formula>LEN(TRIM(G1161))&gt;0</formula>
    </cfRule>
  </conditionalFormatting>
  <conditionalFormatting sqref="G1174">
    <cfRule type="notContainsBlanks" dxfId="6211" priority="6435">
      <formula>LEN(TRIM(G1174))&gt;0</formula>
    </cfRule>
  </conditionalFormatting>
  <conditionalFormatting sqref="H1174:K1174">
    <cfRule type="notContainsBlanks" dxfId="6210" priority="6434">
      <formula>LEN(TRIM(H1174))&gt;0</formula>
    </cfRule>
  </conditionalFormatting>
  <conditionalFormatting sqref="G1174:K1174">
    <cfRule type="notContainsBlanks" dxfId="6209" priority="6433">
      <formula>LEN(TRIM(G1174))&gt;0</formula>
    </cfRule>
  </conditionalFormatting>
  <conditionalFormatting sqref="G1174:K1174">
    <cfRule type="notContainsBlanks" dxfId="6208" priority="6432">
      <formula>LEN(TRIM(G1174))&gt;0</formula>
    </cfRule>
  </conditionalFormatting>
  <conditionalFormatting sqref="G1174:K1174">
    <cfRule type="notContainsBlanks" dxfId="6207" priority="6431">
      <formula>LEN(TRIM(G1174))&gt;0</formula>
    </cfRule>
  </conditionalFormatting>
  <conditionalFormatting sqref="G1174:K1174">
    <cfRule type="notContainsBlanks" dxfId="6206" priority="6430">
      <formula>LEN(TRIM(G1174))&gt;0</formula>
    </cfRule>
  </conditionalFormatting>
  <conditionalFormatting sqref="G1174:K1174">
    <cfRule type="notContainsBlanks" dxfId="6205" priority="6429">
      <formula>LEN(TRIM(G1174))&gt;0</formula>
    </cfRule>
  </conditionalFormatting>
  <conditionalFormatting sqref="G1174:K1174">
    <cfRule type="notContainsBlanks" dxfId="6204" priority="6428">
      <formula>LEN(TRIM(G1174))&gt;0</formula>
    </cfRule>
  </conditionalFormatting>
  <conditionalFormatting sqref="G1174:K1174">
    <cfRule type="notContainsBlanks" dxfId="6203" priority="6427">
      <formula>LEN(TRIM(G1174))&gt;0</formula>
    </cfRule>
  </conditionalFormatting>
  <conditionalFormatting sqref="G1174:K1174">
    <cfRule type="notContainsBlanks" dxfId="6202" priority="6426">
      <formula>LEN(TRIM(G1174))&gt;0</formula>
    </cfRule>
  </conditionalFormatting>
  <conditionalFormatting sqref="G1174:K1174">
    <cfRule type="notContainsBlanks" dxfId="6201" priority="6425">
      <formula>LEN(TRIM(G1174))&gt;0</formula>
    </cfRule>
  </conditionalFormatting>
  <conditionalFormatting sqref="G1174:K1174">
    <cfRule type="notContainsBlanks" dxfId="6200" priority="6423">
      <formula>LEN(TRIM(G1174))&gt;0</formula>
    </cfRule>
    <cfRule type="notContainsBlanks" dxfId="6199" priority="6424">
      <formula>LEN(TRIM(G1174))&gt;0</formula>
    </cfRule>
  </conditionalFormatting>
  <conditionalFormatting sqref="G1174:K1174">
    <cfRule type="notContainsBlanks" dxfId="6198" priority="6422">
      <formula>LEN(TRIM(G1174))&gt;0</formula>
    </cfRule>
  </conditionalFormatting>
  <conditionalFormatting sqref="G1174:K1174">
    <cfRule type="notContainsBlanks" dxfId="6197" priority="6421">
      <formula>LEN(TRIM(G1174))&gt;0</formula>
    </cfRule>
  </conditionalFormatting>
  <conditionalFormatting sqref="G1174:K1174">
    <cfRule type="notContainsBlanks" dxfId="6196" priority="6420">
      <formula>LEN(TRIM(G1174))&gt;0</formula>
    </cfRule>
  </conditionalFormatting>
  <conditionalFormatting sqref="G1174:K1174">
    <cfRule type="notContainsBlanks" dxfId="6195" priority="6419">
      <formula>LEN(TRIM(G1174))&gt;0</formula>
    </cfRule>
  </conditionalFormatting>
  <conditionalFormatting sqref="G1174:K1174">
    <cfRule type="notContainsBlanks" dxfId="6194" priority="6418">
      <formula>LEN(TRIM(G1174))&gt;0</formula>
    </cfRule>
  </conditionalFormatting>
  <conditionalFormatting sqref="G1174:K1174">
    <cfRule type="notContainsBlanks" dxfId="6193" priority="6417">
      <formula>LEN(TRIM(G1174))&gt;0</formula>
    </cfRule>
  </conditionalFormatting>
  <conditionalFormatting sqref="G1174:K1174">
    <cfRule type="notContainsBlanks" dxfId="6192" priority="6416">
      <formula>LEN(TRIM(G1174))&gt;0</formula>
    </cfRule>
  </conditionalFormatting>
  <conditionalFormatting sqref="G1174:K1174">
    <cfRule type="notContainsBlanks" dxfId="6191" priority="6415">
      <formula>LEN(TRIM(G1174))&gt;0</formula>
    </cfRule>
  </conditionalFormatting>
  <conditionalFormatting sqref="G1174:K1174">
    <cfRule type="notContainsBlanks" dxfId="6190" priority="6414">
      <formula>LEN(TRIM(G1174))&gt;0</formula>
    </cfRule>
  </conditionalFormatting>
  <conditionalFormatting sqref="G1174:K1174">
    <cfRule type="notContainsBlanks" priority="6413">
      <formula>LEN(TRIM(G1174))&gt;0</formula>
    </cfRule>
  </conditionalFormatting>
  <conditionalFormatting sqref="G1174:K1174">
    <cfRule type="notContainsBlanks" dxfId="6189" priority="6412">
      <formula>LEN(TRIM(G1174))&gt;0</formula>
    </cfRule>
  </conditionalFormatting>
  <conditionalFormatting sqref="G1174:K1174">
    <cfRule type="notContainsBlanks" dxfId="6188" priority="6411">
      <formula>LEN(TRIM(G1174))&gt;0</formula>
    </cfRule>
  </conditionalFormatting>
  <conditionalFormatting sqref="G1174:K1174">
    <cfRule type="notContainsBlanks" dxfId="6187" priority="6410">
      <formula>LEN(TRIM(G1174))&gt;0</formula>
    </cfRule>
  </conditionalFormatting>
  <conditionalFormatting sqref="G1174:K1174">
    <cfRule type="notContainsBlanks" dxfId="6186" priority="6409">
      <formula>LEN(TRIM(G1174))&gt;0</formula>
    </cfRule>
  </conditionalFormatting>
  <conditionalFormatting sqref="G1174:K1174">
    <cfRule type="notContainsBlanks" dxfId="6185" priority="6408">
      <formula>LEN(TRIM(G1174))&gt;0</formula>
    </cfRule>
  </conditionalFormatting>
  <conditionalFormatting sqref="G1187">
    <cfRule type="notContainsBlanks" dxfId="6184" priority="6407">
      <formula>LEN(TRIM(G1187))&gt;0</formula>
    </cfRule>
  </conditionalFormatting>
  <conditionalFormatting sqref="H1187:K1187">
    <cfRule type="notContainsBlanks" dxfId="6183" priority="6406">
      <formula>LEN(TRIM(H1187))&gt;0</formula>
    </cfRule>
  </conditionalFormatting>
  <conditionalFormatting sqref="G1187:K1187">
    <cfRule type="notContainsBlanks" dxfId="6182" priority="6405">
      <formula>LEN(TRIM(G1187))&gt;0</formula>
    </cfRule>
  </conditionalFormatting>
  <conditionalFormatting sqref="G1187:K1187">
    <cfRule type="notContainsBlanks" dxfId="6181" priority="6404">
      <formula>LEN(TRIM(G1187))&gt;0</formula>
    </cfRule>
  </conditionalFormatting>
  <conditionalFormatting sqref="G1187:K1187">
    <cfRule type="notContainsBlanks" dxfId="6180" priority="6403">
      <formula>LEN(TRIM(G1187))&gt;0</formula>
    </cfRule>
  </conditionalFormatting>
  <conditionalFormatting sqref="G1187:K1187">
    <cfRule type="notContainsBlanks" dxfId="6179" priority="6402">
      <formula>LEN(TRIM(G1187))&gt;0</formula>
    </cfRule>
  </conditionalFormatting>
  <conditionalFormatting sqref="G1187:K1187">
    <cfRule type="notContainsBlanks" dxfId="6178" priority="6401">
      <formula>LEN(TRIM(G1187))&gt;0</formula>
    </cfRule>
  </conditionalFormatting>
  <conditionalFormatting sqref="G1187:K1187">
    <cfRule type="notContainsBlanks" dxfId="6177" priority="6400">
      <formula>LEN(TRIM(G1187))&gt;0</formula>
    </cfRule>
  </conditionalFormatting>
  <conditionalFormatting sqref="G1187:K1187">
    <cfRule type="notContainsBlanks" dxfId="6176" priority="6399">
      <formula>LEN(TRIM(G1187))&gt;0</formula>
    </cfRule>
  </conditionalFormatting>
  <conditionalFormatting sqref="G1187:K1187">
    <cfRule type="notContainsBlanks" dxfId="6175" priority="6398">
      <formula>LEN(TRIM(G1187))&gt;0</formula>
    </cfRule>
  </conditionalFormatting>
  <conditionalFormatting sqref="G1187:K1187">
    <cfRule type="notContainsBlanks" dxfId="6174" priority="6397">
      <formula>LEN(TRIM(G1187))&gt;0</formula>
    </cfRule>
  </conditionalFormatting>
  <conditionalFormatting sqref="G1187:K1187">
    <cfRule type="notContainsBlanks" dxfId="6173" priority="6395">
      <formula>LEN(TRIM(G1187))&gt;0</formula>
    </cfRule>
    <cfRule type="notContainsBlanks" dxfId="6172" priority="6396">
      <formula>LEN(TRIM(G1187))&gt;0</formula>
    </cfRule>
  </conditionalFormatting>
  <conditionalFormatting sqref="G1187:K1187">
    <cfRule type="notContainsBlanks" dxfId="6171" priority="6394">
      <formula>LEN(TRIM(G1187))&gt;0</formula>
    </cfRule>
  </conditionalFormatting>
  <conditionalFormatting sqref="G1187:K1187">
    <cfRule type="notContainsBlanks" dxfId="6170" priority="6393">
      <formula>LEN(TRIM(G1187))&gt;0</formula>
    </cfRule>
  </conditionalFormatting>
  <conditionalFormatting sqref="G1187:K1187">
    <cfRule type="notContainsBlanks" dxfId="6169" priority="6392">
      <formula>LEN(TRIM(G1187))&gt;0</formula>
    </cfRule>
  </conditionalFormatting>
  <conditionalFormatting sqref="G1187:K1187">
    <cfRule type="notContainsBlanks" dxfId="6168" priority="6391">
      <formula>LEN(TRIM(G1187))&gt;0</formula>
    </cfRule>
  </conditionalFormatting>
  <conditionalFormatting sqref="G1187:K1187">
    <cfRule type="notContainsBlanks" dxfId="6167" priority="6390">
      <formula>LEN(TRIM(G1187))&gt;0</formula>
    </cfRule>
  </conditionalFormatting>
  <conditionalFormatting sqref="G1187:K1187">
    <cfRule type="notContainsBlanks" dxfId="6166" priority="6389">
      <formula>LEN(TRIM(G1187))&gt;0</formula>
    </cfRule>
  </conditionalFormatting>
  <conditionalFormatting sqref="G1187:K1187">
    <cfRule type="notContainsBlanks" dxfId="6165" priority="6388">
      <formula>LEN(TRIM(G1187))&gt;0</formula>
    </cfRule>
  </conditionalFormatting>
  <conditionalFormatting sqref="G1187:K1187">
    <cfRule type="notContainsBlanks" dxfId="6164" priority="6387">
      <formula>LEN(TRIM(G1187))&gt;0</formula>
    </cfRule>
  </conditionalFormatting>
  <conditionalFormatting sqref="G1187:K1187">
    <cfRule type="notContainsBlanks" dxfId="6163" priority="6386">
      <formula>LEN(TRIM(G1187))&gt;0</formula>
    </cfRule>
  </conditionalFormatting>
  <conditionalFormatting sqref="G1187:K1187">
    <cfRule type="notContainsBlanks" priority="6385">
      <formula>LEN(TRIM(G1187))&gt;0</formula>
    </cfRule>
  </conditionalFormatting>
  <conditionalFormatting sqref="G1187:K1187">
    <cfRule type="notContainsBlanks" dxfId="6162" priority="6384">
      <formula>LEN(TRIM(G1187))&gt;0</formula>
    </cfRule>
  </conditionalFormatting>
  <conditionalFormatting sqref="G1187:K1187">
    <cfRule type="notContainsBlanks" dxfId="6161" priority="6383">
      <formula>LEN(TRIM(G1187))&gt;0</formula>
    </cfRule>
  </conditionalFormatting>
  <conditionalFormatting sqref="G1187:K1187">
    <cfRule type="notContainsBlanks" dxfId="6160" priority="6382">
      <formula>LEN(TRIM(G1187))&gt;0</formula>
    </cfRule>
  </conditionalFormatting>
  <conditionalFormatting sqref="G1187:K1187">
    <cfRule type="notContainsBlanks" dxfId="6159" priority="6381">
      <formula>LEN(TRIM(G1187))&gt;0</formula>
    </cfRule>
  </conditionalFormatting>
  <conditionalFormatting sqref="G1187:K1187">
    <cfRule type="notContainsBlanks" dxfId="6158" priority="6380">
      <formula>LEN(TRIM(G1187))&gt;0</formula>
    </cfRule>
  </conditionalFormatting>
  <conditionalFormatting sqref="G1200">
    <cfRule type="notContainsBlanks" dxfId="6157" priority="6379">
      <formula>LEN(TRIM(G1200))&gt;0</formula>
    </cfRule>
  </conditionalFormatting>
  <conditionalFormatting sqref="H1200:K1200">
    <cfRule type="notContainsBlanks" dxfId="6156" priority="6378">
      <formula>LEN(TRIM(H1200))&gt;0</formula>
    </cfRule>
  </conditionalFormatting>
  <conditionalFormatting sqref="G1200:K1200">
    <cfRule type="notContainsBlanks" dxfId="6155" priority="6377">
      <formula>LEN(TRIM(G1200))&gt;0</formula>
    </cfRule>
  </conditionalFormatting>
  <conditionalFormatting sqref="G1200:K1200">
    <cfRule type="notContainsBlanks" dxfId="6154" priority="6376">
      <formula>LEN(TRIM(G1200))&gt;0</formula>
    </cfRule>
  </conditionalFormatting>
  <conditionalFormatting sqref="G1200:K1200">
    <cfRule type="notContainsBlanks" dxfId="6153" priority="6375">
      <formula>LEN(TRIM(G1200))&gt;0</formula>
    </cfRule>
  </conditionalFormatting>
  <conditionalFormatting sqref="G1200:K1200">
    <cfRule type="notContainsBlanks" dxfId="6152" priority="6374">
      <formula>LEN(TRIM(G1200))&gt;0</formula>
    </cfRule>
  </conditionalFormatting>
  <conditionalFormatting sqref="G1200:K1200">
    <cfRule type="notContainsBlanks" dxfId="6151" priority="6373">
      <formula>LEN(TRIM(G1200))&gt;0</formula>
    </cfRule>
  </conditionalFormatting>
  <conditionalFormatting sqref="G1200:K1200">
    <cfRule type="notContainsBlanks" dxfId="6150" priority="6372">
      <formula>LEN(TRIM(G1200))&gt;0</formula>
    </cfRule>
  </conditionalFormatting>
  <conditionalFormatting sqref="G1200:K1200">
    <cfRule type="notContainsBlanks" dxfId="6149" priority="6371">
      <formula>LEN(TRIM(G1200))&gt;0</formula>
    </cfRule>
  </conditionalFormatting>
  <conditionalFormatting sqref="G1200:K1200">
    <cfRule type="notContainsBlanks" dxfId="6148" priority="6370">
      <formula>LEN(TRIM(G1200))&gt;0</formula>
    </cfRule>
  </conditionalFormatting>
  <conditionalFormatting sqref="G1200:K1200">
    <cfRule type="notContainsBlanks" dxfId="6147" priority="6369">
      <formula>LEN(TRIM(G1200))&gt;0</formula>
    </cfRule>
  </conditionalFormatting>
  <conditionalFormatting sqref="G1200:K1200">
    <cfRule type="notContainsBlanks" dxfId="6146" priority="6367">
      <formula>LEN(TRIM(G1200))&gt;0</formula>
    </cfRule>
    <cfRule type="notContainsBlanks" dxfId="6145" priority="6368">
      <formula>LEN(TRIM(G1200))&gt;0</formula>
    </cfRule>
  </conditionalFormatting>
  <conditionalFormatting sqref="G1200:K1200">
    <cfRule type="notContainsBlanks" dxfId="6144" priority="6366">
      <formula>LEN(TRIM(G1200))&gt;0</formula>
    </cfRule>
  </conditionalFormatting>
  <conditionalFormatting sqref="G1200:K1200">
    <cfRule type="notContainsBlanks" dxfId="6143" priority="6365">
      <formula>LEN(TRIM(G1200))&gt;0</formula>
    </cfRule>
  </conditionalFormatting>
  <conditionalFormatting sqref="G1200:K1200">
    <cfRule type="notContainsBlanks" dxfId="6142" priority="6364">
      <formula>LEN(TRIM(G1200))&gt;0</formula>
    </cfRule>
  </conditionalFormatting>
  <conditionalFormatting sqref="G1200:K1200">
    <cfRule type="notContainsBlanks" dxfId="6141" priority="6363">
      <formula>LEN(TRIM(G1200))&gt;0</formula>
    </cfRule>
  </conditionalFormatting>
  <conditionalFormatting sqref="G1200:K1200">
    <cfRule type="notContainsBlanks" dxfId="6140" priority="6362">
      <formula>LEN(TRIM(G1200))&gt;0</formula>
    </cfRule>
  </conditionalFormatting>
  <conditionalFormatting sqref="G1200:K1200">
    <cfRule type="notContainsBlanks" dxfId="6139" priority="6361">
      <formula>LEN(TRIM(G1200))&gt;0</formula>
    </cfRule>
  </conditionalFormatting>
  <conditionalFormatting sqref="G1200:K1200">
    <cfRule type="notContainsBlanks" dxfId="6138" priority="6360">
      <formula>LEN(TRIM(G1200))&gt;0</formula>
    </cfRule>
  </conditionalFormatting>
  <conditionalFormatting sqref="G1200:K1200">
    <cfRule type="notContainsBlanks" dxfId="6137" priority="6359">
      <formula>LEN(TRIM(G1200))&gt;0</formula>
    </cfRule>
  </conditionalFormatting>
  <conditionalFormatting sqref="G1200:K1200">
    <cfRule type="notContainsBlanks" dxfId="6136" priority="6358">
      <formula>LEN(TRIM(G1200))&gt;0</formula>
    </cfRule>
  </conditionalFormatting>
  <conditionalFormatting sqref="G1200:K1200">
    <cfRule type="notContainsBlanks" priority="6357">
      <formula>LEN(TRIM(G1200))&gt;0</formula>
    </cfRule>
  </conditionalFormatting>
  <conditionalFormatting sqref="G1200:K1200">
    <cfRule type="notContainsBlanks" dxfId="6135" priority="6356">
      <formula>LEN(TRIM(G1200))&gt;0</formula>
    </cfRule>
  </conditionalFormatting>
  <conditionalFormatting sqref="G1200:K1200">
    <cfRule type="notContainsBlanks" dxfId="6134" priority="6355">
      <formula>LEN(TRIM(G1200))&gt;0</formula>
    </cfRule>
  </conditionalFormatting>
  <conditionalFormatting sqref="G1200:K1200">
    <cfRule type="notContainsBlanks" dxfId="6133" priority="6354">
      <formula>LEN(TRIM(G1200))&gt;0</formula>
    </cfRule>
  </conditionalFormatting>
  <conditionalFormatting sqref="G1200:K1200">
    <cfRule type="notContainsBlanks" dxfId="6132" priority="6353">
      <formula>LEN(TRIM(G1200))&gt;0</formula>
    </cfRule>
  </conditionalFormatting>
  <conditionalFormatting sqref="G1200:K1200">
    <cfRule type="notContainsBlanks" dxfId="6131" priority="6352">
      <formula>LEN(TRIM(G1200))&gt;0</formula>
    </cfRule>
  </conditionalFormatting>
  <conditionalFormatting sqref="G1213">
    <cfRule type="notContainsBlanks" dxfId="6130" priority="6351">
      <formula>LEN(TRIM(G1213))&gt;0</formula>
    </cfRule>
  </conditionalFormatting>
  <conditionalFormatting sqref="H1213:K1213">
    <cfRule type="notContainsBlanks" dxfId="6129" priority="6350">
      <formula>LEN(TRIM(H1213))&gt;0</formula>
    </cfRule>
  </conditionalFormatting>
  <conditionalFormatting sqref="G1213:K1213">
    <cfRule type="notContainsBlanks" dxfId="6128" priority="6349">
      <formula>LEN(TRIM(G1213))&gt;0</formula>
    </cfRule>
  </conditionalFormatting>
  <conditionalFormatting sqref="G1213:K1213">
    <cfRule type="notContainsBlanks" dxfId="6127" priority="6348">
      <formula>LEN(TRIM(G1213))&gt;0</formula>
    </cfRule>
  </conditionalFormatting>
  <conditionalFormatting sqref="G1213:K1213">
    <cfRule type="notContainsBlanks" dxfId="6126" priority="6347">
      <formula>LEN(TRIM(G1213))&gt;0</formula>
    </cfRule>
  </conditionalFormatting>
  <conditionalFormatting sqref="G1213:K1213">
    <cfRule type="notContainsBlanks" dxfId="6125" priority="6346">
      <formula>LEN(TRIM(G1213))&gt;0</formula>
    </cfRule>
  </conditionalFormatting>
  <conditionalFormatting sqref="G1213:K1213">
    <cfRule type="notContainsBlanks" dxfId="6124" priority="6345">
      <formula>LEN(TRIM(G1213))&gt;0</formula>
    </cfRule>
  </conditionalFormatting>
  <conditionalFormatting sqref="G1213:K1213">
    <cfRule type="notContainsBlanks" dxfId="6123" priority="6344">
      <formula>LEN(TRIM(G1213))&gt;0</formula>
    </cfRule>
  </conditionalFormatting>
  <conditionalFormatting sqref="G1213:K1213">
    <cfRule type="notContainsBlanks" dxfId="6122" priority="6343">
      <formula>LEN(TRIM(G1213))&gt;0</formula>
    </cfRule>
  </conditionalFormatting>
  <conditionalFormatting sqref="G1213:K1213">
    <cfRule type="notContainsBlanks" dxfId="6121" priority="6342">
      <formula>LEN(TRIM(G1213))&gt;0</formula>
    </cfRule>
  </conditionalFormatting>
  <conditionalFormatting sqref="G1213:K1213">
    <cfRule type="notContainsBlanks" dxfId="6120" priority="6341">
      <formula>LEN(TRIM(G1213))&gt;0</formula>
    </cfRule>
  </conditionalFormatting>
  <conditionalFormatting sqref="G1213:K1213">
    <cfRule type="notContainsBlanks" dxfId="6119" priority="6339">
      <formula>LEN(TRIM(G1213))&gt;0</formula>
    </cfRule>
    <cfRule type="notContainsBlanks" dxfId="6118" priority="6340">
      <formula>LEN(TRIM(G1213))&gt;0</formula>
    </cfRule>
  </conditionalFormatting>
  <conditionalFormatting sqref="G1213:K1213">
    <cfRule type="notContainsBlanks" dxfId="6117" priority="6338">
      <formula>LEN(TRIM(G1213))&gt;0</formula>
    </cfRule>
  </conditionalFormatting>
  <conditionalFormatting sqref="G1213:K1213">
    <cfRule type="notContainsBlanks" dxfId="6116" priority="6337">
      <formula>LEN(TRIM(G1213))&gt;0</formula>
    </cfRule>
  </conditionalFormatting>
  <conditionalFormatting sqref="G1213:K1213">
    <cfRule type="notContainsBlanks" dxfId="6115" priority="6336">
      <formula>LEN(TRIM(G1213))&gt;0</formula>
    </cfRule>
  </conditionalFormatting>
  <conditionalFormatting sqref="G1213:K1213">
    <cfRule type="notContainsBlanks" dxfId="6114" priority="6335">
      <formula>LEN(TRIM(G1213))&gt;0</formula>
    </cfRule>
  </conditionalFormatting>
  <conditionalFormatting sqref="G1213:K1213">
    <cfRule type="notContainsBlanks" dxfId="6113" priority="6334">
      <formula>LEN(TRIM(G1213))&gt;0</formula>
    </cfRule>
  </conditionalFormatting>
  <conditionalFormatting sqref="G1213:K1213">
    <cfRule type="notContainsBlanks" dxfId="6112" priority="6333">
      <formula>LEN(TRIM(G1213))&gt;0</formula>
    </cfRule>
  </conditionalFormatting>
  <conditionalFormatting sqref="G1213:K1213">
    <cfRule type="notContainsBlanks" dxfId="6111" priority="6332">
      <formula>LEN(TRIM(G1213))&gt;0</formula>
    </cfRule>
  </conditionalFormatting>
  <conditionalFormatting sqref="G1213:K1213">
    <cfRule type="notContainsBlanks" dxfId="6110" priority="6331">
      <formula>LEN(TRIM(G1213))&gt;0</formula>
    </cfRule>
  </conditionalFormatting>
  <conditionalFormatting sqref="G1213:K1213">
    <cfRule type="notContainsBlanks" dxfId="6109" priority="6330">
      <formula>LEN(TRIM(G1213))&gt;0</formula>
    </cfRule>
  </conditionalFormatting>
  <conditionalFormatting sqref="G1213:K1213">
    <cfRule type="notContainsBlanks" priority="6329">
      <formula>LEN(TRIM(G1213))&gt;0</formula>
    </cfRule>
  </conditionalFormatting>
  <conditionalFormatting sqref="G1213:K1213">
    <cfRule type="notContainsBlanks" dxfId="6108" priority="6328">
      <formula>LEN(TRIM(G1213))&gt;0</formula>
    </cfRule>
  </conditionalFormatting>
  <conditionalFormatting sqref="G1213:K1213">
    <cfRule type="notContainsBlanks" dxfId="6107" priority="6327">
      <formula>LEN(TRIM(G1213))&gt;0</formula>
    </cfRule>
  </conditionalFormatting>
  <conditionalFormatting sqref="G1213:K1213">
    <cfRule type="notContainsBlanks" dxfId="6106" priority="6326">
      <formula>LEN(TRIM(G1213))&gt;0</formula>
    </cfRule>
  </conditionalFormatting>
  <conditionalFormatting sqref="G1213:K1213">
    <cfRule type="notContainsBlanks" dxfId="6105" priority="6325">
      <formula>LEN(TRIM(G1213))&gt;0</formula>
    </cfRule>
  </conditionalFormatting>
  <conditionalFormatting sqref="G1213:K1213">
    <cfRule type="notContainsBlanks" dxfId="6104" priority="6324">
      <formula>LEN(TRIM(G1213))&gt;0</formula>
    </cfRule>
  </conditionalFormatting>
  <conditionalFormatting sqref="G1226">
    <cfRule type="notContainsBlanks" dxfId="6103" priority="6323">
      <formula>LEN(TRIM(G1226))&gt;0</formula>
    </cfRule>
  </conditionalFormatting>
  <conditionalFormatting sqref="H1226:K1226">
    <cfRule type="notContainsBlanks" dxfId="6102" priority="6322">
      <formula>LEN(TRIM(H1226))&gt;0</formula>
    </cfRule>
  </conditionalFormatting>
  <conditionalFormatting sqref="G1226:K1226">
    <cfRule type="notContainsBlanks" dxfId="6101" priority="6321">
      <formula>LEN(TRIM(G1226))&gt;0</formula>
    </cfRule>
  </conditionalFormatting>
  <conditionalFormatting sqref="G1226:K1226">
    <cfRule type="notContainsBlanks" dxfId="6100" priority="6320">
      <formula>LEN(TRIM(G1226))&gt;0</formula>
    </cfRule>
  </conditionalFormatting>
  <conditionalFormatting sqref="G1226:K1226">
    <cfRule type="notContainsBlanks" dxfId="6099" priority="6319">
      <formula>LEN(TRIM(G1226))&gt;0</formula>
    </cfRule>
  </conditionalFormatting>
  <conditionalFormatting sqref="G1226:K1226">
    <cfRule type="notContainsBlanks" dxfId="6098" priority="6318">
      <formula>LEN(TRIM(G1226))&gt;0</formula>
    </cfRule>
  </conditionalFormatting>
  <conditionalFormatting sqref="G1226:K1226">
    <cfRule type="notContainsBlanks" dxfId="6097" priority="6317">
      <formula>LEN(TRIM(G1226))&gt;0</formula>
    </cfRule>
  </conditionalFormatting>
  <conditionalFormatting sqref="G1226:K1226">
    <cfRule type="notContainsBlanks" dxfId="6096" priority="6316">
      <formula>LEN(TRIM(G1226))&gt;0</formula>
    </cfRule>
  </conditionalFormatting>
  <conditionalFormatting sqref="G1226:K1226">
    <cfRule type="notContainsBlanks" dxfId="6095" priority="6315">
      <formula>LEN(TRIM(G1226))&gt;0</formula>
    </cfRule>
  </conditionalFormatting>
  <conditionalFormatting sqref="G1226:K1226">
    <cfRule type="notContainsBlanks" dxfId="6094" priority="6314">
      <formula>LEN(TRIM(G1226))&gt;0</formula>
    </cfRule>
  </conditionalFormatting>
  <conditionalFormatting sqref="G1226:K1226">
    <cfRule type="notContainsBlanks" dxfId="6093" priority="6313">
      <formula>LEN(TRIM(G1226))&gt;0</formula>
    </cfRule>
  </conditionalFormatting>
  <conditionalFormatting sqref="G1226:K1226">
    <cfRule type="notContainsBlanks" dxfId="6092" priority="6311">
      <formula>LEN(TRIM(G1226))&gt;0</formula>
    </cfRule>
    <cfRule type="notContainsBlanks" dxfId="6091" priority="6312">
      <formula>LEN(TRIM(G1226))&gt;0</formula>
    </cfRule>
  </conditionalFormatting>
  <conditionalFormatting sqref="G1226:K1226">
    <cfRule type="notContainsBlanks" dxfId="6090" priority="6310">
      <formula>LEN(TRIM(G1226))&gt;0</formula>
    </cfRule>
  </conditionalFormatting>
  <conditionalFormatting sqref="G1226:K1226">
    <cfRule type="notContainsBlanks" dxfId="6089" priority="6309">
      <formula>LEN(TRIM(G1226))&gt;0</formula>
    </cfRule>
  </conditionalFormatting>
  <conditionalFormatting sqref="G1226:K1226">
    <cfRule type="notContainsBlanks" dxfId="6088" priority="6308">
      <formula>LEN(TRIM(G1226))&gt;0</formula>
    </cfRule>
  </conditionalFormatting>
  <conditionalFormatting sqref="G1226:K1226">
    <cfRule type="notContainsBlanks" dxfId="6087" priority="6307">
      <formula>LEN(TRIM(G1226))&gt;0</formula>
    </cfRule>
  </conditionalFormatting>
  <conditionalFormatting sqref="G1226:K1226">
    <cfRule type="notContainsBlanks" dxfId="6086" priority="6306">
      <formula>LEN(TRIM(G1226))&gt;0</formula>
    </cfRule>
  </conditionalFormatting>
  <conditionalFormatting sqref="G1226:K1226">
    <cfRule type="notContainsBlanks" dxfId="6085" priority="6305">
      <formula>LEN(TRIM(G1226))&gt;0</formula>
    </cfRule>
  </conditionalFormatting>
  <conditionalFormatting sqref="G1226:K1226">
    <cfRule type="notContainsBlanks" dxfId="6084" priority="6304">
      <formula>LEN(TRIM(G1226))&gt;0</formula>
    </cfRule>
  </conditionalFormatting>
  <conditionalFormatting sqref="G1226:K1226">
    <cfRule type="notContainsBlanks" dxfId="6083" priority="6303">
      <formula>LEN(TRIM(G1226))&gt;0</formula>
    </cfRule>
  </conditionalFormatting>
  <conditionalFormatting sqref="G1226:K1226">
    <cfRule type="notContainsBlanks" dxfId="6082" priority="6302">
      <formula>LEN(TRIM(G1226))&gt;0</formula>
    </cfRule>
  </conditionalFormatting>
  <conditionalFormatting sqref="G1226:K1226">
    <cfRule type="notContainsBlanks" priority="6301">
      <formula>LEN(TRIM(G1226))&gt;0</formula>
    </cfRule>
  </conditionalFormatting>
  <conditionalFormatting sqref="G1226:K1226">
    <cfRule type="notContainsBlanks" dxfId="6081" priority="6300">
      <formula>LEN(TRIM(G1226))&gt;0</formula>
    </cfRule>
  </conditionalFormatting>
  <conditionalFormatting sqref="G1226:K1226">
    <cfRule type="notContainsBlanks" dxfId="6080" priority="6299">
      <formula>LEN(TRIM(G1226))&gt;0</formula>
    </cfRule>
  </conditionalFormatting>
  <conditionalFormatting sqref="G1226:K1226">
    <cfRule type="notContainsBlanks" dxfId="6079" priority="6298">
      <formula>LEN(TRIM(G1226))&gt;0</formula>
    </cfRule>
  </conditionalFormatting>
  <conditionalFormatting sqref="G1226:K1226">
    <cfRule type="notContainsBlanks" dxfId="6078" priority="6297">
      <formula>LEN(TRIM(G1226))&gt;0</formula>
    </cfRule>
  </conditionalFormatting>
  <conditionalFormatting sqref="G1226:K1226">
    <cfRule type="notContainsBlanks" dxfId="6077" priority="6296">
      <formula>LEN(TRIM(G1226))&gt;0</formula>
    </cfRule>
  </conditionalFormatting>
  <conditionalFormatting sqref="G1239">
    <cfRule type="notContainsBlanks" dxfId="6076" priority="6295">
      <formula>LEN(TRIM(G1239))&gt;0</formula>
    </cfRule>
  </conditionalFormatting>
  <conditionalFormatting sqref="H1239:K1239">
    <cfRule type="notContainsBlanks" dxfId="6075" priority="6294">
      <formula>LEN(TRIM(H1239))&gt;0</formula>
    </cfRule>
  </conditionalFormatting>
  <conditionalFormatting sqref="G1239:K1239">
    <cfRule type="notContainsBlanks" dxfId="6074" priority="6293">
      <formula>LEN(TRIM(G1239))&gt;0</formula>
    </cfRule>
  </conditionalFormatting>
  <conditionalFormatting sqref="G1239:K1239">
    <cfRule type="notContainsBlanks" dxfId="6073" priority="6292">
      <formula>LEN(TRIM(G1239))&gt;0</formula>
    </cfRule>
  </conditionalFormatting>
  <conditionalFormatting sqref="G1239:K1239">
    <cfRule type="notContainsBlanks" dxfId="6072" priority="6291">
      <formula>LEN(TRIM(G1239))&gt;0</formula>
    </cfRule>
  </conditionalFormatting>
  <conditionalFormatting sqref="G1239:K1239">
    <cfRule type="notContainsBlanks" dxfId="6071" priority="6290">
      <formula>LEN(TRIM(G1239))&gt;0</formula>
    </cfRule>
  </conditionalFormatting>
  <conditionalFormatting sqref="G1239:K1239">
    <cfRule type="notContainsBlanks" dxfId="6070" priority="6289">
      <formula>LEN(TRIM(G1239))&gt;0</formula>
    </cfRule>
  </conditionalFormatting>
  <conditionalFormatting sqref="G1239:K1239">
    <cfRule type="notContainsBlanks" dxfId="6069" priority="6288">
      <formula>LEN(TRIM(G1239))&gt;0</formula>
    </cfRule>
  </conditionalFormatting>
  <conditionalFormatting sqref="G1239:K1239">
    <cfRule type="notContainsBlanks" dxfId="6068" priority="6287">
      <formula>LEN(TRIM(G1239))&gt;0</formula>
    </cfRule>
  </conditionalFormatting>
  <conditionalFormatting sqref="G1239:K1239">
    <cfRule type="notContainsBlanks" dxfId="6067" priority="6286">
      <formula>LEN(TRIM(G1239))&gt;0</formula>
    </cfRule>
  </conditionalFormatting>
  <conditionalFormatting sqref="G1239:K1239">
    <cfRule type="notContainsBlanks" dxfId="6066" priority="6285">
      <formula>LEN(TRIM(G1239))&gt;0</formula>
    </cfRule>
  </conditionalFormatting>
  <conditionalFormatting sqref="G1239:K1239">
    <cfRule type="notContainsBlanks" dxfId="6065" priority="6283">
      <formula>LEN(TRIM(G1239))&gt;0</formula>
    </cfRule>
    <cfRule type="notContainsBlanks" dxfId="6064" priority="6284">
      <formula>LEN(TRIM(G1239))&gt;0</formula>
    </cfRule>
  </conditionalFormatting>
  <conditionalFormatting sqref="G1239:K1239">
    <cfRule type="notContainsBlanks" dxfId="6063" priority="6282">
      <formula>LEN(TRIM(G1239))&gt;0</formula>
    </cfRule>
  </conditionalFormatting>
  <conditionalFormatting sqref="G1239:K1239">
    <cfRule type="notContainsBlanks" dxfId="6062" priority="6281">
      <formula>LEN(TRIM(G1239))&gt;0</formula>
    </cfRule>
  </conditionalFormatting>
  <conditionalFormatting sqref="G1239:K1239">
    <cfRule type="notContainsBlanks" dxfId="6061" priority="6280">
      <formula>LEN(TRIM(G1239))&gt;0</formula>
    </cfRule>
  </conditionalFormatting>
  <conditionalFormatting sqref="G1239:K1239">
    <cfRule type="notContainsBlanks" dxfId="6060" priority="6279">
      <formula>LEN(TRIM(G1239))&gt;0</formula>
    </cfRule>
  </conditionalFormatting>
  <conditionalFormatting sqref="G1239:K1239">
    <cfRule type="notContainsBlanks" dxfId="6059" priority="6278">
      <formula>LEN(TRIM(G1239))&gt;0</formula>
    </cfRule>
  </conditionalFormatting>
  <conditionalFormatting sqref="G1239:K1239">
    <cfRule type="notContainsBlanks" dxfId="6058" priority="6277">
      <formula>LEN(TRIM(G1239))&gt;0</formula>
    </cfRule>
  </conditionalFormatting>
  <conditionalFormatting sqref="G1239:K1239">
    <cfRule type="notContainsBlanks" dxfId="6057" priority="6276">
      <formula>LEN(TRIM(G1239))&gt;0</formula>
    </cfRule>
  </conditionalFormatting>
  <conditionalFormatting sqref="G1239:K1239">
    <cfRule type="notContainsBlanks" dxfId="6056" priority="6275">
      <formula>LEN(TRIM(G1239))&gt;0</formula>
    </cfRule>
  </conditionalFormatting>
  <conditionalFormatting sqref="G1239:K1239">
    <cfRule type="notContainsBlanks" dxfId="6055" priority="6274">
      <formula>LEN(TRIM(G1239))&gt;0</formula>
    </cfRule>
  </conditionalFormatting>
  <conditionalFormatting sqref="G1239:K1239">
    <cfRule type="notContainsBlanks" priority="6273">
      <formula>LEN(TRIM(G1239))&gt;0</formula>
    </cfRule>
  </conditionalFormatting>
  <conditionalFormatting sqref="G1239:K1239">
    <cfRule type="notContainsBlanks" dxfId="6054" priority="6272">
      <formula>LEN(TRIM(G1239))&gt;0</formula>
    </cfRule>
  </conditionalFormatting>
  <conditionalFormatting sqref="G1239:K1239">
    <cfRule type="notContainsBlanks" dxfId="6053" priority="6271">
      <formula>LEN(TRIM(G1239))&gt;0</formula>
    </cfRule>
  </conditionalFormatting>
  <conditionalFormatting sqref="G1239:K1239">
    <cfRule type="notContainsBlanks" dxfId="6052" priority="6270">
      <formula>LEN(TRIM(G1239))&gt;0</formula>
    </cfRule>
  </conditionalFormatting>
  <conditionalFormatting sqref="G1239:K1239">
    <cfRule type="notContainsBlanks" dxfId="6051" priority="6269">
      <formula>LEN(TRIM(G1239))&gt;0</formula>
    </cfRule>
  </conditionalFormatting>
  <conditionalFormatting sqref="G1239:K1239">
    <cfRule type="notContainsBlanks" dxfId="6050" priority="6268">
      <formula>LEN(TRIM(G1239))&gt;0</formula>
    </cfRule>
  </conditionalFormatting>
  <conditionalFormatting sqref="G1252">
    <cfRule type="notContainsBlanks" dxfId="6049" priority="6267">
      <formula>LEN(TRIM(G1252))&gt;0</formula>
    </cfRule>
  </conditionalFormatting>
  <conditionalFormatting sqref="H1252:K1252">
    <cfRule type="notContainsBlanks" dxfId="6048" priority="6266">
      <formula>LEN(TRIM(H1252))&gt;0</formula>
    </cfRule>
  </conditionalFormatting>
  <conditionalFormatting sqref="G1252:K1252">
    <cfRule type="notContainsBlanks" dxfId="6047" priority="6265">
      <formula>LEN(TRIM(G1252))&gt;0</formula>
    </cfRule>
  </conditionalFormatting>
  <conditionalFormatting sqref="G1252:K1252">
    <cfRule type="notContainsBlanks" dxfId="6046" priority="6264">
      <formula>LEN(TRIM(G1252))&gt;0</formula>
    </cfRule>
  </conditionalFormatting>
  <conditionalFormatting sqref="G1252:K1252">
    <cfRule type="notContainsBlanks" dxfId="6045" priority="6263">
      <formula>LEN(TRIM(G1252))&gt;0</formula>
    </cfRule>
  </conditionalFormatting>
  <conditionalFormatting sqref="G1252:K1252">
    <cfRule type="notContainsBlanks" dxfId="6044" priority="6262">
      <formula>LEN(TRIM(G1252))&gt;0</formula>
    </cfRule>
  </conditionalFormatting>
  <conditionalFormatting sqref="G1252:K1252">
    <cfRule type="notContainsBlanks" dxfId="6043" priority="6261">
      <formula>LEN(TRIM(G1252))&gt;0</formula>
    </cfRule>
  </conditionalFormatting>
  <conditionalFormatting sqref="G1252:K1252">
    <cfRule type="notContainsBlanks" dxfId="6042" priority="6260">
      <formula>LEN(TRIM(G1252))&gt;0</formula>
    </cfRule>
  </conditionalFormatting>
  <conditionalFormatting sqref="G1252:K1252">
    <cfRule type="notContainsBlanks" dxfId="6041" priority="6259">
      <formula>LEN(TRIM(G1252))&gt;0</formula>
    </cfRule>
  </conditionalFormatting>
  <conditionalFormatting sqref="G1252:K1252">
    <cfRule type="notContainsBlanks" dxfId="6040" priority="6258">
      <formula>LEN(TRIM(G1252))&gt;0</formula>
    </cfRule>
  </conditionalFormatting>
  <conditionalFormatting sqref="G1252:K1252">
    <cfRule type="notContainsBlanks" dxfId="6039" priority="6257">
      <formula>LEN(TRIM(G1252))&gt;0</formula>
    </cfRule>
  </conditionalFormatting>
  <conditionalFormatting sqref="G1252:K1252">
    <cfRule type="notContainsBlanks" dxfId="6038" priority="6255">
      <formula>LEN(TRIM(G1252))&gt;0</formula>
    </cfRule>
    <cfRule type="notContainsBlanks" dxfId="6037" priority="6256">
      <formula>LEN(TRIM(G1252))&gt;0</formula>
    </cfRule>
  </conditionalFormatting>
  <conditionalFormatting sqref="G1252:K1252">
    <cfRule type="notContainsBlanks" dxfId="6036" priority="6254">
      <formula>LEN(TRIM(G1252))&gt;0</formula>
    </cfRule>
  </conditionalFormatting>
  <conditionalFormatting sqref="G1252:K1252">
    <cfRule type="notContainsBlanks" dxfId="6035" priority="6253">
      <formula>LEN(TRIM(G1252))&gt;0</formula>
    </cfRule>
  </conditionalFormatting>
  <conditionalFormatting sqref="G1252:K1252">
    <cfRule type="notContainsBlanks" dxfId="6034" priority="6252">
      <formula>LEN(TRIM(G1252))&gt;0</formula>
    </cfRule>
  </conditionalFormatting>
  <conditionalFormatting sqref="G1252:K1252">
    <cfRule type="notContainsBlanks" dxfId="6033" priority="6251">
      <formula>LEN(TRIM(G1252))&gt;0</formula>
    </cfRule>
  </conditionalFormatting>
  <conditionalFormatting sqref="G1252:K1252">
    <cfRule type="notContainsBlanks" dxfId="6032" priority="6250">
      <formula>LEN(TRIM(G1252))&gt;0</formula>
    </cfRule>
  </conditionalFormatting>
  <conditionalFormatting sqref="G1252:K1252">
    <cfRule type="notContainsBlanks" dxfId="6031" priority="6249">
      <formula>LEN(TRIM(G1252))&gt;0</formula>
    </cfRule>
  </conditionalFormatting>
  <conditionalFormatting sqref="G1252:K1252">
    <cfRule type="notContainsBlanks" dxfId="6030" priority="6248">
      <formula>LEN(TRIM(G1252))&gt;0</formula>
    </cfRule>
  </conditionalFormatting>
  <conditionalFormatting sqref="G1252:K1252">
    <cfRule type="notContainsBlanks" dxfId="6029" priority="6247">
      <formula>LEN(TRIM(G1252))&gt;0</formula>
    </cfRule>
  </conditionalFormatting>
  <conditionalFormatting sqref="G1252:K1252">
    <cfRule type="notContainsBlanks" dxfId="6028" priority="6246">
      <formula>LEN(TRIM(G1252))&gt;0</formula>
    </cfRule>
  </conditionalFormatting>
  <conditionalFormatting sqref="G1252:K1252">
    <cfRule type="notContainsBlanks" priority="6245">
      <formula>LEN(TRIM(G1252))&gt;0</formula>
    </cfRule>
  </conditionalFormatting>
  <conditionalFormatting sqref="G1252:K1252">
    <cfRule type="notContainsBlanks" dxfId="6027" priority="6244">
      <formula>LEN(TRIM(G1252))&gt;0</formula>
    </cfRule>
  </conditionalFormatting>
  <conditionalFormatting sqref="G1252:K1252">
    <cfRule type="notContainsBlanks" dxfId="6026" priority="6243">
      <formula>LEN(TRIM(G1252))&gt;0</formula>
    </cfRule>
  </conditionalFormatting>
  <conditionalFormatting sqref="G1252:K1252">
    <cfRule type="notContainsBlanks" dxfId="6025" priority="6242">
      <formula>LEN(TRIM(G1252))&gt;0</formula>
    </cfRule>
  </conditionalFormatting>
  <conditionalFormatting sqref="G1252:K1252">
    <cfRule type="notContainsBlanks" dxfId="6024" priority="6241">
      <formula>LEN(TRIM(G1252))&gt;0</formula>
    </cfRule>
  </conditionalFormatting>
  <conditionalFormatting sqref="G1252:K1252">
    <cfRule type="notContainsBlanks" dxfId="6023" priority="6240">
      <formula>LEN(TRIM(G1252))&gt;0</formula>
    </cfRule>
  </conditionalFormatting>
  <conditionalFormatting sqref="G1265">
    <cfRule type="notContainsBlanks" dxfId="6022" priority="6239">
      <formula>LEN(TRIM(G1265))&gt;0</formula>
    </cfRule>
  </conditionalFormatting>
  <conditionalFormatting sqref="H1265:K1265">
    <cfRule type="notContainsBlanks" dxfId="6021" priority="6238">
      <formula>LEN(TRIM(H1265))&gt;0</formula>
    </cfRule>
  </conditionalFormatting>
  <conditionalFormatting sqref="G1265:K1265">
    <cfRule type="notContainsBlanks" dxfId="6020" priority="6237">
      <formula>LEN(TRIM(G1265))&gt;0</formula>
    </cfRule>
  </conditionalFormatting>
  <conditionalFormatting sqref="G1265:K1265">
    <cfRule type="notContainsBlanks" dxfId="6019" priority="6236">
      <formula>LEN(TRIM(G1265))&gt;0</formula>
    </cfRule>
  </conditionalFormatting>
  <conditionalFormatting sqref="G1265:K1265">
    <cfRule type="notContainsBlanks" dxfId="6018" priority="6235">
      <formula>LEN(TRIM(G1265))&gt;0</formula>
    </cfRule>
  </conditionalFormatting>
  <conditionalFormatting sqref="G1265:K1265">
    <cfRule type="notContainsBlanks" dxfId="6017" priority="6234">
      <formula>LEN(TRIM(G1265))&gt;0</formula>
    </cfRule>
  </conditionalFormatting>
  <conditionalFormatting sqref="G1265:K1265">
    <cfRule type="notContainsBlanks" dxfId="6016" priority="6233">
      <formula>LEN(TRIM(G1265))&gt;0</formula>
    </cfRule>
  </conditionalFormatting>
  <conditionalFormatting sqref="G1265:K1265">
    <cfRule type="notContainsBlanks" dxfId="6015" priority="6232">
      <formula>LEN(TRIM(G1265))&gt;0</formula>
    </cfRule>
  </conditionalFormatting>
  <conditionalFormatting sqref="G1265:K1265">
    <cfRule type="notContainsBlanks" dxfId="6014" priority="6231">
      <formula>LEN(TRIM(G1265))&gt;0</formula>
    </cfRule>
  </conditionalFormatting>
  <conditionalFormatting sqref="G1265:K1265">
    <cfRule type="notContainsBlanks" dxfId="6013" priority="6230">
      <formula>LEN(TRIM(G1265))&gt;0</formula>
    </cfRule>
  </conditionalFormatting>
  <conditionalFormatting sqref="G1265:K1265">
    <cfRule type="notContainsBlanks" dxfId="6012" priority="6229">
      <formula>LEN(TRIM(G1265))&gt;0</formula>
    </cfRule>
  </conditionalFormatting>
  <conditionalFormatting sqref="G1265:K1265">
    <cfRule type="notContainsBlanks" dxfId="6011" priority="6227">
      <formula>LEN(TRIM(G1265))&gt;0</formula>
    </cfRule>
    <cfRule type="notContainsBlanks" dxfId="6010" priority="6228">
      <formula>LEN(TRIM(G1265))&gt;0</formula>
    </cfRule>
  </conditionalFormatting>
  <conditionalFormatting sqref="G1265:K1265">
    <cfRule type="notContainsBlanks" dxfId="6009" priority="6226">
      <formula>LEN(TRIM(G1265))&gt;0</formula>
    </cfRule>
  </conditionalFormatting>
  <conditionalFormatting sqref="G1265:K1265">
    <cfRule type="notContainsBlanks" dxfId="6008" priority="6225">
      <formula>LEN(TRIM(G1265))&gt;0</formula>
    </cfRule>
  </conditionalFormatting>
  <conditionalFormatting sqref="G1265:K1265">
    <cfRule type="notContainsBlanks" dxfId="6007" priority="6224">
      <formula>LEN(TRIM(G1265))&gt;0</formula>
    </cfRule>
  </conditionalFormatting>
  <conditionalFormatting sqref="G1265:K1265">
    <cfRule type="notContainsBlanks" dxfId="6006" priority="6223">
      <formula>LEN(TRIM(G1265))&gt;0</formula>
    </cfRule>
  </conditionalFormatting>
  <conditionalFormatting sqref="G1265:K1265">
    <cfRule type="notContainsBlanks" dxfId="6005" priority="6222">
      <formula>LEN(TRIM(G1265))&gt;0</formula>
    </cfRule>
  </conditionalFormatting>
  <conditionalFormatting sqref="G1265:K1265">
    <cfRule type="notContainsBlanks" dxfId="6004" priority="6221">
      <formula>LEN(TRIM(G1265))&gt;0</formula>
    </cfRule>
  </conditionalFormatting>
  <conditionalFormatting sqref="G1265:K1265">
    <cfRule type="notContainsBlanks" dxfId="6003" priority="6220">
      <formula>LEN(TRIM(G1265))&gt;0</formula>
    </cfRule>
  </conditionalFormatting>
  <conditionalFormatting sqref="G1265:K1265">
    <cfRule type="notContainsBlanks" dxfId="6002" priority="6219">
      <formula>LEN(TRIM(G1265))&gt;0</formula>
    </cfRule>
  </conditionalFormatting>
  <conditionalFormatting sqref="G1265:K1265">
    <cfRule type="notContainsBlanks" dxfId="6001" priority="6218">
      <formula>LEN(TRIM(G1265))&gt;0</formula>
    </cfRule>
  </conditionalFormatting>
  <conditionalFormatting sqref="G1265:K1265">
    <cfRule type="notContainsBlanks" priority="6217">
      <formula>LEN(TRIM(G1265))&gt;0</formula>
    </cfRule>
  </conditionalFormatting>
  <conditionalFormatting sqref="G1265:K1265">
    <cfRule type="notContainsBlanks" dxfId="6000" priority="6216">
      <formula>LEN(TRIM(G1265))&gt;0</formula>
    </cfRule>
  </conditionalFormatting>
  <conditionalFormatting sqref="G1265:K1265">
    <cfRule type="notContainsBlanks" dxfId="5999" priority="6215">
      <formula>LEN(TRIM(G1265))&gt;0</formula>
    </cfRule>
  </conditionalFormatting>
  <conditionalFormatting sqref="G1265:K1265">
    <cfRule type="notContainsBlanks" dxfId="5998" priority="6214">
      <formula>LEN(TRIM(G1265))&gt;0</formula>
    </cfRule>
  </conditionalFormatting>
  <conditionalFormatting sqref="G1265:K1265">
    <cfRule type="notContainsBlanks" dxfId="5997" priority="6213">
      <formula>LEN(TRIM(G1265))&gt;0</formula>
    </cfRule>
  </conditionalFormatting>
  <conditionalFormatting sqref="G1265:K1265">
    <cfRule type="notContainsBlanks" dxfId="5996" priority="6212">
      <formula>LEN(TRIM(G1265))&gt;0</formula>
    </cfRule>
  </conditionalFormatting>
  <conditionalFormatting sqref="G1278">
    <cfRule type="notContainsBlanks" dxfId="5995" priority="6211">
      <formula>LEN(TRIM(G1278))&gt;0</formula>
    </cfRule>
  </conditionalFormatting>
  <conditionalFormatting sqref="H1278:K1278">
    <cfRule type="notContainsBlanks" dxfId="5994" priority="6210">
      <formula>LEN(TRIM(H1278))&gt;0</formula>
    </cfRule>
  </conditionalFormatting>
  <conditionalFormatting sqref="G1278:K1278">
    <cfRule type="notContainsBlanks" dxfId="5993" priority="6209">
      <formula>LEN(TRIM(G1278))&gt;0</formula>
    </cfRule>
  </conditionalFormatting>
  <conditionalFormatting sqref="G1278:K1278">
    <cfRule type="notContainsBlanks" dxfId="5992" priority="6208">
      <formula>LEN(TRIM(G1278))&gt;0</formula>
    </cfRule>
  </conditionalFormatting>
  <conditionalFormatting sqref="G1278:K1278">
    <cfRule type="notContainsBlanks" dxfId="5991" priority="6207">
      <formula>LEN(TRIM(G1278))&gt;0</formula>
    </cfRule>
  </conditionalFormatting>
  <conditionalFormatting sqref="G1278:K1278">
    <cfRule type="notContainsBlanks" dxfId="5990" priority="6206">
      <formula>LEN(TRIM(G1278))&gt;0</formula>
    </cfRule>
  </conditionalFormatting>
  <conditionalFormatting sqref="G1278:K1278">
    <cfRule type="notContainsBlanks" dxfId="5989" priority="6205">
      <formula>LEN(TRIM(G1278))&gt;0</formula>
    </cfRule>
  </conditionalFormatting>
  <conditionalFormatting sqref="G1278:K1278">
    <cfRule type="notContainsBlanks" dxfId="5988" priority="6204">
      <formula>LEN(TRIM(G1278))&gt;0</formula>
    </cfRule>
  </conditionalFormatting>
  <conditionalFormatting sqref="G1278:K1278">
    <cfRule type="notContainsBlanks" dxfId="5987" priority="6203">
      <formula>LEN(TRIM(G1278))&gt;0</formula>
    </cfRule>
  </conditionalFormatting>
  <conditionalFormatting sqref="G1278:K1278">
    <cfRule type="notContainsBlanks" dxfId="5986" priority="6202">
      <formula>LEN(TRIM(G1278))&gt;0</formula>
    </cfRule>
  </conditionalFormatting>
  <conditionalFormatting sqref="G1278:K1278">
    <cfRule type="notContainsBlanks" dxfId="5985" priority="6201">
      <formula>LEN(TRIM(G1278))&gt;0</formula>
    </cfRule>
  </conditionalFormatting>
  <conditionalFormatting sqref="G1278:K1278">
    <cfRule type="notContainsBlanks" dxfId="5984" priority="6199">
      <formula>LEN(TRIM(G1278))&gt;0</formula>
    </cfRule>
    <cfRule type="notContainsBlanks" dxfId="5983" priority="6200">
      <formula>LEN(TRIM(G1278))&gt;0</formula>
    </cfRule>
  </conditionalFormatting>
  <conditionalFormatting sqref="G1278:K1278">
    <cfRule type="notContainsBlanks" dxfId="5982" priority="6198">
      <formula>LEN(TRIM(G1278))&gt;0</formula>
    </cfRule>
  </conditionalFormatting>
  <conditionalFormatting sqref="G1278:K1278">
    <cfRule type="notContainsBlanks" dxfId="5981" priority="6197">
      <formula>LEN(TRIM(G1278))&gt;0</formula>
    </cfRule>
  </conditionalFormatting>
  <conditionalFormatting sqref="G1278:K1278">
    <cfRule type="notContainsBlanks" dxfId="5980" priority="6196">
      <formula>LEN(TRIM(G1278))&gt;0</formula>
    </cfRule>
  </conditionalFormatting>
  <conditionalFormatting sqref="G1278:K1278">
    <cfRule type="notContainsBlanks" dxfId="5979" priority="6195">
      <formula>LEN(TRIM(G1278))&gt;0</formula>
    </cfRule>
  </conditionalFormatting>
  <conditionalFormatting sqref="G1278:K1278">
    <cfRule type="notContainsBlanks" dxfId="5978" priority="6194">
      <formula>LEN(TRIM(G1278))&gt;0</formula>
    </cfRule>
  </conditionalFormatting>
  <conditionalFormatting sqref="G1278:K1278">
    <cfRule type="notContainsBlanks" dxfId="5977" priority="6193">
      <formula>LEN(TRIM(G1278))&gt;0</formula>
    </cfRule>
  </conditionalFormatting>
  <conditionalFormatting sqref="G1278:K1278">
    <cfRule type="notContainsBlanks" dxfId="5976" priority="6192">
      <formula>LEN(TRIM(G1278))&gt;0</formula>
    </cfRule>
  </conditionalFormatting>
  <conditionalFormatting sqref="G1278:K1278">
    <cfRule type="notContainsBlanks" dxfId="5975" priority="6191">
      <formula>LEN(TRIM(G1278))&gt;0</formula>
    </cfRule>
  </conditionalFormatting>
  <conditionalFormatting sqref="G1278:K1278">
    <cfRule type="notContainsBlanks" dxfId="5974" priority="6190">
      <formula>LEN(TRIM(G1278))&gt;0</formula>
    </cfRule>
  </conditionalFormatting>
  <conditionalFormatting sqref="G1278:K1278">
    <cfRule type="notContainsBlanks" priority="6189">
      <formula>LEN(TRIM(G1278))&gt;0</formula>
    </cfRule>
  </conditionalFormatting>
  <conditionalFormatting sqref="G1278:K1278">
    <cfRule type="notContainsBlanks" dxfId="5973" priority="6188">
      <formula>LEN(TRIM(G1278))&gt;0</formula>
    </cfRule>
  </conditionalFormatting>
  <conditionalFormatting sqref="G1278:K1278">
    <cfRule type="notContainsBlanks" dxfId="5972" priority="6187">
      <formula>LEN(TRIM(G1278))&gt;0</formula>
    </cfRule>
  </conditionalFormatting>
  <conditionalFormatting sqref="G1278:K1278">
    <cfRule type="notContainsBlanks" dxfId="5971" priority="6186">
      <formula>LEN(TRIM(G1278))&gt;0</formula>
    </cfRule>
  </conditionalFormatting>
  <conditionalFormatting sqref="G1278:K1278">
    <cfRule type="notContainsBlanks" dxfId="5970" priority="6185">
      <formula>LEN(TRIM(G1278))&gt;0</formula>
    </cfRule>
  </conditionalFormatting>
  <conditionalFormatting sqref="G1278:K1278">
    <cfRule type="notContainsBlanks" dxfId="5969" priority="6184">
      <formula>LEN(TRIM(G1278))&gt;0</formula>
    </cfRule>
  </conditionalFormatting>
  <conditionalFormatting sqref="G1291">
    <cfRule type="notContainsBlanks" dxfId="5968" priority="6183">
      <formula>LEN(TRIM(G1291))&gt;0</formula>
    </cfRule>
  </conditionalFormatting>
  <conditionalFormatting sqref="H1291:K1291">
    <cfRule type="notContainsBlanks" dxfId="5967" priority="6182">
      <formula>LEN(TRIM(H1291))&gt;0</formula>
    </cfRule>
  </conditionalFormatting>
  <conditionalFormatting sqref="G1291:K1291">
    <cfRule type="notContainsBlanks" dxfId="5966" priority="6181">
      <formula>LEN(TRIM(G1291))&gt;0</formula>
    </cfRule>
  </conditionalFormatting>
  <conditionalFormatting sqref="G1291:K1291">
    <cfRule type="notContainsBlanks" dxfId="5965" priority="6180">
      <formula>LEN(TRIM(G1291))&gt;0</formula>
    </cfRule>
  </conditionalFormatting>
  <conditionalFormatting sqref="G1291:K1291">
    <cfRule type="notContainsBlanks" dxfId="5964" priority="6179">
      <formula>LEN(TRIM(G1291))&gt;0</formula>
    </cfRule>
  </conditionalFormatting>
  <conditionalFormatting sqref="G1291:K1291">
    <cfRule type="notContainsBlanks" dxfId="5963" priority="6178">
      <formula>LEN(TRIM(G1291))&gt;0</formula>
    </cfRule>
  </conditionalFormatting>
  <conditionalFormatting sqref="G1291:K1291">
    <cfRule type="notContainsBlanks" dxfId="5962" priority="6177">
      <formula>LEN(TRIM(G1291))&gt;0</formula>
    </cfRule>
  </conditionalFormatting>
  <conditionalFormatting sqref="G1291:K1291">
    <cfRule type="notContainsBlanks" dxfId="5961" priority="6176">
      <formula>LEN(TRIM(G1291))&gt;0</formula>
    </cfRule>
  </conditionalFormatting>
  <conditionalFormatting sqref="G1291:K1291">
    <cfRule type="notContainsBlanks" dxfId="5960" priority="6175">
      <formula>LEN(TRIM(G1291))&gt;0</formula>
    </cfRule>
  </conditionalFormatting>
  <conditionalFormatting sqref="G1291:K1291">
    <cfRule type="notContainsBlanks" dxfId="5959" priority="6174">
      <formula>LEN(TRIM(G1291))&gt;0</formula>
    </cfRule>
  </conditionalFormatting>
  <conditionalFormatting sqref="G1291:K1291">
    <cfRule type="notContainsBlanks" dxfId="5958" priority="6173">
      <formula>LEN(TRIM(G1291))&gt;0</formula>
    </cfRule>
  </conditionalFormatting>
  <conditionalFormatting sqref="G1291:K1291">
    <cfRule type="notContainsBlanks" dxfId="5957" priority="6171">
      <formula>LEN(TRIM(G1291))&gt;0</formula>
    </cfRule>
    <cfRule type="notContainsBlanks" dxfId="5956" priority="6172">
      <formula>LEN(TRIM(G1291))&gt;0</formula>
    </cfRule>
  </conditionalFormatting>
  <conditionalFormatting sqref="G1291:K1291">
    <cfRule type="notContainsBlanks" dxfId="5955" priority="6170">
      <formula>LEN(TRIM(G1291))&gt;0</formula>
    </cfRule>
  </conditionalFormatting>
  <conditionalFormatting sqref="G1291:K1291">
    <cfRule type="notContainsBlanks" dxfId="5954" priority="6169">
      <formula>LEN(TRIM(G1291))&gt;0</formula>
    </cfRule>
  </conditionalFormatting>
  <conditionalFormatting sqref="G1291:K1291">
    <cfRule type="notContainsBlanks" dxfId="5953" priority="6168">
      <formula>LEN(TRIM(G1291))&gt;0</formula>
    </cfRule>
  </conditionalFormatting>
  <conditionalFormatting sqref="G1291:K1291">
    <cfRule type="notContainsBlanks" dxfId="5952" priority="6167">
      <formula>LEN(TRIM(G1291))&gt;0</formula>
    </cfRule>
  </conditionalFormatting>
  <conditionalFormatting sqref="G1291:K1291">
    <cfRule type="notContainsBlanks" dxfId="5951" priority="6166">
      <formula>LEN(TRIM(G1291))&gt;0</formula>
    </cfRule>
  </conditionalFormatting>
  <conditionalFormatting sqref="G1291:K1291">
    <cfRule type="notContainsBlanks" dxfId="5950" priority="6165">
      <formula>LEN(TRIM(G1291))&gt;0</formula>
    </cfRule>
  </conditionalFormatting>
  <conditionalFormatting sqref="G1291:K1291">
    <cfRule type="notContainsBlanks" dxfId="5949" priority="6164">
      <formula>LEN(TRIM(G1291))&gt;0</formula>
    </cfRule>
  </conditionalFormatting>
  <conditionalFormatting sqref="G1291:K1291">
    <cfRule type="notContainsBlanks" dxfId="5948" priority="6163">
      <formula>LEN(TRIM(G1291))&gt;0</formula>
    </cfRule>
  </conditionalFormatting>
  <conditionalFormatting sqref="G1291:K1291">
    <cfRule type="notContainsBlanks" dxfId="5947" priority="6162">
      <formula>LEN(TRIM(G1291))&gt;0</formula>
    </cfRule>
  </conditionalFormatting>
  <conditionalFormatting sqref="G1291:K1291">
    <cfRule type="notContainsBlanks" priority="6161">
      <formula>LEN(TRIM(G1291))&gt;0</formula>
    </cfRule>
  </conditionalFormatting>
  <conditionalFormatting sqref="G1291:K1291">
    <cfRule type="notContainsBlanks" dxfId="5946" priority="6160">
      <formula>LEN(TRIM(G1291))&gt;0</formula>
    </cfRule>
  </conditionalFormatting>
  <conditionalFormatting sqref="G1291:K1291">
    <cfRule type="notContainsBlanks" dxfId="5945" priority="6159">
      <formula>LEN(TRIM(G1291))&gt;0</formula>
    </cfRule>
  </conditionalFormatting>
  <conditionalFormatting sqref="G1291:K1291">
    <cfRule type="notContainsBlanks" dxfId="5944" priority="6158">
      <formula>LEN(TRIM(G1291))&gt;0</formula>
    </cfRule>
  </conditionalFormatting>
  <conditionalFormatting sqref="G1291:K1291">
    <cfRule type="notContainsBlanks" dxfId="5943" priority="6157">
      <formula>LEN(TRIM(G1291))&gt;0</formula>
    </cfRule>
  </conditionalFormatting>
  <conditionalFormatting sqref="G1291:K1291">
    <cfRule type="notContainsBlanks" dxfId="5942" priority="6156">
      <formula>LEN(TRIM(G1291))&gt;0</formula>
    </cfRule>
  </conditionalFormatting>
  <conditionalFormatting sqref="G1304">
    <cfRule type="notContainsBlanks" dxfId="5941" priority="6155">
      <formula>LEN(TRIM(G1304))&gt;0</formula>
    </cfRule>
  </conditionalFormatting>
  <conditionalFormatting sqref="H1304:K1304">
    <cfRule type="notContainsBlanks" dxfId="5940" priority="6154">
      <formula>LEN(TRIM(H1304))&gt;0</formula>
    </cfRule>
  </conditionalFormatting>
  <conditionalFormatting sqref="G1304:K1304">
    <cfRule type="notContainsBlanks" dxfId="5939" priority="6153">
      <formula>LEN(TRIM(G1304))&gt;0</formula>
    </cfRule>
  </conditionalFormatting>
  <conditionalFormatting sqref="G1304:K1304">
    <cfRule type="notContainsBlanks" dxfId="5938" priority="6152">
      <formula>LEN(TRIM(G1304))&gt;0</formula>
    </cfRule>
  </conditionalFormatting>
  <conditionalFormatting sqref="G1304:K1304">
    <cfRule type="notContainsBlanks" dxfId="5937" priority="6151">
      <formula>LEN(TRIM(G1304))&gt;0</formula>
    </cfRule>
  </conditionalFormatting>
  <conditionalFormatting sqref="G1304:K1304">
    <cfRule type="notContainsBlanks" dxfId="5936" priority="6150">
      <formula>LEN(TRIM(G1304))&gt;0</formula>
    </cfRule>
  </conditionalFormatting>
  <conditionalFormatting sqref="G1304:K1304">
    <cfRule type="notContainsBlanks" dxfId="5935" priority="6149">
      <formula>LEN(TRIM(G1304))&gt;0</formula>
    </cfRule>
  </conditionalFormatting>
  <conditionalFormatting sqref="G1304:K1304">
    <cfRule type="notContainsBlanks" dxfId="5934" priority="6148">
      <formula>LEN(TRIM(G1304))&gt;0</formula>
    </cfRule>
  </conditionalFormatting>
  <conditionalFormatting sqref="G1304:K1304">
    <cfRule type="notContainsBlanks" dxfId="5933" priority="6147">
      <formula>LEN(TRIM(G1304))&gt;0</formula>
    </cfRule>
  </conditionalFormatting>
  <conditionalFormatting sqref="G1304:K1304">
    <cfRule type="notContainsBlanks" dxfId="5932" priority="6146">
      <formula>LEN(TRIM(G1304))&gt;0</formula>
    </cfRule>
  </conditionalFormatting>
  <conditionalFormatting sqref="G1304:K1304">
    <cfRule type="notContainsBlanks" dxfId="5931" priority="6145">
      <formula>LEN(TRIM(G1304))&gt;0</formula>
    </cfRule>
  </conditionalFormatting>
  <conditionalFormatting sqref="G1304:K1304">
    <cfRule type="notContainsBlanks" dxfId="5930" priority="6143">
      <formula>LEN(TRIM(G1304))&gt;0</formula>
    </cfRule>
    <cfRule type="notContainsBlanks" dxfId="5929" priority="6144">
      <formula>LEN(TRIM(G1304))&gt;0</formula>
    </cfRule>
  </conditionalFormatting>
  <conditionalFormatting sqref="G1304:K1304">
    <cfRule type="notContainsBlanks" dxfId="5928" priority="6142">
      <formula>LEN(TRIM(G1304))&gt;0</formula>
    </cfRule>
  </conditionalFormatting>
  <conditionalFormatting sqref="G1304:K1304">
    <cfRule type="notContainsBlanks" dxfId="5927" priority="6141">
      <formula>LEN(TRIM(G1304))&gt;0</formula>
    </cfRule>
  </conditionalFormatting>
  <conditionalFormatting sqref="G1304:K1304">
    <cfRule type="notContainsBlanks" dxfId="5926" priority="6140">
      <formula>LEN(TRIM(G1304))&gt;0</formula>
    </cfRule>
  </conditionalFormatting>
  <conditionalFormatting sqref="G1304:K1304">
    <cfRule type="notContainsBlanks" dxfId="5925" priority="6139">
      <formula>LEN(TRIM(G1304))&gt;0</formula>
    </cfRule>
  </conditionalFormatting>
  <conditionalFormatting sqref="G1304:K1304">
    <cfRule type="notContainsBlanks" dxfId="5924" priority="6138">
      <formula>LEN(TRIM(G1304))&gt;0</formula>
    </cfRule>
  </conditionalFormatting>
  <conditionalFormatting sqref="G1304:K1304">
    <cfRule type="notContainsBlanks" dxfId="5923" priority="6137">
      <formula>LEN(TRIM(G1304))&gt;0</formula>
    </cfRule>
  </conditionalFormatting>
  <conditionalFormatting sqref="G1304:K1304">
    <cfRule type="notContainsBlanks" dxfId="5922" priority="6136">
      <formula>LEN(TRIM(G1304))&gt;0</formula>
    </cfRule>
  </conditionalFormatting>
  <conditionalFormatting sqref="G1304:K1304">
    <cfRule type="notContainsBlanks" dxfId="5921" priority="6135">
      <formula>LEN(TRIM(G1304))&gt;0</formula>
    </cfRule>
  </conditionalFormatting>
  <conditionalFormatting sqref="G1304:K1304">
    <cfRule type="notContainsBlanks" dxfId="5920" priority="6134">
      <formula>LEN(TRIM(G1304))&gt;0</formula>
    </cfRule>
  </conditionalFormatting>
  <conditionalFormatting sqref="G1304:K1304">
    <cfRule type="notContainsBlanks" priority="6133">
      <formula>LEN(TRIM(G1304))&gt;0</formula>
    </cfRule>
  </conditionalFormatting>
  <conditionalFormatting sqref="G1304:K1304">
    <cfRule type="notContainsBlanks" dxfId="5919" priority="6132">
      <formula>LEN(TRIM(G1304))&gt;0</formula>
    </cfRule>
  </conditionalFormatting>
  <conditionalFormatting sqref="G1304:K1304">
    <cfRule type="notContainsBlanks" dxfId="5918" priority="6131">
      <formula>LEN(TRIM(G1304))&gt;0</formula>
    </cfRule>
  </conditionalFormatting>
  <conditionalFormatting sqref="G1304:K1304">
    <cfRule type="notContainsBlanks" dxfId="5917" priority="6130">
      <formula>LEN(TRIM(G1304))&gt;0</formula>
    </cfRule>
  </conditionalFormatting>
  <conditionalFormatting sqref="G1304:K1304">
    <cfRule type="notContainsBlanks" dxfId="5916" priority="6129">
      <formula>LEN(TRIM(G1304))&gt;0</formula>
    </cfRule>
  </conditionalFormatting>
  <conditionalFormatting sqref="G1304:K1304">
    <cfRule type="notContainsBlanks" dxfId="5915" priority="6128">
      <formula>LEN(TRIM(G1304))&gt;0</formula>
    </cfRule>
  </conditionalFormatting>
  <conditionalFormatting sqref="G1317">
    <cfRule type="notContainsBlanks" dxfId="5914" priority="6127">
      <formula>LEN(TRIM(G1317))&gt;0</formula>
    </cfRule>
  </conditionalFormatting>
  <conditionalFormatting sqref="H1317:K1317">
    <cfRule type="notContainsBlanks" dxfId="5913" priority="6126">
      <formula>LEN(TRIM(H1317))&gt;0</formula>
    </cfRule>
  </conditionalFormatting>
  <conditionalFormatting sqref="G1317:K1317">
    <cfRule type="notContainsBlanks" dxfId="5912" priority="6125">
      <formula>LEN(TRIM(G1317))&gt;0</formula>
    </cfRule>
  </conditionalFormatting>
  <conditionalFormatting sqref="G1317:K1317">
    <cfRule type="notContainsBlanks" dxfId="5911" priority="6124">
      <formula>LEN(TRIM(G1317))&gt;0</formula>
    </cfRule>
  </conditionalFormatting>
  <conditionalFormatting sqref="G1317:K1317">
    <cfRule type="notContainsBlanks" dxfId="5910" priority="6123">
      <formula>LEN(TRIM(G1317))&gt;0</formula>
    </cfRule>
  </conditionalFormatting>
  <conditionalFormatting sqref="G1317:K1317">
    <cfRule type="notContainsBlanks" dxfId="5909" priority="6122">
      <formula>LEN(TRIM(G1317))&gt;0</formula>
    </cfRule>
  </conditionalFormatting>
  <conditionalFormatting sqref="G1317:K1317">
    <cfRule type="notContainsBlanks" dxfId="5908" priority="6121">
      <formula>LEN(TRIM(G1317))&gt;0</formula>
    </cfRule>
  </conditionalFormatting>
  <conditionalFormatting sqref="G1317:K1317">
    <cfRule type="notContainsBlanks" dxfId="5907" priority="6120">
      <formula>LEN(TRIM(G1317))&gt;0</formula>
    </cfRule>
  </conditionalFormatting>
  <conditionalFormatting sqref="G1317:K1317">
    <cfRule type="notContainsBlanks" dxfId="5906" priority="6119">
      <formula>LEN(TRIM(G1317))&gt;0</formula>
    </cfRule>
  </conditionalFormatting>
  <conditionalFormatting sqref="G1317:K1317">
    <cfRule type="notContainsBlanks" dxfId="5905" priority="6118">
      <formula>LEN(TRIM(G1317))&gt;0</formula>
    </cfRule>
  </conditionalFormatting>
  <conditionalFormatting sqref="G1317:K1317">
    <cfRule type="notContainsBlanks" dxfId="5904" priority="6117">
      <formula>LEN(TRIM(G1317))&gt;0</formula>
    </cfRule>
  </conditionalFormatting>
  <conditionalFormatting sqref="G1317:K1317">
    <cfRule type="notContainsBlanks" dxfId="5903" priority="6115">
      <formula>LEN(TRIM(G1317))&gt;0</formula>
    </cfRule>
    <cfRule type="notContainsBlanks" dxfId="5902" priority="6116">
      <formula>LEN(TRIM(G1317))&gt;0</formula>
    </cfRule>
  </conditionalFormatting>
  <conditionalFormatting sqref="G1317:K1317">
    <cfRule type="notContainsBlanks" dxfId="5901" priority="6114">
      <formula>LEN(TRIM(G1317))&gt;0</formula>
    </cfRule>
  </conditionalFormatting>
  <conditionalFormatting sqref="G1317:K1317">
    <cfRule type="notContainsBlanks" dxfId="5900" priority="6113">
      <formula>LEN(TRIM(G1317))&gt;0</formula>
    </cfRule>
  </conditionalFormatting>
  <conditionalFormatting sqref="G1317:K1317">
    <cfRule type="notContainsBlanks" dxfId="5899" priority="6112">
      <formula>LEN(TRIM(G1317))&gt;0</formula>
    </cfRule>
  </conditionalFormatting>
  <conditionalFormatting sqref="G1317:K1317">
    <cfRule type="notContainsBlanks" dxfId="5898" priority="6111">
      <formula>LEN(TRIM(G1317))&gt;0</formula>
    </cfRule>
  </conditionalFormatting>
  <conditionalFormatting sqref="G1317:K1317">
    <cfRule type="notContainsBlanks" dxfId="5897" priority="6110">
      <formula>LEN(TRIM(G1317))&gt;0</formula>
    </cfRule>
  </conditionalFormatting>
  <conditionalFormatting sqref="G1317:K1317">
    <cfRule type="notContainsBlanks" dxfId="5896" priority="6109">
      <formula>LEN(TRIM(G1317))&gt;0</formula>
    </cfRule>
  </conditionalFormatting>
  <conditionalFormatting sqref="G1317:K1317">
    <cfRule type="notContainsBlanks" dxfId="5895" priority="6108">
      <formula>LEN(TRIM(G1317))&gt;0</formula>
    </cfRule>
  </conditionalFormatting>
  <conditionalFormatting sqref="G1317:K1317">
    <cfRule type="notContainsBlanks" dxfId="5894" priority="6107">
      <formula>LEN(TRIM(G1317))&gt;0</formula>
    </cfRule>
  </conditionalFormatting>
  <conditionalFormatting sqref="G1317:K1317">
    <cfRule type="notContainsBlanks" dxfId="5893" priority="6106">
      <formula>LEN(TRIM(G1317))&gt;0</formula>
    </cfRule>
  </conditionalFormatting>
  <conditionalFormatting sqref="G1317:K1317">
    <cfRule type="notContainsBlanks" priority="6105">
      <formula>LEN(TRIM(G1317))&gt;0</formula>
    </cfRule>
  </conditionalFormatting>
  <conditionalFormatting sqref="G1317:K1317">
    <cfRule type="notContainsBlanks" dxfId="5892" priority="6104">
      <formula>LEN(TRIM(G1317))&gt;0</formula>
    </cfRule>
  </conditionalFormatting>
  <conditionalFormatting sqref="G1317:K1317">
    <cfRule type="notContainsBlanks" dxfId="5891" priority="6103">
      <formula>LEN(TRIM(G1317))&gt;0</formula>
    </cfRule>
  </conditionalFormatting>
  <conditionalFormatting sqref="G1317:K1317">
    <cfRule type="notContainsBlanks" dxfId="5890" priority="6102">
      <formula>LEN(TRIM(G1317))&gt;0</formula>
    </cfRule>
  </conditionalFormatting>
  <conditionalFormatting sqref="G1317:K1317">
    <cfRule type="notContainsBlanks" dxfId="5889" priority="6101">
      <formula>LEN(TRIM(G1317))&gt;0</formula>
    </cfRule>
  </conditionalFormatting>
  <conditionalFormatting sqref="G1317:K1317">
    <cfRule type="notContainsBlanks" dxfId="5888" priority="6100">
      <formula>LEN(TRIM(G1317))&gt;0</formula>
    </cfRule>
  </conditionalFormatting>
  <conditionalFormatting sqref="G1330">
    <cfRule type="notContainsBlanks" dxfId="5887" priority="6099">
      <formula>LEN(TRIM(G1330))&gt;0</formula>
    </cfRule>
  </conditionalFormatting>
  <conditionalFormatting sqref="H1330:K1330">
    <cfRule type="notContainsBlanks" dxfId="5886" priority="6098">
      <formula>LEN(TRIM(H1330))&gt;0</formula>
    </cfRule>
  </conditionalFormatting>
  <conditionalFormatting sqref="G1330:K1330">
    <cfRule type="notContainsBlanks" dxfId="5885" priority="6097">
      <formula>LEN(TRIM(G1330))&gt;0</formula>
    </cfRule>
  </conditionalFormatting>
  <conditionalFormatting sqref="G1330:K1330">
    <cfRule type="notContainsBlanks" dxfId="5884" priority="6096">
      <formula>LEN(TRIM(G1330))&gt;0</formula>
    </cfRule>
  </conditionalFormatting>
  <conditionalFormatting sqref="G1330:K1330">
    <cfRule type="notContainsBlanks" dxfId="5883" priority="6095">
      <formula>LEN(TRIM(G1330))&gt;0</formula>
    </cfRule>
  </conditionalFormatting>
  <conditionalFormatting sqref="G1330:K1330">
    <cfRule type="notContainsBlanks" dxfId="5882" priority="6094">
      <formula>LEN(TRIM(G1330))&gt;0</formula>
    </cfRule>
  </conditionalFormatting>
  <conditionalFormatting sqref="G1330:K1330">
    <cfRule type="notContainsBlanks" dxfId="5881" priority="6093">
      <formula>LEN(TRIM(G1330))&gt;0</formula>
    </cfRule>
  </conditionalFormatting>
  <conditionalFormatting sqref="G1330:K1330">
    <cfRule type="notContainsBlanks" dxfId="5880" priority="6092">
      <formula>LEN(TRIM(G1330))&gt;0</formula>
    </cfRule>
  </conditionalFormatting>
  <conditionalFormatting sqref="G1330:K1330">
    <cfRule type="notContainsBlanks" dxfId="5879" priority="6091">
      <formula>LEN(TRIM(G1330))&gt;0</formula>
    </cfRule>
  </conditionalFormatting>
  <conditionalFormatting sqref="G1330:K1330">
    <cfRule type="notContainsBlanks" dxfId="5878" priority="6090">
      <formula>LEN(TRIM(G1330))&gt;0</formula>
    </cfRule>
  </conditionalFormatting>
  <conditionalFormatting sqref="G1330:K1330">
    <cfRule type="notContainsBlanks" dxfId="5877" priority="6089">
      <formula>LEN(TRIM(G1330))&gt;0</formula>
    </cfRule>
  </conditionalFormatting>
  <conditionalFormatting sqref="G1330:K1330">
    <cfRule type="notContainsBlanks" dxfId="5876" priority="6087">
      <formula>LEN(TRIM(G1330))&gt;0</formula>
    </cfRule>
    <cfRule type="notContainsBlanks" dxfId="5875" priority="6088">
      <formula>LEN(TRIM(G1330))&gt;0</formula>
    </cfRule>
  </conditionalFormatting>
  <conditionalFormatting sqref="G1330:K1330">
    <cfRule type="notContainsBlanks" dxfId="5874" priority="6086">
      <formula>LEN(TRIM(G1330))&gt;0</formula>
    </cfRule>
  </conditionalFormatting>
  <conditionalFormatting sqref="G1330:K1330">
    <cfRule type="notContainsBlanks" dxfId="5873" priority="6085">
      <formula>LEN(TRIM(G1330))&gt;0</formula>
    </cfRule>
  </conditionalFormatting>
  <conditionalFormatting sqref="G1330:K1330">
    <cfRule type="notContainsBlanks" dxfId="5872" priority="6084">
      <formula>LEN(TRIM(G1330))&gt;0</formula>
    </cfRule>
  </conditionalFormatting>
  <conditionalFormatting sqref="G1330:K1330">
    <cfRule type="notContainsBlanks" dxfId="5871" priority="6083">
      <formula>LEN(TRIM(G1330))&gt;0</formula>
    </cfRule>
  </conditionalFormatting>
  <conditionalFormatting sqref="G1330:K1330">
    <cfRule type="notContainsBlanks" dxfId="5870" priority="6082">
      <formula>LEN(TRIM(G1330))&gt;0</formula>
    </cfRule>
  </conditionalFormatting>
  <conditionalFormatting sqref="G1330:K1330">
    <cfRule type="notContainsBlanks" dxfId="5869" priority="6081">
      <formula>LEN(TRIM(G1330))&gt;0</formula>
    </cfRule>
  </conditionalFormatting>
  <conditionalFormatting sqref="G1330:K1330">
    <cfRule type="notContainsBlanks" dxfId="5868" priority="6080">
      <formula>LEN(TRIM(G1330))&gt;0</formula>
    </cfRule>
  </conditionalFormatting>
  <conditionalFormatting sqref="G1330:K1330">
    <cfRule type="notContainsBlanks" dxfId="5867" priority="6079">
      <formula>LEN(TRIM(G1330))&gt;0</formula>
    </cfRule>
  </conditionalFormatting>
  <conditionalFormatting sqref="G1330:K1330">
    <cfRule type="notContainsBlanks" dxfId="5866" priority="6078">
      <formula>LEN(TRIM(G1330))&gt;0</formula>
    </cfRule>
  </conditionalFormatting>
  <conditionalFormatting sqref="G1330:K1330">
    <cfRule type="notContainsBlanks" priority="6077">
      <formula>LEN(TRIM(G1330))&gt;0</formula>
    </cfRule>
  </conditionalFormatting>
  <conditionalFormatting sqref="G1330:K1330">
    <cfRule type="notContainsBlanks" dxfId="5865" priority="6076">
      <formula>LEN(TRIM(G1330))&gt;0</formula>
    </cfRule>
  </conditionalFormatting>
  <conditionalFormatting sqref="G1330:K1330">
    <cfRule type="notContainsBlanks" dxfId="5864" priority="6075">
      <formula>LEN(TRIM(G1330))&gt;0</formula>
    </cfRule>
  </conditionalFormatting>
  <conditionalFormatting sqref="G1330:K1330">
    <cfRule type="notContainsBlanks" dxfId="5863" priority="6074">
      <formula>LEN(TRIM(G1330))&gt;0</formula>
    </cfRule>
  </conditionalFormatting>
  <conditionalFormatting sqref="G1330:K1330">
    <cfRule type="notContainsBlanks" dxfId="5862" priority="6073">
      <formula>LEN(TRIM(G1330))&gt;0</formula>
    </cfRule>
  </conditionalFormatting>
  <conditionalFormatting sqref="G1330:K1330">
    <cfRule type="notContainsBlanks" dxfId="5861" priority="6072">
      <formula>LEN(TRIM(G1330))&gt;0</formula>
    </cfRule>
  </conditionalFormatting>
  <conditionalFormatting sqref="G431:K433 G435:K446 G448:K459 G461:K472 G474:K485 G487:K498 G500:K511 G513:K524 G526:K537 G539:K550 G552:K563 G565:K576 G578:K589 G591:K602 G604:K615 G617:K628 G630:K641 G643:K654 G656:K667 G669:K680 G682:K693 G695:K706 G708:K719 G721:K732 G734:K745 G747:K758 G760:K771 G773:K784 G786:K797 G799:K810 G812:K823 G825:K836 G838:K849 G851:K862 G864:K875 G877:K888 G890:K901 G903:K914 G916:K927 G929:K940 G942:K953 G955:K966 G968:K979 G981:K992 G994:K1005 G1007:K1018 G1020:K1031 G1033:K1044 G1046:K1057 G1059:K1070 G1072:K1083 G1085:K1096 G1098:K1109 G1111:K1122 G1124:K1135 G1137:K1148 G1150:K1161 G1163:K1174 G1176:K1187 G1189:K1200 G1202:K1213 G1215:K1226 G1228:K1239 G1241:K1252 G1254:K1265 G1267:K1278 G1280:K1291 G1293:K1304 G1306:K1317 G1319:K1330 G1332:K1339">
    <cfRule type="notContainsBlanks" dxfId="5860" priority="6071">
      <formula>LEN(TRIM(G431))&gt;0</formula>
    </cfRule>
  </conditionalFormatting>
  <conditionalFormatting sqref="G431:L433 G435:L446 L434 G448:L459 L447 G461:L472 L460 G474:L485 L473 G487:L498 L486 G500:L511 L499 G513:L524 L512 G526:L537 L525 G539:L550 L538 G552:L563 L551 G565:L576 L564 G578:L589 L577 G591:L602 L590 G604:L615 L603 G617:L628 L616 G630:L641 L629 G643:L654 L642 G656:L667 L655 G669:L680 L668 G682:L693 L681 G695:L706 L694 G708:L719 L707 G721:L732 L720 G734:L745 L733 G747:L758 L746 G760:L771 L759 G773:L784 L772 G786:L797 L785 G799:L810 L798 G812:L823 L811 G825:L836 L824 G838:L849 L837 G851:L862 L850 G864:L875 L863 G877:L888 L876 G890:L901 L889 G903:L914 L902 G916:L927 L915 G929:L940 L928 G942:L953 L941 G955:L966 L954 G968:L979 L967 G981:L992 L980 G994:L1005 L993 G1007:L1018 L1006 G1020:L1031 L1019 G1033:L1044 L1032 G1046:L1057 L1045 G1059:L1070 L1058 G1072:L1083 L1071 G1085:L1096 L1084 G1098:L1109 L1097 G1111:L1122 L1110 G1124:L1135 L1123 G1137:L1148 L1136 G1150:L1161 L1149 G1163:L1174 L1162 G1176:L1187 L1175 G1189:L1200 L1188 G1202:L1213 L1201 G1215:L1226 L1214 G1228:L1239 L1227 G1241:L1252 L1240 G1254:L1265 L1253 G1267:L1278 L1266 G1280:L1291 L1279 G1293:L1304 L1292 G1306:L1317 L1305 G1319:L1330 L1318 G1332:L1339 L1331">
    <cfRule type="notContainsBlanks" dxfId="5859" priority="6070">
      <formula>LEN(TRIM(G431))&gt;0</formula>
    </cfRule>
  </conditionalFormatting>
  <conditionalFormatting sqref="N446:R446">
    <cfRule type="notContainsBlanks" dxfId="5858" priority="6069">
      <formula>LEN(TRIM(N446))&gt;0</formula>
    </cfRule>
  </conditionalFormatting>
  <conditionalFormatting sqref="N446:R446">
    <cfRule type="notContainsBlanks" dxfId="5857" priority="6068">
      <formula>LEN(TRIM(N446))&gt;0</formula>
    </cfRule>
  </conditionalFormatting>
  <conditionalFormatting sqref="N446:R446">
    <cfRule type="notContainsBlanks" dxfId="5856" priority="6067">
      <formula>LEN(TRIM(N446))&gt;0</formula>
    </cfRule>
  </conditionalFormatting>
  <conditionalFormatting sqref="N446:R446">
    <cfRule type="notContainsBlanks" dxfId="5855" priority="6066">
      <formula>LEN(TRIM(N446))&gt;0</formula>
    </cfRule>
  </conditionalFormatting>
  <conditionalFormatting sqref="N446:R446">
    <cfRule type="notContainsBlanks" dxfId="5854" priority="6065">
      <formula>LEN(TRIM(N446))&gt;0</formula>
    </cfRule>
  </conditionalFormatting>
  <conditionalFormatting sqref="N446:R446">
    <cfRule type="notContainsBlanks" dxfId="5853" priority="6064">
      <formula>LEN(TRIM(N446))&gt;0</formula>
    </cfRule>
  </conditionalFormatting>
  <conditionalFormatting sqref="N446:R446">
    <cfRule type="notContainsBlanks" dxfId="5852" priority="6063">
      <formula>LEN(TRIM(N446))&gt;0</formula>
    </cfRule>
  </conditionalFormatting>
  <conditionalFormatting sqref="N446:R446">
    <cfRule type="notContainsBlanks" dxfId="5851" priority="6062">
      <formula>LEN(TRIM(N446))&gt;0</formula>
    </cfRule>
  </conditionalFormatting>
  <conditionalFormatting sqref="N446:R446">
    <cfRule type="notContainsBlanks" dxfId="5850" priority="6061">
      <formula>LEN(TRIM(N446))&gt;0</formula>
    </cfRule>
  </conditionalFormatting>
  <conditionalFormatting sqref="N446:R446">
    <cfRule type="notContainsBlanks" dxfId="5849" priority="6059">
      <formula>LEN(TRIM(N446))&gt;0</formula>
    </cfRule>
    <cfRule type="notContainsBlanks" dxfId="5848" priority="6060">
      <formula>LEN(TRIM(N446))&gt;0</formula>
    </cfRule>
  </conditionalFormatting>
  <conditionalFormatting sqref="N446:R446">
    <cfRule type="notContainsBlanks" dxfId="5847" priority="6058">
      <formula>LEN(TRIM(N446))&gt;0</formula>
    </cfRule>
  </conditionalFormatting>
  <conditionalFormatting sqref="N446:R446">
    <cfRule type="notContainsBlanks" dxfId="5846" priority="6057">
      <formula>LEN(TRIM(N446))&gt;0</formula>
    </cfRule>
  </conditionalFormatting>
  <conditionalFormatting sqref="N446:R446">
    <cfRule type="notContainsBlanks" dxfId="5845" priority="6056">
      <formula>LEN(TRIM(N446))&gt;0</formula>
    </cfRule>
  </conditionalFormatting>
  <conditionalFormatting sqref="N446:R446">
    <cfRule type="notContainsBlanks" dxfId="5844" priority="6055">
      <formula>LEN(TRIM(N446))&gt;0</formula>
    </cfRule>
  </conditionalFormatting>
  <conditionalFormatting sqref="N446:R446">
    <cfRule type="notContainsBlanks" dxfId="5843" priority="6054">
      <formula>LEN(TRIM(N446))&gt;0</formula>
    </cfRule>
  </conditionalFormatting>
  <conditionalFormatting sqref="N446:R446">
    <cfRule type="notContainsBlanks" dxfId="5842" priority="6053">
      <formula>LEN(TRIM(N446))&gt;0</formula>
    </cfRule>
  </conditionalFormatting>
  <conditionalFormatting sqref="N446:R446">
    <cfRule type="notContainsBlanks" dxfId="5841" priority="6052">
      <formula>LEN(TRIM(N446))&gt;0</formula>
    </cfRule>
  </conditionalFormatting>
  <conditionalFormatting sqref="N446:R446">
    <cfRule type="notContainsBlanks" dxfId="5840" priority="6051">
      <formula>LEN(TRIM(N446))&gt;0</formula>
    </cfRule>
  </conditionalFormatting>
  <conditionalFormatting sqref="N446:R446">
    <cfRule type="notContainsBlanks" dxfId="5839" priority="6050">
      <formula>LEN(TRIM(N446))&gt;0</formula>
    </cfRule>
  </conditionalFormatting>
  <conditionalFormatting sqref="N446:R446">
    <cfRule type="notContainsBlanks" priority="6049">
      <formula>LEN(TRIM(N446))&gt;0</formula>
    </cfRule>
  </conditionalFormatting>
  <conditionalFormatting sqref="N446:R446">
    <cfRule type="notContainsBlanks" dxfId="5838" priority="6048">
      <formula>LEN(TRIM(N446))&gt;0</formula>
    </cfRule>
  </conditionalFormatting>
  <conditionalFormatting sqref="N446:R446">
    <cfRule type="notContainsBlanks" dxfId="5837" priority="6047">
      <formula>LEN(TRIM(N446))&gt;0</formula>
    </cfRule>
  </conditionalFormatting>
  <conditionalFormatting sqref="N446:R446">
    <cfRule type="notContainsBlanks" dxfId="5836" priority="6046">
      <formula>LEN(TRIM(N446))&gt;0</formula>
    </cfRule>
  </conditionalFormatting>
  <conditionalFormatting sqref="N446:R446">
    <cfRule type="notContainsBlanks" dxfId="5835" priority="6045">
      <formula>LEN(TRIM(N446))&gt;0</formula>
    </cfRule>
  </conditionalFormatting>
  <conditionalFormatting sqref="N446:R446">
    <cfRule type="notContainsBlanks" dxfId="5834" priority="6044">
      <formula>LEN(TRIM(N446))&gt;0</formula>
    </cfRule>
  </conditionalFormatting>
  <conditionalFormatting sqref="N459:R459">
    <cfRule type="notContainsBlanks" dxfId="5833" priority="6043">
      <formula>LEN(TRIM(N459))&gt;0</formula>
    </cfRule>
  </conditionalFormatting>
  <conditionalFormatting sqref="N459:R459">
    <cfRule type="notContainsBlanks" dxfId="5832" priority="6042">
      <formula>LEN(TRIM(N459))&gt;0</formula>
    </cfRule>
  </conditionalFormatting>
  <conditionalFormatting sqref="N459:R459">
    <cfRule type="notContainsBlanks" dxfId="5831" priority="6041">
      <formula>LEN(TRIM(N459))&gt;0</formula>
    </cfRule>
  </conditionalFormatting>
  <conditionalFormatting sqref="N459:R459">
    <cfRule type="notContainsBlanks" dxfId="5830" priority="6040">
      <formula>LEN(TRIM(N459))&gt;0</formula>
    </cfRule>
  </conditionalFormatting>
  <conditionalFormatting sqref="N459:R459">
    <cfRule type="notContainsBlanks" dxfId="5829" priority="6039">
      <formula>LEN(TRIM(N459))&gt;0</formula>
    </cfRule>
  </conditionalFormatting>
  <conditionalFormatting sqref="N459:R459">
    <cfRule type="notContainsBlanks" dxfId="5828" priority="6038">
      <formula>LEN(TRIM(N459))&gt;0</formula>
    </cfRule>
  </conditionalFormatting>
  <conditionalFormatting sqref="N459:R459">
    <cfRule type="notContainsBlanks" dxfId="5827" priority="6037">
      <formula>LEN(TRIM(N459))&gt;0</formula>
    </cfRule>
  </conditionalFormatting>
  <conditionalFormatting sqref="N459:R459">
    <cfRule type="notContainsBlanks" dxfId="5826" priority="6036">
      <formula>LEN(TRIM(N459))&gt;0</formula>
    </cfRule>
  </conditionalFormatting>
  <conditionalFormatting sqref="N459:R459">
    <cfRule type="notContainsBlanks" dxfId="5825" priority="6035">
      <formula>LEN(TRIM(N459))&gt;0</formula>
    </cfRule>
  </conditionalFormatting>
  <conditionalFormatting sqref="N459:R459">
    <cfRule type="notContainsBlanks" dxfId="5824" priority="6033">
      <formula>LEN(TRIM(N459))&gt;0</formula>
    </cfRule>
    <cfRule type="notContainsBlanks" dxfId="5823" priority="6034">
      <formula>LEN(TRIM(N459))&gt;0</formula>
    </cfRule>
  </conditionalFormatting>
  <conditionalFormatting sqref="N459:R459">
    <cfRule type="notContainsBlanks" dxfId="5822" priority="6032">
      <formula>LEN(TRIM(N459))&gt;0</formula>
    </cfRule>
  </conditionalFormatting>
  <conditionalFormatting sqref="N459:R459">
    <cfRule type="notContainsBlanks" dxfId="5821" priority="6031">
      <formula>LEN(TRIM(N459))&gt;0</formula>
    </cfRule>
  </conditionalFormatting>
  <conditionalFormatting sqref="N459:R459">
    <cfRule type="notContainsBlanks" dxfId="5820" priority="6030">
      <formula>LEN(TRIM(N459))&gt;0</formula>
    </cfRule>
  </conditionalFormatting>
  <conditionalFormatting sqref="N459:R459">
    <cfRule type="notContainsBlanks" dxfId="5819" priority="6029">
      <formula>LEN(TRIM(N459))&gt;0</formula>
    </cfRule>
  </conditionalFormatting>
  <conditionalFormatting sqref="N459:R459">
    <cfRule type="notContainsBlanks" dxfId="5818" priority="6028">
      <formula>LEN(TRIM(N459))&gt;0</formula>
    </cfRule>
  </conditionalFormatting>
  <conditionalFormatting sqref="N459:R459">
    <cfRule type="notContainsBlanks" dxfId="5817" priority="6027">
      <formula>LEN(TRIM(N459))&gt;0</formula>
    </cfRule>
  </conditionalFormatting>
  <conditionalFormatting sqref="N459:R459">
    <cfRule type="notContainsBlanks" dxfId="5816" priority="6026">
      <formula>LEN(TRIM(N459))&gt;0</formula>
    </cfRule>
  </conditionalFormatting>
  <conditionalFormatting sqref="N459:R459">
    <cfRule type="notContainsBlanks" dxfId="5815" priority="6025">
      <formula>LEN(TRIM(N459))&gt;0</formula>
    </cfRule>
  </conditionalFormatting>
  <conditionalFormatting sqref="N459:R459">
    <cfRule type="notContainsBlanks" dxfId="5814" priority="6024">
      <formula>LEN(TRIM(N459))&gt;0</formula>
    </cfRule>
  </conditionalFormatting>
  <conditionalFormatting sqref="N459:R459">
    <cfRule type="notContainsBlanks" priority="6023">
      <formula>LEN(TRIM(N459))&gt;0</formula>
    </cfRule>
  </conditionalFormatting>
  <conditionalFormatting sqref="N459:R459">
    <cfRule type="notContainsBlanks" dxfId="5813" priority="6022">
      <formula>LEN(TRIM(N459))&gt;0</formula>
    </cfRule>
  </conditionalFormatting>
  <conditionalFormatting sqref="N459:R459">
    <cfRule type="notContainsBlanks" dxfId="5812" priority="6021">
      <formula>LEN(TRIM(N459))&gt;0</formula>
    </cfRule>
  </conditionalFormatting>
  <conditionalFormatting sqref="N459:R459">
    <cfRule type="notContainsBlanks" dxfId="5811" priority="6020">
      <formula>LEN(TRIM(N459))&gt;0</formula>
    </cfRule>
  </conditionalFormatting>
  <conditionalFormatting sqref="N459:R459">
    <cfRule type="notContainsBlanks" dxfId="5810" priority="6019">
      <formula>LEN(TRIM(N459))&gt;0</formula>
    </cfRule>
  </conditionalFormatting>
  <conditionalFormatting sqref="N459:R459">
    <cfRule type="notContainsBlanks" dxfId="5809" priority="6018">
      <formula>LEN(TRIM(N459))&gt;0</formula>
    </cfRule>
  </conditionalFormatting>
  <conditionalFormatting sqref="N472:R472">
    <cfRule type="notContainsBlanks" dxfId="5808" priority="6017">
      <formula>LEN(TRIM(N472))&gt;0</formula>
    </cfRule>
  </conditionalFormatting>
  <conditionalFormatting sqref="N472:R472">
    <cfRule type="notContainsBlanks" dxfId="5807" priority="6016">
      <formula>LEN(TRIM(N472))&gt;0</formula>
    </cfRule>
  </conditionalFormatting>
  <conditionalFormatting sqref="N472:R472">
    <cfRule type="notContainsBlanks" dxfId="5806" priority="6015">
      <formula>LEN(TRIM(N472))&gt;0</formula>
    </cfRule>
  </conditionalFormatting>
  <conditionalFormatting sqref="N472:R472">
    <cfRule type="notContainsBlanks" dxfId="5805" priority="6014">
      <formula>LEN(TRIM(N472))&gt;0</formula>
    </cfRule>
  </conditionalFormatting>
  <conditionalFormatting sqref="N472:R472">
    <cfRule type="notContainsBlanks" dxfId="5804" priority="6013">
      <formula>LEN(TRIM(N472))&gt;0</formula>
    </cfRule>
  </conditionalFormatting>
  <conditionalFormatting sqref="N472:R472">
    <cfRule type="notContainsBlanks" dxfId="5803" priority="6012">
      <formula>LEN(TRIM(N472))&gt;0</formula>
    </cfRule>
  </conditionalFormatting>
  <conditionalFormatting sqref="N472:R472">
    <cfRule type="notContainsBlanks" dxfId="5802" priority="6011">
      <formula>LEN(TRIM(N472))&gt;0</formula>
    </cfRule>
  </conditionalFormatting>
  <conditionalFormatting sqref="N472:R472">
    <cfRule type="notContainsBlanks" dxfId="5801" priority="6010">
      <formula>LEN(TRIM(N472))&gt;0</formula>
    </cfRule>
  </conditionalFormatting>
  <conditionalFormatting sqref="N472:R472">
    <cfRule type="notContainsBlanks" dxfId="5800" priority="6009">
      <formula>LEN(TRIM(N472))&gt;0</formula>
    </cfRule>
  </conditionalFormatting>
  <conditionalFormatting sqref="N472:R472">
    <cfRule type="notContainsBlanks" dxfId="5799" priority="6007">
      <formula>LEN(TRIM(N472))&gt;0</formula>
    </cfRule>
    <cfRule type="notContainsBlanks" dxfId="5798" priority="6008">
      <formula>LEN(TRIM(N472))&gt;0</formula>
    </cfRule>
  </conditionalFormatting>
  <conditionalFormatting sqref="N472:R472">
    <cfRule type="notContainsBlanks" dxfId="5797" priority="6006">
      <formula>LEN(TRIM(N472))&gt;0</formula>
    </cfRule>
  </conditionalFormatting>
  <conditionalFormatting sqref="N472:R472">
    <cfRule type="notContainsBlanks" dxfId="5796" priority="6005">
      <formula>LEN(TRIM(N472))&gt;0</formula>
    </cfRule>
  </conditionalFormatting>
  <conditionalFormatting sqref="N472:R472">
    <cfRule type="notContainsBlanks" dxfId="5795" priority="6004">
      <formula>LEN(TRIM(N472))&gt;0</formula>
    </cfRule>
  </conditionalFormatting>
  <conditionalFormatting sqref="N472:R472">
    <cfRule type="notContainsBlanks" dxfId="5794" priority="6003">
      <formula>LEN(TRIM(N472))&gt;0</formula>
    </cfRule>
  </conditionalFormatting>
  <conditionalFormatting sqref="N472:R472">
    <cfRule type="notContainsBlanks" dxfId="5793" priority="6002">
      <formula>LEN(TRIM(N472))&gt;0</formula>
    </cfRule>
  </conditionalFormatting>
  <conditionalFormatting sqref="N472:R472">
    <cfRule type="notContainsBlanks" dxfId="5792" priority="6001">
      <formula>LEN(TRIM(N472))&gt;0</formula>
    </cfRule>
  </conditionalFormatting>
  <conditionalFormatting sqref="N472:R472">
    <cfRule type="notContainsBlanks" dxfId="5791" priority="6000">
      <formula>LEN(TRIM(N472))&gt;0</formula>
    </cfRule>
  </conditionalFormatting>
  <conditionalFormatting sqref="N472:R472">
    <cfRule type="notContainsBlanks" dxfId="5790" priority="5999">
      <formula>LEN(TRIM(N472))&gt;0</formula>
    </cfRule>
  </conditionalFormatting>
  <conditionalFormatting sqref="N472:R472">
    <cfRule type="notContainsBlanks" dxfId="5789" priority="5998">
      <formula>LEN(TRIM(N472))&gt;0</formula>
    </cfRule>
  </conditionalFormatting>
  <conditionalFormatting sqref="N472:R472">
    <cfRule type="notContainsBlanks" priority="5997">
      <formula>LEN(TRIM(N472))&gt;0</formula>
    </cfRule>
  </conditionalFormatting>
  <conditionalFormatting sqref="N472:R472">
    <cfRule type="notContainsBlanks" dxfId="5788" priority="5996">
      <formula>LEN(TRIM(N472))&gt;0</formula>
    </cfRule>
  </conditionalFormatting>
  <conditionalFormatting sqref="N472:R472">
    <cfRule type="notContainsBlanks" dxfId="5787" priority="5995">
      <formula>LEN(TRIM(N472))&gt;0</formula>
    </cfRule>
  </conditionalFormatting>
  <conditionalFormatting sqref="N472:R472">
    <cfRule type="notContainsBlanks" dxfId="5786" priority="5994">
      <formula>LEN(TRIM(N472))&gt;0</formula>
    </cfRule>
  </conditionalFormatting>
  <conditionalFormatting sqref="N472:R472">
    <cfRule type="notContainsBlanks" dxfId="5785" priority="5993">
      <formula>LEN(TRIM(N472))&gt;0</formula>
    </cfRule>
  </conditionalFormatting>
  <conditionalFormatting sqref="N472:R472">
    <cfRule type="notContainsBlanks" dxfId="5784" priority="5992">
      <formula>LEN(TRIM(N472))&gt;0</formula>
    </cfRule>
  </conditionalFormatting>
  <conditionalFormatting sqref="N485:R485">
    <cfRule type="notContainsBlanks" dxfId="5783" priority="5991">
      <formula>LEN(TRIM(N485))&gt;0</formula>
    </cfRule>
  </conditionalFormatting>
  <conditionalFormatting sqref="N485:R485">
    <cfRule type="notContainsBlanks" dxfId="5782" priority="5990">
      <formula>LEN(TRIM(N485))&gt;0</formula>
    </cfRule>
  </conditionalFormatting>
  <conditionalFormatting sqref="N485:R485">
    <cfRule type="notContainsBlanks" dxfId="5781" priority="5989">
      <formula>LEN(TRIM(N485))&gt;0</formula>
    </cfRule>
  </conditionalFormatting>
  <conditionalFormatting sqref="N485:R485">
    <cfRule type="notContainsBlanks" dxfId="5780" priority="5988">
      <formula>LEN(TRIM(N485))&gt;0</formula>
    </cfRule>
  </conditionalFormatting>
  <conditionalFormatting sqref="N485:R485">
    <cfRule type="notContainsBlanks" dxfId="5779" priority="5987">
      <formula>LEN(TRIM(N485))&gt;0</formula>
    </cfRule>
  </conditionalFormatting>
  <conditionalFormatting sqref="N485:R485">
    <cfRule type="notContainsBlanks" dxfId="5778" priority="5986">
      <formula>LEN(TRIM(N485))&gt;0</formula>
    </cfRule>
  </conditionalFormatting>
  <conditionalFormatting sqref="N485:R485">
    <cfRule type="notContainsBlanks" dxfId="5777" priority="5985">
      <formula>LEN(TRIM(N485))&gt;0</formula>
    </cfRule>
  </conditionalFormatting>
  <conditionalFormatting sqref="N485:R485">
    <cfRule type="notContainsBlanks" dxfId="5776" priority="5984">
      <formula>LEN(TRIM(N485))&gt;0</formula>
    </cfRule>
  </conditionalFormatting>
  <conditionalFormatting sqref="N485:R485">
    <cfRule type="notContainsBlanks" dxfId="5775" priority="5983">
      <formula>LEN(TRIM(N485))&gt;0</formula>
    </cfRule>
  </conditionalFormatting>
  <conditionalFormatting sqref="N485:R485">
    <cfRule type="notContainsBlanks" dxfId="5774" priority="5981">
      <formula>LEN(TRIM(N485))&gt;0</formula>
    </cfRule>
    <cfRule type="notContainsBlanks" dxfId="5773" priority="5982">
      <formula>LEN(TRIM(N485))&gt;0</formula>
    </cfRule>
  </conditionalFormatting>
  <conditionalFormatting sqref="N485:R485">
    <cfRule type="notContainsBlanks" dxfId="5772" priority="5980">
      <formula>LEN(TRIM(N485))&gt;0</formula>
    </cfRule>
  </conditionalFormatting>
  <conditionalFormatting sqref="N485:R485">
    <cfRule type="notContainsBlanks" dxfId="5771" priority="5979">
      <formula>LEN(TRIM(N485))&gt;0</formula>
    </cfRule>
  </conditionalFormatting>
  <conditionalFormatting sqref="N485:R485">
    <cfRule type="notContainsBlanks" dxfId="5770" priority="5978">
      <formula>LEN(TRIM(N485))&gt;0</formula>
    </cfRule>
  </conditionalFormatting>
  <conditionalFormatting sqref="N485:R485">
    <cfRule type="notContainsBlanks" dxfId="5769" priority="5977">
      <formula>LEN(TRIM(N485))&gt;0</formula>
    </cfRule>
  </conditionalFormatting>
  <conditionalFormatting sqref="N485:R485">
    <cfRule type="notContainsBlanks" dxfId="5768" priority="5976">
      <formula>LEN(TRIM(N485))&gt;0</formula>
    </cfRule>
  </conditionalFormatting>
  <conditionalFormatting sqref="N485:R485">
    <cfRule type="notContainsBlanks" dxfId="5767" priority="5975">
      <formula>LEN(TRIM(N485))&gt;0</formula>
    </cfRule>
  </conditionalFormatting>
  <conditionalFormatting sqref="N485:R485">
    <cfRule type="notContainsBlanks" dxfId="5766" priority="5974">
      <formula>LEN(TRIM(N485))&gt;0</formula>
    </cfRule>
  </conditionalFormatting>
  <conditionalFormatting sqref="N485:R485">
    <cfRule type="notContainsBlanks" dxfId="5765" priority="5973">
      <formula>LEN(TRIM(N485))&gt;0</formula>
    </cfRule>
  </conditionalFormatting>
  <conditionalFormatting sqref="N485:R485">
    <cfRule type="notContainsBlanks" dxfId="5764" priority="5972">
      <formula>LEN(TRIM(N485))&gt;0</formula>
    </cfRule>
  </conditionalFormatting>
  <conditionalFormatting sqref="N485:R485">
    <cfRule type="notContainsBlanks" priority="5971">
      <formula>LEN(TRIM(N485))&gt;0</formula>
    </cfRule>
  </conditionalFormatting>
  <conditionalFormatting sqref="N485:R485">
    <cfRule type="notContainsBlanks" dxfId="5763" priority="5970">
      <formula>LEN(TRIM(N485))&gt;0</formula>
    </cfRule>
  </conditionalFormatting>
  <conditionalFormatting sqref="N485:R485">
    <cfRule type="notContainsBlanks" dxfId="5762" priority="5969">
      <formula>LEN(TRIM(N485))&gt;0</formula>
    </cfRule>
  </conditionalFormatting>
  <conditionalFormatting sqref="N485:R485">
    <cfRule type="notContainsBlanks" dxfId="5761" priority="5968">
      <formula>LEN(TRIM(N485))&gt;0</formula>
    </cfRule>
  </conditionalFormatting>
  <conditionalFormatting sqref="N485:R485">
    <cfRule type="notContainsBlanks" dxfId="5760" priority="5967">
      <formula>LEN(TRIM(N485))&gt;0</formula>
    </cfRule>
  </conditionalFormatting>
  <conditionalFormatting sqref="N485:R485">
    <cfRule type="notContainsBlanks" dxfId="5759" priority="5966">
      <formula>LEN(TRIM(N485))&gt;0</formula>
    </cfRule>
  </conditionalFormatting>
  <conditionalFormatting sqref="N498:R498">
    <cfRule type="notContainsBlanks" dxfId="5758" priority="5965">
      <formula>LEN(TRIM(N498))&gt;0</formula>
    </cfRule>
  </conditionalFormatting>
  <conditionalFormatting sqref="N498:R498">
    <cfRule type="notContainsBlanks" dxfId="5757" priority="5964">
      <formula>LEN(TRIM(N498))&gt;0</formula>
    </cfRule>
  </conditionalFormatting>
  <conditionalFormatting sqref="N498:R498">
    <cfRule type="notContainsBlanks" dxfId="5756" priority="5963">
      <formula>LEN(TRIM(N498))&gt;0</formula>
    </cfRule>
  </conditionalFormatting>
  <conditionalFormatting sqref="N498:R498">
    <cfRule type="notContainsBlanks" dxfId="5755" priority="5962">
      <formula>LEN(TRIM(N498))&gt;0</formula>
    </cfRule>
  </conditionalFormatting>
  <conditionalFormatting sqref="N498:R498">
    <cfRule type="notContainsBlanks" dxfId="5754" priority="5961">
      <formula>LEN(TRIM(N498))&gt;0</formula>
    </cfRule>
  </conditionalFormatting>
  <conditionalFormatting sqref="N498:R498">
    <cfRule type="notContainsBlanks" dxfId="5753" priority="5960">
      <formula>LEN(TRIM(N498))&gt;0</formula>
    </cfRule>
  </conditionalFormatting>
  <conditionalFormatting sqref="N498:R498">
    <cfRule type="notContainsBlanks" dxfId="5752" priority="5959">
      <formula>LEN(TRIM(N498))&gt;0</formula>
    </cfRule>
  </conditionalFormatting>
  <conditionalFormatting sqref="N498:R498">
    <cfRule type="notContainsBlanks" dxfId="5751" priority="5958">
      <formula>LEN(TRIM(N498))&gt;0</formula>
    </cfRule>
  </conditionalFormatting>
  <conditionalFormatting sqref="N498:R498">
    <cfRule type="notContainsBlanks" dxfId="5750" priority="5957">
      <formula>LEN(TRIM(N498))&gt;0</formula>
    </cfRule>
  </conditionalFormatting>
  <conditionalFormatting sqref="N498:R498">
    <cfRule type="notContainsBlanks" dxfId="5749" priority="5955">
      <formula>LEN(TRIM(N498))&gt;0</formula>
    </cfRule>
    <cfRule type="notContainsBlanks" dxfId="5748" priority="5956">
      <formula>LEN(TRIM(N498))&gt;0</formula>
    </cfRule>
  </conditionalFormatting>
  <conditionalFormatting sqref="N498:R498">
    <cfRule type="notContainsBlanks" dxfId="5747" priority="5954">
      <formula>LEN(TRIM(N498))&gt;0</formula>
    </cfRule>
  </conditionalFormatting>
  <conditionalFormatting sqref="N498:R498">
    <cfRule type="notContainsBlanks" dxfId="5746" priority="5953">
      <formula>LEN(TRIM(N498))&gt;0</formula>
    </cfRule>
  </conditionalFormatting>
  <conditionalFormatting sqref="N498:R498">
    <cfRule type="notContainsBlanks" dxfId="5745" priority="5952">
      <formula>LEN(TRIM(N498))&gt;0</formula>
    </cfRule>
  </conditionalFormatting>
  <conditionalFormatting sqref="N498:R498">
    <cfRule type="notContainsBlanks" dxfId="5744" priority="5951">
      <formula>LEN(TRIM(N498))&gt;0</formula>
    </cfRule>
  </conditionalFormatting>
  <conditionalFormatting sqref="N498:R498">
    <cfRule type="notContainsBlanks" dxfId="5743" priority="5950">
      <formula>LEN(TRIM(N498))&gt;0</formula>
    </cfRule>
  </conditionalFormatting>
  <conditionalFormatting sqref="N498:R498">
    <cfRule type="notContainsBlanks" dxfId="5742" priority="5949">
      <formula>LEN(TRIM(N498))&gt;0</formula>
    </cfRule>
  </conditionalFormatting>
  <conditionalFormatting sqref="N498:R498">
    <cfRule type="notContainsBlanks" dxfId="5741" priority="5948">
      <formula>LEN(TRIM(N498))&gt;0</formula>
    </cfRule>
  </conditionalFormatting>
  <conditionalFormatting sqref="N498:R498">
    <cfRule type="notContainsBlanks" dxfId="5740" priority="5947">
      <formula>LEN(TRIM(N498))&gt;0</formula>
    </cfRule>
  </conditionalFormatting>
  <conditionalFormatting sqref="N498:R498">
    <cfRule type="notContainsBlanks" dxfId="5739" priority="5946">
      <formula>LEN(TRIM(N498))&gt;0</formula>
    </cfRule>
  </conditionalFormatting>
  <conditionalFormatting sqref="N498:R498">
    <cfRule type="notContainsBlanks" priority="5945">
      <formula>LEN(TRIM(N498))&gt;0</formula>
    </cfRule>
  </conditionalFormatting>
  <conditionalFormatting sqref="N498:R498">
    <cfRule type="notContainsBlanks" dxfId="5738" priority="5944">
      <formula>LEN(TRIM(N498))&gt;0</formula>
    </cfRule>
  </conditionalFormatting>
  <conditionalFormatting sqref="N498:R498">
    <cfRule type="notContainsBlanks" dxfId="5737" priority="5943">
      <formula>LEN(TRIM(N498))&gt;0</formula>
    </cfRule>
  </conditionalFormatting>
  <conditionalFormatting sqref="N498:R498">
    <cfRule type="notContainsBlanks" dxfId="5736" priority="5942">
      <formula>LEN(TRIM(N498))&gt;0</formula>
    </cfRule>
  </conditionalFormatting>
  <conditionalFormatting sqref="N498:R498">
    <cfRule type="notContainsBlanks" dxfId="5735" priority="5941">
      <formula>LEN(TRIM(N498))&gt;0</formula>
    </cfRule>
  </conditionalFormatting>
  <conditionalFormatting sqref="N498:R498">
    <cfRule type="notContainsBlanks" dxfId="5734" priority="5940">
      <formula>LEN(TRIM(N498))&gt;0</formula>
    </cfRule>
  </conditionalFormatting>
  <conditionalFormatting sqref="N511:R511">
    <cfRule type="notContainsBlanks" dxfId="5733" priority="5939">
      <formula>LEN(TRIM(N511))&gt;0</formula>
    </cfRule>
  </conditionalFormatting>
  <conditionalFormatting sqref="N511:R511">
    <cfRule type="notContainsBlanks" dxfId="5732" priority="5938">
      <formula>LEN(TRIM(N511))&gt;0</formula>
    </cfRule>
  </conditionalFormatting>
  <conditionalFormatting sqref="N511:R511">
    <cfRule type="notContainsBlanks" dxfId="5731" priority="5937">
      <formula>LEN(TRIM(N511))&gt;0</formula>
    </cfRule>
  </conditionalFormatting>
  <conditionalFormatting sqref="N511:R511">
    <cfRule type="notContainsBlanks" dxfId="5730" priority="5936">
      <formula>LEN(TRIM(N511))&gt;0</formula>
    </cfRule>
  </conditionalFormatting>
  <conditionalFormatting sqref="N511:R511">
    <cfRule type="notContainsBlanks" dxfId="5729" priority="5935">
      <formula>LEN(TRIM(N511))&gt;0</formula>
    </cfRule>
  </conditionalFormatting>
  <conditionalFormatting sqref="N511:R511">
    <cfRule type="notContainsBlanks" dxfId="5728" priority="5934">
      <formula>LEN(TRIM(N511))&gt;0</formula>
    </cfRule>
  </conditionalFormatting>
  <conditionalFormatting sqref="N511:R511">
    <cfRule type="notContainsBlanks" dxfId="5727" priority="5933">
      <formula>LEN(TRIM(N511))&gt;0</formula>
    </cfRule>
  </conditionalFormatting>
  <conditionalFormatting sqref="N511:R511">
    <cfRule type="notContainsBlanks" dxfId="5726" priority="5932">
      <formula>LEN(TRIM(N511))&gt;0</formula>
    </cfRule>
  </conditionalFormatting>
  <conditionalFormatting sqref="N511:R511">
    <cfRule type="notContainsBlanks" dxfId="5725" priority="5931">
      <formula>LEN(TRIM(N511))&gt;0</formula>
    </cfRule>
  </conditionalFormatting>
  <conditionalFormatting sqref="N511:R511">
    <cfRule type="notContainsBlanks" dxfId="5724" priority="5929">
      <formula>LEN(TRIM(N511))&gt;0</formula>
    </cfRule>
    <cfRule type="notContainsBlanks" dxfId="5723" priority="5930">
      <formula>LEN(TRIM(N511))&gt;0</formula>
    </cfRule>
  </conditionalFormatting>
  <conditionalFormatting sqref="N511:R511">
    <cfRule type="notContainsBlanks" dxfId="5722" priority="5928">
      <formula>LEN(TRIM(N511))&gt;0</formula>
    </cfRule>
  </conditionalFormatting>
  <conditionalFormatting sqref="N511:R511">
    <cfRule type="notContainsBlanks" dxfId="5721" priority="5927">
      <formula>LEN(TRIM(N511))&gt;0</formula>
    </cfRule>
  </conditionalFormatting>
  <conditionalFormatting sqref="N511:R511">
    <cfRule type="notContainsBlanks" dxfId="5720" priority="5926">
      <formula>LEN(TRIM(N511))&gt;0</formula>
    </cfRule>
  </conditionalFormatting>
  <conditionalFormatting sqref="N511:R511">
    <cfRule type="notContainsBlanks" dxfId="5719" priority="5925">
      <formula>LEN(TRIM(N511))&gt;0</formula>
    </cfRule>
  </conditionalFormatting>
  <conditionalFormatting sqref="N511:R511">
    <cfRule type="notContainsBlanks" dxfId="5718" priority="5924">
      <formula>LEN(TRIM(N511))&gt;0</formula>
    </cfRule>
  </conditionalFormatting>
  <conditionalFormatting sqref="N511:R511">
    <cfRule type="notContainsBlanks" dxfId="5717" priority="5923">
      <formula>LEN(TRIM(N511))&gt;0</formula>
    </cfRule>
  </conditionalFormatting>
  <conditionalFormatting sqref="N511:R511">
    <cfRule type="notContainsBlanks" dxfId="5716" priority="5922">
      <formula>LEN(TRIM(N511))&gt;0</formula>
    </cfRule>
  </conditionalFormatting>
  <conditionalFormatting sqref="N511:R511">
    <cfRule type="notContainsBlanks" dxfId="5715" priority="5921">
      <formula>LEN(TRIM(N511))&gt;0</formula>
    </cfRule>
  </conditionalFormatting>
  <conditionalFormatting sqref="N511:R511">
    <cfRule type="notContainsBlanks" dxfId="5714" priority="5920">
      <formula>LEN(TRIM(N511))&gt;0</formula>
    </cfRule>
  </conditionalFormatting>
  <conditionalFormatting sqref="N511:R511">
    <cfRule type="notContainsBlanks" priority="5919">
      <formula>LEN(TRIM(N511))&gt;0</formula>
    </cfRule>
  </conditionalFormatting>
  <conditionalFormatting sqref="N511:R511">
    <cfRule type="notContainsBlanks" dxfId="5713" priority="5918">
      <formula>LEN(TRIM(N511))&gt;0</formula>
    </cfRule>
  </conditionalFormatting>
  <conditionalFormatting sqref="N511:R511">
    <cfRule type="notContainsBlanks" dxfId="5712" priority="5917">
      <formula>LEN(TRIM(N511))&gt;0</formula>
    </cfRule>
  </conditionalFormatting>
  <conditionalFormatting sqref="N511:R511">
    <cfRule type="notContainsBlanks" dxfId="5711" priority="5916">
      <formula>LEN(TRIM(N511))&gt;0</formula>
    </cfRule>
  </conditionalFormatting>
  <conditionalFormatting sqref="N511:R511">
    <cfRule type="notContainsBlanks" dxfId="5710" priority="5915">
      <formula>LEN(TRIM(N511))&gt;0</formula>
    </cfRule>
  </conditionalFormatting>
  <conditionalFormatting sqref="N511:R511">
    <cfRule type="notContainsBlanks" dxfId="5709" priority="5914">
      <formula>LEN(TRIM(N511))&gt;0</formula>
    </cfRule>
  </conditionalFormatting>
  <conditionalFormatting sqref="N537:R537">
    <cfRule type="notContainsBlanks" dxfId="5708" priority="5913">
      <formula>LEN(TRIM(N537))&gt;0</formula>
    </cfRule>
  </conditionalFormatting>
  <conditionalFormatting sqref="N537:R537">
    <cfRule type="notContainsBlanks" dxfId="5707" priority="5912">
      <formula>LEN(TRIM(N537))&gt;0</formula>
    </cfRule>
  </conditionalFormatting>
  <conditionalFormatting sqref="N537:R537">
    <cfRule type="notContainsBlanks" dxfId="5706" priority="5911">
      <formula>LEN(TRIM(N537))&gt;0</formula>
    </cfRule>
  </conditionalFormatting>
  <conditionalFormatting sqref="N537:R537">
    <cfRule type="notContainsBlanks" dxfId="5705" priority="5910">
      <formula>LEN(TRIM(N537))&gt;0</formula>
    </cfRule>
  </conditionalFormatting>
  <conditionalFormatting sqref="N537:R537">
    <cfRule type="notContainsBlanks" dxfId="5704" priority="5909">
      <formula>LEN(TRIM(N537))&gt;0</formula>
    </cfRule>
  </conditionalFormatting>
  <conditionalFormatting sqref="N537:R537">
    <cfRule type="notContainsBlanks" dxfId="5703" priority="5908">
      <formula>LEN(TRIM(N537))&gt;0</formula>
    </cfRule>
  </conditionalFormatting>
  <conditionalFormatting sqref="N537:R537">
    <cfRule type="notContainsBlanks" dxfId="5702" priority="5907">
      <formula>LEN(TRIM(N537))&gt;0</formula>
    </cfRule>
  </conditionalFormatting>
  <conditionalFormatting sqref="N537:R537">
    <cfRule type="notContainsBlanks" dxfId="5701" priority="5906">
      <formula>LEN(TRIM(N537))&gt;0</formula>
    </cfRule>
  </conditionalFormatting>
  <conditionalFormatting sqref="N537:R537">
    <cfRule type="notContainsBlanks" dxfId="5700" priority="5905">
      <formula>LEN(TRIM(N537))&gt;0</formula>
    </cfRule>
  </conditionalFormatting>
  <conditionalFormatting sqref="N537:R537">
    <cfRule type="notContainsBlanks" dxfId="5699" priority="5903">
      <formula>LEN(TRIM(N537))&gt;0</formula>
    </cfRule>
    <cfRule type="notContainsBlanks" dxfId="5698" priority="5904">
      <formula>LEN(TRIM(N537))&gt;0</formula>
    </cfRule>
  </conditionalFormatting>
  <conditionalFormatting sqref="N537:R537">
    <cfRule type="notContainsBlanks" dxfId="5697" priority="5902">
      <formula>LEN(TRIM(N537))&gt;0</formula>
    </cfRule>
  </conditionalFormatting>
  <conditionalFormatting sqref="N537:R537">
    <cfRule type="notContainsBlanks" dxfId="5696" priority="5901">
      <formula>LEN(TRIM(N537))&gt;0</formula>
    </cfRule>
  </conditionalFormatting>
  <conditionalFormatting sqref="N537:R537">
    <cfRule type="notContainsBlanks" dxfId="5695" priority="5900">
      <formula>LEN(TRIM(N537))&gt;0</formula>
    </cfRule>
  </conditionalFormatting>
  <conditionalFormatting sqref="N537:R537">
    <cfRule type="notContainsBlanks" dxfId="5694" priority="5899">
      <formula>LEN(TRIM(N537))&gt;0</formula>
    </cfRule>
  </conditionalFormatting>
  <conditionalFormatting sqref="N537:R537">
    <cfRule type="notContainsBlanks" dxfId="5693" priority="5898">
      <formula>LEN(TRIM(N537))&gt;0</formula>
    </cfRule>
  </conditionalFormatting>
  <conditionalFormatting sqref="N537:R537">
    <cfRule type="notContainsBlanks" dxfId="5692" priority="5897">
      <formula>LEN(TRIM(N537))&gt;0</formula>
    </cfRule>
  </conditionalFormatting>
  <conditionalFormatting sqref="N537:R537">
    <cfRule type="notContainsBlanks" dxfId="5691" priority="5896">
      <formula>LEN(TRIM(N537))&gt;0</formula>
    </cfRule>
  </conditionalFormatting>
  <conditionalFormatting sqref="N537:R537">
    <cfRule type="notContainsBlanks" dxfId="5690" priority="5895">
      <formula>LEN(TRIM(N537))&gt;0</formula>
    </cfRule>
  </conditionalFormatting>
  <conditionalFormatting sqref="N537:R537">
    <cfRule type="notContainsBlanks" dxfId="5689" priority="5894">
      <formula>LEN(TRIM(N537))&gt;0</formula>
    </cfRule>
  </conditionalFormatting>
  <conditionalFormatting sqref="N537:R537">
    <cfRule type="notContainsBlanks" priority="5893">
      <formula>LEN(TRIM(N537))&gt;0</formula>
    </cfRule>
  </conditionalFormatting>
  <conditionalFormatting sqref="N537:R537">
    <cfRule type="notContainsBlanks" dxfId="5688" priority="5892">
      <formula>LEN(TRIM(N537))&gt;0</formula>
    </cfRule>
  </conditionalFormatting>
  <conditionalFormatting sqref="N537:R537">
    <cfRule type="notContainsBlanks" dxfId="5687" priority="5891">
      <formula>LEN(TRIM(N537))&gt;0</formula>
    </cfRule>
  </conditionalFormatting>
  <conditionalFormatting sqref="N537:R537">
    <cfRule type="notContainsBlanks" dxfId="5686" priority="5890">
      <formula>LEN(TRIM(N537))&gt;0</formula>
    </cfRule>
  </conditionalFormatting>
  <conditionalFormatting sqref="N537:R537">
    <cfRule type="notContainsBlanks" dxfId="5685" priority="5889">
      <formula>LEN(TRIM(N537))&gt;0</formula>
    </cfRule>
  </conditionalFormatting>
  <conditionalFormatting sqref="N537:R537">
    <cfRule type="notContainsBlanks" dxfId="5684" priority="5888">
      <formula>LEN(TRIM(N537))&gt;0</formula>
    </cfRule>
  </conditionalFormatting>
  <conditionalFormatting sqref="N550:R550">
    <cfRule type="notContainsBlanks" dxfId="5683" priority="5887">
      <formula>LEN(TRIM(N550))&gt;0</formula>
    </cfRule>
  </conditionalFormatting>
  <conditionalFormatting sqref="N550:R550">
    <cfRule type="notContainsBlanks" dxfId="5682" priority="5886">
      <formula>LEN(TRIM(N550))&gt;0</formula>
    </cfRule>
  </conditionalFormatting>
  <conditionalFormatting sqref="N550:R550">
    <cfRule type="notContainsBlanks" dxfId="5681" priority="5885">
      <formula>LEN(TRIM(N550))&gt;0</formula>
    </cfRule>
  </conditionalFormatting>
  <conditionalFormatting sqref="N550:R550">
    <cfRule type="notContainsBlanks" dxfId="5680" priority="5884">
      <formula>LEN(TRIM(N550))&gt;0</formula>
    </cfRule>
  </conditionalFormatting>
  <conditionalFormatting sqref="N550:R550">
    <cfRule type="notContainsBlanks" dxfId="5679" priority="5883">
      <formula>LEN(TRIM(N550))&gt;0</formula>
    </cfRule>
  </conditionalFormatting>
  <conditionalFormatting sqref="N550:R550">
    <cfRule type="notContainsBlanks" dxfId="5678" priority="5882">
      <formula>LEN(TRIM(N550))&gt;0</formula>
    </cfRule>
  </conditionalFormatting>
  <conditionalFormatting sqref="N550:R550">
    <cfRule type="notContainsBlanks" dxfId="5677" priority="5881">
      <formula>LEN(TRIM(N550))&gt;0</formula>
    </cfRule>
  </conditionalFormatting>
  <conditionalFormatting sqref="N550:R550">
    <cfRule type="notContainsBlanks" dxfId="5676" priority="5880">
      <formula>LEN(TRIM(N550))&gt;0</formula>
    </cfRule>
  </conditionalFormatting>
  <conditionalFormatting sqref="N550:R550">
    <cfRule type="notContainsBlanks" dxfId="5675" priority="5879">
      <formula>LEN(TRIM(N550))&gt;0</formula>
    </cfRule>
  </conditionalFormatting>
  <conditionalFormatting sqref="N550:R550">
    <cfRule type="notContainsBlanks" dxfId="5674" priority="5877">
      <formula>LEN(TRIM(N550))&gt;0</formula>
    </cfRule>
    <cfRule type="notContainsBlanks" dxfId="5673" priority="5878">
      <formula>LEN(TRIM(N550))&gt;0</formula>
    </cfRule>
  </conditionalFormatting>
  <conditionalFormatting sqref="N550:R550">
    <cfRule type="notContainsBlanks" dxfId="5672" priority="5876">
      <formula>LEN(TRIM(N550))&gt;0</formula>
    </cfRule>
  </conditionalFormatting>
  <conditionalFormatting sqref="N550:R550">
    <cfRule type="notContainsBlanks" dxfId="5671" priority="5875">
      <formula>LEN(TRIM(N550))&gt;0</formula>
    </cfRule>
  </conditionalFormatting>
  <conditionalFormatting sqref="N550:R550">
    <cfRule type="notContainsBlanks" dxfId="5670" priority="5874">
      <formula>LEN(TRIM(N550))&gt;0</formula>
    </cfRule>
  </conditionalFormatting>
  <conditionalFormatting sqref="N550:R550">
    <cfRule type="notContainsBlanks" dxfId="5669" priority="5873">
      <formula>LEN(TRIM(N550))&gt;0</formula>
    </cfRule>
  </conditionalFormatting>
  <conditionalFormatting sqref="N550:R550">
    <cfRule type="notContainsBlanks" dxfId="5668" priority="5872">
      <formula>LEN(TRIM(N550))&gt;0</formula>
    </cfRule>
  </conditionalFormatting>
  <conditionalFormatting sqref="N550:R550">
    <cfRule type="notContainsBlanks" dxfId="5667" priority="5871">
      <formula>LEN(TRIM(N550))&gt;0</formula>
    </cfRule>
  </conditionalFormatting>
  <conditionalFormatting sqref="N550:R550">
    <cfRule type="notContainsBlanks" dxfId="5666" priority="5870">
      <formula>LEN(TRIM(N550))&gt;0</formula>
    </cfRule>
  </conditionalFormatting>
  <conditionalFormatting sqref="N550:R550">
    <cfRule type="notContainsBlanks" dxfId="5665" priority="5869">
      <formula>LEN(TRIM(N550))&gt;0</formula>
    </cfRule>
  </conditionalFormatting>
  <conditionalFormatting sqref="N550:R550">
    <cfRule type="notContainsBlanks" dxfId="5664" priority="5868">
      <formula>LEN(TRIM(N550))&gt;0</formula>
    </cfRule>
  </conditionalFormatting>
  <conditionalFormatting sqref="N550:R550">
    <cfRule type="notContainsBlanks" priority="5867">
      <formula>LEN(TRIM(N550))&gt;0</formula>
    </cfRule>
  </conditionalFormatting>
  <conditionalFormatting sqref="N550:R550">
    <cfRule type="notContainsBlanks" dxfId="5663" priority="5866">
      <formula>LEN(TRIM(N550))&gt;0</formula>
    </cfRule>
  </conditionalFormatting>
  <conditionalFormatting sqref="N550:R550">
    <cfRule type="notContainsBlanks" dxfId="5662" priority="5865">
      <formula>LEN(TRIM(N550))&gt;0</formula>
    </cfRule>
  </conditionalFormatting>
  <conditionalFormatting sqref="N550:R550">
    <cfRule type="notContainsBlanks" dxfId="5661" priority="5864">
      <formula>LEN(TRIM(N550))&gt;0</formula>
    </cfRule>
  </conditionalFormatting>
  <conditionalFormatting sqref="N550:R550">
    <cfRule type="notContainsBlanks" dxfId="5660" priority="5863">
      <formula>LEN(TRIM(N550))&gt;0</formula>
    </cfRule>
  </conditionalFormatting>
  <conditionalFormatting sqref="N550:R550">
    <cfRule type="notContainsBlanks" dxfId="5659" priority="5862">
      <formula>LEN(TRIM(N550))&gt;0</formula>
    </cfRule>
  </conditionalFormatting>
  <conditionalFormatting sqref="N563:R563">
    <cfRule type="notContainsBlanks" dxfId="5658" priority="5861">
      <formula>LEN(TRIM(N563))&gt;0</formula>
    </cfRule>
  </conditionalFormatting>
  <conditionalFormatting sqref="N563:R563">
    <cfRule type="notContainsBlanks" dxfId="5657" priority="5860">
      <formula>LEN(TRIM(N563))&gt;0</formula>
    </cfRule>
  </conditionalFormatting>
  <conditionalFormatting sqref="N563:R563">
    <cfRule type="notContainsBlanks" dxfId="5656" priority="5859">
      <formula>LEN(TRIM(N563))&gt;0</formula>
    </cfRule>
  </conditionalFormatting>
  <conditionalFormatting sqref="N563:R563">
    <cfRule type="notContainsBlanks" dxfId="5655" priority="5858">
      <formula>LEN(TRIM(N563))&gt;0</formula>
    </cfRule>
  </conditionalFormatting>
  <conditionalFormatting sqref="N563:R563">
    <cfRule type="notContainsBlanks" dxfId="5654" priority="5857">
      <formula>LEN(TRIM(N563))&gt;0</formula>
    </cfRule>
  </conditionalFormatting>
  <conditionalFormatting sqref="N563:R563">
    <cfRule type="notContainsBlanks" dxfId="5653" priority="5856">
      <formula>LEN(TRIM(N563))&gt;0</formula>
    </cfRule>
  </conditionalFormatting>
  <conditionalFormatting sqref="N563:R563">
    <cfRule type="notContainsBlanks" dxfId="5652" priority="5855">
      <formula>LEN(TRIM(N563))&gt;0</formula>
    </cfRule>
  </conditionalFormatting>
  <conditionalFormatting sqref="N563:R563">
    <cfRule type="notContainsBlanks" dxfId="5651" priority="5854">
      <formula>LEN(TRIM(N563))&gt;0</formula>
    </cfRule>
  </conditionalFormatting>
  <conditionalFormatting sqref="N563:R563">
    <cfRule type="notContainsBlanks" dxfId="5650" priority="5853">
      <formula>LEN(TRIM(N563))&gt;0</formula>
    </cfRule>
  </conditionalFormatting>
  <conditionalFormatting sqref="N563:R563">
    <cfRule type="notContainsBlanks" dxfId="5649" priority="5851">
      <formula>LEN(TRIM(N563))&gt;0</formula>
    </cfRule>
    <cfRule type="notContainsBlanks" dxfId="5648" priority="5852">
      <formula>LEN(TRIM(N563))&gt;0</formula>
    </cfRule>
  </conditionalFormatting>
  <conditionalFormatting sqref="N563:R563">
    <cfRule type="notContainsBlanks" dxfId="5647" priority="5850">
      <formula>LEN(TRIM(N563))&gt;0</formula>
    </cfRule>
  </conditionalFormatting>
  <conditionalFormatting sqref="N563:R563">
    <cfRule type="notContainsBlanks" dxfId="5646" priority="5849">
      <formula>LEN(TRIM(N563))&gt;0</formula>
    </cfRule>
  </conditionalFormatting>
  <conditionalFormatting sqref="N563:R563">
    <cfRule type="notContainsBlanks" dxfId="5645" priority="5848">
      <formula>LEN(TRIM(N563))&gt;0</formula>
    </cfRule>
  </conditionalFormatting>
  <conditionalFormatting sqref="N563:R563">
    <cfRule type="notContainsBlanks" dxfId="5644" priority="5847">
      <formula>LEN(TRIM(N563))&gt;0</formula>
    </cfRule>
  </conditionalFormatting>
  <conditionalFormatting sqref="N563:R563">
    <cfRule type="notContainsBlanks" dxfId="5643" priority="5846">
      <formula>LEN(TRIM(N563))&gt;0</formula>
    </cfRule>
  </conditionalFormatting>
  <conditionalFormatting sqref="N563:R563">
    <cfRule type="notContainsBlanks" dxfId="5642" priority="5845">
      <formula>LEN(TRIM(N563))&gt;0</formula>
    </cfRule>
  </conditionalFormatting>
  <conditionalFormatting sqref="N563:R563">
    <cfRule type="notContainsBlanks" dxfId="5641" priority="5844">
      <formula>LEN(TRIM(N563))&gt;0</formula>
    </cfRule>
  </conditionalFormatting>
  <conditionalFormatting sqref="N563:R563">
    <cfRule type="notContainsBlanks" dxfId="5640" priority="5843">
      <formula>LEN(TRIM(N563))&gt;0</formula>
    </cfRule>
  </conditionalFormatting>
  <conditionalFormatting sqref="N563:R563">
    <cfRule type="notContainsBlanks" dxfId="5639" priority="5842">
      <formula>LEN(TRIM(N563))&gt;0</formula>
    </cfRule>
  </conditionalFormatting>
  <conditionalFormatting sqref="N563:R563">
    <cfRule type="notContainsBlanks" priority="5841">
      <formula>LEN(TRIM(N563))&gt;0</formula>
    </cfRule>
  </conditionalFormatting>
  <conditionalFormatting sqref="N563:R563">
    <cfRule type="notContainsBlanks" dxfId="5638" priority="5840">
      <formula>LEN(TRIM(N563))&gt;0</formula>
    </cfRule>
  </conditionalFormatting>
  <conditionalFormatting sqref="N563:R563">
    <cfRule type="notContainsBlanks" dxfId="5637" priority="5839">
      <formula>LEN(TRIM(N563))&gt;0</formula>
    </cfRule>
  </conditionalFormatting>
  <conditionalFormatting sqref="N563:R563">
    <cfRule type="notContainsBlanks" dxfId="5636" priority="5838">
      <formula>LEN(TRIM(N563))&gt;0</formula>
    </cfRule>
  </conditionalFormatting>
  <conditionalFormatting sqref="N563:R563">
    <cfRule type="notContainsBlanks" dxfId="5635" priority="5837">
      <formula>LEN(TRIM(N563))&gt;0</formula>
    </cfRule>
  </conditionalFormatting>
  <conditionalFormatting sqref="N563:R563">
    <cfRule type="notContainsBlanks" dxfId="5634" priority="5836">
      <formula>LEN(TRIM(N563))&gt;0</formula>
    </cfRule>
  </conditionalFormatting>
  <conditionalFormatting sqref="N576:R576">
    <cfRule type="notContainsBlanks" dxfId="5633" priority="5835">
      <formula>LEN(TRIM(N576))&gt;0</formula>
    </cfRule>
  </conditionalFormatting>
  <conditionalFormatting sqref="N576:R576">
    <cfRule type="notContainsBlanks" dxfId="5632" priority="5834">
      <formula>LEN(TRIM(N576))&gt;0</formula>
    </cfRule>
  </conditionalFormatting>
  <conditionalFormatting sqref="N576:R576">
    <cfRule type="notContainsBlanks" dxfId="5631" priority="5833">
      <formula>LEN(TRIM(N576))&gt;0</formula>
    </cfRule>
  </conditionalFormatting>
  <conditionalFormatting sqref="N576:R576">
    <cfRule type="notContainsBlanks" dxfId="5630" priority="5832">
      <formula>LEN(TRIM(N576))&gt;0</formula>
    </cfRule>
  </conditionalFormatting>
  <conditionalFormatting sqref="N576:R576">
    <cfRule type="notContainsBlanks" dxfId="5629" priority="5831">
      <formula>LEN(TRIM(N576))&gt;0</formula>
    </cfRule>
  </conditionalFormatting>
  <conditionalFormatting sqref="N576:R576">
    <cfRule type="notContainsBlanks" dxfId="5628" priority="5830">
      <formula>LEN(TRIM(N576))&gt;0</formula>
    </cfRule>
  </conditionalFormatting>
  <conditionalFormatting sqref="N576:R576">
    <cfRule type="notContainsBlanks" dxfId="5627" priority="5829">
      <formula>LEN(TRIM(N576))&gt;0</formula>
    </cfRule>
  </conditionalFormatting>
  <conditionalFormatting sqref="N576:R576">
    <cfRule type="notContainsBlanks" dxfId="5626" priority="5828">
      <formula>LEN(TRIM(N576))&gt;0</formula>
    </cfRule>
  </conditionalFormatting>
  <conditionalFormatting sqref="N576:R576">
    <cfRule type="notContainsBlanks" dxfId="5625" priority="5827">
      <formula>LEN(TRIM(N576))&gt;0</formula>
    </cfRule>
  </conditionalFormatting>
  <conditionalFormatting sqref="N576:R576">
    <cfRule type="notContainsBlanks" dxfId="5624" priority="5825">
      <formula>LEN(TRIM(N576))&gt;0</formula>
    </cfRule>
    <cfRule type="notContainsBlanks" dxfId="5623" priority="5826">
      <formula>LEN(TRIM(N576))&gt;0</formula>
    </cfRule>
  </conditionalFormatting>
  <conditionalFormatting sqref="N576:R576">
    <cfRule type="notContainsBlanks" dxfId="5622" priority="5824">
      <formula>LEN(TRIM(N576))&gt;0</formula>
    </cfRule>
  </conditionalFormatting>
  <conditionalFormatting sqref="N576:R576">
    <cfRule type="notContainsBlanks" dxfId="5621" priority="5823">
      <formula>LEN(TRIM(N576))&gt;0</formula>
    </cfRule>
  </conditionalFormatting>
  <conditionalFormatting sqref="N576:R576">
    <cfRule type="notContainsBlanks" dxfId="5620" priority="5822">
      <formula>LEN(TRIM(N576))&gt;0</formula>
    </cfRule>
  </conditionalFormatting>
  <conditionalFormatting sqref="N576:R576">
    <cfRule type="notContainsBlanks" dxfId="5619" priority="5821">
      <formula>LEN(TRIM(N576))&gt;0</formula>
    </cfRule>
  </conditionalFormatting>
  <conditionalFormatting sqref="N576:R576">
    <cfRule type="notContainsBlanks" dxfId="5618" priority="5820">
      <formula>LEN(TRIM(N576))&gt;0</formula>
    </cfRule>
  </conditionalFormatting>
  <conditionalFormatting sqref="N576:R576">
    <cfRule type="notContainsBlanks" dxfId="5617" priority="5819">
      <formula>LEN(TRIM(N576))&gt;0</formula>
    </cfRule>
  </conditionalFormatting>
  <conditionalFormatting sqref="N576:R576">
    <cfRule type="notContainsBlanks" dxfId="5616" priority="5818">
      <formula>LEN(TRIM(N576))&gt;0</formula>
    </cfRule>
  </conditionalFormatting>
  <conditionalFormatting sqref="N576:R576">
    <cfRule type="notContainsBlanks" dxfId="5615" priority="5817">
      <formula>LEN(TRIM(N576))&gt;0</formula>
    </cfRule>
  </conditionalFormatting>
  <conditionalFormatting sqref="N576:R576">
    <cfRule type="notContainsBlanks" dxfId="5614" priority="5816">
      <formula>LEN(TRIM(N576))&gt;0</formula>
    </cfRule>
  </conditionalFormatting>
  <conditionalFormatting sqref="N576:R576">
    <cfRule type="notContainsBlanks" priority="5815">
      <formula>LEN(TRIM(N576))&gt;0</formula>
    </cfRule>
  </conditionalFormatting>
  <conditionalFormatting sqref="N576:R576">
    <cfRule type="notContainsBlanks" dxfId="5613" priority="5814">
      <formula>LEN(TRIM(N576))&gt;0</formula>
    </cfRule>
  </conditionalFormatting>
  <conditionalFormatting sqref="N576:R576">
    <cfRule type="notContainsBlanks" dxfId="5612" priority="5813">
      <formula>LEN(TRIM(N576))&gt;0</formula>
    </cfRule>
  </conditionalFormatting>
  <conditionalFormatting sqref="N576:R576">
    <cfRule type="notContainsBlanks" dxfId="5611" priority="5812">
      <formula>LEN(TRIM(N576))&gt;0</formula>
    </cfRule>
  </conditionalFormatting>
  <conditionalFormatting sqref="N576:R576">
    <cfRule type="notContainsBlanks" dxfId="5610" priority="5811">
      <formula>LEN(TRIM(N576))&gt;0</formula>
    </cfRule>
  </conditionalFormatting>
  <conditionalFormatting sqref="N576:R576">
    <cfRule type="notContainsBlanks" dxfId="5609" priority="5810">
      <formula>LEN(TRIM(N576))&gt;0</formula>
    </cfRule>
  </conditionalFormatting>
  <conditionalFormatting sqref="N589:R589">
    <cfRule type="notContainsBlanks" dxfId="5608" priority="5809">
      <formula>LEN(TRIM(N589))&gt;0</formula>
    </cfRule>
  </conditionalFormatting>
  <conditionalFormatting sqref="N589:R589">
    <cfRule type="notContainsBlanks" dxfId="5607" priority="5808">
      <formula>LEN(TRIM(N589))&gt;0</formula>
    </cfRule>
  </conditionalFormatting>
  <conditionalFormatting sqref="N589:R589">
    <cfRule type="notContainsBlanks" dxfId="5606" priority="5807">
      <formula>LEN(TRIM(N589))&gt;0</formula>
    </cfRule>
  </conditionalFormatting>
  <conditionalFormatting sqref="N589:R589">
    <cfRule type="notContainsBlanks" dxfId="5605" priority="5806">
      <formula>LEN(TRIM(N589))&gt;0</formula>
    </cfRule>
  </conditionalFormatting>
  <conditionalFormatting sqref="N589:R589">
    <cfRule type="notContainsBlanks" dxfId="5604" priority="5805">
      <formula>LEN(TRIM(N589))&gt;0</formula>
    </cfRule>
  </conditionalFormatting>
  <conditionalFormatting sqref="N589:R589">
    <cfRule type="notContainsBlanks" dxfId="5603" priority="5804">
      <formula>LEN(TRIM(N589))&gt;0</formula>
    </cfRule>
  </conditionalFormatting>
  <conditionalFormatting sqref="N589:R589">
    <cfRule type="notContainsBlanks" dxfId="5602" priority="5803">
      <formula>LEN(TRIM(N589))&gt;0</formula>
    </cfRule>
  </conditionalFormatting>
  <conditionalFormatting sqref="N589:R589">
    <cfRule type="notContainsBlanks" dxfId="5601" priority="5802">
      <formula>LEN(TRIM(N589))&gt;0</formula>
    </cfRule>
  </conditionalFormatting>
  <conditionalFormatting sqref="N589:R589">
    <cfRule type="notContainsBlanks" dxfId="5600" priority="5801">
      <formula>LEN(TRIM(N589))&gt;0</formula>
    </cfRule>
  </conditionalFormatting>
  <conditionalFormatting sqref="N589:R589">
    <cfRule type="notContainsBlanks" dxfId="5599" priority="5799">
      <formula>LEN(TRIM(N589))&gt;0</formula>
    </cfRule>
    <cfRule type="notContainsBlanks" dxfId="5598" priority="5800">
      <formula>LEN(TRIM(N589))&gt;0</formula>
    </cfRule>
  </conditionalFormatting>
  <conditionalFormatting sqref="N589:R589">
    <cfRule type="notContainsBlanks" dxfId="5597" priority="5798">
      <formula>LEN(TRIM(N589))&gt;0</formula>
    </cfRule>
  </conditionalFormatting>
  <conditionalFormatting sqref="N589:R589">
    <cfRule type="notContainsBlanks" dxfId="5596" priority="5797">
      <formula>LEN(TRIM(N589))&gt;0</formula>
    </cfRule>
  </conditionalFormatting>
  <conditionalFormatting sqref="N589:R589">
    <cfRule type="notContainsBlanks" dxfId="5595" priority="5796">
      <formula>LEN(TRIM(N589))&gt;0</formula>
    </cfRule>
  </conditionalFormatting>
  <conditionalFormatting sqref="N589:R589">
    <cfRule type="notContainsBlanks" dxfId="5594" priority="5795">
      <formula>LEN(TRIM(N589))&gt;0</formula>
    </cfRule>
  </conditionalFormatting>
  <conditionalFormatting sqref="N589:R589">
    <cfRule type="notContainsBlanks" dxfId="5593" priority="5794">
      <formula>LEN(TRIM(N589))&gt;0</formula>
    </cfRule>
  </conditionalFormatting>
  <conditionalFormatting sqref="N589:R589">
    <cfRule type="notContainsBlanks" dxfId="5592" priority="5793">
      <formula>LEN(TRIM(N589))&gt;0</formula>
    </cfRule>
  </conditionalFormatting>
  <conditionalFormatting sqref="N589:R589">
    <cfRule type="notContainsBlanks" dxfId="5591" priority="5792">
      <formula>LEN(TRIM(N589))&gt;0</formula>
    </cfRule>
  </conditionalFormatting>
  <conditionalFormatting sqref="N589:R589">
    <cfRule type="notContainsBlanks" dxfId="5590" priority="5791">
      <formula>LEN(TRIM(N589))&gt;0</formula>
    </cfRule>
  </conditionalFormatting>
  <conditionalFormatting sqref="N589:R589">
    <cfRule type="notContainsBlanks" dxfId="5589" priority="5790">
      <formula>LEN(TRIM(N589))&gt;0</formula>
    </cfRule>
  </conditionalFormatting>
  <conditionalFormatting sqref="N589:R589">
    <cfRule type="notContainsBlanks" priority="5789">
      <formula>LEN(TRIM(N589))&gt;0</formula>
    </cfRule>
  </conditionalFormatting>
  <conditionalFormatting sqref="N589:R589">
    <cfRule type="notContainsBlanks" dxfId="5588" priority="5788">
      <formula>LEN(TRIM(N589))&gt;0</formula>
    </cfRule>
  </conditionalFormatting>
  <conditionalFormatting sqref="N589:R589">
    <cfRule type="notContainsBlanks" dxfId="5587" priority="5787">
      <formula>LEN(TRIM(N589))&gt;0</formula>
    </cfRule>
  </conditionalFormatting>
  <conditionalFormatting sqref="N589:R589">
    <cfRule type="notContainsBlanks" dxfId="5586" priority="5786">
      <formula>LEN(TRIM(N589))&gt;0</formula>
    </cfRule>
  </conditionalFormatting>
  <conditionalFormatting sqref="N589:R589">
    <cfRule type="notContainsBlanks" dxfId="5585" priority="5785">
      <formula>LEN(TRIM(N589))&gt;0</formula>
    </cfRule>
  </conditionalFormatting>
  <conditionalFormatting sqref="N589:R589">
    <cfRule type="notContainsBlanks" dxfId="5584" priority="5784">
      <formula>LEN(TRIM(N589))&gt;0</formula>
    </cfRule>
  </conditionalFormatting>
  <conditionalFormatting sqref="N602:R602">
    <cfRule type="notContainsBlanks" dxfId="5583" priority="5783">
      <formula>LEN(TRIM(N602))&gt;0</formula>
    </cfRule>
  </conditionalFormatting>
  <conditionalFormatting sqref="N602:R602">
    <cfRule type="notContainsBlanks" dxfId="5582" priority="5782">
      <formula>LEN(TRIM(N602))&gt;0</formula>
    </cfRule>
  </conditionalFormatting>
  <conditionalFormatting sqref="N602:R602">
    <cfRule type="notContainsBlanks" dxfId="5581" priority="5781">
      <formula>LEN(TRIM(N602))&gt;0</formula>
    </cfRule>
  </conditionalFormatting>
  <conditionalFormatting sqref="N602:R602">
    <cfRule type="notContainsBlanks" dxfId="5580" priority="5780">
      <formula>LEN(TRIM(N602))&gt;0</formula>
    </cfRule>
  </conditionalFormatting>
  <conditionalFormatting sqref="N602:R602">
    <cfRule type="notContainsBlanks" dxfId="5579" priority="5779">
      <formula>LEN(TRIM(N602))&gt;0</formula>
    </cfRule>
  </conditionalFormatting>
  <conditionalFormatting sqref="N602:R602">
    <cfRule type="notContainsBlanks" dxfId="5578" priority="5778">
      <formula>LEN(TRIM(N602))&gt;0</formula>
    </cfRule>
  </conditionalFormatting>
  <conditionalFormatting sqref="N602:R602">
    <cfRule type="notContainsBlanks" dxfId="5577" priority="5777">
      <formula>LEN(TRIM(N602))&gt;0</formula>
    </cfRule>
  </conditionalFormatting>
  <conditionalFormatting sqref="N602:R602">
    <cfRule type="notContainsBlanks" dxfId="5576" priority="5776">
      <formula>LEN(TRIM(N602))&gt;0</formula>
    </cfRule>
  </conditionalFormatting>
  <conditionalFormatting sqref="N602:R602">
    <cfRule type="notContainsBlanks" dxfId="5575" priority="5775">
      <formula>LEN(TRIM(N602))&gt;0</formula>
    </cfRule>
  </conditionalFormatting>
  <conditionalFormatting sqref="N602:R602">
    <cfRule type="notContainsBlanks" dxfId="5574" priority="5773">
      <formula>LEN(TRIM(N602))&gt;0</formula>
    </cfRule>
    <cfRule type="notContainsBlanks" dxfId="5573" priority="5774">
      <formula>LEN(TRIM(N602))&gt;0</formula>
    </cfRule>
  </conditionalFormatting>
  <conditionalFormatting sqref="N602:R602">
    <cfRule type="notContainsBlanks" dxfId="5572" priority="5772">
      <formula>LEN(TRIM(N602))&gt;0</formula>
    </cfRule>
  </conditionalFormatting>
  <conditionalFormatting sqref="N602:R602">
    <cfRule type="notContainsBlanks" dxfId="5571" priority="5771">
      <formula>LEN(TRIM(N602))&gt;0</formula>
    </cfRule>
  </conditionalFormatting>
  <conditionalFormatting sqref="N602:R602">
    <cfRule type="notContainsBlanks" dxfId="5570" priority="5770">
      <formula>LEN(TRIM(N602))&gt;0</formula>
    </cfRule>
  </conditionalFormatting>
  <conditionalFormatting sqref="N602:R602">
    <cfRule type="notContainsBlanks" dxfId="5569" priority="5769">
      <formula>LEN(TRIM(N602))&gt;0</formula>
    </cfRule>
  </conditionalFormatting>
  <conditionalFormatting sqref="N602:R602">
    <cfRule type="notContainsBlanks" dxfId="5568" priority="5768">
      <formula>LEN(TRIM(N602))&gt;0</formula>
    </cfRule>
  </conditionalFormatting>
  <conditionalFormatting sqref="N602:R602">
    <cfRule type="notContainsBlanks" dxfId="5567" priority="5767">
      <formula>LEN(TRIM(N602))&gt;0</formula>
    </cfRule>
  </conditionalFormatting>
  <conditionalFormatting sqref="N602:R602">
    <cfRule type="notContainsBlanks" dxfId="5566" priority="5766">
      <formula>LEN(TRIM(N602))&gt;0</formula>
    </cfRule>
  </conditionalFormatting>
  <conditionalFormatting sqref="N602:R602">
    <cfRule type="notContainsBlanks" dxfId="5565" priority="5765">
      <formula>LEN(TRIM(N602))&gt;0</formula>
    </cfRule>
  </conditionalFormatting>
  <conditionalFormatting sqref="N602:R602">
    <cfRule type="notContainsBlanks" dxfId="5564" priority="5764">
      <formula>LEN(TRIM(N602))&gt;0</formula>
    </cfRule>
  </conditionalFormatting>
  <conditionalFormatting sqref="N602:R602">
    <cfRule type="notContainsBlanks" priority="5763">
      <formula>LEN(TRIM(N602))&gt;0</formula>
    </cfRule>
  </conditionalFormatting>
  <conditionalFormatting sqref="N602:R602">
    <cfRule type="notContainsBlanks" dxfId="5563" priority="5762">
      <formula>LEN(TRIM(N602))&gt;0</formula>
    </cfRule>
  </conditionalFormatting>
  <conditionalFormatting sqref="N602:R602">
    <cfRule type="notContainsBlanks" dxfId="5562" priority="5761">
      <formula>LEN(TRIM(N602))&gt;0</formula>
    </cfRule>
  </conditionalFormatting>
  <conditionalFormatting sqref="N602:R602">
    <cfRule type="notContainsBlanks" dxfId="5561" priority="5760">
      <formula>LEN(TRIM(N602))&gt;0</formula>
    </cfRule>
  </conditionalFormatting>
  <conditionalFormatting sqref="N602:R602">
    <cfRule type="notContainsBlanks" dxfId="5560" priority="5759">
      <formula>LEN(TRIM(N602))&gt;0</formula>
    </cfRule>
  </conditionalFormatting>
  <conditionalFormatting sqref="N602:R602">
    <cfRule type="notContainsBlanks" dxfId="5559" priority="5758">
      <formula>LEN(TRIM(N602))&gt;0</formula>
    </cfRule>
  </conditionalFormatting>
  <conditionalFormatting sqref="N615:R615">
    <cfRule type="notContainsBlanks" dxfId="5558" priority="5757">
      <formula>LEN(TRIM(N615))&gt;0</formula>
    </cfRule>
  </conditionalFormatting>
  <conditionalFormatting sqref="N615:R615">
    <cfRule type="notContainsBlanks" dxfId="5557" priority="5756">
      <formula>LEN(TRIM(N615))&gt;0</formula>
    </cfRule>
  </conditionalFormatting>
  <conditionalFormatting sqref="N615:R615">
    <cfRule type="notContainsBlanks" dxfId="5556" priority="5755">
      <formula>LEN(TRIM(N615))&gt;0</formula>
    </cfRule>
  </conditionalFormatting>
  <conditionalFormatting sqref="N615:R615">
    <cfRule type="notContainsBlanks" dxfId="5555" priority="5754">
      <formula>LEN(TRIM(N615))&gt;0</formula>
    </cfRule>
  </conditionalFormatting>
  <conditionalFormatting sqref="N615:R615">
    <cfRule type="notContainsBlanks" dxfId="5554" priority="5753">
      <formula>LEN(TRIM(N615))&gt;0</formula>
    </cfRule>
  </conditionalFormatting>
  <conditionalFormatting sqref="N615:R615">
    <cfRule type="notContainsBlanks" dxfId="5553" priority="5752">
      <formula>LEN(TRIM(N615))&gt;0</formula>
    </cfRule>
  </conditionalFormatting>
  <conditionalFormatting sqref="N615:R615">
    <cfRule type="notContainsBlanks" dxfId="5552" priority="5751">
      <formula>LEN(TRIM(N615))&gt;0</formula>
    </cfRule>
  </conditionalFormatting>
  <conditionalFormatting sqref="N615:R615">
    <cfRule type="notContainsBlanks" dxfId="5551" priority="5750">
      <formula>LEN(TRIM(N615))&gt;0</formula>
    </cfRule>
  </conditionalFormatting>
  <conditionalFormatting sqref="N615:R615">
    <cfRule type="notContainsBlanks" dxfId="5550" priority="5749">
      <formula>LEN(TRIM(N615))&gt;0</formula>
    </cfRule>
  </conditionalFormatting>
  <conditionalFormatting sqref="N615:R615">
    <cfRule type="notContainsBlanks" dxfId="5549" priority="5747">
      <formula>LEN(TRIM(N615))&gt;0</formula>
    </cfRule>
    <cfRule type="notContainsBlanks" dxfId="5548" priority="5748">
      <formula>LEN(TRIM(N615))&gt;0</formula>
    </cfRule>
  </conditionalFormatting>
  <conditionalFormatting sqref="N615:R615">
    <cfRule type="notContainsBlanks" dxfId="5547" priority="5746">
      <formula>LEN(TRIM(N615))&gt;0</formula>
    </cfRule>
  </conditionalFormatting>
  <conditionalFormatting sqref="N615:R615">
    <cfRule type="notContainsBlanks" dxfId="5546" priority="5745">
      <formula>LEN(TRIM(N615))&gt;0</formula>
    </cfRule>
  </conditionalFormatting>
  <conditionalFormatting sqref="N615:R615">
    <cfRule type="notContainsBlanks" dxfId="5545" priority="5744">
      <formula>LEN(TRIM(N615))&gt;0</formula>
    </cfRule>
  </conditionalFormatting>
  <conditionalFormatting sqref="N615:R615">
    <cfRule type="notContainsBlanks" dxfId="5544" priority="5743">
      <formula>LEN(TRIM(N615))&gt;0</formula>
    </cfRule>
  </conditionalFormatting>
  <conditionalFormatting sqref="N615:R615">
    <cfRule type="notContainsBlanks" dxfId="5543" priority="5742">
      <formula>LEN(TRIM(N615))&gt;0</formula>
    </cfRule>
  </conditionalFormatting>
  <conditionalFormatting sqref="N615:R615">
    <cfRule type="notContainsBlanks" dxfId="5542" priority="5741">
      <formula>LEN(TRIM(N615))&gt;0</formula>
    </cfRule>
  </conditionalFormatting>
  <conditionalFormatting sqref="N615:R615">
    <cfRule type="notContainsBlanks" dxfId="5541" priority="5740">
      <formula>LEN(TRIM(N615))&gt;0</formula>
    </cfRule>
  </conditionalFormatting>
  <conditionalFormatting sqref="N615:R615">
    <cfRule type="notContainsBlanks" dxfId="5540" priority="5739">
      <formula>LEN(TRIM(N615))&gt;0</formula>
    </cfRule>
  </conditionalFormatting>
  <conditionalFormatting sqref="N615:R615">
    <cfRule type="notContainsBlanks" dxfId="5539" priority="5738">
      <formula>LEN(TRIM(N615))&gt;0</formula>
    </cfRule>
  </conditionalFormatting>
  <conditionalFormatting sqref="N615:R615">
    <cfRule type="notContainsBlanks" priority="5737">
      <formula>LEN(TRIM(N615))&gt;0</formula>
    </cfRule>
  </conditionalFormatting>
  <conditionalFormatting sqref="N615:R615">
    <cfRule type="notContainsBlanks" dxfId="5538" priority="5736">
      <formula>LEN(TRIM(N615))&gt;0</formula>
    </cfRule>
  </conditionalFormatting>
  <conditionalFormatting sqref="N615:R615">
    <cfRule type="notContainsBlanks" dxfId="5537" priority="5735">
      <formula>LEN(TRIM(N615))&gt;0</formula>
    </cfRule>
  </conditionalFormatting>
  <conditionalFormatting sqref="N615:R615">
    <cfRule type="notContainsBlanks" dxfId="5536" priority="5734">
      <formula>LEN(TRIM(N615))&gt;0</formula>
    </cfRule>
  </conditionalFormatting>
  <conditionalFormatting sqref="N615:R615">
    <cfRule type="notContainsBlanks" dxfId="5535" priority="5733">
      <formula>LEN(TRIM(N615))&gt;0</formula>
    </cfRule>
  </conditionalFormatting>
  <conditionalFormatting sqref="N615:R615">
    <cfRule type="notContainsBlanks" dxfId="5534" priority="5732">
      <formula>LEN(TRIM(N615))&gt;0</formula>
    </cfRule>
  </conditionalFormatting>
  <conditionalFormatting sqref="N628:R628">
    <cfRule type="notContainsBlanks" dxfId="5533" priority="5731">
      <formula>LEN(TRIM(N628))&gt;0</formula>
    </cfRule>
  </conditionalFormatting>
  <conditionalFormatting sqref="N628:R628">
    <cfRule type="notContainsBlanks" dxfId="5532" priority="5730">
      <formula>LEN(TRIM(N628))&gt;0</formula>
    </cfRule>
  </conditionalFormatting>
  <conditionalFormatting sqref="N628:R628">
    <cfRule type="notContainsBlanks" dxfId="5531" priority="5729">
      <formula>LEN(TRIM(N628))&gt;0</formula>
    </cfRule>
  </conditionalFormatting>
  <conditionalFormatting sqref="N628:R628">
    <cfRule type="notContainsBlanks" dxfId="5530" priority="5728">
      <formula>LEN(TRIM(N628))&gt;0</formula>
    </cfRule>
  </conditionalFormatting>
  <conditionalFormatting sqref="N628:R628">
    <cfRule type="notContainsBlanks" dxfId="5529" priority="5727">
      <formula>LEN(TRIM(N628))&gt;0</formula>
    </cfRule>
  </conditionalFormatting>
  <conditionalFormatting sqref="N628:R628">
    <cfRule type="notContainsBlanks" dxfId="5528" priority="5726">
      <formula>LEN(TRIM(N628))&gt;0</formula>
    </cfRule>
  </conditionalFormatting>
  <conditionalFormatting sqref="N628:R628">
    <cfRule type="notContainsBlanks" dxfId="5527" priority="5725">
      <formula>LEN(TRIM(N628))&gt;0</formula>
    </cfRule>
  </conditionalFormatting>
  <conditionalFormatting sqref="N628:R628">
    <cfRule type="notContainsBlanks" dxfId="5526" priority="5724">
      <formula>LEN(TRIM(N628))&gt;0</formula>
    </cfRule>
  </conditionalFormatting>
  <conditionalFormatting sqref="N628:R628">
    <cfRule type="notContainsBlanks" dxfId="5525" priority="5723">
      <formula>LEN(TRIM(N628))&gt;0</formula>
    </cfRule>
  </conditionalFormatting>
  <conditionalFormatting sqref="N628:R628">
    <cfRule type="notContainsBlanks" dxfId="5524" priority="5721">
      <formula>LEN(TRIM(N628))&gt;0</formula>
    </cfRule>
    <cfRule type="notContainsBlanks" dxfId="5523" priority="5722">
      <formula>LEN(TRIM(N628))&gt;0</formula>
    </cfRule>
  </conditionalFormatting>
  <conditionalFormatting sqref="N628:R628">
    <cfRule type="notContainsBlanks" dxfId="5522" priority="5720">
      <formula>LEN(TRIM(N628))&gt;0</formula>
    </cfRule>
  </conditionalFormatting>
  <conditionalFormatting sqref="N628:R628">
    <cfRule type="notContainsBlanks" dxfId="5521" priority="5719">
      <formula>LEN(TRIM(N628))&gt;0</formula>
    </cfRule>
  </conditionalFormatting>
  <conditionalFormatting sqref="N628:R628">
    <cfRule type="notContainsBlanks" dxfId="5520" priority="5718">
      <formula>LEN(TRIM(N628))&gt;0</formula>
    </cfRule>
  </conditionalFormatting>
  <conditionalFormatting sqref="N628:R628">
    <cfRule type="notContainsBlanks" dxfId="5519" priority="5717">
      <formula>LEN(TRIM(N628))&gt;0</formula>
    </cfRule>
  </conditionalFormatting>
  <conditionalFormatting sqref="N628:R628">
    <cfRule type="notContainsBlanks" dxfId="5518" priority="5716">
      <formula>LEN(TRIM(N628))&gt;0</formula>
    </cfRule>
  </conditionalFormatting>
  <conditionalFormatting sqref="N628:R628">
    <cfRule type="notContainsBlanks" dxfId="5517" priority="5715">
      <formula>LEN(TRIM(N628))&gt;0</formula>
    </cfRule>
  </conditionalFormatting>
  <conditionalFormatting sqref="N628:R628">
    <cfRule type="notContainsBlanks" dxfId="5516" priority="5714">
      <formula>LEN(TRIM(N628))&gt;0</formula>
    </cfRule>
  </conditionalFormatting>
  <conditionalFormatting sqref="N628:R628">
    <cfRule type="notContainsBlanks" dxfId="5515" priority="5713">
      <formula>LEN(TRIM(N628))&gt;0</formula>
    </cfRule>
  </conditionalFormatting>
  <conditionalFormatting sqref="N628:R628">
    <cfRule type="notContainsBlanks" dxfId="5514" priority="5712">
      <formula>LEN(TRIM(N628))&gt;0</formula>
    </cfRule>
  </conditionalFormatting>
  <conditionalFormatting sqref="N628:R628">
    <cfRule type="notContainsBlanks" priority="5711">
      <formula>LEN(TRIM(N628))&gt;0</formula>
    </cfRule>
  </conditionalFormatting>
  <conditionalFormatting sqref="N628:R628">
    <cfRule type="notContainsBlanks" dxfId="5513" priority="5710">
      <formula>LEN(TRIM(N628))&gt;0</formula>
    </cfRule>
  </conditionalFormatting>
  <conditionalFormatting sqref="N628:R628">
    <cfRule type="notContainsBlanks" dxfId="5512" priority="5709">
      <formula>LEN(TRIM(N628))&gt;0</formula>
    </cfRule>
  </conditionalFormatting>
  <conditionalFormatting sqref="N628:R628">
    <cfRule type="notContainsBlanks" dxfId="5511" priority="5708">
      <formula>LEN(TRIM(N628))&gt;0</formula>
    </cfRule>
  </conditionalFormatting>
  <conditionalFormatting sqref="N628:R628">
    <cfRule type="notContainsBlanks" dxfId="5510" priority="5707">
      <formula>LEN(TRIM(N628))&gt;0</formula>
    </cfRule>
  </conditionalFormatting>
  <conditionalFormatting sqref="N628:R628">
    <cfRule type="notContainsBlanks" dxfId="5509" priority="5706">
      <formula>LEN(TRIM(N628))&gt;0</formula>
    </cfRule>
  </conditionalFormatting>
  <conditionalFormatting sqref="N641:R641">
    <cfRule type="notContainsBlanks" dxfId="5508" priority="5705">
      <formula>LEN(TRIM(N641))&gt;0</formula>
    </cfRule>
  </conditionalFormatting>
  <conditionalFormatting sqref="N641:R641">
    <cfRule type="notContainsBlanks" dxfId="5507" priority="5704">
      <formula>LEN(TRIM(N641))&gt;0</formula>
    </cfRule>
  </conditionalFormatting>
  <conditionalFormatting sqref="N641:R641">
    <cfRule type="notContainsBlanks" dxfId="5506" priority="5703">
      <formula>LEN(TRIM(N641))&gt;0</formula>
    </cfRule>
  </conditionalFormatting>
  <conditionalFormatting sqref="N641:R641">
    <cfRule type="notContainsBlanks" dxfId="5505" priority="5702">
      <formula>LEN(TRIM(N641))&gt;0</formula>
    </cfRule>
  </conditionalFormatting>
  <conditionalFormatting sqref="N641:R641">
    <cfRule type="notContainsBlanks" dxfId="5504" priority="5701">
      <formula>LEN(TRIM(N641))&gt;0</formula>
    </cfRule>
  </conditionalFormatting>
  <conditionalFormatting sqref="N641:R641">
    <cfRule type="notContainsBlanks" dxfId="5503" priority="5700">
      <formula>LEN(TRIM(N641))&gt;0</formula>
    </cfRule>
  </conditionalFormatting>
  <conditionalFormatting sqref="N641:R641">
    <cfRule type="notContainsBlanks" dxfId="5502" priority="5699">
      <formula>LEN(TRIM(N641))&gt;0</formula>
    </cfRule>
  </conditionalFormatting>
  <conditionalFormatting sqref="N641:R641">
    <cfRule type="notContainsBlanks" dxfId="5501" priority="5698">
      <formula>LEN(TRIM(N641))&gt;0</formula>
    </cfRule>
  </conditionalFormatting>
  <conditionalFormatting sqref="N641:R641">
    <cfRule type="notContainsBlanks" dxfId="5500" priority="5697">
      <formula>LEN(TRIM(N641))&gt;0</formula>
    </cfRule>
  </conditionalFormatting>
  <conditionalFormatting sqref="N641:R641">
    <cfRule type="notContainsBlanks" dxfId="5499" priority="5695">
      <formula>LEN(TRIM(N641))&gt;0</formula>
    </cfRule>
    <cfRule type="notContainsBlanks" dxfId="5498" priority="5696">
      <formula>LEN(TRIM(N641))&gt;0</formula>
    </cfRule>
  </conditionalFormatting>
  <conditionalFormatting sqref="N641:R641">
    <cfRule type="notContainsBlanks" dxfId="5497" priority="5694">
      <formula>LEN(TRIM(N641))&gt;0</formula>
    </cfRule>
  </conditionalFormatting>
  <conditionalFormatting sqref="N641:R641">
    <cfRule type="notContainsBlanks" dxfId="5496" priority="5693">
      <formula>LEN(TRIM(N641))&gt;0</formula>
    </cfRule>
  </conditionalFormatting>
  <conditionalFormatting sqref="N641:R641">
    <cfRule type="notContainsBlanks" dxfId="5495" priority="5692">
      <formula>LEN(TRIM(N641))&gt;0</formula>
    </cfRule>
  </conditionalFormatting>
  <conditionalFormatting sqref="N641:R641">
    <cfRule type="notContainsBlanks" dxfId="5494" priority="5691">
      <formula>LEN(TRIM(N641))&gt;0</formula>
    </cfRule>
  </conditionalFormatting>
  <conditionalFormatting sqref="N641:R641">
    <cfRule type="notContainsBlanks" dxfId="5493" priority="5690">
      <formula>LEN(TRIM(N641))&gt;0</formula>
    </cfRule>
  </conditionalFormatting>
  <conditionalFormatting sqref="N641:R641">
    <cfRule type="notContainsBlanks" dxfId="5492" priority="5689">
      <formula>LEN(TRIM(N641))&gt;0</formula>
    </cfRule>
  </conditionalFormatting>
  <conditionalFormatting sqref="N641:R641">
    <cfRule type="notContainsBlanks" dxfId="5491" priority="5688">
      <formula>LEN(TRIM(N641))&gt;0</formula>
    </cfRule>
  </conditionalFormatting>
  <conditionalFormatting sqref="N641:R641">
    <cfRule type="notContainsBlanks" dxfId="5490" priority="5687">
      <formula>LEN(TRIM(N641))&gt;0</formula>
    </cfRule>
  </conditionalFormatting>
  <conditionalFormatting sqref="N641:R641">
    <cfRule type="notContainsBlanks" dxfId="5489" priority="5686">
      <formula>LEN(TRIM(N641))&gt;0</formula>
    </cfRule>
  </conditionalFormatting>
  <conditionalFormatting sqref="N641:R641">
    <cfRule type="notContainsBlanks" priority="5685">
      <formula>LEN(TRIM(N641))&gt;0</formula>
    </cfRule>
  </conditionalFormatting>
  <conditionalFormatting sqref="N641:R641">
    <cfRule type="notContainsBlanks" dxfId="5488" priority="5684">
      <formula>LEN(TRIM(N641))&gt;0</formula>
    </cfRule>
  </conditionalFormatting>
  <conditionalFormatting sqref="N641:R641">
    <cfRule type="notContainsBlanks" dxfId="5487" priority="5683">
      <formula>LEN(TRIM(N641))&gt;0</formula>
    </cfRule>
  </conditionalFormatting>
  <conditionalFormatting sqref="N641:R641">
    <cfRule type="notContainsBlanks" dxfId="5486" priority="5682">
      <formula>LEN(TRIM(N641))&gt;0</formula>
    </cfRule>
  </conditionalFormatting>
  <conditionalFormatting sqref="N641:R641">
    <cfRule type="notContainsBlanks" dxfId="5485" priority="5681">
      <formula>LEN(TRIM(N641))&gt;0</formula>
    </cfRule>
  </conditionalFormatting>
  <conditionalFormatting sqref="N641:R641">
    <cfRule type="notContainsBlanks" dxfId="5484" priority="5680">
      <formula>LEN(TRIM(N641))&gt;0</formula>
    </cfRule>
  </conditionalFormatting>
  <conditionalFormatting sqref="N654:R654">
    <cfRule type="notContainsBlanks" dxfId="5483" priority="5679">
      <formula>LEN(TRIM(N654))&gt;0</formula>
    </cfRule>
  </conditionalFormatting>
  <conditionalFormatting sqref="N654:R654">
    <cfRule type="notContainsBlanks" dxfId="5482" priority="5678">
      <formula>LEN(TRIM(N654))&gt;0</formula>
    </cfRule>
  </conditionalFormatting>
  <conditionalFormatting sqref="N654:R654">
    <cfRule type="notContainsBlanks" dxfId="5481" priority="5677">
      <formula>LEN(TRIM(N654))&gt;0</formula>
    </cfRule>
  </conditionalFormatting>
  <conditionalFormatting sqref="N654:R654">
    <cfRule type="notContainsBlanks" dxfId="5480" priority="5676">
      <formula>LEN(TRIM(N654))&gt;0</formula>
    </cfRule>
  </conditionalFormatting>
  <conditionalFormatting sqref="N654:R654">
    <cfRule type="notContainsBlanks" dxfId="5479" priority="5675">
      <formula>LEN(TRIM(N654))&gt;0</formula>
    </cfRule>
  </conditionalFormatting>
  <conditionalFormatting sqref="N654:R654">
    <cfRule type="notContainsBlanks" dxfId="5478" priority="5674">
      <formula>LEN(TRIM(N654))&gt;0</formula>
    </cfRule>
  </conditionalFormatting>
  <conditionalFormatting sqref="N654:R654">
    <cfRule type="notContainsBlanks" dxfId="5477" priority="5673">
      <formula>LEN(TRIM(N654))&gt;0</formula>
    </cfRule>
  </conditionalFormatting>
  <conditionalFormatting sqref="N654:R654">
    <cfRule type="notContainsBlanks" dxfId="5476" priority="5672">
      <formula>LEN(TRIM(N654))&gt;0</formula>
    </cfRule>
  </conditionalFormatting>
  <conditionalFormatting sqref="N654:R654">
    <cfRule type="notContainsBlanks" dxfId="5475" priority="5671">
      <formula>LEN(TRIM(N654))&gt;0</formula>
    </cfRule>
  </conditionalFormatting>
  <conditionalFormatting sqref="N654:R654">
    <cfRule type="notContainsBlanks" dxfId="5474" priority="5669">
      <formula>LEN(TRIM(N654))&gt;0</formula>
    </cfRule>
    <cfRule type="notContainsBlanks" dxfId="5473" priority="5670">
      <formula>LEN(TRIM(N654))&gt;0</formula>
    </cfRule>
  </conditionalFormatting>
  <conditionalFormatting sqref="N654:R654">
    <cfRule type="notContainsBlanks" dxfId="5472" priority="5668">
      <formula>LEN(TRIM(N654))&gt;0</formula>
    </cfRule>
  </conditionalFormatting>
  <conditionalFormatting sqref="N654:R654">
    <cfRule type="notContainsBlanks" dxfId="5471" priority="5667">
      <formula>LEN(TRIM(N654))&gt;0</formula>
    </cfRule>
  </conditionalFormatting>
  <conditionalFormatting sqref="N654:R654">
    <cfRule type="notContainsBlanks" dxfId="5470" priority="5666">
      <formula>LEN(TRIM(N654))&gt;0</formula>
    </cfRule>
  </conditionalFormatting>
  <conditionalFormatting sqref="N654:R654">
    <cfRule type="notContainsBlanks" dxfId="5469" priority="5665">
      <formula>LEN(TRIM(N654))&gt;0</formula>
    </cfRule>
  </conditionalFormatting>
  <conditionalFormatting sqref="N654:R654">
    <cfRule type="notContainsBlanks" dxfId="5468" priority="5664">
      <formula>LEN(TRIM(N654))&gt;0</formula>
    </cfRule>
  </conditionalFormatting>
  <conditionalFormatting sqref="N654:R654">
    <cfRule type="notContainsBlanks" dxfId="5467" priority="5663">
      <formula>LEN(TRIM(N654))&gt;0</formula>
    </cfRule>
  </conditionalFormatting>
  <conditionalFormatting sqref="N654:R654">
    <cfRule type="notContainsBlanks" dxfId="5466" priority="5662">
      <formula>LEN(TRIM(N654))&gt;0</formula>
    </cfRule>
  </conditionalFormatting>
  <conditionalFormatting sqref="N654:R654">
    <cfRule type="notContainsBlanks" dxfId="5465" priority="5661">
      <formula>LEN(TRIM(N654))&gt;0</formula>
    </cfRule>
  </conditionalFormatting>
  <conditionalFormatting sqref="N654:R654">
    <cfRule type="notContainsBlanks" dxfId="5464" priority="5660">
      <formula>LEN(TRIM(N654))&gt;0</formula>
    </cfRule>
  </conditionalFormatting>
  <conditionalFormatting sqref="N654:R654">
    <cfRule type="notContainsBlanks" priority="5659">
      <formula>LEN(TRIM(N654))&gt;0</formula>
    </cfRule>
  </conditionalFormatting>
  <conditionalFormatting sqref="N654:R654">
    <cfRule type="notContainsBlanks" dxfId="5463" priority="5658">
      <formula>LEN(TRIM(N654))&gt;0</formula>
    </cfRule>
  </conditionalFormatting>
  <conditionalFormatting sqref="N654:R654">
    <cfRule type="notContainsBlanks" dxfId="5462" priority="5657">
      <formula>LEN(TRIM(N654))&gt;0</formula>
    </cfRule>
  </conditionalFormatting>
  <conditionalFormatting sqref="N654:R654">
    <cfRule type="notContainsBlanks" dxfId="5461" priority="5656">
      <formula>LEN(TRIM(N654))&gt;0</formula>
    </cfRule>
  </conditionalFormatting>
  <conditionalFormatting sqref="N654:R654">
    <cfRule type="notContainsBlanks" dxfId="5460" priority="5655">
      <formula>LEN(TRIM(N654))&gt;0</formula>
    </cfRule>
  </conditionalFormatting>
  <conditionalFormatting sqref="N654:R654">
    <cfRule type="notContainsBlanks" dxfId="5459" priority="5654">
      <formula>LEN(TRIM(N654))&gt;0</formula>
    </cfRule>
  </conditionalFormatting>
  <conditionalFormatting sqref="N667:R667">
    <cfRule type="notContainsBlanks" dxfId="5458" priority="5653">
      <formula>LEN(TRIM(N667))&gt;0</formula>
    </cfRule>
  </conditionalFormatting>
  <conditionalFormatting sqref="N667:R667">
    <cfRule type="notContainsBlanks" dxfId="5457" priority="5652">
      <formula>LEN(TRIM(N667))&gt;0</formula>
    </cfRule>
  </conditionalFormatting>
  <conditionalFormatting sqref="N667:R667">
    <cfRule type="notContainsBlanks" dxfId="5456" priority="5651">
      <formula>LEN(TRIM(N667))&gt;0</formula>
    </cfRule>
  </conditionalFormatting>
  <conditionalFormatting sqref="N667:R667">
    <cfRule type="notContainsBlanks" dxfId="5455" priority="5650">
      <formula>LEN(TRIM(N667))&gt;0</formula>
    </cfRule>
  </conditionalFormatting>
  <conditionalFormatting sqref="N667:R667">
    <cfRule type="notContainsBlanks" dxfId="5454" priority="5649">
      <formula>LEN(TRIM(N667))&gt;0</formula>
    </cfRule>
  </conditionalFormatting>
  <conditionalFormatting sqref="N667:R667">
    <cfRule type="notContainsBlanks" dxfId="5453" priority="5648">
      <formula>LEN(TRIM(N667))&gt;0</formula>
    </cfRule>
  </conditionalFormatting>
  <conditionalFormatting sqref="N667:R667">
    <cfRule type="notContainsBlanks" dxfId="5452" priority="5647">
      <formula>LEN(TRIM(N667))&gt;0</formula>
    </cfRule>
  </conditionalFormatting>
  <conditionalFormatting sqref="N667:R667">
    <cfRule type="notContainsBlanks" dxfId="5451" priority="5646">
      <formula>LEN(TRIM(N667))&gt;0</formula>
    </cfRule>
  </conditionalFormatting>
  <conditionalFormatting sqref="N667:R667">
    <cfRule type="notContainsBlanks" dxfId="5450" priority="5645">
      <formula>LEN(TRIM(N667))&gt;0</formula>
    </cfRule>
  </conditionalFormatting>
  <conditionalFormatting sqref="N667:R667">
    <cfRule type="notContainsBlanks" dxfId="5449" priority="5643">
      <formula>LEN(TRIM(N667))&gt;0</formula>
    </cfRule>
    <cfRule type="notContainsBlanks" dxfId="5448" priority="5644">
      <formula>LEN(TRIM(N667))&gt;0</formula>
    </cfRule>
  </conditionalFormatting>
  <conditionalFormatting sqref="N667:R667">
    <cfRule type="notContainsBlanks" dxfId="5447" priority="5642">
      <formula>LEN(TRIM(N667))&gt;0</formula>
    </cfRule>
  </conditionalFormatting>
  <conditionalFormatting sqref="N667:R667">
    <cfRule type="notContainsBlanks" dxfId="5446" priority="5641">
      <formula>LEN(TRIM(N667))&gt;0</formula>
    </cfRule>
  </conditionalFormatting>
  <conditionalFormatting sqref="N667:R667">
    <cfRule type="notContainsBlanks" dxfId="5445" priority="5640">
      <formula>LEN(TRIM(N667))&gt;0</formula>
    </cfRule>
  </conditionalFormatting>
  <conditionalFormatting sqref="N667:R667">
    <cfRule type="notContainsBlanks" dxfId="5444" priority="5639">
      <formula>LEN(TRIM(N667))&gt;0</formula>
    </cfRule>
  </conditionalFormatting>
  <conditionalFormatting sqref="N667:R667">
    <cfRule type="notContainsBlanks" dxfId="5443" priority="5638">
      <formula>LEN(TRIM(N667))&gt;0</formula>
    </cfRule>
  </conditionalFormatting>
  <conditionalFormatting sqref="N667:R667">
    <cfRule type="notContainsBlanks" dxfId="5442" priority="5637">
      <formula>LEN(TRIM(N667))&gt;0</formula>
    </cfRule>
  </conditionalFormatting>
  <conditionalFormatting sqref="N667:R667">
    <cfRule type="notContainsBlanks" dxfId="5441" priority="5636">
      <formula>LEN(TRIM(N667))&gt;0</formula>
    </cfRule>
  </conditionalFormatting>
  <conditionalFormatting sqref="N667:R667">
    <cfRule type="notContainsBlanks" dxfId="5440" priority="5635">
      <formula>LEN(TRIM(N667))&gt;0</formula>
    </cfRule>
  </conditionalFormatting>
  <conditionalFormatting sqref="N667:R667">
    <cfRule type="notContainsBlanks" dxfId="5439" priority="5634">
      <formula>LEN(TRIM(N667))&gt;0</formula>
    </cfRule>
  </conditionalFormatting>
  <conditionalFormatting sqref="N667:R667">
    <cfRule type="notContainsBlanks" priority="5633">
      <formula>LEN(TRIM(N667))&gt;0</formula>
    </cfRule>
  </conditionalFormatting>
  <conditionalFormatting sqref="N667:R667">
    <cfRule type="notContainsBlanks" dxfId="5438" priority="5632">
      <formula>LEN(TRIM(N667))&gt;0</formula>
    </cfRule>
  </conditionalFormatting>
  <conditionalFormatting sqref="N667:R667">
    <cfRule type="notContainsBlanks" dxfId="5437" priority="5631">
      <formula>LEN(TRIM(N667))&gt;0</formula>
    </cfRule>
  </conditionalFormatting>
  <conditionalFormatting sqref="N667:R667">
    <cfRule type="notContainsBlanks" dxfId="5436" priority="5630">
      <formula>LEN(TRIM(N667))&gt;0</formula>
    </cfRule>
  </conditionalFormatting>
  <conditionalFormatting sqref="N667:R667">
    <cfRule type="notContainsBlanks" dxfId="5435" priority="5629">
      <formula>LEN(TRIM(N667))&gt;0</formula>
    </cfRule>
  </conditionalFormatting>
  <conditionalFormatting sqref="N667:R667">
    <cfRule type="notContainsBlanks" dxfId="5434" priority="5628">
      <formula>LEN(TRIM(N667))&gt;0</formula>
    </cfRule>
  </conditionalFormatting>
  <conditionalFormatting sqref="N680:R680">
    <cfRule type="notContainsBlanks" dxfId="5433" priority="5627">
      <formula>LEN(TRIM(N680))&gt;0</formula>
    </cfRule>
  </conditionalFormatting>
  <conditionalFormatting sqref="N680:R680">
    <cfRule type="notContainsBlanks" dxfId="5432" priority="5626">
      <formula>LEN(TRIM(N680))&gt;0</formula>
    </cfRule>
  </conditionalFormatting>
  <conditionalFormatting sqref="N680:R680">
    <cfRule type="notContainsBlanks" dxfId="5431" priority="5625">
      <formula>LEN(TRIM(N680))&gt;0</formula>
    </cfRule>
  </conditionalFormatting>
  <conditionalFormatting sqref="N680:R680">
    <cfRule type="notContainsBlanks" dxfId="5430" priority="5624">
      <formula>LEN(TRIM(N680))&gt;0</formula>
    </cfRule>
  </conditionalFormatting>
  <conditionalFormatting sqref="N680:R680">
    <cfRule type="notContainsBlanks" dxfId="5429" priority="5623">
      <formula>LEN(TRIM(N680))&gt;0</formula>
    </cfRule>
  </conditionalFormatting>
  <conditionalFormatting sqref="N680:R680">
    <cfRule type="notContainsBlanks" dxfId="5428" priority="5622">
      <formula>LEN(TRIM(N680))&gt;0</formula>
    </cfRule>
  </conditionalFormatting>
  <conditionalFormatting sqref="N680:R680">
    <cfRule type="notContainsBlanks" dxfId="5427" priority="5621">
      <formula>LEN(TRIM(N680))&gt;0</formula>
    </cfRule>
  </conditionalFormatting>
  <conditionalFormatting sqref="N680:R680">
    <cfRule type="notContainsBlanks" dxfId="5426" priority="5620">
      <formula>LEN(TRIM(N680))&gt;0</formula>
    </cfRule>
  </conditionalFormatting>
  <conditionalFormatting sqref="N680:R680">
    <cfRule type="notContainsBlanks" dxfId="5425" priority="5619">
      <formula>LEN(TRIM(N680))&gt;0</formula>
    </cfRule>
  </conditionalFormatting>
  <conditionalFormatting sqref="N680:R680">
    <cfRule type="notContainsBlanks" dxfId="5424" priority="5617">
      <formula>LEN(TRIM(N680))&gt;0</formula>
    </cfRule>
    <cfRule type="notContainsBlanks" dxfId="5423" priority="5618">
      <formula>LEN(TRIM(N680))&gt;0</formula>
    </cfRule>
  </conditionalFormatting>
  <conditionalFormatting sqref="N680:R680">
    <cfRule type="notContainsBlanks" dxfId="5422" priority="5616">
      <formula>LEN(TRIM(N680))&gt;0</formula>
    </cfRule>
  </conditionalFormatting>
  <conditionalFormatting sqref="N680:R680">
    <cfRule type="notContainsBlanks" dxfId="5421" priority="5615">
      <formula>LEN(TRIM(N680))&gt;0</formula>
    </cfRule>
  </conditionalFormatting>
  <conditionalFormatting sqref="N680:R680">
    <cfRule type="notContainsBlanks" dxfId="5420" priority="5614">
      <formula>LEN(TRIM(N680))&gt;0</formula>
    </cfRule>
  </conditionalFormatting>
  <conditionalFormatting sqref="N680:R680">
    <cfRule type="notContainsBlanks" dxfId="5419" priority="5613">
      <formula>LEN(TRIM(N680))&gt;0</formula>
    </cfRule>
  </conditionalFormatting>
  <conditionalFormatting sqref="N680:R680">
    <cfRule type="notContainsBlanks" dxfId="5418" priority="5612">
      <formula>LEN(TRIM(N680))&gt;0</formula>
    </cfRule>
  </conditionalFormatting>
  <conditionalFormatting sqref="N680:R680">
    <cfRule type="notContainsBlanks" dxfId="5417" priority="5611">
      <formula>LEN(TRIM(N680))&gt;0</formula>
    </cfRule>
  </conditionalFormatting>
  <conditionalFormatting sqref="N680:R680">
    <cfRule type="notContainsBlanks" dxfId="5416" priority="5610">
      <formula>LEN(TRIM(N680))&gt;0</formula>
    </cfRule>
  </conditionalFormatting>
  <conditionalFormatting sqref="N680:R680">
    <cfRule type="notContainsBlanks" dxfId="5415" priority="5609">
      <formula>LEN(TRIM(N680))&gt;0</formula>
    </cfRule>
  </conditionalFormatting>
  <conditionalFormatting sqref="N680:R680">
    <cfRule type="notContainsBlanks" dxfId="5414" priority="5608">
      <formula>LEN(TRIM(N680))&gt;0</formula>
    </cfRule>
  </conditionalFormatting>
  <conditionalFormatting sqref="N680:R680">
    <cfRule type="notContainsBlanks" priority="5607">
      <formula>LEN(TRIM(N680))&gt;0</formula>
    </cfRule>
  </conditionalFormatting>
  <conditionalFormatting sqref="N680:R680">
    <cfRule type="notContainsBlanks" dxfId="5413" priority="5606">
      <formula>LEN(TRIM(N680))&gt;0</formula>
    </cfRule>
  </conditionalFormatting>
  <conditionalFormatting sqref="N680:R680">
    <cfRule type="notContainsBlanks" dxfId="5412" priority="5605">
      <formula>LEN(TRIM(N680))&gt;0</formula>
    </cfRule>
  </conditionalFormatting>
  <conditionalFormatting sqref="N680:R680">
    <cfRule type="notContainsBlanks" dxfId="5411" priority="5604">
      <formula>LEN(TRIM(N680))&gt;0</formula>
    </cfRule>
  </conditionalFormatting>
  <conditionalFormatting sqref="N680:R680">
    <cfRule type="notContainsBlanks" dxfId="5410" priority="5603">
      <formula>LEN(TRIM(N680))&gt;0</formula>
    </cfRule>
  </conditionalFormatting>
  <conditionalFormatting sqref="N680:R680">
    <cfRule type="notContainsBlanks" dxfId="5409" priority="5602">
      <formula>LEN(TRIM(N680))&gt;0</formula>
    </cfRule>
  </conditionalFormatting>
  <conditionalFormatting sqref="N693:R693">
    <cfRule type="notContainsBlanks" dxfId="5408" priority="5601">
      <formula>LEN(TRIM(N693))&gt;0</formula>
    </cfRule>
  </conditionalFormatting>
  <conditionalFormatting sqref="N693:R693">
    <cfRule type="notContainsBlanks" dxfId="5407" priority="5600">
      <formula>LEN(TRIM(N693))&gt;0</formula>
    </cfRule>
  </conditionalFormatting>
  <conditionalFormatting sqref="N693:R693">
    <cfRule type="notContainsBlanks" dxfId="5406" priority="5599">
      <formula>LEN(TRIM(N693))&gt;0</formula>
    </cfRule>
  </conditionalFormatting>
  <conditionalFormatting sqref="N693:R693">
    <cfRule type="notContainsBlanks" dxfId="5405" priority="5598">
      <formula>LEN(TRIM(N693))&gt;0</formula>
    </cfRule>
  </conditionalFormatting>
  <conditionalFormatting sqref="N693:R693">
    <cfRule type="notContainsBlanks" dxfId="5404" priority="5597">
      <formula>LEN(TRIM(N693))&gt;0</formula>
    </cfRule>
  </conditionalFormatting>
  <conditionalFormatting sqref="N693:R693">
    <cfRule type="notContainsBlanks" dxfId="5403" priority="5596">
      <formula>LEN(TRIM(N693))&gt;0</formula>
    </cfRule>
  </conditionalFormatting>
  <conditionalFormatting sqref="N693:R693">
    <cfRule type="notContainsBlanks" dxfId="5402" priority="5595">
      <formula>LEN(TRIM(N693))&gt;0</formula>
    </cfRule>
  </conditionalFormatting>
  <conditionalFormatting sqref="N693:R693">
    <cfRule type="notContainsBlanks" dxfId="5401" priority="5594">
      <formula>LEN(TRIM(N693))&gt;0</formula>
    </cfRule>
  </conditionalFormatting>
  <conditionalFormatting sqref="N693:R693">
    <cfRule type="notContainsBlanks" dxfId="5400" priority="5593">
      <formula>LEN(TRIM(N693))&gt;0</formula>
    </cfRule>
  </conditionalFormatting>
  <conditionalFormatting sqref="N693:R693">
    <cfRule type="notContainsBlanks" dxfId="5399" priority="5591">
      <formula>LEN(TRIM(N693))&gt;0</formula>
    </cfRule>
    <cfRule type="notContainsBlanks" dxfId="5398" priority="5592">
      <formula>LEN(TRIM(N693))&gt;0</formula>
    </cfRule>
  </conditionalFormatting>
  <conditionalFormatting sqref="N693:R693">
    <cfRule type="notContainsBlanks" dxfId="5397" priority="5590">
      <formula>LEN(TRIM(N693))&gt;0</formula>
    </cfRule>
  </conditionalFormatting>
  <conditionalFormatting sqref="N693:R693">
    <cfRule type="notContainsBlanks" dxfId="5396" priority="5589">
      <formula>LEN(TRIM(N693))&gt;0</formula>
    </cfRule>
  </conditionalFormatting>
  <conditionalFormatting sqref="N693:R693">
    <cfRule type="notContainsBlanks" dxfId="5395" priority="5588">
      <formula>LEN(TRIM(N693))&gt;0</formula>
    </cfRule>
  </conditionalFormatting>
  <conditionalFormatting sqref="N693:R693">
    <cfRule type="notContainsBlanks" dxfId="5394" priority="5587">
      <formula>LEN(TRIM(N693))&gt;0</formula>
    </cfRule>
  </conditionalFormatting>
  <conditionalFormatting sqref="N693:R693">
    <cfRule type="notContainsBlanks" dxfId="5393" priority="5586">
      <formula>LEN(TRIM(N693))&gt;0</formula>
    </cfRule>
  </conditionalFormatting>
  <conditionalFormatting sqref="N693:R693">
    <cfRule type="notContainsBlanks" dxfId="5392" priority="5585">
      <formula>LEN(TRIM(N693))&gt;0</formula>
    </cfRule>
  </conditionalFormatting>
  <conditionalFormatting sqref="N693:R693">
    <cfRule type="notContainsBlanks" dxfId="5391" priority="5584">
      <formula>LEN(TRIM(N693))&gt;0</formula>
    </cfRule>
  </conditionalFormatting>
  <conditionalFormatting sqref="N693:R693">
    <cfRule type="notContainsBlanks" dxfId="5390" priority="5583">
      <formula>LEN(TRIM(N693))&gt;0</formula>
    </cfRule>
  </conditionalFormatting>
  <conditionalFormatting sqref="N693:R693">
    <cfRule type="notContainsBlanks" dxfId="5389" priority="5582">
      <formula>LEN(TRIM(N693))&gt;0</formula>
    </cfRule>
  </conditionalFormatting>
  <conditionalFormatting sqref="N693:R693">
    <cfRule type="notContainsBlanks" priority="5581">
      <formula>LEN(TRIM(N693))&gt;0</formula>
    </cfRule>
  </conditionalFormatting>
  <conditionalFormatting sqref="N693:R693">
    <cfRule type="notContainsBlanks" dxfId="5388" priority="5580">
      <formula>LEN(TRIM(N693))&gt;0</formula>
    </cfRule>
  </conditionalFormatting>
  <conditionalFormatting sqref="N693:R693">
    <cfRule type="notContainsBlanks" dxfId="5387" priority="5579">
      <formula>LEN(TRIM(N693))&gt;0</formula>
    </cfRule>
  </conditionalFormatting>
  <conditionalFormatting sqref="N693:R693">
    <cfRule type="notContainsBlanks" dxfId="5386" priority="5578">
      <formula>LEN(TRIM(N693))&gt;0</formula>
    </cfRule>
  </conditionalFormatting>
  <conditionalFormatting sqref="N693:R693">
    <cfRule type="notContainsBlanks" dxfId="5385" priority="5577">
      <formula>LEN(TRIM(N693))&gt;0</formula>
    </cfRule>
  </conditionalFormatting>
  <conditionalFormatting sqref="N693:R693">
    <cfRule type="notContainsBlanks" dxfId="5384" priority="5576">
      <formula>LEN(TRIM(N693))&gt;0</formula>
    </cfRule>
  </conditionalFormatting>
  <conditionalFormatting sqref="N706:R706">
    <cfRule type="notContainsBlanks" dxfId="5383" priority="5575">
      <formula>LEN(TRIM(N706))&gt;0</formula>
    </cfRule>
  </conditionalFormatting>
  <conditionalFormatting sqref="N706:R706">
    <cfRule type="notContainsBlanks" dxfId="5382" priority="5574">
      <formula>LEN(TRIM(N706))&gt;0</formula>
    </cfRule>
  </conditionalFormatting>
  <conditionalFormatting sqref="N706:R706">
    <cfRule type="notContainsBlanks" dxfId="5381" priority="5573">
      <formula>LEN(TRIM(N706))&gt;0</formula>
    </cfRule>
  </conditionalFormatting>
  <conditionalFormatting sqref="N706:R706">
    <cfRule type="notContainsBlanks" dxfId="5380" priority="5572">
      <formula>LEN(TRIM(N706))&gt;0</formula>
    </cfRule>
  </conditionalFormatting>
  <conditionalFormatting sqref="N706:R706">
    <cfRule type="notContainsBlanks" dxfId="5379" priority="5571">
      <formula>LEN(TRIM(N706))&gt;0</formula>
    </cfRule>
  </conditionalFormatting>
  <conditionalFormatting sqref="N706:R706">
    <cfRule type="notContainsBlanks" dxfId="5378" priority="5570">
      <formula>LEN(TRIM(N706))&gt;0</formula>
    </cfRule>
  </conditionalFormatting>
  <conditionalFormatting sqref="N706:R706">
    <cfRule type="notContainsBlanks" dxfId="5377" priority="5569">
      <formula>LEN(TRIM(N706))&gt;0</formula>
    </cfRule>
  </conditionalFormatting>
  <conditionalFormatting sqref="N706:R706">
    <cfRule type="notContainsBlanks" dxfId="5376" priority="5568">
      <formula>LEN(TRIM(N706))&gt;0</formula>
    </cfRule>
  </conditionalFormatting>
  <conditionalFormatting sqref="N706:R706">
    <cfRule type="notContainsBlanks" dxfId="5375" priority="5567">
      <formula>LEN(TRIM(N706))&gt;0</formula>
    </cfRule>
  </conditionalFormatting>
  <conditionalFormatting sqref="N706:R706">
    <cfRule type="notContainsBlanks" dxfId="5374" priority="5565">
      <formula>LEN(TRIM(N706))&gt;0</formula>
    </cfRule>
    <cfRule type="notContainsBlanks" dxfId="5373" priority="5566">
      <formula>LEN(TRIM(N706))&gt;0</formula>
    </cfRule>
  </conditionalFormatting>
  <conditionalFormatting sqref="N706:R706">
    <cfRule type="notContainsBlanks" dxfId="5372" priority="5564">
      <formula>LEN(TRIM(N706))&gt;0</formula>
    </cfRule>
  </conditionalFormatting>
  <conditionalFormatting sqref="N706:R706">
    <cfRule type="notContainsBlanks" dxfId="5371" priority="5563">
      <formula>LEN(TRIM(N706))&gt;0</formula>
    </cfRule>
  </conditionalFormatting>
  <conditionalFormatting sqref="N706:R706">
    <cfRule type="notContainsBlanks" dxfId="5370" priority="5562">
      <formula>LEN(TRIM(N706))&gt;0</formula>
    </cfRule>
  </conditionalFormatting>
  <conditionalFormatting sqref="N706:R706">
    <cfRule type="notContainsBlanks" dxfId="5369" priority="5561">
      <formula>LEN(TRIM(N706))&gt;0</formula>
    </cfRule>
  </conditionalFormatting>
  <conditionalFormatting sqref="N706:R706">
    <cfRule type="notContainsBlanks" dxfId="5368" priority="5560">
      <formula>LEN(TRIM(N706))&gt;0</formula>
    </cfRule>
  </conditionalFormatting>
  <conditionalFormatting sqref="N706:R706">
    <cfRule type="notContainsBlanks" dxfId="5367" priority="5559">
      <formula>LEN(TRIM(N706))&gt;0</formula>
    </cfRule>
  </conditionalFormatting>
  <conditionalFormatting sqref="N706:R706">
    <cfRule type="notContainsBlanks" dxfId="5366" priority="5558">
      <formula>LEN(TRIM(N706))&gt;0</formula>
    </cfRule>
  </conditionalFormatting>
  <conditionalFormatting sqref="N706:R706">
    <cfRule type="notContainsBlanks" dxfId="5365" priority="5557">
      <formula>LEN(TRIM(N706))&gt;0</formula>
    </cfRule>
  </conditionalFormatting>
  <conditionalFormatting sqref="N706:R706">
    <cfRule type="notContainsBlanks" dxfId="5364" priority="5556">
      <formula>LEN(TRIM(N706))&gt;0</formula>
    </cfRule>
  </conditionalFormatting>
  <conditionalFormatting sqref="N706:R706">
    <cfRule type="notContainsBlanks" priority="5555">
      <formula>LEN(TRIM(N706))&gt;0</formula>
    </cfRule>
  </conditionalFormatting>
  <conditionalFormatting sqref="N706:R706">
    <cfRule type="notContainsBlanks" dxfId="5363" priority="5554">
      <formula>LEN(TRIM(N706))&gt;0</formula>
    </cfRule>
  </conditionalFormatting>
  <conditionalFormatting sqref="N706:R706">
    <cfRule type="notContainsBlanks" dxfId="5362" priority="5553">
      <formula>LEN(TRIM(N706))&gt;0</formula>
    </cfRule>
  </conditionalFormatting>
  <conditionalFormatting sqref="N706:R706">
    <cfRule type="notContainsBlanks" dxfId="5361" priority="5552">
      <formula>LEN(TRIM(N706))&gt;0</formula>
    </cfRule>
  </conditionalFormatting>
  <conditionalFormatting sqref="N706:R706">
    <cfRule type="notContainsBlanks" dxfId="5360" priority="5551">
      <formula>LEN(TRIM(N706))&gt;0</formula>
    </cfRule>
  </conditionalFormatting>
  <conditionalFormatting sqref="N706:R706">
    <cfRule type="notContainsBlanks" dxfId="5359" priority="5550">
      <formula>LEN(TRIM(N706))&gt;0</formula>
    </cfRule>
  </conditionalFormatting>
  <conditionalFormatting sqref="N719:R719">
    <cfRule type="notContainsBlanks" dxfId="5358" priority="5549">
      <formula>LEN(TRIM(N719))&gt;0</formula>
    </cfRule>
  </conditionalFormatting>
  <conditionalFormatting sqref="N719:R719">
    <cfRule type="notContainsBlanks" dxfId="5357" priority="5548">
      <formula>LEN(TRIM(N719))&gt;0</formula>
    </cfRule>
  </conditionalFormatting>
  <conditionalFormatting sqref="N719:R719">
    <cfRule type="notContainsBlanks" dxfId="5356" priority="5547">
      <formula>LEN(TRIM(N719))&gt;0</formula>
    </cfRule>
  </conditionalFormatting>
  <conditionalFormatting sqref="N719:R719">
    <cfRule type="notContainsBlanks" dxfId="5355" priority="5546">
      <formula>LEN(TRIM(N719))&gt;0</formula>
    </cfRule>
  </conditionalFormatting>
  <conditionalFormatting sqref="N719:R719">
    <cfRule type="notContainsBlanks" dxfId="5354" priority="5545">
      <formula>LEN(TRIM(N719))&gt;0</formula>
    </cfRule>
  </conditionalFormatting>
  <conditionalFormatting sqref="N719:R719">
    <cfRule type="notContainsBlanks" dxfId="5353" priority="5544">
      <formula>LEN(TRIM(N719))&gt;0</formula>
    </cfRule>
  </conditionalFormatting>
  <conditionalFormatting sqref="N719:R719">
    <cfRule type="notContainsBlanks" dxfId="5352" priority="5543">
      <formula>LEN(TRIM(N719))&gt;0</formula>
    </cfRule>
  </conditionalFormatting>
  <conditionalFormatting sqref="N719:R719">
    <cfRule type="notContainsBlanks" dxfId="5351" priority="5542">
      <formula>LEN(TRIM(N719))&gt;0</formula>
    </cfRule>
  </conditionalFormatting>
  <conditionalFormatting sqref="N719:R719">
    <cfRule type="notContainsBlanks" dxfId="5350" priority="5541">
      <formula>LEN(TRIM(N719))&gt;0</formula>
    </cfRule>
  </conditionalFormatting>
  <conditionalFormatting sqref="N719:R719">
    <cfRule type="notContainsBlanks" dxfId="5349" priority="5539">
      <formula>LEN(TRIM(N719))&gt;0</formula>
    </cfRule>
    <cfRule type="notContainsBlanks" dxfId="5348" priority="5540">
      <formula>LEN(TRIM(N719))&gt;0</formula>
    </cfRule>
  </conditionalFormatting>
  <conditionalFormatting sqref="N719:R719">
    <cfRule type="notContainsBlanks" dxfId="5347" priority="5538">
      <formula>LEN(TRIM(N719))&gt;0</formula>
    </cfRule>
  </conditionalFormatting>
  <conditionalFormatting sqref="N719:R719">
    <cfRule type="notContainsBlanks" dxfId="5346" priority="5537">
      <formula>LEN(TRIM(N719))&gt;0</formula>
    </cfRule>
  </conditionalFormatting>
  <conditionalFormatting sqref="N719:R719">
    <cfRule type="notContainsBlanks" dxfId="5345" priority="5536">
      <formula>LEN(TRIM(N719))&gt;0</formula>
    </cfRule>
  </conditionalFormatting>
  <conditionalFormatting sqref="N719:R719">
    <cfRule type="notContainsBlanks" dxfId="5344" priority="5535">
      <formula>LEN(TRIM(N719))&gt;0</formula>
    </cfRule>
  </conditionalFormatting>
  <conditionalFormatting sqref="N719:R719">
    <cfRule type="notContainsBlanks" dxfId="5343" priority="5534">
      <formula>LEN(TRIM(N719))&gt;0</formula>
    </cfRule>
  </conditionalFormatting>
  <conditionalFormatting sqref="N719:R719">
    <cfRule type="notContainsBlanks" dxfId="5342" priority="5533">
      <formula>LEN(TRIM(N719))&gt;0</formula>
    </cfRule>
  </conditionalFormatting>
  <conditionalFormatting sqref="N719:R719">
    <cfRule type="notContainsBlanks" dxfId="5341" priority="5532">
      <formula>LEN(TRIM(N719))&gt;0</formula>
    </cfRule>
  </conditionalFormatting>
  <conditionalFormatting sqref="N719:R719">
    <cfRule type="notContainsBlanks" dxfId="5340" priority="5531">
      <formula>LEN(TRIM(N719))&gt;0</formula>
    </cfRule>
  </conditionalFormatting>
  <conditionalFormatting sqref="N719:R719">
    <cfRule type="notContainsBlanks" dxfId="5339" priority="5530">
      <formula>LEN(TRIM(N719))&gt;0</formula>
    </cfRule>
  </conditionalFormatting>
  <conditionalFormatting sqref="N719:R719">
    <cfRule type="notContainsBlanks" priority="5529">
      <formula>LEN(TRIM(N719))&gt;0</formula>
    </cfRule>
  </conditionalFormatting>
  <conditionalFormatting sqref="N719:R719">
    <cfRule type="notContainsBlanks" dxfId="5338" priority="5528">
      <formula>LEN(TRIM(N719))&gt;0</formula>
    </cfRule>
  </conditionalFormatting>
  <conditionalFormatting sqref="N719:R719">
    <cfRule type="notContainsBlanks" dxfId="5337" priority="5527">
      <formula>LEN(TRIM(N719))&gt;0</formula>
    </cfRule>
  </conditionalFormatting>
  <conditionalFormatting sqref="N719:R719">
    <cfRule type="notContainsBlanks" dxfId="5336" priority="5526">
      <formula>LEN(TRIM(N719))&gt;0</formula>
    </cfRule>
  </conditionalFormatting>
  <conditionalFormatting sqref="N719:R719">
    <cfRule type="notContainsBlanks" dxfId="5335" priority="5525">
      <formula>LEN(TRIM(N719))&gt;0</formula>
    </cfRule>
  </conditionalFormatting>
  <conditionalFormatting sqref="N719:R719">
    <cfRule type="notContainsBlanks" dxfId="5334" priority="5524">
      <formula>LEN(TRIM(N719))&gt;0</formula>
    </cfRule>
  </conditionalFormatting>
  <conditionalFormatting sqref="N732:R732">
    <cfRule type="notContainsBlanks" dxfId="5333" priority="5523">
      <formula>LEN(TRIM(N732))&gt;0</formula>
    </cfRule>
  </conditionalFormatting>
  <conditionalFormatting sqref="N732:R732">
    <cfRule type="notContainsBlanks" dxfId="5332" priority="5522">
      <formula>LEN(TRIM(N732))&gt;0</formula>
    </cfRule>
  </conditionalFormatting>
  <conditionalFormatting sqref="N732:R732">
    <cfRule type="notContainsBlanks" dxfId="5331" priority="5521">
      <formula>LEN(TRIM(N732))&gt;0</formula>
    </cfRule>
  </conditionalFormatting>
  <conditionalFormatting sqref="N732:R732">
    <cfRule type="notContainsBlanks" dxfId="5330" priority="5520">
      <formula>LEN(TRIM(N732))&gt;0</formula>
    </cfRule>
  </conditionalFormatting>
  <conditionalFormatting sqref="N732:R732">
    <cfRule type="notContainsBlanks" dxfId="5329" priority="5519">
      <formula>LEN(TRIM(N732))&gt;0</formula>
    </cfRule>
  </conditionalFormatting>
  <conditionalFormatting sqref="N732:R732">
    <cfRule type="notContainsBlanks" dxfId="5328" priority="5518">
      <formula>LEN(TRIM(N732))&gt;0</formula>
    </cfRule>
  </conditionalFormatting>
  <conditionalFormatting sqref="N732:R732">
    <cfRule type="notContainsBlanks" dxfId="5327" priority="5517">
      <formula>LEN(TRIM(N732))&gt;0</formula>
    </cfRule>
  </conditionalFormatting>
  <conditionalFormatting sqref="N732:R732">
    <cfRule type="notContainsBlanks" dxfId="5326" priority="5516">
      <formula>LEN(TRIM(N732))&gt;0</formula>
    </cfRule>
  </conditionalFormatting>
  <conditionalFormatting sqref="N732:R732">
    <cfRule type="notContainsBlanks" dxfId="5325" priority="5515">
      <formula>LEN(TRIM(N732))&gt;0</formula>
    </cfRule>
  </conditionalFormatting>
  <conditionalFormatting sqref="N732:R732">
    <cfRule type="notContainsBlanks" dxfId="5324" priority="5513">
      <formula>LEN(TRIM(N732))&gt;0</formula>
    </cfRule>
    <cfRule type="notContainsBlanks" dxfId="5323" priority="5514">
      <formula>LEN(TRIM(N732))&gt;0</formula>
    </cfRule>
  </conditionalFormatting>
  <conditionalFormatting sqref="N732:R732">
    <cfRule type="notContainsBlanks" dxfId="5322" priority="5512">
      <formula>LEN(TRIM(N732))&gt;0</formula>
    </cfRule>
  </conditionalFormatting>
  <conditionalFormatting sqref="N732:R732">
    <cfRule type="notContainsBlanks" dxfId="5321" priority="5511">
      <formula>LEN(TRIM(N732))&gt;0</formula>
    </cfRule>
  </conditionalFormatting>
  <conditionalFormatting sqref="N732:R732">
    <cfRule type="notContainsBlanks" dxfId="5320" priority="5510">
      <formula>LEN(TRIM(N732))&gt;0</formula>
    </cfRule>
  </conditionalFormatting>
  <conditionalFormatting sqref="N732:R732">
    <cfRule type="notContainsBlanks" dxfId="5319" priority="5509">
      <formula>LEN(TRIM(N732))&gt;0</formula>
    </cfRule>
  </conditionalFormatting>
  <conditionalFormatting sqref="N732:R732">
    <cfRule type="notContainsBlanks" dxfId="5318" priority="5508">
      <formula>LEN(TRIM(N732))&gt;0</formula>
    </cfRule>
  </conditionalFormatting>
  <conditionalFormatting sqref="N732:R732">
    <cfRule type="notContainsBlanks" dxfId="5317" priority="5507">
      <formula>LEN(TRIM(N732))&gt;0</formula>
    </cfRule>
  </conditionalFormatting>
  <conditionalFormatting sqref="N732:R732">
    <cfRule type="notContainsBlanks" dxfId="5316" priority="5506">
      <formula>LEN(TRIM(N732))&gt;0</formula>
    </cfRule>
  </conditionalFormatting>
  <conditionalFormatting sqref="N732:R732">
    <cfRule type="notContainsBlanks" dxfId="5315" priority="5505">
      <formula>LEN(TRIM(N732))&gt;0</formula>
    </cfRule>
  </conditionalFormatting>
  <conditionalFormatting sqref="N732:R732">
    <cfRule type="notContainsBlanks" dxfId="5314" priority="5504">
      <formula>LEN(TRIM(N732))&gt;0</formula>
    </cfRule>
  </conditionalFormatting>
  <conditionalFormatting sqref="N732:R732">
    <cfRule type="notContainsBlanks" priority="5503">
      <formula>LEN(TRIM(N732))&gt;0</formula>
    </cfRule>
  </conditionalFormatting>
  <conditionalFormatting sqref="N732:R732">
    <cfRule type="notContainsBlanks" dxfId="5313" priority="5502">
      <formula>LEN(TRIM(N732))&gt;0</formula>
    </cfRule>
  </conditionalFormatting>
  <conditionalFormatting sqref="N732:R732">
    <cfRule type="notContainsBlanks" dxfId="5312" priority="5501">
      <formula>LEN(TRIM(N732))&gt;0</formula>
    </cfRule>
  </conditionalFormatting>
  <conditionalFormatting sqref="N732:R732">
    <cfRule type="notContainsBlanks" dxfId="5311" priority="5500">
      <formula>LEN(TRIM(N732))&gt;0</formula>
    </cfRule>
  </conditionalFormatting>
  <conditionalFormatting sqref="N732:R732">
    <cfRule type="notContainsBlanks" dxfId="5310" priority="5499">
      <formula>LEN(TRIM(N732))&gt;0</formula>
    </cfRule>
  </conditionalFormatting>
  <conditionalFormatting sqref="N732:R732">
    <cfRule type="notContainsBlanks" dxfId="5309" priority="5498">
      <formula>LEN(TRIM(N732))&gt;0</formula>
    </cfRule>
  </conditionalFormatting>
  <conditionalFormatting sqref="N745:R745">
    <cfRule type="notContainsBlanks" dxfId="5308" priority="5497">
      <formula>LEN(TRIM(N745))&gt;0</formula>
    </cfRule>
  </conditionalFormatting>
  <conditionalFormatting sqref="N745:R745">
    <cfRule type="notContainsBlanks" dxfId="5307" priority="5496">
      <formula>LEN(TRIM(N745))&gt;0</formula>
    </cfRule>
  </conditionalFormatting>
  <conditionalFormatting sqref="N745:R745">
    <cfRule type="notContainsBlanks" dxfId="5306" priority="5495">
      <formula>LEN(TRIM(N745))&gt;0</formula>
    </cfRule>
  </conditionalFormatting>
  <conditionalFormatting sqref="N745:R745">
    <cfRule type="notContainsBlanks" dxfId="5305" priority="5494">
      <formula>LEN(TRIM(N745))&gt;0</formula>
    </cfRule>
  </conditionalFormatting>
  <conditionalFormatting sqref="N745:R745">
    <cfRule type="notContainsBlanks" dxfId="5304" priority="5493">
      <formula>LEN(TRIM(N745))&gt;0</formula>
    </cfRule>
  </conditionalFormatting>
  <conditionalFormatting sqref="N745:R745">
    <cfRule type="notContainsBlanks" dxfId="5303" priority="5492">
      <formula>LEN(TRIM(N745))&gt;0</formula>
    </cfRule>
  </conditionalFormatting>
  <conditionalFormatting sqref="N745:R745">
    <cfRule type="notContainsBlanks" dxfId="5302" priority="5491">
      <formula>LEN(TRIM(N745))&gt;0</formula>
    </cfRule>
  </conditionalFormatting>
  <conditionalFormatting sqref="N745:R745">
    <cfRule type="notContainsBlanks" dxfId="5301" priority="5490">
      <formula>LEN(TRIM(N745))&gt;0</formula>
    </cfRule>
  </conditionalFormatting>
  <conditionalFormatting sqref="N745:R745">
    <cfRule type="notContainsBlanks" dxfId="5300" priority="5489">
      <formula>LEN(TRIM(N745))&gt;0</formula>
    </cfRule>
  </conditionalFormatting>
  <conditionalFormatting sqref="N745:R745">
    <cfRule type="notContainsBlanks" dxfId="5299" priority="5487">
      <formula>LEN(TRIM(N745))&gt;0</formula>
    </cfRule>
    <cfRule type="notContainsBlanks" dxfId="5298" priority="5488">
      <formula>LEN(TRIM(N745))&gt;0</formula>
    </cfRule>
  </conditionalFormatting>
  <conditionalFormatting sqref="N745:R745">
    <cfRule type="notContainsBlanks" dxfId="5297" priority="5486">
      <formula>LEN(TRIM(N745))&gt;0</formula>
    </cfRule>
  </conditionalFormatting>
  <conditionalFormatting sqref="N745:R745">
    <cfRule type="notContainsBlanks" dxfId="5296" priority="5485">
      <formula>LEN(TRIM(N745))&gt;0</formula>
    </cfRule>
  </conditionalFormatting>
  <conditionalFormatting sqref="N745:R745">
    <cfRule type="notContainsBlanks" dxfId="5295" priority="5484">
      <formula>LEN(TRIM(N745))&gt;0</formula>
    </cfRule>
  </conditionalFormatting>
  <conditionalFormatting sqref="N745:R745">
    <cfRule type="notContainsBlanks" dxfId="5294" priority="5483">
      <formula>LEN(TRIM(N745))&gt;0</formula>
    </cfRule>
  </conditionalFormatting>
  <conditionalFormatting sqref="N745:R745">
    <cfRule type="notContainsBlanks" dxfId="5293" priority="5482">
      <formula>LEN(TRIM(N745))&gt;0</formula>
    </cfRule>
  </conditionalFormatting>
  <conditionalFormatting sqref="N745:R745">
    <cfRule type="notContainsBlanks" dxfId="5292" priority="5481">
      <formula>LEN(TRIM(N745))&gt;0</formula>
    </cfRule>
  </conditionalFormatting>
  <conditionalFormatting sqref="N745:R745">
    <cfRule type="notContainsBlanks" dxfId="5291" priority="5480">
      <formula>LEN(TRIM(N745))&gt;0</formula>
    </cfRule>
  </conditionalFormatting>
  <conditionalFormatting sqref="N745:R745">
    <cfRule type="notContainsBlanks" dxfId="5290" priority="5479">
      <formula>LEN(TRIM(N745))&gt;0</formula>
    </cfRule>
  </conditionalFormatting>
  <conditionalFormatting sqref="N745:R745">
    <cfRule type="notContainsBlanks" dxfId="5289" priority="5478">
      <formula>LEN(TRIM(N745))&gt;0</formula>
    </cfRule>
  </conditionalFormatting>
  <conditionalFormatting sqref="N745:R745">
    <cfRule type="notContainsBlanks" priority="5477">
      <formula>LEN(TRIM(N745))&gt;0</formula>
    </cfRule>
  </conditionalFormatting>
  <conditionalFormatting sqref="N745:R745">
    <cfRule type="notContainsBlanks" dxfId="5288" priority="5476">
      <formula>LEN(TRIM(N745))&gt;0</formula>
    </cfRule>
  </conditionalFormatting>
  <conditionalFormatting sqref="N745:R745">
    <cfRule type="notContainsBlanks" dxfId="5287" priority="5475">
      <formula>LEN(TRIM(N745))&gt;0</formula>
    </cfRule>
  </conditionalFormatting>
  <conditionalFormatting sqref="N745:R745">
    <cfRule type="notContainsBlanks" dxfId="5286" priority="5474">
      <formula>LEN(TRIM(N745))&gt;0</formula>
    </cfRule>
  </conditionalFormatting>
  <conditionalFormatting sqref="N745:R745">
    <cfRule type="notContainsBlanks" dxfId="5285" priority="5473">
      <formula>LEN(TRIM(N745))&gt;0</formula>
    </cfRule>
  </conditionalFormatting>
  <conditionalFormatting sqref="N745:R745">
    <cfRule type="notContainsBlanks" dxfId="5284" priority="5472">
      <formula>LEN(TRIM(N745))&gt;0</formula>
    </cfRule>
  </conditionalFormatting>
  <conditionalFormatting sqref="N758:R758">
    <cfRule type="notContainsBlanks" dxfId="5283" priority="5471">
      <formula>LEN(TRIM(N758))&gt;0</formula>
    </cfRule>
  </conditionalFormatting>
  <conditionalFormatting sqref="N758:R758">
    <cfRule type="notContainsBlanks" dxfId="5282" priority="5470">
      <formula>LEN(TRIM(N758))&gt;0</formula>
    </cfRule>
  </conditionalFormatting>
  <conditionalFormatting sqref="N758:R758">
    <cfRule type="notContainsBlanks" dxfId="5281" priority="5469">
      <formula>LEN(TRIM(N758))&gt;0</formula>
    </cfRule>
  </conditionalFormatting>
  <conditionalFormatting sqref="N758:R758">
    <cfRule type="notContainsBlanks" dxfId="5280" priority="5468">
      <formula>LEN(TRIM(N758))&gt;0</formula>
    </cfRule>
  </conditionalFormatting>
  <conditionalFormatting sqref="N758:R758">
    <cfRule type="notContainsBlanks" dxfId="5279" priority="5467">
      <formula>LEN(TRIM(N758))&gt;0</formula>
    </cfRule>
  </conditionalFormatting>
  <conditionalFormatting sqref="N758:R758">
    <cfRule type="notContainsBlanks" dxfId="5278" priority="5466">
      <formula>LEN(TRIM(N758))&gt;0</formula>
    </cfRule>
  </conditionalFormatting>
  <conditionalFormatting sqref="N758:R758">
    <cfRule type="notContainsBlanks" dxfId="5277" priority="5465">
      <formula>LEN(TRIM(N758))&gt;0</formula>
    </cfRule>
  </conditionalFormatting>
  <conditionalFormatting sqref="N758:R758">
    <cfRule type="notContainsBlanks" dxfId="5276" priority="5464">
      <formula>LEN(TRIM(N758))&gt;0</formula>
    </cfRule>
  </conditionalFormatting>
  <conditionalFormatting sqref="N758:R758">
    <cfRule type="notContainsBlanks" dxfId="5275" priority="5463">
      <formula>LEN(TRIM(N758))&gt;0</formula>
    </cfRule>
  </conditionalFormatting>
  <conditionalFormatting sqref="N758:R758">
    <cfRule type="notContainsBlanks" dxfId="5274" priority="5461">
      <formula>LEN(TRIM(N758))&gt;0</formula>
    </cfRule>
    <cfRule type="notContainsBlanks" dxfId="5273" priority="5462">
      <formula>LEN(TRIM(N758))&gt;0</formula>
    </cfRule>
  </conditionalFormatting>
  <conditionalFormatting sqref="N758:R758">
    <cfRule type="notContainsBlanks" dxfId="5272" priority="5460">
      <formula>LEN(TRIM(N758))&gt;0</formula>
    </cfRule>
  </conditionalFormatting>
  <conditionalFormatting sqref="N758:R758">
    <cfRule type="notContainsBlanks" dxfId="5271" priority="5459">
      <formula>LEN(TRIM(N758))&gt;0</formula>
    </cfRule>
  </conditionalFormatting>
  <conditionalFormatting sqref="N758:R758">
    <cfRule type="notContainsBlanks" dxfId="5270" priority="5458">
      <formula>LEN(TRIM(N758))&gt;0</formula>
    </cfRule>
  </conditionalFormatting>
  <conditionalFormatting sqref="N758:R758">
    <cfRule type="notContainsBlanks" dxfId="5269" priority="5457">
      <formula>LEN(TRIM(N758))&gt;0</formula>
    </cfRule>
  </conditionalFormatting>
  <conditionalFormatting sqref="N758:R758">
    <cfRule type="notContainsBlanks" dxfId="5268" priority="5456">
      <formula>LEN(TRIM(N758))&gt;0</formula>
    </cfRule>
  </conditionalFormatting>
  <conditionalFormatting sqref="N758:R758">
    <cfRule type="notContainsBlanks" dxfId="5267" priority="5455">
      <formula>LEN(TRIM(N758))&gt;0</formula>
    </cfRule>
  </conditionalFormatting>
  <conditionalFormatting sqref="N758:R758">
    <cfRule type="notContainsBlanks" dxfId="5266" priority="5454">
      <formula>LEN(TRIM(N758))&gt;0</formula>
    </cfRule>
  </conditionalFormatting>
  <conditionalFormatting sqref="N758:R758">
    <cfRule type="notContainsBlanks" dxfId="5265" priority="5453">
      <formula>LEN(TRIM(N758))&gt;0</formula>
    </cfRule>
  </conditionalFormatting>
  <conditionalFormatting sqref="N758:R758">
    <cfRule type="notContainsBlanks" dxfId="5264" priority="5452">
      <formula>LEN(TRIM(N758))&gt;0</formula>
    </cfRule>
  </conditionalFormatting>
  <conditionalFormatting sqref="N758:R758">
    <cfRule type="notContainsBlanks" priority="5451">
      <formula>LEN(TRIM(N758))&gt;0</formula>
    </cfRule>
  </conditionalFormatting>
  <conditionalFormatting sqref="N758:R758">
    <cfRule type="notContainsBlanks" dxfId="5263" priority="5450">
      <formula>LEN(TRIM(N758))&gt;0</formula>
    </cfRule>
  </conditionalFormatting>
  <conditionalFormatting sqref="N758:R758">
    <cfRule type="notContainsBlanks" dxfId="5262" priority="5449">
      <formula>LEN(TRIM(N758))&gt;0</formula>
    </cfRule>
  </conditionalFormatting>
  <conditionalFormatting sqref="N758:R758">
    <cfRule type="notContainsBlanks" dxfId="5261" priority="5448">
      <formula>LEN(TRIM(N758))&gt;0</formula>
    </cfRule>
  </conditionalFormatting>
  <conditionalFormatting sqref="N758:R758">
    <cfRule type="notContainsBlanks" dxfId="5260" priority="5447">
      <formula>LEN(TRIM(N758))&gt;0</formula>
    </cfRule>
  </conditionalFormatting>
  <conditionalFormatting sqref="N758:R758">
    <cfRule type="notContainsBlanks" dxfId="5259" priority="5446">
      <formula>LEN(TRIM(N758))&gt;0</formula>
    </cfRule>
  </conditionalFormatting>
  <conditionalFormatting sqref="N771:R771">
    <cfRule type="notContainsBlanks" dxfId="5258" priority="5445">
      <formula>LEN(TRIM(N771))&gt;0</formula>
    </cfRule>
  </conditionalFormatting>
  <conditionalFormatting sqref="N771:R771">
    <cfRule type="notContainsBlanks" dxfId="5257" priority="5444">
      <formula>LEN(TRIM(N771))&gt;0</formula>
    </cfRule>
  </conditionalFormatting>
  <conditionalFormatting sqref="N771:R771">
    <cfRule type="notContainsBlanks" dxfId="5256" priority="5443">
      <formula>LEN(TRIM(N771))&gt;0</formula>
    </cfRule>
  </conditionalFormatting>
  <conditionalFormatting sqref="N771:R771">
    <cfRule type="notContainsBlanks" dxfId="5255" priority="5442">
      <formula>LEN(TRIM(N771))&gt;0</formula>
    </cfRule>
  </conditionalFormatting>
  <conditionalFormatting sqref="N771:R771">
    <cfRule type="notContainsBlanks" dxfId="5254" priority="5441">
      <formula>LEN(TRIM(N771))&gt;0</formula>
    </cfRule>
  </conditionalFormatting>
  <conditionalFormatting sqref="N771:R771">
    <cfRule type="notContainsBlanks" dxfId="5253" priority="5440">
      <formula>LEN(TRIM(N771))&gt;0</formula>
    </cfRule>
  </conditionalFormatting>
  <conditionalFormatting sqref="N771:R771">
    <cfRule type="notContainsBlanks" dxfId="5252" priority="5439">
      <formula>LEN(TRIM(N771))&gt;0</formula>
    </cfRule>
  </conditionalFormatting>
  <conditionalFormatting sqref="N771:R771">
    <cfRule type="notContainsBlanks" dxfId="5251" priority="5438">
      <formula>LEN(TRIM(N771))&gt;0</formula>
    </cfRule>
  </conditionalFormatting>
  <conditionalFormatting sqref="N771:R771">
    <cfRule type="notContainsBlanks" dxfId="5250" priority="5437">
      <formula>LEN(TRIM(N771))&gt;0</formula>
    </cfRule>
  </conditionalFormatting>
  <conditionalFormatting sqref="N771:R771">
    <cfRule type="notContainsBlanks" dxfId="5249" priority="5435">
      <formula>LEN(TRIM(N771))&gt;0</formula>
    </cfRule>
    <cfRule type="notContainsBlanks" dxfId="5248" priority="5436">
      <formula>LEN(TRIM(N771))&gt;0</formula>
    </cfRule>
  </conditionalFormatting>
  <conditionalFormatting sqref="N771:R771">
    <cfRule type="notContainsBlanks" dxfId="5247" priority="5434">
      <formula>LEN(TRIM(N771))&gt;0</formula>
    </cfRule>
  </conditionalFormatting>
  <conditionalFormatting sqref="N771:R771">
    <cfRule type="notContainsBlanks" dxfId="5246" priority="5433">
      <formula>LEN(TRIM(N771))&gt;0</formula>
    </cfRule>
  </conditionalFormatting>
  <conditionalFormatting sqref="N771:R771">
    <cfRule type="notContainsBlanks" dxfId="5245" priority="5432">
      <formula>LEN(TRIM(N771))&gt;0</formula>
    </cfRule>
  </conditionalFormatting>
  <conditionalFormatting sqref="N771:R771">
    <cfRule type="notContainsBlanks" dxfId="5244" priority="5431">
      <formula>LEN(TRIM(N771))&gt;0</formula>
    </cfRule>
  </conditionalFormatting>
  <conditionalFormatting sqref="N771:R771">
    <cfRule type="notContainsBlanks" dxfId="5243" priority="5430">
      <formula>LEN(TRIM(N771))&gt;0</formula>
    </cfRule>
  </conditionalFormatting>
  <conditionalFormatting sqref="N771:R771">
    <cfRule type="notContainsBlanks" dxfId="5242" priority="5429">
      <formula>LEN(TRIM(N771))&gt;0</formula>
    </cfRule>
  </conditionalFormatting>
  <conditionalFormatting sqref="N771:R771">
    <cfRule type="notContainsBlanks" dxfId="5241" priority="5428">
      <formula>LEN(TRIM(N771))&gt;0</formula>
    </cfRule>
  </conditionalFormatting>
  <conditionalFormatting sqref="N771:R771">
    <cfRule type="notContainsBlanks" dxfId="5240" priority="5427">
      <formula>LEN(TRIM(N771))&gt;0</formula>
    </cfRule>
  </conditionalFormatting>
  <conditionalFormatting sqref="N771:R771">
    <cfRule type="notContainsBlanks" dxfId="5239" priority="5426">
      <formula>LEN(TRIM(N771))&gt;0</formula>
    </cfRule>
  </conditionalFormatting>
  <conditionalFormatting sqref="N771:R771">
    <cfRule type="notContainsBlanks" priority="5425">
      <formula>LEN(TRIM(N771))&gt;0</formula>
    </cfRule>
  </conditionalFormatting>
  <conditionalFormatting sqref="N771:R771">
    <cfRule type="notContainsBlanks" dxfId="5238" priority="5424">
      <formula>LEN(TRIM(N771))&gt;0</formula>
    </cfRule>
  </conditionalFormatting>
  <conditionalFormatting sqref="N771:R771">
    <cfRule type="notContainsBlanks" dxfId="5237" priority="5423">
      <formula>LEN(TRIM(N771))&gt;0</formula>
    </cfRule>
  </conditionalFormatting>
  <conditionalFormatting sqref="N771:R771">
    <cfRule type="notContainsBlanks" dxfId="5236" priority="5422">
      <formula>LEN(TRIM(N771))&gt;0</formula>
    </cfRule>
  </conditionalFormatting>
  <conditionalFormatting sqref="N771:R771">
    <cfRule type="notContainsBlanks" dxfId="5235" priority="5421">
      <formula>LEN(TRIM(N771))&gt;0</formula>
    </cfRule>
  </conditionalFormatting>
  <conditionalFormatting sqref="N771:R771">
    <cfRule type="notContainsBlanks" dxfId="5234" priority="5420">
      <formula>LEN(TRIM(N771))&gt;0</formula>
    </cfRule>
  </conditionalFormatting>
  <conditionalFormatting sqref="N784:R784">
    <cfRule type="notContainsBlanks" dxfId="5233" priority="5419">
      <formula>LEN(TRIM(N784))&gt;0</formula>
    </cfRule>
  </conditionalFormatting>
  <conditionalFormatting sqref="N784:R784">
    <cfRule type="notContainsBlanks" dxfId="5232" priority="5418">
      <formula>LEN(TRIM(N784))&gt;0</formula>
    </cfRule>
  </conditionalFormatting>
  <conditionalFormatting sqref="N784:R784">
    <cfRule type="notContainsBlanks" dxfId="5231" priority="5417">
      <formula>LEN(TRIM(N784))&gt;0</formula>
    </cfRule>
  </conditionalFormatting>
  <conditionalFormatting sqref="N784:R784">
    <cfRule type="notContainsBlanks" dxfId="5230" priority="5416">
      <formula>LEN(TRIM(N784))&gt;0</formula>
    </cfRule>
  </conditionalFormatting>
  <conditionalFormatting sqref="N784:R784">
    <cfRule type="notContainsBlanks" dxfId="5229" priority="5415">
      <formula>LEN(TRIM(N784))&gt;0</formula>
    </cfRule>
  </conditionalFormatting>
  <conditionalFormatting sqref="N784:R784">
    <cfRule type="notContainsBlanks" dxfId="5228" priority="5414">
      <formula>LEN(TRIM(N784))&gt;0</formula>
    </cfRule>
  </conditionalFormatting>
  <conditionalFormatting sqref="N784:R784">
    <cfRule type="notContainsBlanks" dxfId="5227" priority="5413">
      <formula>LEN(TRIM(N784))&gt;0</formula>
    </cfRule>
  </conditionalFormatting>
  <conditionalFormatting sqref="N784:R784">
    <cfRule type="notContainsBlanks" dxfId="5226" priority="5412">
      <formula>LEN(TRIM(N784))&gt;0</formula>
    </cfRule>
  </conditionalFormatting>
  <conditionalFormatting sqref="N784:R784">
    <cfRule type="notContainsBlanks" dxfId="5225" priority="5411">
      <formula>LEN(TRIM(N784))&gt;0</formula>
    </cfRule>
  </conditionalFormatting>
  <conditionalFormatting sqref="N784:R784">
    <cfRule type="notContainsBlanks" dxfId="5224" priority="5409">
      <formula>LEN(TRIM(N784))&gt;0</formula>
    </cfRule>
    <cfRule type="notContainsBlanks" dxfId="5223" priority="5410">
      <formula>LEN(TRIM(N784))&gt;0</formula>
    </cfRule>
  </conditionalFormatting>
  <conditionalFormatting sqref="N784:R784">
    <cfRule type="notContainsBlanks" dxfId="5222" priority="5408">
      <formula>LEN(TRIM(N784))&gt;0</formula>
    </cfRule>
  </conditionalFormatting>
  <conditionalFormatting sqref="N784:R784">
    <cfRule type="notContainsBlanks" dxfId="5221" priority="5407">
      <formula>LEN(TRIM(N784))&gt;0</formula>
    </cfRule>
  </conditionalFormatting>
  <conditionalFormatting sqref="N784:R784">
    <cfRule type="notContainsBlanks" dxfId="5220" priority="5406">
      <formula>LEN(TRIM(N784))&gt;0</formula>
    </cfRule>
  </conditionalFormatting>
  <conditionalFormatting sqref="N784:R784">
    <cfRule type="notContainsBlanks" dxfId="5219" priority="5405">
      <formula>LEN(TRIM(N784))&gt;0</formula>
    </cfRule>
  </conditionalFormatting>
  <conditionalFormatting sqref="N784:R784">
    <cfRule type="notContainsBlanks" dxfId="5218" priority="5404">
      <formula>LEN(TRIM(N784))&gt;0</formula>
    </cfRule>
  </conditionalFormatting>
  <conditionalFormatting sqref="N784:R784">
    <cfRule type="notContainsBlanks" dxfId="5217" priority="5403">
      <formula>LEN(TRIM(N784))&gt;0</formula>
    </cfRule>
  </conditionalFormatting>
  <conditionalFormatting sqref="N784:R784">
    <cfRule type="notContainsBlanks" dxfId="5216" priority="5402">
      <formula>LEN(TRIM(N784))&gt;0</formula>
    </cfRule>
  </conditionalFormatting>
  <conditionalFormatting sqref="N784:R784">
    <cfRule type="notContainsBlanks" dxfId="5215" priority="5401">
      <formula>LEN(TRIM(N784))&gt;0</formula>
    </cfRule>
  </conditionalFormatting>
  <conditionalFormatting sqref="N784:R784">
    <cfRule type="notContainsBlanks" dxfId="5214" priority="5400">
      <formula>LEN(TRIM(N784))&gt;0</formula>
    </cfRule>
  </conditionalFormatting>
  <conditionalFormatting sqref="N784:R784">
    <cfRule type="notContainsBlanks" priority="5399">
      <formula>LEN(TRIM(N784))&gt;0</formula>
    </cfRule>
  </conditionalFormatting>
  <conditionalFormatting sqref="N784:R784">
    <cfRule type="notContainsBlanks" dxfId="5213" priority="5398">
      <formula>LEN(TRIM(N784))&gt;0</formula>
    </cfRule>
  </conditionalFormatting>
  <conditionalFormatting sqref="N784:R784">
    <cfRule type="notContainsBlanks" dxfId="5212" priority="5397">
      <formula>LEN(TRIM(N784))&gt;0</formula>
    </cfRule>
  </conditionalFormatting>
  <conditionalFormatting sqref="N784:R784">
    <cfRule type="notContainsBlanks" dxfId="5211" priority="5396">
      <formula>LEN(TRIM(N784))&gt;0</formula>
    </cfRule>
  </conditionalFormatting>
  <conditionalFormatting sqref="N784:R784">
    <cfRule type="notContainsBlanks" dxfId="5210" priority="5395">
      <formula>LEN(TRIM(N784))&gt;0</formula>
    </cfRule>
  </conditionalFormatting>
  <conditionalFormatting sqref="N784:R784">
    <cfRule type="notContainsBlanks" dxfId="5209" priority="5394">
      <formula>LEN(TRIM(N784))&gt;0</formula>
    </cfRule>
  </conditionalFormatting>
  <conditionalFormatting sqref="N797:R797">
    <cfRule type="notContainsBlanks" dxfId="5208" priority="5393">
      <formula>LEN(TRIM(N797))&gt;0</formula>
    </cfRule>
  </conditionalFormatting>
  <conditionalFormatting sqref="N797:R797">
    <cfRule type="notContainsBlanks" dxfId="5207" priority="5392">
      <formula>LEN(TRIM(N797))&gt;0</formula>
    </cfRule>
  </conditionalFormatting>
  <conditionalFormatting sqref="N797:R797">
    <cfRule type="notContainsBlanks" dxfId="5206" priority="5391">
      <formula>LEN(TRIM(N797))&gt;0</formula>
    </cfRule>
  </conditionalFormatting>
  <conditionalFormatting sqref="N797:R797">
    <cfRule type="notContainsBlanks" dxfId="5205" priority="5390">
      <formula>LEN(TRIM(N797))&gt;0</formula>
    </cfRule>
  </conditionalFormatting>
  <conditionalFormatting sqref="N797:R797">
    <cfRule type="notContainsBlanks" dxfId="5204" priority="5389">
      <formula>LEN(TRIM(N797))&gt;0</formula>
    </cfRule>
  </conditionalFormatting>
  <conditionalFormatting sqref="N797:R797">
    <cfRule type="notContainsBlanks" dxfId="5203" priority="5388">
      <formula>LEN(TRIM(N797))&gt;0</formula>
    </cfRule>
  </conditionalFormatting>
  <conditionalFormatting sqref="N797:R797">
    <cfRule type="notContainsBlanks" dxfId="5202" priority="5387">
      <formula>LEN(TRIM(N797))&gt;0</formula>
    </cfRule>
  </conditionalFormatting>
  <conditionalFormatting sqref="N797:R797">
    <cfRule type="notContainsBlanks" dxfId="5201" priority="5386">
      <formula>LEN(TRIM(N797))&gt;0</formula>
    </cfRule>
  </conditionalFormatting>
  <conditionalFormatting sqref="N797:R797">
    <cfRule type="notContainsBlanks" dxfId="5200" priority="5385">
      <formula>LEN(TRIM(N797))&gt;0</formula>
    </cfRule>
  </conditionalFormatting>
  <conditionalFormatting sqref="N797:R797">
    <cfRule type="notContainsBlanks" dxfId="5199" priority="5383">
      <formula>LEN(TRIM(N797))&gt;0</formula>
    </cfRule>
    <cfRule type="notContainsBlanks" dxfId="5198" priority="5384">
      <formula>LEN(TRIM(N797))&gt;0</formula>
    </cfRule>
  </conditionalFormatting>
  <conditionalFormatting sqref="N797:R797">
    <cfRule type="notContainsBlanks" dxfId="5197" priority="5382">
      <formula>LEN(TRIM(N797))&gt;0</formula>
    </cfRule>
  </conditionalFormatting>
  <conditionalFormatting sqref="N797:R797">
    <cfRule type="notContainsBlanks" dxfId="5196" priority="5381">
      <formula>LEN(TRIM(N797))&gt;0</formula>
    </cfRule>
  </conditionalFormatting>
  <conditionalFormatting sqref="N797:R797">
    <cfRule type="notContainsBlanks" dxfId="5195" priority="5380">
      <formula>LEN(TRIM(N797))&gt;0</formula>
    </cfRule>
  </conditionalFormatting>
  <conditionalFormatting sqref="N797:R797">
    <cfRule type="notContainsBlanks" dxfId="5194" priority="5379">
      <formula>LEN(TRIM(N797))&gt;0</formula>
    </cfRule>
  </conditionalFormatting>
  <conditionalFormatting sqref="N797:R797">
    <cfRule type="notContainsBlanks" dxfId="5193" priority="5378">
      <formula>LEN(TRIM(N797))&gt;0</formula>
    </cfRule>
  </conditionalFormatting>
  <conditionalFormatting sqref="N797:R797">
    <cfRule type="notContainsBlanks" dxfId="5192" priority="5377">
      <formula>LEN(TRIM(N797))&gt;0</formula>
    </cfRule>
  </conditionalFormatting>
  <conditionalFormatting sqref="N797:R797">
    <cfRule type="notContainsBlanks" dxfId="5191" priority="5376">
      <formula>LEN(TRIM(N797))&gt;0</formula>
    </cfRule>
  </conditionalFormatting>
  <conditionalFormatting sqref="N797:R797">
    <cfRule type="notContainsBlanks" dxfId="5190" priority="5375">
      <formula>LEN(TRIM(N797))&gt;0</formula>
    </cfRule>
  </conditionalFormatting>
  <conditionalFormatting sqref="N797:R797">
    <cfRule type="notContainsBlanks" dxfId="5189" priority="5374">
      <formula>LEN(TRIM(N797))&gt;0</formula>
    </cfRule>
  </conditionalFormatting>
  <conditionalFormatting sqref="N797:R797">
    <cfRule type="notContainsBlanks" priority="5373">
      <formula>LEN(TRIM(N797))&gt;0</formula>
    </cfRule>
  </conditionalFormatting>
  <conditionalFormatting sqref="N797:R797">
    <cfRule type="notContainsBlanks" dxfId="5188" priority="5372">
      <formula>LEN(TRIM(N797))&gt;0</formula>
    </cfRule>
  </conditionalFormatting>
  <conditionalFormatting sqref="N797:R797">
    <cfRule type="notContainsBlanks" dxfId="5187" priority="5371">
      <formula>LEN(TRIM(N797))&gt;0</formula>
    </cfRule>
  </conditionalFormatting>
  <conditionalFormatting sqref="N797:R797">
    <cfRule type="notContainsBlanks" dxfId="5186" priority="5370">
      <formula>LEN(TRIM(N797))&gt;0</formula>
    </cfRule>
  </conditionalFormatting>
  <conditionalFormatting sqref="N797:R797">
    <cfRule type="notContainsBlanks" dxfId="5185" priority="5369">
      <formula>LEN(TRIM(N797))&gt;0</formula>
    </cfRule>
  </conditionalFormatting>
  <conditionalFormatting sqref="N797:R797">
    <cfRule type="notContainsBlanks" dxfId="5184" priority="5368">
      <formula>LEN(TRIM(N797))&gt;0</formula>
    </cfRule>
  </conditionalFormatting>
  <conditionalFormatting sqref="N810:R810">
    <cfRule type="notContainsBlanks" dxfId="5183" priority="5367">
      <formula>LEN(TRIM(N810))&gt;0</formula>
    </cfRule>
  </conditionalFormatting>
  <conditionalFormatting sqref="N810:R810">
    <cfRule type="notContainsBlanks" dxfId="5182" priority="5366">
      <formula>LEN(TRIM(N810))&gt;0</formula>
    </cfRule>
  </conditionalFormatting>
  <conditionalFormatting sqref="N810:R810">
    <cfRule type="notContainsBlanks" dxfId="5181" priority="5365">
      <formula>LEN(TRIM(N810))&gt;0</formula>
    </cfRule>
  </conditionalFormatting>
  <conditionalFormatting sqref="N810:R810">
    <cfRule type="notContainsBlanks" dxfId="5180" priority="5364">
      <formula>LEN(TRIM(N810))&gt;0</formula>
    </cfRule>
  </conditionalFormatting>
  <conditionalFormatting sqref="N810:R810">
    <cfRule type="notContainsBlanks" dxfId="5179" priority="5363">
      <formula>LEN(TRIM(N810))&gt;0</formula>
    </cfRule>
  </conditionalFormatting>
  <conditionalFormatting sqref="N810:R810">
    <cfRule type="notContainsBlanks" dxfId="5178" priority="5362">
      <formula>LEN(TRIM(N810))&gt;0</formula>
    </cfRule>
  </conditionalFormatting>
  <conditionalFormatting sqref="N810:R810">
    <cfRule type="notContainsBlanks" dxfId="5177" priority="5361">
      <formula>LEN(TRIM(N810))&gt;0</formula>
    </cfRule>
  </conditionalFormatting>
  <conditionalFormatting sqref="N810:R810">
    <cfRule type="notContainsBlanks" dxfId="5176" priority="5360">
      <formula>LEN(TRIM(N810))&gt;0</formula>
    </cfRule>
  </conditionalFormatting>
  <conditionalFormatting sqref="N810:R810">
    <cfRule type="notContainsBlanks" dxfId="5175" priority="5359">
      <formula>LEN(TRIM(N810))&gt;0</formula>
    </cfRule>
  </conditionalFormatting>
  <conditionalFormatting sqref="N810:R810">
    <cfRule type="notContainsBlanks" dxfId="5174" priority="5357">
      <formula>LEN(TRIM(N810))&gt;0</formula>
    </cfRule>
    <cfRule type="notContainsBlanks" dxfId="5173" priority="5358">
      <formula>LEN(TRIM(N810))&gt;0</formula>
    </cfRule>
  </conditionalFormatting>
  <conditionalFormatting sqref="N810:R810">
    <cfRule type="notContainsBlanks" dxfId="5172" priority="5356">
      <formula>LEN(TRIM(N810))&gt;0</formula>
    </cfRule>
  </conditionalFormatting>
  <conditionalFormatting sqref="N810:R810">
    <cfRule type="notContainsBlanks" dxfId="5171" priority="5355">
      <formula>LEN(TRIM(N810))&gt;0</formula>
    </cfRule>
  </conditionalFormatting>
  <conditionalFormatting sqref="N810:R810">
    <cfRule type="notContainsBlanks" dxfId="5170" priority="5354">
      <formula>LEN(TRIM(N810))&gt;0</formula>
    </cfRule>
  </conditionalFormatting>
  <conditionalFormatting sqref="N810:R810">
    <cfRule type="notContainsBlanks" dxfId="5169" priority="5353">
      <formula>LEN(TRIM(N810))&gt;0</formula>
    </cfRule>
  </conditionalFormatting>
  <conditionalFormatting sqref="N810:R810">
    <cfRule type="notContainsBlanks" dxfId="5168" priority="5352">
      <formula>LEN(TRIM(N810))&gt;0</formula>
    </cfRule>
  </conditionalFormatting>
  <conditionalFormatting sqref="N810:R810">
    <cfRule type="notContainsBlanks" dxfId="5167" priority="5351">
      <formula>LEN(TRIM(N810))&gt;0</formula>
    </cfRule>
  </conditionalFormatting>
  <conditionalFormatting sqref="N810:R810">
    <cfRule type="notContainsBlanks" dxfId="5166" priority="5350">
      <formula>LEN(TRIM(N810))&gt;0</formula>
    </cfRule>
  </conditionalFormatting>
  <conditionalFormatting sqref="N810:R810">
    <cfRule type="notContainsBlanks" dxfId="5165" priority="5349">
      <formula>LEN(TRIM(N810))&gt;0</formula>
    </cfRule>
  </conditionalFormatting>
  <conditionalFormatting sqref="N810:R810">
    <cfRule type="notContainsBlanks" dxfId="5164" priority="5348">
      <formula>LEN(TRIM(N810))&gt;0</formula>
    </cfRule>
  </conditionalFormatting>
  <conditionalFormatting sqref="N810:R810">
    <cfRule type="notContainsBlanks" priority="5347">
      <formula>LEN(TRIM(N810))&gt;0</formula>
    </cfRule>
  </conditionalFormatting>
  <conditionalFormatting sqref="N810:R810">
    <cfRule type="notContainsBlanks" dxfId="5163" priority="5346">
      <formula>LEN(TRIM(N810))&gt;0</formula>
    </cfRule>
  </conditionalFormatting>
  <conditionalFormatting sqref="N810:R810">
    <cfRule type="notContainsBlanks" dxfId="5162" priority="5345">
      <formula>LEN(TRIM(N810))&gt;0</formula>
    </cfRule>
  </conditionalFormatting>
  <conditionalFormatting sqref="N810:R810">
    <cfRule type="notContainsBlanks" dxfId="5161" priority="5344">
      <formula>LEN(TRIM(N810))&gt;0</formula>
    </cfRule>
  </conditionalFormatting>
  <conditionalFormatting sqref="N810:R810">
    <cfRule type="notContainsBlanks" dxfId="5160" priority="5343">
      <formula>LEN(TRIM(N810))&gt;0</formula>
    </cfRule>
  </conditionalFormatting>
  <conditionalFormatting sqref="N810:R810">
    <cfRule type="notContainsBlanks" dxfId="5159" priority="5342">
      <formula>LEN(TRIM(N810))&gt;0</formula>
    </cfRule>
  </conditionalFormatting>
  <conditionalFormatting sqref="N823:R823">
    <cfRule type="notContainsBlanks" dxfId="5158" priority="5341">
      <formula>LEN(TRIM(N823))&gt;0</formula>
    </cfRule>
  </conditionalFormatting>
  <conditionalFormatting sqref="N823:R823">
    <cfRule type="notContainsBlanks" dxfId="5157" priority="5340">
      <formula>LEN(TRIM(N823))&gt;0</formula>
    </cfRule>
  </conditionalFormatting>
  <conditionalFormatting sqref="N823:R823">
    <cfRule type="notContainsBlanks" dxfId="5156" priority="5339">
      <formula>LEN(TRIM(N823))&gt;0</formula>
    </cfRule>
  </conditionalFormatting>
  <conditionalFormatting sqref="N823:R823">
    <cfRule type="notContainsBlanks" dxfId="5155" priority="5338">
      <formula>LEN(TRIM(N823))&gt;0</formula>
    </cfRule>
  </conditionalFormatting>
  <conditionalFormatting sqref="N823:R823">
    <cfRule type="notContainsBlanks" dxfId="5154" priority="5337">
      <formula>LEN(TRIM(N823))&gt;0</formula>
    </cfRule>
  </conditionalFormatting>
  <conditionalFormatting sqref="N823:R823">
    <cfRule type="notContainsBlanks" dxfId="5153" priority="5336">
      <formula>LEN(TRIM(N823))&gt;0</formula>
    </cfRule>
  </conditionalFormatting>
  <conditionalFormatting sqref="N823:R823">
    <cfRule type="notContainsBlanks" dxfId="5152" priority="5335">
      <formula>LEN(TRIM(N823))&gt;0</formula>
    </cfRule>
  </conditionalFormatting>
  <conditionalFormatting sqref="N823:R823">
    <cfRule type="notContainsBlanks" dxfId="5151" priority="5334">
      <formula>LEN(TRIM(N823))&gt;0</formula>
    </cfRule>
  </conditionalFormatting>
  <conditionalFormatting sqref="N823:R823">
    <cfRule type="notContainsBlanks" dxfId="5150" priority="5333">
      <formula>LEN(TRIM(N823))&gt;0</formula>
    </cfRule>
  </conditionalFormatting>
  <conditionalFormatting sqref="N823:R823">
    <cfRule type="notContainsBlanks" dxfId="5149" priority="5331">
      <formula>LEN(TRIM(N823))&gt;0</formula>
    </cfRule>
    <cfRule type="notContainsBlanks" dxfId="5148" priority="5332">
      <formula>LEN(TRIM(N823))&gt;0</formula>
    </cfRule>
  </conditionalFormatting>
  <conditionalFormatting sqref="N823:R823">
    <cfRule type="notContainsBlanks" dxfId="5147" priority="5330">
      <formula>LEN(TRIM(N823))&gt;0</formula>
    </cfRule>
  </conditionalFormatting>
  <conditionalFormatting sqref="N823:R823">
    <cfRule type="notContainsBlanks" dxfId="5146" priority="5329">
      <formula>LEN(TRIM(N823))&gt;0</formula>
    </cfRule>
  </conditionalFormatting>
  <conditionalFormatting sqref="N823:R823">
    <cfRule type="notContainsBlanks" dxfId="5145" priority="5328">
      <formula>LEN(TRIM(N823))&gt;0</formula>
    </cfRule>
  </conditionalFormatting>
  <conditionalFormatting sqref="N823:R823">
    <cfRule type="notContainsBlanks" dxfId="5144" priority="5327">
      <formula>LEN(TRIM(N823))&gt;0</formula>
    </cfRule>
  </conditionalFormatting>
  <conditionalFormatting sqref="N823:R823">
    <cfRule type="notContainsBlanks" dxfId="5143" priority="5326">
      <formula>LEN(TRIM(N823))&gt;0</formula>
    </cfRule>
  </conditionalFormatting>
  <conditionalFormatting sqref="N823:R823">
    <cfRule type="notContainsBlanks" dxfId="5142" priority="5325">
      <formula>LEN(TRIM(N823))&gt;0</formula>
    </cfRule>
  </conditionalFormatting>
  <conditionalFormatting sqref="N823:R823">
    <cfRule type="notContainsBlanks" dxfId="5141" priority="5324">
      <formula>LEN(TRIM(N823))&gt;0</formula>
    </cfRule>
  </conditionalFormatting>
  <conditionalFormatting sqref="N823:R823">
    <cfRule type="notContainsBlanks" dxfId="5140" priority="5323">
      <formula>LEN(TRIM(N823))&gt;0</formula>
    </cfRule>
  </conditionalFormatting>
  <conditionalFormatting sqref="N823:R823">
    <cfRule type="notContainsBlanks" dxfId="5139" priority="5322">
      <formula>LEN(TRIM(N823))&gt;0</formula>
    </cfRule>
  </conditionalFormatting>
  <conditionalFormatting sqref="N823:R823">
    <cfRule type="notContainsBlanks" priority="5321">
      <formula>LEN(TRIM(N823))&gt;0</formula>
    </cfRule>
  </conditionalFormatting>
  <conditionalFormatting sqref="N823:R823">
    <cfRule type="notContainsBlanks" dxfId="5138" priority="5320">
      <formula>LEN(TRIM(N823))&gt;0</formula>
    </cfRule>
  </conditionalFormatting>
  <conditionalFormatting sqref="N823:R823">
    <cfRule type="notContainsBlanks" dxfId="5137" priority="5319">
      <formula>LEN(TRIM(N823))&gt;0</formula>
    </cfRule>
  </conditionalFormatting>
  <conditionalFormatting sqref="N823:R823">
    <cfRule type="notContainsBlanks" dxfId="5136" priority="5318">
      <formula>LEN(TRIM(N823))&gt;0</formula>
    </cfRule>
  </conditionalFormatting>
  <conditionalFormatting sqref="N823:R823">
    <cfRule type="notContainsBlanks" dxfId="5135" priority="5317">
      <formula>LEN(TRIM(N823))&gt;0</formula>
    </cfRule>
  </conditionalFormatting>
  <conditionalFormatting sqref="N823:R823">
    <cfRule type="notContainsBlanks" dxfId="5134" priority="5316">
      <formula>LEN(TRIM(N823))&gt;0</formula>
    </cfRule>
  </conditionalFormatting>
  <conditionalFormatting sqref="N836:R836">
    <cfRule type="notContainsBlanks" dxfId="5133" priority="5315">
      <formula>LEN(TRIM(N836))&gt;0</formula>
    </cfRule>
  </conditionalFormatting>
  <conditionalFormatting sqref="N836:R836">
    <cfRule type="notContainsBlanks" dxfId="5132" priority="5314">
      <formula>LEN(TRIM(N836))&gt;0</formula>
    </cfRule>
  </conditionalFormatting>
  <conditionalFormatting sqref="N836:R836">
    <cfRule type="notContainsBlanks" dxfId="5131" priority="5313">
      <formula>LEN(TRIM(N836))&gt;0</formula>
    </cfRule>
  </conditionalFormatting>
  <conditionalFormatting sqref="N836:R836">
    <cfRule type="notContainsBlanks" dxfId="5130" priority="5312">
      <formula>LEN(TRIM(N836))&gt;0</formula>
    </cfRule>
  </conditionalFormatting>
  <conditionalFormatting sqref="N836:R836">
    <cfRule type="notContainsBlanks" dxfId="5129" priority="5311">
      <formula>LEN(TRIM(N836))&gt;0</formula>
    </cfRule>
  </conditionalFormatting>
  <conditionalFormatting sqref="N836:R836">
    <cfRule type="notContainsBlanks" dxfId="5128" priority="5310">
      <formula>LEN(TRIM(N836))&gt;0</formula>
    </cfRule>
  </conditionalFormatting>
  <conditionalFormatting sqref="N836:R836">
    <cfRule type="notContainsBlanks" dxfId="5127" priority="5309">
      <formula>LEN(TRIM(N836))&gt;0</formula>
    </cfRule>
  </conditionalFormatting>
  <conditionalFormatting sqref="N836:R836">
    <cfRule type="notContainsBlanks" dxfId="5126" priority="5308">
      <formula>LEN(TRIM(N836))&gt;0</formula>
    </cfRule>
  </conditionalFormatting>
  <conditionalFormatting sqref="N836:R836">
    <cfRule type="notContainsBlanks" dxfId="5125" priority="5307">
      <formula>LEN(TRIM(N836))&gt;0</formula>
    </cfRule>
  </conditionalFormatting>
  <conditionalFormatting sqref="N836:R836">
    <cfRule type="notContainsBlanks" dxfId="5124" priority="5305">
      <formula>LEN(TRIM(N836))&gt;0</formula>
    </cfRule>
    <cfRule type="notContainsBlanks" dxfId="5123" priority="5306">
      <formula>LEN(TRIM(N836))&gt;0</formula>
    </cfRule>
  </conditionalFormatting>
  <conditionalFormatting sqref="N836:R836">
    <cfRule type="notContainsBlanks" dxfId="5122" priority="5304">
      <formula>LEN(TRIM(N836))&gt;0</formula>
    </cfRule>
  </conditionalFormatting>
  <conditionalFormatting sqref="N836:R836">
    <cfRule type="notContainsBlanks" dxfId="5121" priority="5303">
      <formula>LEN(TRIM(N836))&gt;0</formula>
    </cfRule>
  </conditionalFormatting>
  <conditionalFormatting sqref="N836:R836">
    <cfRule type="notContainsBlanks" dxfId="5120" priority="5302">
      <formula>LEN(TRIM(N836))&gt;0</formula>
    </cfRule>
  </conditionalFormatting>
  <conditionalFormatting sqref="N836:R836">
    <cfRule type="notContainsBlanks" dxfId="5119" priority="5301">
      <formula>LEN(TRIM(N836))&gt;0</formula>
    </cfRule>
  </conditionalFormatting>
  <conditionalFormatting sqref="N836:R836">
    <cfRule type="notContainsBlanks" dxfId="5118" priority="5300">
      <formula>LEN(TRIM(N836))&gt;0</formula>
    </cfRule>
  </conditionalFormatting>
  <conditionalFormatting sqref="N836:R836">
    <cfRule type="notContainsBlanks" dxfId="5117" priority="5299">
      <formula>LEN(TRIM(N836))&gt;0</formula>
    </cfRule>
  </conditionalFormatting>
  <conditionalFormatting sqref="N836:R836">
    <cfRule type="notContainsBlanks" dxfId="5116" priority="5298">
      <formula>LEN(TRIM(N836))&gt;0</formula>
    </cfRule>
  </conditionalFormatting>
  <conditionalFormatting sqref="N836:R836">
    <cfRule type="notContainsBlanks" dxfId="5115" priority="5297">
      <formula>LEN(TRIM(N836))&gt;0</formula>
    </cfRule>
  </conditionalFormatting>
  <conditionalFormatting sqref="N836:R836">
    <cfRule type="notContainsBlanks" dxfId="5114" priority="5296">
      <formula>LEN(TRIM(N836))&gt;0</formula>
    </cfRule>
  </conditionalFormatting>
  <conditionalFormatting sqref="N836:R836">
    <cfRule type="notContainsBlanks" priority="5295">
      <formula>LEN(TRIM(N836))&gt;0</formula>
    </cfRule>
  </conditionalFormatting>
  <conditionalFormatting sqref="N836:R836">
    <cfRule type="notContainsBlanks" dxfId="5113" priority="5294">
      <formula>LEN(TRIM(N836))&gt;0</formula>
    </cfRule>
  </conditionalFormatting>
  <conditionalFormatting sqref="N836:R836">
    <cfRule type="notContainsBlanks" dxfId="5112" priority="5293">
      <formula>LEN(TRIM(N836))&gt;0</formula>
    </cfRule>
  </conditionalFormatting>
  <conditionalFormatting sqref="N836:R836">
    <cfRule type="notContainsBlanks" dxfId="5111" priority="5292">
      <formula>LEN(TRIM(N836))&gt;0</formula>
    </cfRule>
  </conditionalFormatting>
  <conditionalFormatting sqref="N836:R836">
    <cfRule type="notContainsBlanks" dxfId="5110" priority="5291">
      <formula>LEN(TRIM(N836))&gt;0</formula>
    </cfRule>
  </conditionalFormatting>
  <conditionalFormatting sqref="N836:R836">
    <cfRule type="notContainsBlanks" dxfId="5109" priority="5290">
      <formula>LEN(TRIM(N836))&gt;0</formula>
    </cfRule>
  </conditionalFormatting>
  <conditionalFormatting sqref="N849:R849">
    <cfRule type="notContainsBlanks" dxfId="5108" priority="5289">
      <formula>LEN(TRIM(N849))&gt;0</formula>
    </cfRule>
  </conditionalFormatting>
  <conditionalFormatting sqref="N849:R849">
    <cfRule type="notContainsBlanks" dxfId="5107" priority="5288">
      <formula>LEN(TRIM(N849))&gt;0</formula>
    </cfRule>
  </conditionalFormatting>
  <conditionalFormatting sqref="N849:R849">
    <cfRule type="notContainsBlanks" dxfId="5106" priority="5287">
      <formula>LEN(TRIM(N849))&gt;0</formula>
    </cfRule>
  </conditionalFormatting>
  <conditionalFormatting sqref="N849:R849">
    <cfRule type="notContainsBlanks" dxfId="5105" priority="5286">
      <formula>LEN(TRIM(N849))&gt;0</formula>
    </cfRule>
  </conditionalFormatting>
  <conditionalFormatting sqref="N849:R849">
    <cfRule type="notContainsBlanks" dxfId="5104" priority="5285">
      <formula>LEN(TRIM(N849))&gt;0</formula>
    </cfRule>
  </conditionalFormatting>
  <conditionalFormatting sqref="N849:R849">
    <cfRule type="notContainsBlanks" dxfId="5103" priority="5284">
      <formula>LEN(TRIM(N849))&gt;0</formula>
    </cfRule>
  </conditionalFormatting>
  <conditionalFormatting sqref="N849:R849">
    <cfRule type="notContainsBlanks" dxfId="5102" priority="5283">
      <formula>LEN(TRIM(N849))&gt;0</formula>
    </cfRule>
  </conditionalFormatting>
  <conditionalFormatting sqref="N849:R849">
    <cfRule type="notContainsBlanks" dxfId="5101" priority="5282">
      <formula>LEN(TRIM(N849))&gt;0</formula>
    </cfRule>
  </conditionalFormatting>
  <conditionalFormatting sqref="N849:R849">
    <cfRule type="notContainsBlanks" dxfId="5100" priority="5281">
      <formula>LEN(TRIM(N849))&gt;0</formula>
    </cfRule>
  </conditionalFormatting>
  <conditionalFormatting sqref="N849:R849">
    <cfRule type="notContainsBlanks" dxfId="5099" priority="5279">
      <formula>LEN(TRIM(N849))&gt;0</formula>
    </cfRule>
    <cfRule type="notContainsBlanks" dxfId="5098" priority="5280">
      <formula>LEN(TRIM(N849))&gt;0</formula>
    </cfRule>
  </conditionalFormatting>
  <conditionalFormatting sqref="N849:R849">
    <cfRule type="notContainsBlanks" dxfId="5097" priority="5278">
      <formula>LEN(TRIM(N849))&gt;0</formula>
    </cfRule>
  </conditionalFormatting>
  <conditionalFormatting sqref="N849:R849">
    <cfRule type="notContainsBlanks" dxfId="5096" priority="5277">
      <formula>LEN(TRIM(N849))&gt;0</formula>
    </cfRule>
  </conditionalFormatting>
  <conditionalFormatting sqref="N849:R849">
    <cfRule type="notContainsBlanks" dxfId="5095" priority="5276">
      <formula>LEN(TRIM(N849))&gt;0</formula>
    </cfRule>
  </conditionalFormatting>
  <conditionalFormatting sqref="N849:R849">
    <cfRule type="notContainsBlanks" dxfId="5094" priority="5275">
      <formula>LEN(TRIM(N849))&gt;0</formula>
    </cfRule>
  </conditionalFormatting>
  <conditionalFormatting sqref="N849:R849">
    <cfRule type="notContainsBlanks" dxfId="5093" priority="5274">
      <formula>LEN(TRIM(N849))&gt;0</formula>
    </cfRule>
  </conditionalFormatting>
  <conditionalFormatting sqref="N849:R849">
    <cfRule type="notContainsBlanks" dxfId="5092" priority="5273">
      <formula>LEN(TRIM(N849))&gt;0</formula>
    </cfRule>
  </conditionalFormatting>
  <conditionalFormatting sqref="N849:R849">
    <cfRule type="notContainsBlanks" dxfId="5091" priority="5272">
      <formula>LEN(TRIM(N849))&gt;0</formula>
    </cfRule>
  </conditionalFormatting>
  <conditionalFormatting sqref="N849:R849">
    <cfRule type="notContainsBlanks" dxfId="5090" priority="5271">
      <formula>LEN(TRIM(N849))&gt;0</formula>
    </cfRule>
  </conditionalFormatting>
  <conditionalFormatting sqref="N849:R849">
    <cfRule type="notContainsBlanks" dxfId="5089" priority="5270">
      <formula>LEN(TRIM(N849))&gt;0</formula>
    </cfRule>
  </conditionalFormatting>
  <conditionalFormatting sqref="N849:R849">
    <cfRule type="notContainsBlanks" priority="5269">
      <formula>LEN(TRIM(N849))&gt;0</formula>
    </cfRule>
  </conditionalFormatting>
  <conditionalFormatting sqref="N849:R849">
    <cfRule type="notContainsBlanks" dxfId="5088" priority="5268">
      <formula>LEN(TRIM(N849))&gt;0</formula>
    </cfRule>
  </conditionalFormatting>
  <conditionalFormatting sqref="N849:R849">
    <cfRule type="notContainsBlanks" dxfId="5087" priority="5267">
      <formula>LEN(TRIM(N849))&gt;0</formula>
    </cfRule>
  </conditionalFormatting>
  <conditionalFormatting sqref="N849:R849">
    <cfRule type="notContainsBlanks" dxfId="5086" priority="5266">
      <formula>LEN(TRIM(N849))&gt;0</formula>
    </cfRule>
  </conditionalFormatting>
  <conditionalFormatting sqref="N849:R849">
    <cfRule type="notContainsBlanks" dxfId="5085" priority="5265">
      <formula>LEN(TRIM(N849))&gt;0</formula>
    </cfRule>
  </conditionalFormatting>
  <conditionalFormatting sqref="N849:R849">
    <cfRule type="notContainsBlanks" dxfId="5084" priority="5264">
      <formula>LEN(TRIM(N849))&gt;0</formula>
    </cfRule>
  </conditionalFormatting>
  <conditionalFormatting sqref="N862:R862">
    <cfRule type="notContainsBlanks" dxfId="5083" priority="5263">
      <formula>LEN(TRIM(N862))&gt;0</formula>
    </cfRule>
  </conditionalFormatting>
  <conditionalFormatting sqref="N862:R862">
    <cfRule type="notContainsBlanks" dxfId="5082" priority="5262">
      <formula>LEN(TRIM(N862))&gt;0</formula>
    </cfRule>
  </conditionalFormatting>
  <conditionalFormatting sqref="N862:R862">
    <cfRule type="notContainsBlanks" dxfId="5081" priority="5261">
      <formula>LEN(TRIM(N862))&gt;0</formula>
    </cfRule>
  </conditionalFormatting>
  <conditionalFormatting sqref="N862:R862">
    <cfRule type="notContainsBlanks" dxfId="5080" priority="5260">
      <formula>LEN(TRIM(N862))&gt;0</formula>
    </cfRule>
  </conditionalFormatting>
  <conditionalFormatting sqref="N862:R862">
    <cfRule type="notContainsBlanks" dxfId="5079" priority="5259">
      <formula>LEN(TRIM(N862))&gt;0</formula>
    </cfRule>
  </conditionalFormatting>
  <conditionalFormatting sqref="N862:R862">
    <cfRule type="notContainsBlanks" dxfId="5078" priority="5258">
      <formula>LEN(TRIM(N862))&gt;0</formula>
    </cfRule>
  </conditionalFormatting>
  <conditionalFormatting sqref="N862:R862">
    <cfRule type="notContainsBlanks" dxfId="5077" priority="5257">
      <formula>LEN(TRIM(N862))&gt;0</formula>
    </cfRule>
  </conditionalFormatting>
  <conditionalFormatting sqref="N862:R862">
    <cfRule type="notContainsBlanks" dxfId="5076" priority="5256">
      <formula>LEN(TRIM(N862))&gt;0</formula>
    </cfRule>
  </conditionalFormatting>
  <conditionalFormatting sqref="N862:R862">
    <cfRule type="notContainsBlanks" dxfId="5075" priority="5255">
      <formula>LEN(TRIM(N862))&gt;0</formula>
    </cfRule>
  </conditionalFormatting>
  <conditionalFormatting sqref="N862:R862">
    <cfRule type="notContainsBlanks" dxfId="5074" priority="5253">
      <formula>LEN(TRIM(N862))&gt;0</formula>
    </cfRule>
    <cfRule type="notContainsBlanks" dxfId="5073" priority="5254">
      <formula>LEN(TRIM(N862))&gt;0</formula>
    </cfRule>
  </conditionalFormatting>
  <conditionalFormatting sqref="N862:R862">
    <cfRule type="notContainsBlanks" dxfId="5072" priority="5252">
      <formula>LEN(TRIM(N862))&gt;0</formula>
    </cfRule>
  </conditionalFormatting>
  <conditionalFormatting sqref="N862:R862">
    <cfRule type="notContainsBlanks" dxfId="5071" priority="5251">
      <formula>LEN(TRIM(N862))&gt;0</formula>
    </cfRule>
  </conditionalFormatting>
  <conditionalFormatting sqref="N862:R862">
    <cfRule type="notContainsBlanks" dxfId="5070" priority="5250">
      <formula>LEN(TRIM(N862))&gt;0</formula>
    </cfRule>
  </conditionalFormatting>
  <conditionalFormatting sqref="N862:R862">
    <cfRule type="notContainsBlanks" dxfId="5069" priority="5249">
      <formula>LEN(TRIM(N862))&gt;0</formula>
    </cfRule>
  </conditionalFormatting>
  <conditionalFormatting sqref="N862:R862">
    <cfRule type="notContainsBlanks" dxfId="5068" priority="5248">
      <formula>LEN(TRIM(N862))&gt;0</formula>
    </cfRule>
  </conditionalFormatting>
  <conditionalFormatting sqref="N862:R862">
    <cfRule type="notContainsBlanks" dxfId="5067" priority="5247">
      <formula>LEN(TRIM(N862))&gt;0</formula>
    </cfRule>
  </conditionalFormatting>
  <conditionalFormatting sqref="N862:R862">
    <cfRule type="notContainsBlanks" dxfId="5066" priority="5246">
      <formula>LEN(TRIM(N862))&gt;0</formula>
    </cfRule>
  </conditionalFormatting>
  <conditionalFormatting sqref="N862:R862">
    <cfRule type="notContainsBlanks" dxfId="5065" priority="5245">
      <formula>LEN(TRIM(N862))&gt;0</formula>
    </cfRule>
  </conditionalFormatting>
  <conditionalFormatting sqref="N862:R862">
    <cfRule type="notContainsBlanks" dxfId="5064" priority="5244">
      <formula>LEN(TRIM(N862))&gt;0</formula>
    </cfRule>
  </conditionalFormatting>
  <conditionalFormatting sqref="N862:R862">
    <cfRule type="notContainsBlanks" priority="5243">
      <formula>LEN(TRIM(N862))&gt;0</formula>
    </cfRule>
  </conditionalFormatting>
  <conditionalFormatting sqref="N862:R862">
    <cfRule type="notContainsBlanks" dxfId="5063" priority="5242">
      <formula>LEN(TRIM(N862))&gt;0</formula>
    </cfRule>
  </conditionalFormatting>
  <conditionalFormatting sqref="N862:R862">
    <cfRule type="notContainsBlanks" dxfId="5062" priority="5241">
      <formula>LEN(TRIM(N862))&gt;0</formula>
    </cfRule>
  </conditionalFormatting>
  <conditionalFormatting sqref="N862:R862">
    <cfRule type="notContainsBlanks" dxfId="5061" priority="5240">
      <formula>LEN(TRIM(N862))&gt;0</formula>
    </cfRule>
  </conditionalFormatting>
  <conditionalFormatting sqref="N862:R862">
    <cfRule type="notContainsBlanks" dxfId="5060" priority="5239">
      <formula>LEN(TRIM(N862))&gt;0</formula>
    </cfRule>
  </conditionalFormatting>
  <conditionalFormatting sqref="N862:R862">
    <cfRule type="notContainsBlanks" dxfId="5059" priority="5238">
      <formula>LEN(TRIM(N862))&gt;0</formula>
    </cfRule>
  </conditionalFormatting>
  <conditionalFormatting sqref="N875:R875">
    <cfRule type="notContainsBlanks" dxfId="5058" priority="5237">
      <formula>LEN(TRIM(N875))&gt;0</formula>
    </cfRule>
  </conditionalFormatting>
  <conditionalFormatting sqref="N875:R875">
    <cfRule type="notContainsBlanks" dxfId="5057" priority="5236">
      <formula>LEN(TRIM(N875))&gt;0</formula>
    </cfRule>
  </conditionalFormatting>
  <conditionalFormatting sqref="N875:R875">
    <cfRule type="notContainsBlanks" dxfId="5056" priority="5235">
      <formula>LEN(TRIM(N875))&gt;0</formula>
    </cfRule>
  </conditionalFormatting>
  <conditionalFormatting sqref="N875:R875">
    <cfRule type="notContainsBlanks" dxfId="5055" priority="5234">
      <formula>LEN(TRIM(N875))&gt;0</formula>
    </cfRule>
  </conditionalFormatting>
  <conditionalFormatting sqref="N875:R875">
    <cfRule type="notContainsBlanks" dxfId="5054" priority="5233">
      <formula>LEN(TRIM(N875))&gt;0</formula>
    </cfRule>
  </conditionalFormatting>
  <conditionalFormatting sqref="N875:R875">
    <cfRule type="notContainsBlanks" dxfId="5053" priority="5232">
      <formula>LEN(TRIM(N875))&gt;0</formula>
    </cfRule>
  </conditionalFormatting>
  <conditionalFormatting sqref="N875:R875">
    <cfRule type="notContainsBlanks" dxfId="5052" priority="5231">
      <formula>LEN(TRIM(N875))&gt;0</formula>
    </cfRule>
  </conditionalFormatting>
  <conditionalFormatting sqref="N875:R875">
    <cfRule type="notContainsBlanks" dxfId="5051" priority="5230">
      <formula>LEN(TRIM(N875))&gt;0</formula>
    </cfRule>
  </conditionalFormatting>
  <conditionalFormatting sqref="N875:R875">
    <cfRule type="notContainsBlanks" dxfId="5050" priority="5229">
      <formula>LEN(TRIM(N875))&gt;0</formula>
    </cfRule>
  </conditionalFormatting>
  <conditionalFormatting sqref="N875:R875">
    <cfRule type="notContainsBlanks" dxfId="5049" priority="5227">
      <formula>LEN(TRIM(N875))&gt;0</formula>
    </cfRule>
    <cfRule type="notContainsBlanks" dxfId="5048" priority="5228">
      <formula>LEN(TRIM(N875))&gt;0</formula>
    </cfRule>
  </conditionalFormatting>
  <conditionalFormatting sqref="N875:R875">
    <cfRule type="notContainsBlanks" dxfId="5047" priority="5226">
      <formula>LEN(TRIM(N875))&gt;0</formula>
    </cfRule>
  </conditionalFormatting>
  <conditionalFormatting sqref="N875:R875">
    <cfRule type="notContainsBlanks" dxfId="5046" priority="5225">
      <formula>LEN(TRIM(N875))&gt;0</formula>
    </cfRule>
  </conditionalFormatting>
  <conditionalFormatting sqref="N875:R875">
    <cfRule type="notContainsBlanks" dxfId="5045" priority="5224">
      <formula>LEN(TRIM(N875))&gt;0</formula>
    </cfRule>
  </conditionalFormatting>
  <conditionalFormatting sqref="N875:R875">
    <cfRule type="notContainsBlanks" dxfId="5044" priority="5223">
      <formula>LEN(TRIM(N875))&gt;0</formula>
    </cfRule>
  </conditionalFormatting>
  <conditionalFormatting sqref="N875:R875">
    <cfRule type="notContainsBlanks" dxfId="5043" priority="5222">
      <formula>LEN(TRIM(N875))&gt;0</formula>
    </cfRule>
  </conditionalFormatting>
  <conditionalFormatting sqref="N875:R875">
    <cfRule type="notContainsBlanks" dxfId="5042" priority="5221">
      <formula>LEN(TRIM(N875))&gt;0</formula>
    </cfRule>
  </conditionalFormatting>
  <conditionalFormatting sqref="N875:R875">
    <cfRule type="notContainsBlanks" dxfId="5041" priority="5220">
      <formula>LEN(TRIM(N875))&gt;0</formula>
    </cfRule>
  </conditionalFormatting>
  <conditionalFormatting sqref="N875:R875">
    <cfRule type="notContainsBlanks" dxfId="5040" priority="5219">
      <formula>LEN(TRIM(N875))&gt;0</formula>
    </cfRule>
  </conditionalFormatting>
  <conditionalFormatting sqref="N875:R875">
    <cfRule type="notContainsBlanks" dxfId="5039" priority="5218">
      <formula>LEN(TRIM(N875))&gt;0</formula>
    </cfRule>
  </conditionalFormatting>
  <conditionalFormatting sqref="N875:R875">
    <cfRule type="notContainsBlanks" priority="5217">
      <formula>LEN(TRIM(N875))&gt;0</formula>
    </cfRule>
  </conditionalFormatting>
  <conditionalFormatting sqref="N875:R875">
    <cfRule type="notContainsBlanks" dxfId="5038" priority="5216">
      <formula>LEN(TRIM(N875))&gt;0</formula>
    </cfRule>
  </conditionalFormatting>
  <conditionalFormatting sqref="N875:R875">
    <cfRule type="notContainsBlanks" dxfId="5037" priority="5215">
      <formula>LEN(TRIM(N875))&gt;0</formula>
    </cfRule>
  </conditionalFormatting>
  <conditionalFormatting sqref="N875:R875">
    <cfRule type="notContainsBlanks" dxfId="5036" priority="5214">
      <formula>LEN(TRIM(N875))&gt;0</formula>
    </cfRule>
  </conditionalFormatting>
  <conditionalFormatting sqref="N875:R875">
    <cfRule type="notContainsBlanks" dxfId="5035" priority="5213">
      <formula>LEN(TRIM(N875))&gt;0</formula>
    </cfRule>
  </conditionalFormatting>
  <conditionalFormatting sqref="N875:R875">
    <cfRule type="notContainsBlanks" dxfId="5034" priority="5212">
      <formula>LEN(TRIM(N875))&gt;0</formula>
    </cfRule>
  </conditionalFormatting>
  <conditionalFormatting sqref="N888:R888">
    <cfRule type="notContainsBlanks" dxfId="5033" priority="5211">
      <formula>LEN(TRIM(N888))&gt;0</formula>
    </cfRule>
  </conditionalFormatting>
  <conditionalFormatting sqref="N888:R888">
    <cfRule type="notContainsBlanks" dxfId="5032" priority="5210">
      <formula>LEN(TRIM(N888))&gt;0</formula>
    </cfRule>
  </conditionalFormatting>
  <conditionalFormatting sqref="N888:R888">
    <cfRule type="notContainsBlanks" dxfId="5031" priority="5209">
      <formula>LEN(TRIM(N888))&gt;0</formula>
    </cfRule>
  </conditionalFormatting>
  <conditionalFormatting sqref="N888:R888">
    <cfRule type="notContainsBlanks" dxfId="5030" priority="5208">
      <formula>LEN(TRIM(N888))&gt;0</formula>
    </cfRule>
  </conditionalFormatting>
  <conditionalFormatting sqref="N888:R888">
    <cfRule type="notContainsBlanks" dxfId="5029" priority="5207">
      <formula>LEN(TRIM(N888))&gt;0</formula>
    </cfRule>
  </conditionalFormatting>
  <conditionalFormatting sqref="N888:R888">
    <cfRule type="notContainsBlanks" dxfId="5028" priority="5206">
      <formula>LEN(TRIM(N888))&gt;0</formula>
    </cfRule>
  </conditionalFormatting>
  <conditionalFormatting sqref="N888:R888">
    <cfRule type="notContainsBlanks" dxfId="5027" priority="5205">
      <formula>LEN(TRIM(N888))&gt;0</formula>
    </cfRule>
  </conditionalFormatting>
  <conditionalFormatting sqref="N888:R888">
    <cfRule type="notContainsBlanks" dxfId="5026" priority="5204">
      <formula>LEN(TRIM(N888))&gt;0</formula>
    </cfRule>
  </conditionalFormatting>
  <conditionalFormatting sqref="N888:R888">
    <cfRule type="notContainsBlanks" dxfId="5025" priority="5203">
      <formula>LEN(TRIM(N888))&gt;0</formula>
    </cfRule>
  </conditionalFormatting>
  <conditionalFormatting sqref="N888:R888">
    <cfRule type="notContainsBlanks" dxfId="5024" priority="5201">
      <formula>LEN(TRIM(N888))&gt;0</formula>
    </cfRule>
    <cfRule type="notContainsBlanks" dxfId="5023" priority="5202">
      <formula>LEN(TRIM(N888))&gt;0</formula>
    </cfRule>
  </conditionalFormatting>
  <conditionalFormatting sqref="N888:R888">
    <cfRule type="notContainsBlanks" dxfId="5022" priority="5200">
      <formula>LEN(TRIM(N888))&gt;0</formula>
    </cfRule>
  </conditionalFormatting>
  <conditionalFormatting sqref="N888:R888">
    <cfRule type="notContainsBlanks" dxfId="5021" priority="5199">
      <formula>LEN(TRIM(N888))&gt;0</formula>
    </cfRule>
  </conditionalFormatting>
  <conditionalFormatting sqref="N888:R888">
    <cfRule type="notContainsBlanks" dxfId="5020" priority="5198">
      <formula>LEN(TRIM(N888))&gt;0</formula>
    </cfRule>
  </conditionalFormatting>
  <conditionalFormatting sqref="N888:R888">
    <cfRule type="notContainsBlanks" dxfId="5019" priority="5197">
      <formula>LEN(TRIM(N888))&gt;0</formula>
    </cfRule>
  </conditionalFormatting>
  <conditionalFormatting sqref="N888:R888">
    <cfRule type="notContainsBlanks" dxfId="5018" priority="5196">
      <formula>LEN(TRIM(N888))&gt;0</formula>
    </cfRule>
  </conditionalFormatting>
  <conditionalFormatting sqref="N888:R888">
    <cfRule type="notContainsBlanks" dxfId="5017" priority="5195">
      <formula>LEN(TRIM(N888))&gt;0</formula>
    </cfRule>
  </conditionalFormatting>
  <conditionalFormatting sqref="N888:R888">
    <cfRule type="notContainsBlanks" dxfId="5016" priority="5194">
      <formula>LEN(TRIM(N888))&gt;0</formula>
    </cfRule>
  </conditionalFormatting>
  <conditionalFormatting sqref="N888:R888">
    <cfRule type="notContainsBlanks" dxfId="5015" priority="5193">
      <formula>LEN(TRIM(N888))&gt;0</formula>
    </cfRule>
  </conditionalFormatting>
  <conditionalFormatting sqref="N888:R888">
    <cfRule type="notContainsBlanks" dxfId="5014" priority="5192">
      <formula>LEN(TRIM(N888))&gt;0</formula>
    </cfRule>
  </conditionalFormatting>
  <conditionalFormatting sqref="N888:R888">
    <cfRule type="notContainsBlanks" priority="5191">
      <formula>LEN(TRIM(N888))&gt;0</formula>
    </cfRule>
  </conditionalFormatting>
  <conditionalFormatting sqref="N888:R888">
    <cfRule type="notContainsBlanks" dxfId="5013" priority="5190">
      <formula>LEN(TRIM(N888))&gt;0</formula>
    </cfRule>
  </conditionalFormatting>
  <conditionalFormatting sqref="N888:R888">
    <cfRule type="notContainsBlanks" dxfId="5012" priority="5189">
      <formula>LEN(TRIM(N888))&gt;0</formula>
    </cfRule>
  </conditionalFormatting>
  <conditionalFormatting sqref="N888:R888">
    <cfRule type="notContainsBlanks" dxfId="5011" priority="5188">
      <formula>LEN(TRIM(N888))&gt;0</formula>
    </cfRule>
  </conditionalFormatting>
  <conditionalFormatting sqref="N888:R888">
    <cfRule type="notContainsBlanks" dxfId="5010" priority="5187">
      <formula>LEN(TRIM(N888))&gt;0</formula>
    </cfRule>
  </conditionalFormatting>
  <conditionalFormatting sqref="N888:R888">
    <cfRule type="notContainsBlanks" dxfId="5009" priority="5186">
      <formula>LEN(TRIM(N888))&gt;0</formula>
    </cfRule>
  </conditionalFormatting>
  <conditionalFormatting sqref="N901:R901">
    <cfRule type="notContainsBlanks" dxfId="5008" priority="5185">
      <formula>LEN(TRIM(N901))&gt;0</formula>
    </cfRule>
  </conditionalFormatting>
  <conditionalFormatting sqref="N901:R901">
    <cfRule type="notContainsBlanks" dxfId="5007" priority="5184">
      <formula>LEN(TRIM(N901))&gt;0</formula>
    </cfRule>
  </conditionalFormatting>
  <conditionalFormatting sqref="N901:R901">
    <cfRule type="notContainsBlanks" dxfId="5006" priority="5183">
      <formula>LEN(TRIM(N901))&gt;0</formula>
    </cfRule>
  </conditionalFormatting>
  <conditionalFormatting sqref="N901:R901">
    <cfRule type="notContainsBlanks" dxfId="5005" priority="5182">
      <formula>LEN(TRIM(N901))&gt;0</formula>
    </cfRule>
  </conditionalFormatting>
  <conditionalFormatting sqref="N901:R901">
    <cfRule type="notContainsBlanks" dxfId="5004" priority="5181">
      <formula>LEN(TRIM(N901))&gt;0</formula>
    </cfRule>
  </conditionalFormatting>
  <conditionalFormatting sqref="N901:R901">
    <cfRule type="notContainsBlanks" dxfId="5003" priority="5180">
      <formula>LEN(TRIM(N901))&gt;0</formula>
    </cfRule>
  </conditionalFormatting>
  <conditionalFormatting sqref="N901:R901">
    <cfRule type="notContainsBlanks" dxfId="5002" priority="5179">
      <formula>LEN(TRIM(N901))&gt;0</formula>
    </cfRule>
  </conditionalFormatting>
  <conditionalFormatting sqref="N901:R901">
    <cfRule type="notContainsBlanks" dxfId="5001" priority="5178">
      <formula>LEN(TRIM(N901))&gt;0</formula>
    </cfRule>
  </conditionalFormatting>
  <conditionalFormatting sqref="N901:R901">
    <cfRule type="notContainsBlanks" dxfId="5000" priority="5177">
      <formula>LEN(TRIM(N901))&gt;0</formula>
    </cfRule>
  </conditionalFormatting>
  <conditionalFormatting sqref="N901:R901">
    <cfRule type="notContainsBlanks" dxfId="4999" priority="5175">
      <formula>LEN(TRIM(N901))&gt;0</formula>
    </cfRule>
    <cfRule type="notContainsBlanks" dxfId="4998" priority="5176">
      <formula>LEN(TRIM(N901))&gt;0</formula>
    </cfRule>
  </conditionalFormatting>
  <conditionalFormatting sqref="N901:R901">
    <cfRule type="notContainsBlanks" dxfId="4997" priority="5174">
      <formula>LEN(TRIM(N901))&gt;0</formula>
    </cfRule>
  </conditionalFormatting>
  <conditionalFormatting sqref="N901:R901">
    <cfRule type="notContainsBlanks" dxfId="4996" priority="5173">
      <formula>LEN(TRIM(N901))&gt;0</formula>
    </cfRule>
  </conditionalFormatting>
  <conditionalFormatting sqref="N901:R901">
    <cfRule type="notContainsBlanks" dxfId="4995" priority="5172">
      <formula>LEN(TRIM(N901))&gt;0</formula>
    </cfRule>
  </conditionalFormatting>
  <conditionalFormatting sqref="N901:R901">
    <cfRule type="notContainsBlanks" dxfId="4994" priority="5171">
      <formula>LEN(TRIM(N901))&gt;0</formula>
    </cfRule>
  </conditionalFormatting>
  <conditionalFormatting sqref="N901:R901">
    <cfRule type="notContainsBlanks" dxfId="4993" priority="5170">
      <formula>LEN(TRIM(N901))&gt;0</formula>
    </cfRule>
  </conditionalFormatting>
  <conditionalFormatting sqref="N901:R901">
    <cfRule type="notContainsBlanks" dxfId="4992" priority="5169">
      <formula>LEN(TRIM(N901))&gt;0</formula>
    </cfRule>
  </conditionalFormatting>
  <conditionalFormatting sqref="N901:R901">
    <cfRule type="notContainsBlanks" dxfId="4991" priority="5168">
      <formula>LEN(TRIM(N901))&gt;0</formula>
    </cfRule>
  </conditionalFormatting>
  <conditionalFormatting sqref="N901:R901">
    <cfRule type="notContainsBlanks" dxfId="4990" priority="5167">
      <formula>LEN(TRIM(N901))&gt;0</formula>
    </cfRule>
  </conditionalFormatting>
  <conditionalFormatting sqref="N901:R901">
    <cfRule type="notContainsBlanks" dxfId="4989" priority="5166">
      <formula>LEN(TRIM(N901))&gt;0</formula>
    </cfRule>
  </conditionalFormatting>
  <conditionalFormatting sqref="N901:R901">
    <cfRule type="notContainsBlanks" priority="5165">
      <formula>LEN(TRIM(N901))&gt;0</formula>
    </cfRule>
  </conditionalFormatting>
  <conditionalFormatting sqref="N901:R901">
    <cfRule type="notContainsBlanks" dxfId="4988" priority="5164">
      <formula>LEN(TRIM(N901))&gt;0</formula>
    </cfRule>
  </conditionalFormatting>
  <conditionalFormatting sqref="N901:R901">
    <cfRule type="notContainsBlanks" dxfId="4987" priority="5163">
      <formula>LEN(TRIM(N901))&gt;0</formula>
    </cfRule>
  </conditionalFormatting>
  <conditionalFormatting sqref="N901:R901">
    <cfRule type="notContainsBlanks" dxfId="4986" priority="5162">
      <formula>LEN(TRIM(N901))&gt;0</formula>
    </cfRule>
  </conditionalFormatting>
  <conditionalFormatting sqref="N901:R901">
    <cfRule type="notContainsBlanks" dxfId="4985" priority="5161">
      <formula>LEN(TRIM(N901))&gt;0</formula>
    </cfRule>
  </conditionalFormatting>
  <conditionalFormatting sqref="N901:R901">
    <cfRule type="notContainsBlanks" dxfId="4984" priority="5160">
      <formula>LEN(TRIM(N901))&gt;0</formula>
    </cfRule>
  </conditionalFormatting>
  <conditionalFormatting sqref="N914:R914">
    <cfRule type="notContainsBlanks" dxfId="4983" priority="5159">
      <formula>LEN(TRIM(N914))&gt;0</formula>
    </cfRule>
  </conditionalFormatting>
  <conditionalFormatting sqref="N914:R914">
    <cfRule type="notContainsBlanks" dxfId="4982" priority="5158">
      <formula>LEN(TRIM(N914))&gt;0</formula>
    </cfRule>
  </conditionalFormatting>
  <conditionalFormatting sqref="N914:R914">
    <cfRule type="notContainsBlanks" dxfId="4981" priority="5157">
      <formula>LEN(TRIM(N914))&gt;0</formula>
    </cfRule>
  </conditionalFormatting>
  <conditionalFormatting sqref="N914:R914">
    <cfRule type="notContainsBlanks" dxfId="4980" priority="5156">
      <formula>LEN(TRIM(N914))&gt;0</formula>
    </cfRule>
  </conditionalFormatting>
  <conditionalFormatting sqref="N914:R914">
    <cfRule type="notContainsBlanks" dxfId="4979" priority="5155">
      <formula>LEN(TRIM(N914))&gt;0</formula>
    </cfRule>
  </conditionalFormatting>
  <conditionalFormatting sqref="N914:R914">
    <cfRule type="notContainsBlanks" dxfId="4978" priority="5154">
      <formula>LEN(TRIM(N914))&gt;0</formula>
    </cfRule>
  </conditionalFormatting>
  <conditionalFormatting sqref="N914:R914">
    <cfRule type="notContainsBlanks" dxfId="4977" priority="5153">
      <formula>LEN(TRIM(N914))&gt;0</formula>
    </cfRule>
  </conditionalFormatting>
  <conditionalFormatting sqref="N914:R914">
    <cfRule type="notContainsBlanks" dxfId="4976" priority="5152">
      <formula>LEN(TRIM(N914))&gt;0</formula>
    </cfRule>
  </conditionalFormatting>
  <conditionalFormatting sqref="N914:R914">
    <cfRule type="notContainsBlanks" dxfId="4975" priority="5151">
      <formula>LEN(TRIM(N914))&gt;0</formula>
    </cfRule>
  </conditionalFormatting>
  <conditionalFormatting sqref="N914:R914">
    <cfRule type="notContainsBlanks" dxfId="4974" priority="5149">
      <formula>LEN(TRIM(N914))&gt;0</formula>
    </cfRule>
    <cfRule type="notContainsBlanks" dxfId="4973" priority="5150">
      <formula>LEN(TRIM(N914))&gt;0</formula>
    </cfRule>
  </conditionalFormatting>
  <conditionalFormatting sqref="N914:R914">
    <cfRule type="notContainsBlanks" dxfId="4972" priority="5148">
      <formula>LEN(TRIM(N914))&gt;0</formula>
    </cfRule>
  </conditionalFormatting>
  <conditionalFormatting sqref="N914:R914">
    <cfRule type="notContainsBlanks" dxfId="4971" priority="5147">
      <formula>LEN(TRIM(N914))&gt;0</formula>
    </cfRule>
  </conditionalFormatting>
  <conditionalFormatting sqref="N914:R914">
    <cfRule type="notContainsBlanks" dxfId="4970" priority="5146">
      <formula>LEN(TRIM(N914))&gt;0</formula>
    </cfRule>
  </conditionalFormatting>
  <conditionalFormatting sqref="N914:R914">
    <cfRule type="notContainsBlanks" dxfId="4969" priority="5145">
      <formula>LEN(TRIM(N914))&gt;0</formula>
    </cfRule>
  </conditionalFormatting>
  <conditionalFormatting sqref="N914:R914">
    <cfRule type="notContainsBlanks" dxfId="4968" priority="5144">
      <formula>LEN(TRIM(N914))&gt;0</formula>
    </cfRule>
  </conditionalFormatting>
  <conditionalFormatting sqref="N914:R914">
    <cfRule type="notContainsBlanks" dxfId="4967" priority="5143">
      <formula>LEN(TRIM(N914))&gt;0</formula>
    </cfRule>
  </conditionalFormatting>
  <conditionalFormatting sqref="N914:R914">
    <cfRule type="notContainsBlanks" dxfId="4966" priority="5142">
      <formula>LEN(TRIM(N914))&gt;0</formula>
    </cfRule>
  </conditionalFormatting>
  <conditionalFormatting sqref="N914:R914">
    <cfRule type="notContainsBlanks" dxfId="4965" priority="5141">
      <formula>LEN(TRIM(N914))&gt;0</formula>
    </cfRule>
  </conditionalFormatting>
  <conditionalFormatting sqref="N914:R914">
    <cfRule type="notContainsBlanks" dxfId="4964" priority="5140">
      <formula>LEN(TRIM(N914))&gt;0</formula>
    </cfRule>
  </conditionalFormatting>
  <conditionalFormatting sqref="N914:R914">
    <cfRule type="notContainsBlanks" priority="5139">
      <formula>LEN(TRIM(N914))&gt;0</formula>
    </cfRule>
  </conditionalFormatting>
  <conditionalFormatting sqref="N914:R914">
    <cfRule type="notContainsBlanks" dxfId="4963" priority="5138">
      <formula>LEN(TRIM(N914))&gt;0</formula>
    </cfRule>
  </conditionalFormatting>
  <conditionalFormatting sqref="N914:R914">
    <cfRule type="notContainsBlanks" dxfId="4962" priority="5137">
      <formula>LEN(TRIM(N914))&gt;0</formula>
    </cfRule>
  </conditionalFormatting>
  <conditionalFormatting sqref="N914:R914">
    <cfRule type="notContainsBlanks" dxfId="4961" priority="5136">
      <formula>LEN(TRIM(N914))&gt;0</formula>
    </cfRule>
  </conditionalFormatting>
  <conditionalFormatting sqref="N914:R914">
    <cfRule type="notContainsBlanks" dxfId="4960" priority="5135">
      <formula>LEN(TRIM(N914))&gt;0</formula>
    </cfRule>
  </conditionalFormatting>
  <conditionalFormatting sqref="N914:R914">
    <cfRule type="notContainsBlanks" dxfId="4959" priority="5134">
      <formula>LEN(TRIM(N914))&gt;0</formula>
    </cfRule>
  </conditionalFormatting>
  <conditionalFormatting sqref="N927:R927">
    <cfRule type="notContainsBlanks" dxfId="4958" priority="5133">
      <formula>LEN(TRIM(N927))&gt;0</formula>
    </cfRule>
  </conditionalFormatting>
  <conditionalFormatting sqref="N927:R927">
    <cfRule type="notContainsBlanks" dxfId="4957" priority="5132">
      <formula>LEN(TRIM(N927))&gt;0</formula>
    </cfRule>
  </conditionalFormatting>
  <conditionalFormatting sqref="N927:R927">
    <cfRule type="notContainsBlanks" dxfId="4956" priority="5131">
      <formula>LEN(TRIM(N927))&gt;0</formula>
    </cfRule>
  </conditionalFormatting>
  <conditionalFormatting sqref="N927:R927">
    <cfRule type="notContainsBlanks" dxfId="4955" priority="5130">
      <formula>LEN(TRIM(N927))&gt;0</formula>
    </cfRule>
  </conditionalFormatting>
  <conditionalFormatting sqref="N927:R927">
    <cfRule type="notContainsBlanks" dxfId="4954" priority="5129">
      <formula>LEN(TRIM(N927))&gt;0</formula>
    </cfRule>
  </conditionalFormatting>
  <conditionalFormatting sqref="N927:R927">
    <cfRule type="notContainsBlanks" dxfId="4953" priority="5128">
      <formula>LEN(TRIM(N927))&gt;0</formula>
    </cfRule>
  </conditionalFormatting>
  <conditionalFormatting sqref="N927:R927">
    <cfRule type="notContainsBlanks" dxfId="4952" priority="5127">
      <formula>LEN(TRIM(N927))&gt;0</formula>
    </cfRule>
  </conditionalFormatting>
  <conditionalFormatting sqref="N927:R927">
    <cfRule type="notContainsBlanks" dxfId="4951" priority="5126">
      <formula>LEN(TRIM(N927))&gt;0</formula>
    </cfRule>
  </conditionalFormatting>
  <conditionalFormatting sqref="N927:R927">
    <cfRule type="notContainsBlanks" dxfId="4950" priority="5125">
      <formula>LEN(TRIM(N927))&gt;0</formula>
    </cfRule>
  </conditionalFormatting>
  <conditionalFormatting sqref="N927:R927">
    <cfRule type="notContainsBlanks" dxfId="4949" priority="5123">
      <formula>LEN(TRIM(N927))&gt;0</formula>
    </cfRule>
    <cfRule type="notContainsBlanks" dxfId="4948" priority="5124">
      <formula>LEN(TRIM(N927))&gt;0</formula>
    </cfRule>
  </conditionalFormatting>
  <conditionalFormatting sqref="N927:R927">
    <cfRule type="notContainsBlanks" dxfId="4947" priority="5122">
      <formula>LEN(TRIM(N927))&gt;0</formula>
    </cfRule>
  </conditionalFormatting>
  <conditionalFormatting sqref="N927:R927">
    <cfRule type="notContainsBlanks" dxfId="4946" priority="5121">
      <formula>LEN(TRIM(N927))&gt;0</formula>
    </cfRule>
  </conditionalFormatting>
  <conditionalFormatting sqref="N927:R927">
    <cfRule type="notContainsBlanks" dxfId="4945" priority="5120">
      <formula>LEN(TRIM(N927))&gt;0</formula>
    </cfRule>
  </conditionalFormatting>
  <conditionalFormatting sqref="N927:R927">
    <cfRule type="notContainsBlanks" dxfId="4944" priority="5119">
      <formula>LEN(TRIM(N927))&gt;0</formula>
    </cfRule>
  </conditionalFormatting>
  <conditionalFormatting sqref="N927:R927">
    <cfRule type="notContainsBlanks" dxfId="4943" priority="5118">
      <formula>LEN(TRIM(N927))&gt;0</formula>
    </cfRule>
  </conditionalFormatting>
  <conditionalFormatting sqref="N927:R927">
    <cfRule type="notContainsBlanks" dxfId="4942" priority="5117">
      <formula>LEN(TRIM(N927))&gt;0</formula>
    </cfRule>
  </conditionalFormatting>
  <conditionalFormatting sqref="N927:R927">
    <cfRule type="notContainsBlanks" dxfId="4941" priority="5116">
      <formula>LEN(TRIM(N927))&gt;0</formula>
    </cfRule>
  </conditionalFormatting>
  <conditionalFormatting sqref="N927:R927">
    <cfRule type="notContainsBlanks" dxfId="4940" priority="5115">
      <formula>LEN(TRIM(N927))&gt;0</formula>
    </cfRule>
  </conditionalFormatting>
  <conditionalFormatting sqref="N927:R927">
    <cfRule type="notContainsBlanks" dxfId="4939" priority="5114">
      <formula>LEN(TRIM(N927))&gt;0</formula>
    </cfRule>
  </conditionalFormatting>
  <conditionalFormatting sqref="N927:R927">
    <cfRule type="notContainsBlanks" priority="5113">
      <formula>LEN(TRIM(N927))&gt;0</formula>
    </cfRule>
  </conditionalFormatting>
  <conditionalFormatting sqref="N927:R927">
    <cfRule type="notContainsBlanks" dxfId="4938" priority="5112">
      <formula>LEN(TRIM(N927))&gt;0</formula>
    </cfRule>
  </conditionalFormatting>
  <conditionalFormatting sqref="N927:R927">
    <cfRule type="notContainsBlanks" dxfId="4937" priority="5111">
      <formula>LEN(TRIM(N927))&gt;0</formula>
    </cfRule>
  </conditionalFormatting>
  <conditionalFormatting sqref="N927:R927">
    <cfRule type="notContainsBlanks" dxfId="4936" priority="5110">
      <formula>LEN(TRIM(N927))&gt;0</formula>
    </cfRule>
  </conditionalFormatting>
  <conditionalFormatting sqref="N927:R927">
    <cfRule type="notContainsBlanks" dxfId="4935" priority="5109">
      <formula>LEN(TRIM(N927))&gt;0</formula>
    </cfRule>
  </conditionalFormatting>
  <conditionalFormatting sqref="N927:R927">
    <cfRule type="notContainsBlanks" dxfId="4934" priority="5108">
      <formula>LEN(TRIM(N927))&gt;0</formula>
    </cfRule>
  </conditionalFormatting>
  <conditionalFormatting sqref="N940:R940">
    <cfRule type="notContainsBlanks" dxfId="4933" priority="5107">
      <formula>LEN(TRIM(N940))&gt;0</formula>
    </cfRule>
  </conditionalFormatting>
  <conditionalFormatting sqref="N940:R940">
    <cfRule type="notContainsBlanks" dxfId="4932" priority="5106">
      <formula>LEN(TRIM(N940))&gt;0</formula>
    </cfRule>
  </conditionalFormatting>
  <conditionalFormatting sqref="N940:R940">
    <cfRule type="notContainsBlanks" dxfId="4931" priority="5105">
      <formula>LEN(TRIM(N940))&gt;0</formula>
    </cfRule>
  </conditionalFormatting>
  <conditionalFormatting sqref="N940:R940">
    <cfRule type="notContainsBlanks" dxfId="4930" priority="5104">
      <formula>LEN(TRIM(N940))&gt;0</formula>
    </cfRule>
  </conditionalFormatting>
  <conditionalFormatting sqref="N940:R940">
    <cfRule type="notContainsBlanks" dxfId="4929" priority="5103">
      <formula>LEN(TRIM(N940))&gt;0</formula>
    </cfRule>
  </conditionalFormatting>
  <conditionalFormatting sqref="N940:R940">
    <cfRule type="notContainsBlanks" dxfId="4928" priority="5102">
      <formula>LEN(TRIM(N940))&gt;0</formula>
    </cfRule>
  </conditionalFormatting>
  <conditionalFormatting sqref="N940:R940">
    <cfRule type="notContainsBlanks" dxfId="4927" priority="5101">
      <formula>LEN(TRIM(N940))&gt;0</formula>
    </cfRule>
  </conditionalFormatting>
  <conditionalFormatting sqref="N940:R940">
    <cfRule type="notContainsBlanks" dxfId="4926" priority="5100">
      <formula>LEN(TRIM(N940))&gt;0</formula>
    </cfRule>
  </conditionalFormatting>
  <conditionalFormatting sqref="N940:R940">
    <cfRule type="notContainsBlanks" dxfId="4925" priority="5099">
      <formula>LEN(TRIM(N940))&gt;0</formula>
    </cfRule>
  </conditionalFormatting>
  <conditionalFormatting sqref="N940:R940">
    <cfRule type="notContainsBlanks" dxfId="4924" priority="5097">
      <formula>LEN(TRIM(N940))&gt;0</formula>
    </cfRule>
    <cfRule type="notContainsBlanks" dxfId="4923" priority="5098">
      <formula>LEN(TRIM(N940))&gt;0</formula>
    </cfRule>
  </conditionalFormatting>
  <conditionalFormatting sqref="N940:R940">
    <cfRule type="notContainsBlanks" dxfId="4922" priority="5096">
      <formula>LEN(TRIM(N940))&gt;0</formula>
    </cfRule>
  </conditionalFormatting>
  <conditionalFormatting sqref="N940:R940">
    <cfRule type="notContainsBlanks" dxfId="4921" priority="5095">
      <formula>LEN(TRIM(N940))&gt;0</formula>
    </cfRule>
  </conditionalFormatting>
  <conditionalFormatting sqref="N940:R940">
    <cfRule type="notContainsBlanks" dxfId="4920" priority="5094">
      <formula>LEN(TRIM(N940))&gt;0</formula>
    </cfRule>
  </conditionalFormatting>
  <conditionalFormatting sqref="N940:R940">
    <cfRule type="notContainsBlanks" dxfId="4919" priority="5093">
      <formula>LEN(TRIM(N940))&gt;0</formula>
    </cfRule>
  </conditionalFormatting>
  <conditionalFormatting sqref="N940:R940">
    <cfRule type="notContainsBlanks" dxfId="4918" priority="5092">
      <formula>LEN(TRIM(N940))&gt;0</formula>
    </cfRule>
  </conditionalFormatting>
  <conditionalFormatting sqref="N940:R940">
    <cfRule type="notContainsBlanks" dxfId="4917" priority="5091">
      <formula>LEN(TRIM(N940))&gt;0</formula>
    </cfRule>
  </conditionalFormatting>
  <conditionalFormatting sqref="N940:R940">
    <cfRule type="notContainsBlanks" dxfId="4916" priority="5090">
      <formula>LEN(TRIM(N940))&gt;0</formula>
    </cfRule>
  </conditionalFormatting>
  <conditionalFormatting sqref="N940:R940">
    <cfRule type="notContainsBlanks" dxfId="4915" priority="5089">
      <formula>LEN(TRIM(N940))&gt;0</formula>
    </cfRule>
  </conditionalFormatting>
  <conditionalFormatting sqref="N940:R940">
    <cfRule type="notContainsBlanks" dxfId="4914" priority="5088">
      <formula>LEN(TRIM(N940))&gt;0</formula>
    </cfRule>
  </conditionalFormatting>
  <conditionalFormatting sqref="N940:R940">
    <cfRule type="notContainsBlanks" priority="5087">
      <formula>LEN(TRIM(N940))&gt;0</formula>
    </cfRule>
  </conditionalFormatting>
  <conditionalFormatting sqref="N940:R940">
    <cfRule type="notContainsBlanks" dxfId="4913" priority="5086">
      <formula>LEN(TRIM(N940))&gt;0</formula>
    </cfRule>
  </conditionalFormatting>
  <conditionalFormatting sqref="N940:R940">
    <cfRule type="notContainsBlanks" dxfId="4912" priority="5085">
      <formula>LEN(TRIM(N940))&gt;0</formula>
    </cfRule>
  </conditionalFormatting>
  <conditionalFormatting sqref="N940:R940">
    <cfRule type="notContainsBlanks" dxfId="4911" priority="5084">
      <formula>LEN(TRIM(N940))&gt;0</formula>
    </cfRule>
  </conditionalFormatting>
  <conditionalFormatting sqref="N940:R940">
    <cfRule type="notContainsBlanks" dxfId="4910" priority="5083">
      <formula>LEN(TRIM(N940))&gt;0</formula>
    </cfRule>
  </conditionalFormatting>
  <conditionalFormatting sqref="N940:R940">
    <cfRule type="notContainsBlanks" dxfId="4909" priority="5082">
      <formula>LEN(TRIM(N940))&gt;0</formula>
    </cfRule>
  </conditionalFormatting>
  <conditionalFormatting sqref="N953:R953">
    <cfRule type="notContainsBlanks" dxfId="4908" priority="5081">
      <formula>LEN(TRIM(N953))&gt;0</formula>
    </cfRule>
  </conditionalFormatting>
  <conditionalFormatting sqref="N953:R953">
    <cfRule type="notContainsBlanks" dxfId="4907" priority="5080">
      <formula>LEN(TRIM(N953))&gt;0</formula>
    </cfRule>
  </conditionalFormatting>
  <conditionalFormatting sqref="N953:R953">
    <cfRule type="notContainsBlanks" dxfId="4906" priority="5079">
      <formula>LEN(TRIM(N953))&gt;0</formula>
    </cfRule>
  </conditionalFormatting>
  <conditionalFormatting sqref="N953:R953">
    <cfRule type="notContainsBlanks" dxfId="4905" priority="5078">
      <formula>LEN(TRIM(N953))&gt;0</formula>
    </cfRule>
  </conditionalFormatting>
  <conditionalFormatting sqref="N953:R953">
    <cfRule type="notContainsBlanks" dxfId="4904" priority="5077">
      <formula>LEN(TRIM(N953))&gt;0</formula>
    </cfRule>
  </conditionalFormatting>
  <conditionalFormatting sqref="N953:R953">
    <cfRule type="notContainsBlanks" dxfId="4903" priority="5076">
      <formula>LEN(TRIM(N953))&gt;0</formula>
    </cfRule>
  </conditionalFormatting>
  <conditionalFormatting sqref="N953:R953">
    <cfRule type="notContainsBlanks" dxfId="4902" priority="5075">
      <formula>LEN(TRIM(N953))&gt;0</formula>
    </cfRule>
  </conditionalFormatting>
  <conditionalFormatting sqref="N953:R953">
    <cfRule type="notContainsBlanks" dxfId="4901" priority="5074">
      <formula>LEN(TRIM(N953))&gt;0</formula>
    </cfRule>
  </conditionalFormatting>
  <conditionalFormatting sqref="N953:R953">
    <cfRule type="notContainsBlanks" dxfId="4900" priority="5073">
      <formula>LEN(TRIM(N953))&gt;0</formula>
    </cfRule>
  </conditionalFormatting>
  <conditionalFormatting sqref="N953:R953">
    <cfRule type="notContainsBlanks" dxfId="4899" priority="5071">
      <formula>LEN(TRIM(N953))&gt;0</formula>
    </cfRule>
    <cfRule type="notContainsBlanks" dxfId="4898" priority="5072">
      <formula>LEN(TRIM(N953))&gt;0</formula>
    </cfRule>
  </conditionalFormatting>
  <conditionalFormatting sqref="N953:R953">
    <cfRule type="notContainsBlanks" dxfId="4897" priority="5070">
      <formula>LEN(TRIM(N953))&gt;0</formula>
    </cfRule>
  </conditionalFormatting>
  <conditionalFormatting sqref="N953:R953">
    <cfRule type="notContainsBlanks" dxfId="4896" priority="5069">
      <formula>LEN(TRIM(N953))&gt;0</formula>
    </cfRule>
  </conditionalFormatting>
  <conditionalFormatting sqref="N953:R953">
    <cfRule type="notContainsBlanks" dxfId="4895" priority="5068">
      <formula>LEN(TRIM(N953))&gt;0</formula>
    </cfRule>
  </conditionalFormatting>
  <conditionalFormatting sqref="N953:R953">
    <cfRule type="notContainsBlanks" dxfId="4894" priority="5067">
      <formula>LEN(TRIM(N953))&gt;0</formula>
    </cfRule>
  </conditionalFormatting>
  <conditionalFormatting sqref="N953:R953">
    <cfRule type="notContainsBlanks" dxfId="4893" priority="5066">
      <formula>LEN(TRIM(N953))&gt;0</formula>
    </cfRule>
  </conditionalFormatting>
  <conditionalFormatting sqref="N953:R953">
    <cfRule type="notContainsBlanks" dxfId="4892" priority="5065">
      <formula>LEN(TRIM(N953))&gt;0</formula>
    </cfRule>
  </conditionalFormatting>
  <conditionalFormatting sqref="N953:R953">
    <cfRule type="notContainsBlanks" dxfId="4891" priority="5064">
      <formula>LEN(TRIM(N953))&gt;0</formula>
    </cfRule>
  </conditionalFormatting>
  <conditionalFormatting sqref="N953:R953">
    <cfRule type="notContainsBlanks" dxfId="4890" priority="5063">
      <formula>LEN(TRIM(N953))&gt;0</formula>
    </cfRule>
  </conditionalFormatting>
  <conditionalFormatting sqref="N953:R953">
    <cfRule type="notContainsBlanks" dxfId="4889" priority="5062">
      <formula>LEN(TRIM(N953))&gt;0</formula>
    </cfRule>
  </conditionalFormatting>
  <conditionalFormatting sqref="N953:R953">
    <cfRule type="notContainsBlanks" priority="5061">
      <formula>LEN(TRIM(N953))&gt;0</formula>
    </cfRule>
  </conditionalFormatting>
  <conditionalFormatting sqref="N953:R953">
    <cfRule type="notContainsBlanks" dxfId="4888" priority="5060">
      <formula>LEN(TRIM(N953))&gt;0</formula>
    </cfRule>
  </conditionalFormatting>
  <conditionalFormatting sqref="N953:R953">
    <cfRule type="notContainsBlanks" dxfId="4887" priority="5059">
      <formula>LEN(TRIM(N953))&gt;0</formula>
    </cfRule>
  </conditionalFormatting>
  <conditionalFormatting sqref="N953:R953">
    <cfRule type="notContainsBlanks" dxfId="4886" priority="5058">
      <formula>LEN(TRIM(N953))&gt;0</formula>
    </cfRule>
  </conditionalFormatting>
  <conditionalFormatting sqref="N953:R953">
    <cfRule type="notContainsBlanks" dxfId="4885" priority="5057">
      <formula>LEN(TRIM(N953))&gt;0</formula>
    </cfRule>
  </conditionalFormatting>
  <conditionalFormatting sqref="N953:R953">
    <cfRule type="notContainsBlanks" dxfId="4884" priority="5056">
      <formula>LEN(TRIM(N953))&gt;0</formula>
    </cfRule>
  </conditionalFormatting>
  <conditionalFormatting sqref="N966:R966">
    <cfRule type="notContainsBlanks" dxfId="4883" priority="5055">
      <formula>LEN(TRIM(N966))&gt;0</formula>
    </cfRule>
  </conditionalFormatting>
  <conditionalFormatting sqref="N966:R966">
    <cfRule type="notContainsBlanks" dxfId="4882" priority="5054">
      <formula>LEN(TRIM(N966))&gt;0</formula>
    </cfRule>
  </conditionalFormatting>
  <conditionalFormatting sqref="N966:R966">
    <cfRule type="notContainsBlanks" dxfId="4881" priority="5053">
      <formula>LEN(TRIM(N966))&gt;0</formula>
    </cfRule>
  </conditionalFormatting>
  <conditionalFormatting sqref="N966:R966">
    <cfRule type="notContainsBlanks" dxfId="4880" priority="5052">
      <formula>LEN(TRIM(N966))&gt;0</formula>
    </cfRule>
  </conditionalFormatting>
  <conditionalFormatting sqref="N966:R966">
    <cfRule type="notContainsBlanks" dxfId="4879" priority="5051">
      <formula>LEN(TRIM(N966))&gt;0</formula>
    </cfRule>
  </conditionalFormatting>
  <conditionalFormatting sqref="N966:R966">
    <cfRule type="notContainsBlanks" dxfId="4878" priority="5050">
      <formula>LEN(TRIM(N966))&gt;0</formula>
    </cfRule>
  </conditionalFormatting>
  <conditionalFormatting sqref="N966:R966">
    <cfRule type="notContainsBlanks" dxfId="4877" priority="5049">
      <formula>LEN(TRIM(N966))&gt;0</formula>
    </cfRule>
  </conditionalFormatting>
  <conditionalFormatting sqref="N966:R966">
    <cfRule type="notContainsBlanks" dxfId="4876" priority="5048">
      <formula>LEN(TRIM(N966))&gt;0</formula>
    </cfRule>
  </conditionalFormatting>
  <conditionalFormatting sqref="N966:R966">
    <cfRule type="notContainsBlanks" dxfId="4875" priority="5047">
      <formula>LEN(TRIM(N966))&gt;0</formula>
    </cfRule>
  </conditionalFormatting>
  <conditionalFormatting sqref="N966:R966">
    <cfRule type="notContainsBlanks" dxfId="4874" priority="5045">
      <formula>LEN(TRIM(N966))&gt;0</formula>
    </cfRule>
    <cfRule type="notContainsBlanks" dxfId="4873" priority="5046">
      <formula>LEN(TRIM(N966))&gt;0</formula>
    </cfRule>
  </conditionalFormatting>
  <conditionalFormatting sqref="N966:R966">
    <cfRule type="notContainsBlanks" dxfId="4872" priority="5044">
      <formula>LEN(TRIM(N966))&gt;0</formula>
    </cfRule>
  </conditionalFormatting>
  <conditionalFormatting sqref="N966:R966">
    <cfRule type="notContainsBlanks" dxfId="4871" priority="5043">
      <formula>LEN(TRIM(N966))&gt;0</formula>
    </cfRule>
  </conditionalFormatting>
  <conditionalFormatting sqref="N966:R966">
    <cfRule type="notContainsBlanks" dxfId="4870" priority="5042">
      <formula>LEN(TRIM(N966))&gt;0</formula>
    </cfRule>
  </conditionalFormatting>
  <conditionalFormatting sqref="N966:R966">
    <cfRule type="notContainsBlanks" dxfId="4869" priority="5041">
      <formula>LEN(TRIM(N966))&gt;0</formula>
    </cfRule>
  </conditionalFormatting>
  <conditionalFormatting sqref="N966:R966">
    <cfRule type="notContainsBlanks" dxfId="4868" priority="5040">
      <formula>LEN(TRIM(N966))&gt;0</formula>
    </cfRule>
  </conditionalFormatting>
  <conditionalFormatting sqref="N966:R966">
    <cfRule type="notContainsBlanks" dxfId="4867" priority="5039">
      <formula>LEN(TRIM(N966))&gt;0</formula>
    </cfRule>
  </conditionalFormatting>
  <conditionalFormatting sqref="N966:R966">
    <cfRule type="notContainsBlanks" dxfId="4866" priority="5038">
      <formula>LEN(TRIM(N966))&gt;0</formula>
    </cfRule>
  </conditionalFormatting>
  <conditionalFormatting sqref="N966:R966">
    <cfRule type="notContainsBlanks" dxfId="4865" priority="5037">
      <formula>LEN(TRIM(N966))&gt;0</formula>
    </cfRule>
  </conditionalFormatting>
  <conditionalFormatting sqref="N966:R966">
    <cfRule type="notContainsBlanks" dxfId="4864" priority="5036">
      <formula>LEN(TRIM(N966))&gt;0</formula>
    </cfRule>
  </conditionalFormatting>
  <conditionalFormatting sqref="N966:R966">
    <cfRule type="notContainsBlanks" priority="5035">
      <formula>LEN(TRIM(N966))&gt;0</formula>
    </cfRule>
  </conditionalFormatting>
  <conditionalFormatting sqref="N966:R966">
    <cfRule type="notContainsBlanks" dxfId="4863" priority="5034">
      <formula>LEN(TRIM(N966))&gt;0</formula>
    </cfRule>
  </conditionalFormatting>
  <conditionalFormatting sqref="N966:R966">
    <cfRule type="notContainsBlanks" dxfId="4862" priority="5033">
      <formula>LEN(TRIM(N966))&gt;0</formula>
    </cfRule>
  </conditionalFormatting>
  <conditionalFormatting sqref="N966:R966">
    <cfRule type="notContainsBlanks" dxfId="4861" priority="5032">
      <formula>LEN(TRIM(N966))&gt;0</formula>
    </cfRule>
  </conditionalFormatting>
  <conditionalFormatting sqref="N966:R966">
    <cfRule type="notContainsBlanks" dxfId="4860" priority="5031">
      <formula>LEN(TRIM(N966))&gt;0</formula>
    </cfRule>
  </conditionalFormatting>
  <conditionalFormatting sqref="N966:R966">
    <cfRule type="notContainsBlanks" dxfId="4859" priority="5030">
      <formula>LEN(TRIM(N966))&gt;0</formula>
    </cfRule>
  </conditionalFormatting>
  <conditionalFormatting sqref="N979:R979">
    <cfRule type="notContainsBlanks" dxfId="4858" priority="5029">
      <formula>LEN(TRIM(N979))&gt;0</formula>
    </cfRule>
  </conditionalFormatting>
  <conditionalFormatting sqref="N979:R979">
    <cfRule type="notContainsBlanks" dxfId="4857" priority="5028">
      <formula>LEN(TRIM(N979))&gt;0</formula>
    </cfRule>
  </conditionalFormatting>
  <conditionalFormatting sqref="N979:R979">
    <cfRule type="notContainsBlanks" dxfId="4856" priority="5027">
      <formula>LEN(TRIM(N979))&gt;0</formula>
    </cfRule>
  </conditionalFormatting>
  <conditionalFormatting sqref="N979:R979">
    <cfRule type="notContainsBlanks" dxfId="4855" priority="5026">
      <formula>LEN(TRIM(N979))&gt;0</formula>
    </cfRule>
  </conditionalFormatting>
  <conditionalFormatting sqref="N979:R979">
    <cfRule type="notContainsBlanks" dxfId="4854" priority="5025">
      <formula>LEN(TRIM(N979))&gt;0</formula>
    </cfRule>
  </conditionalFormatting>
  <conditionalFormatting sqref="N979:R979">
    <cfRule type="notContainsBlanks" dxfId="4853" priority="5024">
      <formula>LEN(TRIM(N979))&gt;0</formula>
    </cfRule>
  </conditionalFormatting>
  <conditionalFormatting sqref="N979:R979">
    <cfRule type="notContainsBlanks" dxfId="4852" priority="5023">
      <formula>LEN(TRIM(N979))&gt;0</formula>
    </cfRule>
  </conditionalFormatting>
  <conditionalFormatting sqref="N979:R979">
    <cfRule type="notContainsBlanks" dxfId="4851" priority="5022">
      <formula>LEN(TRIM(N979))&gt;0</formula>
    </cfRule>
  </conditionalFormatting>
  <conditionalFormatting sqref="N979:R979">
    <cfRule type="notContainsBlanks" dxfId="4850" priority="5021">
      <formula>LEN(TRIM(N979))&gt;0</formula>
    </cfRule>
  </conditionalFormatting>
  <conditionalFormatting sqref="N979:R979">
    <cfRule type="notContainsBlanks" dxfId="4849" priority="5019">
      <formula>LEN(TRIM(N979))&gt;0</formula>
    </cfRule>
    <cfRule type="notContainsBlanks" dxfId="4848" priority="5020">
      <formula>LEN(TRIM(N979))&gt;0</formula>
    </cfRule>
  </conditionalFormatting>
  <conditionalFormatting sqref="N979:R979">
    <cfRule type="notContainsBlanks" dxfId="4847" priority="5018">
      <formula>LEN(TRIM(N979))&gt;0</formula>
    </cfRule>
  </conditionalFormatting>
  <conditionalFormatting sqref="N979:R979">
    <cfRule type="notContainsBlanks" dxfId="4846" priority="5017">
      <formula>LEN(TRIM(N979))&gt;0</formula>
    </cfRule>
  </conditionalFormatting>
  <conditionalFormatting sqref="N979:R979">
    <cfRule type="notContainsBlanks" dxfId="4845" priority="5016">
      <formula>LEN(TRIM(N979))&gt;0</formula>
    </cfRule>
  </conditionalFormatting>
  <conditionalFormatting sqref="N979:R979">
    <cfRule type="notContainsBlanks" dxfId="4844" priority="5015">
      <formula>LEN(TRIM(N979))&gt;0</formula>
    </cfRule>
  </conditionalFormatting>
  <conditionalFormatting sqref="N979:R979">
    <cfRule type="notContainsBlanks" dxfId="4843" priority="5014">
      <formula>LEN(TRIM(N979))&gt;0</formula>
    </cfRule>
  </conditionalFormatting>
  <conditionalFormatting sqref="N979:R979">
    <cfRule type="notContainsBlanks" dxfId="4842" priority="5013">
      <formula>LEN(TRIM(N979))&gt;0</formula>
    </cfRule>
  </conditionalFormatting>
  <conditionalFormatting sqref="N979:R979">
    <cfRule type="notContainsBlanks" dxfId="4841" priority="5012">
      <formula>LEN(TRIM(N979))&gt;0</formula>
    </cfRule>
  </conditionalFormatting>
  <conditionalFormatting sqref="N979:R979">
    <cfRule type="notContainsBlanks" dxfId="4840" priority="5011">
      <formula>LEN(TRIM(N979))&gt;0</formula>
    </cfRule>
  </conditionalFormatting>
  <conditionalFormatting sqref="N979:R979">
    <cfRule type="notContainsBlanks" dxfId="4839" priority="5010">
      <formula>LEN(TRIM(N979))&gt;0</formula>
    </cfRule>
  </conditionalFormatting>
  <conditionalFormatting sqref="N979:R979">
    <cfRule type="notContainsBlanks" priority="5009">
      <formula>LEN(TRIM(N979))&gt;0</formula>
    </cfRule>
  </conditionalFormatting>
  <conditionalFormatting sqref="N979:R979">
    <cfRule type="notContainsBlanks" dxfId="4838" priority="5008">
      <formula>LEN(TRIM(N979))&gt;0</formula>
    </cfRule>
  </conditionalFormatting>
  <conditionalFormatting sqref="N979:R979">
    <cfRule type="notContainsBlanks" dxfId="4837" priority="5007">
      <formula>LEN(TRIM(N979))&gt;0</formula>
    </cfRule>
  </conditionalFormatting>
  <conditionalFormatting sqref="N979:R979">
    <cfRule type="notContainsBlanks" dxfId="4836" priority="5006">
      <formula>LEN(TRIM(N979))&gt;0</formula>
    </cfRule>
  </conditionalFormatting>
  <conditionalFormatting sqref="N979:R979">
    <cfRule type="notContainsBlanks" dxfId="4835" priority="5005">
      <formula>LEN(TRIM(N979))&gt;0</formula>
    </cfRule>
  </conditionalFormatting>
  <conditionalFormatting sqref="N979:R979">
    <cfRule type="notContainsBlanks" dxfId="4834" priority="5004">
      <formula>LEN(TRIM(N979))&gt;0</formula>
    </cfRule>
  </conditionalFormatting>
  <conditionalFormatting sqref="N992:R992">
    <cfRule type="notContainsBlanks" dxfId="4833" priority="5003">
      <formula>LEN(TRIM(N992))&gt;0</formula>
    </cfRule>
  </conditionalFormatting>
  <conditionalFormatting sqref="N992:R992">
    <cfRule type="notContainsBlanks" dxfId="4832" priority="5002">
      <formula>LEN(TRIM(N992))&gt;0</formula>
    </cfRule>
  </conditionalFormatting>
  <conditionalFormatting sqref="N992:R992">
    <cfRule type="notContainsBlanks" dxfId="4831" priority="5001">
      <formula>LEN(TRIM(N992))&gt;0</formula>
    </cfRule>
  </conditionalFormatting>
  <conditionalFormatting sqref="N992:R992">
    <cfRule type="notContainsBlanks" dxfId="4830" priority="5000">
      <formula>LEN(TRIM(N992))&gt;0</formula>
    </cfRule>
  </conditionalFormatting>
  <conditionalFormatting sqref="N992:R992">
    <cfRule type="notContainsBlanks" dxfId="4829" priority="4999">
      <formula>LEN(TRIM(N992))&gt;0</formula>
    </cfRule>
  </conditionalFormatting>
  <conditionalFormatting sqref="N992:R992">
    <cfRule type="notContainsBlanks" dxfId="4828" priority="4998">
      <formula>LEN(TRIM(N992))&gt;0</formula>
    </cfRule>
  </conditionalFormatting>
  <conditionalFormatting sqref="N992:R992">
    <cfRule type="notContainsBlanks" dxfId="4827" priority="4997">
      <formula>LEN(TRIM(N992))&gt;0</formula>
    </cfRule>
  </conditionalFormatting>
  <conditionalFormatting sqref="N992:R992">
    <cfRule type="notContainsBlanks" dxfId="4826" priority="4996">
      <formula>LEN(TRIM(N992))&gt;0</formula>
    </cfRule>
  </conditionalFormatting>
  <conditionalFormatting sqref="N992:R992">
    <cfRule type="notContainsBlanks" dxfId="4825" priority="4995">
      <formula>LEN(TRIM(N992))&gt;0</formula>
    </cfRule>
  </conditionalFormatting>
  <conditionalFormatting sqref="N992:R992">
    <cfRule type="notContainsBlanks" dxfId="4824" priority="4993">
      <formula>LEN(TRIM(N992))&gt;0</formula>
    </cfRule>
    <cfRule type="notContainsBlanks" dxfId="4823" priority="4994">
      <formula>LEN(TRIM(N992))&gt;0</formula>
    </cfRule>
  </conditionalFormatting>
  <conditionalFormatting sqref="N992:R992">
    <cfRule type="notContainsBlanks" dxfId="4822" priority="4992">
      <formula>LEN(TRIM(N992))&gt;0</formula>
    </cfRule>
  </conditionalFormatting>
  <conditionalFormatting sqref="N992:R992">
    <cfRule type="notContainsBlanks" dxfId="4821" priority="4991">
      <formula>LEN(TRIM(N992))&gt;0</formula>
    </cfRule>
  </conditionalFormatting>
  <conditionalFormatting sqref="N992:R992">
    <cfRule type="notContainsBlanks" dxfId="4820" priority="4990">
      <formula>LEN(TRIM(N992))&gt;0</formula>
    </cfRule>
  </conditionalFormatting>
  <conditionalFormatting sqref="N992:R992">
    <cfRule type="notContainsBlanks" dxfId="4819" priority="4989">
      <formula>LEN(TRIM(N992))&gt;0</formula>
    </cfRule>
  </conditionalFormatting>
  <conditionalFormatting sqref="N992:R992">
    <cfRule type="notContainsBlanks" dxfId="4818" priority="4988">
      <formula>LEN(TRIM(N992))&gt;0</formula>
    </cfRule>
  </conditionalFormatting>
  <conditionalFormatting sqref="N992:R992">
    <cfRule type="notContainsBlanks" dxfId="4817" priority="4987">
      <formula>LEN(TRIM(N992))&gt;0</formula>
    </cfRule>
  </conditionalFormatting>
  <conditionalFormatting sqref="N992:R992">
    <cfRule type="notContainsBlanks" dxfId="4816" priority="4986">
      <formula>LEN(TRIM(N992))&gt;0</formula>
    </cfRule>
  </conditionalFormatting>
  <conditionalFormatting sqref="N992:R992">
    <cfRule type="notContainsBlanks" dxfId="4815" priority="4985">
      <formula>LEN(TRIM(N992))&gt;0</formula>
    </cfRule>
  </conditionalFormatting>
  <conditionalFormatting sqref="N992:R992">
    <cfRule type="notContainsBlanks" dxfId="4814" priority="4984">
      <formula>LEN(TRIM(N992))&gt;0</formula>
    </cfRule>
  </conditionalFormatting>
  <conditionalFormatting sqref="N992:R992">
    <cfRule type="notContainsBlanks" priority="4983">
      <formula>LEN(TRIM(N992))&gt;0</formula>
    </cfRule>
  </conditionalFormatting>
  <conditionalFormatting sqref="N992:R992">
    <cfRule type="notContainsBlanks" dxfId="4813" priority="4982">
      <formula>LEN(TRIM(N992))&gt;0</formula>
    </cfRule>
  </conditionalFormatting>
  <conditionalFormatting sqref="N992:R992">
    <cfRule type="notContainsBlanks" dxfId="4812" priority="4981">
      <formula>LEN(TRIM(N992))&gt;0</formula>
    </cfRule>
  </conditionalFormatting>
  <conditionalFormatting sqref="N992:R992">
    <cfRule type="notContainsBlanks" dxfId="4811" priority="4980">
      <formula>LEN(TRIM(N992))&gt;0</formula>
    </cfRule>
  </conditionalFormatting>
  <conditionalFormatting sqref="N992:R992">
    <cfRule type="notContainsBlanks" dxfId="4810" priority="4979">
      <formula>LEN(TRIM(N992))&gt;0</formula>
    </cfRule>
  </conditionalFormatting>
  <conditionalFormatting sqref="N992:R992">
    <cfRule type="notContainsBlanks" dxfId="4809" priority="4978">
      <formula>LEN(TRIM(N992))&gt;0</formula>
    </cfRule>
  </conditionalFormatting>
  <conditionalFormatting sqref="N1005:R1005">
    <cfRule type="notContainsBlanks" dxfId="4808" priority="4977">
      <formula>LEN(TRIM(N1005))&gt;0</formula>
    </cfRule>
  </conditionalFormatting>
  <conditionalFormatting sqref="N1005:R1005">
    <cfRule type="notContainsBlanks" dxfId="4807" priority="4976">
      <formula>LEN(TRIM(N1005))&gt;0</formula>
    </cfRule>
  </conditionalFormatting>
  <conditionalFormatting sqref="N1005:R1005">
    <cfRule type="notContainsBlanks" dxfId="4806" priority="4975">
      <formula>LEN(TRIM(N1005))&gt;0</formula>
    </cfRule>
  </conditionalFormatting>
  <conditionalFormatting sqref="N1005:R1005">
    <cfRule type="notContainsBlanks" dxfId="4805" priority="4974">
      <formula>LEN(TRIM(N1005))&gt;0</formula>
    </cfRule>
  </conditionalFormatting>
  <conditionalFormatting sqref="N1005:R1005">
    <cfRule type="notContainsBlanks" dxfId="4804" priority="4973">
      <formula>LEN(TRIM(N1005))&gt;0</formula>
    </cfRule>
  </conditionalFormatting>
  <conditionalFormatting sqref="N1005:R1005">
    <cfRule type="notContainsBlanks" dxfId="4803" priority="4972">
      <formula>LEN(TRIM(N1005))&gt;0</formula>
    </cfRule>
  </conditionalFormatting>
  <conditionalFormatting sqref="N1005:R1005">
    <cfRule type="notContainsBlanks" dxfId="4802" priority="4971">
      <formula>LEN(TRIM(N1005))&gt;0</formula>
    </cfRule>
  </conditionalFormatting>
  <conditionalFormatting sqref="N1005:R1005">
    <cfRule type="notContainsBlanks" dxfId="4801" priority="4970">
      <formula>LEN(TRIM(N1005))&gt;0</formula>
    </cfRule>
  </conditionalFormatting>
  <conditionalFormatting sqref="N1005:R1005">
    <cfRule type="notContainsBlanks" dxfId="4800" priority="4969">
      <formula>LEN(TRIM(N1005))&gt;0</formula>
    </cfRule>
  </conditionalFormatting>
  <conditionalFormatting sqref="N1005:R1005">
    <cfRule type="notContainsBlanks" dxfId="4799" priority="4967">
      <formula>LEN(TRIM(N1005))&gt;0</formula>
    </cfRule>
    <cfRule type="notContainsBlanks" dxfId="4798" priority="4968">
      <formula>LEN(TRIM(N1005))&gt;0</formula>
    </cfRule>
  </conditionalFormatting>
  <conditionalFormatting sqref="N1005:R1005">
    <cfRule type="notContainsBlanks" dxfId="4797" priority="4966">
      <formula>LEN(TRIM(N1005))&gt;0</formula>
    </cfRule>
  </conditionalFormatting>
  <conditionalFormatting sqref="N1005:R1005">
    <cfRule type="notContainsBlanks" dxfId="4796" priority="4965">
      <formula>LEN(TRIM(N1005))&gt;0</formula>
    </cfRule>
  </conditionalFormatting>
  <conditionalFormatting sqref="N1005:R1005">
    <cfRule type="notContainsBlanks" dxfId="4795" priority="4964">
      <formula>LEN(TRIM(N1005))&gt;0</formula>
    </cfRule>
  </conditionalFormatting>
  <conditionalFormatting sqref="N1005:R1005">
    <cfRule type="notContainsBlanks" dxfId="4794" priority="4963">
      <formula>LEN(TRIM(N1005))&gt;0</formula>
    </cfRule>
  </conditionalFormatting>
  <conditionalFormatting sqref="N1005:R1005">
    <cfRule type="notContainsBlanks" dxfId="4793" priority="4962">
      <formula>LEN(TRIM(N1005))&gt;0</formula>
    </cfRule>
  </conditionalFormatting>
  <conditionalFormatting sqref="N1005:R1005">
    <cfRule type="notContainsBlanks" dxfId="4792" priority="4961">
      <formula>LEN(TRIM(N1005))&gt;0</formula>
    </cfRule>
  </conditionalFormatting>
  <conditionalFormatting sqref="N1005:R1005">
    <cfRule type="notContainsBlanks" dxfId="4791" priority="4960">
      <formula>LEN(TRIM(N1005))&gt;0</formula>
    </cfRule>
  </conditionalFormatting>
  <conditionalFormatting sqref="N1005:R1005">
    <cfRule type="notContainsBlanks" dxfId="4790" priority="4959">
      <formula>LEN(TRIM(N1005))&gt;0</formula>
    </cfRule>
  </conditionalFormatting>
  <conditionalFormatting sqref="N1005:R1005">
    <cfRule type="notContainsBlanks" dxfId="4789" priority="4958">
      <formula>LEN(TRIM(N1005))&gt;0</formula>
    </cfRule>
  </conditionalFormatting>
  <conditionalFormatting sqref="N1005:R1005">
    <cfRule type="notContainsBlanks" priority="4957">
      <formula>LEN(TRIM(N1005))&gt;0</formula>
    </cfRule>
  </conditionalFormatting>
  <conditionalFormatting sqref="N1005:R1005">
    <cfRule type="notContainsBlanks" dxfId="4788" priority="4956">
      <formula>LEN(TRIM(N1005))&gt;0</formula>
    </cfRule>
  </conditionalFormatting>
  <conditionalFormatting sqref="N1005:R1005">
    <cfRule type="notContainsBlanks" dxfId="4787" priority="4955">
      <formula>LEN(TRIM(N1005))&gt;0</formula>
    </cfRule>
  </conditionalFormatting>
  <conditionalFormatting sqref="N1005:R1005">
    <cfRule type="notContainsBlanks" dxfId="4786" priority="4954">
      <formula>LEN(TRIM(N1005))&gt;0</formula>
    </cfRule>
  </conditionalFormatting>
  <conditionalFormatting sqref="N1005:R1005">
    <cfRule type="notContainsBlanks" dxfId="4785" priority="4953">
      <formula>LEN(TRIM(N1005))&gt;0</formula>
    </cfRule>
  </conditionalFormatting>
  <conditionalFormatting sqref="N1005:R1005">
    <cfRule type="notContainsBlanks" dxfId="4784" priority="4952">
      <formula>LEN(TRIM(N1005))&gt;0</formula>
    </cfRule>
  </conditionalFormatting>
  <conditionalFormatting sqref="N1018:R1018">
    <cfRule type="notContainsBlanks" dxfId="4783" priority="4951">
      <formula>LEN(TRIM(N1018))&gt;0</formula>
    </cfRule>
  </conditionalFormatting>
  <conditionalFormatting sqref="N1018:R1018">
    <cfRule type="notContainsBlanks" dxfId="4782" priority="4950">
      <formula>LEN(TRIM(N1018))&gt;0</formula>
    </cfRule>
  </conditionalFormatting>
  <conditionalFormatting sqref="N1018:R1018">
    <cfRule type="notContainsBlanks" dxfId="4781" priority="4949">
      <formula>LEN(TRIM(N1018))&gt;0</formula>
    </cfRule>
  </conditionalFormatting>
  <conditionalFormatting sqref="N1018:R1018">
    <cfRule type="notContainsBlanks" dxfId="4780" priority="4948">
      <formula>LEN(TRIM(N1018))&gt;0</formula>
    </cfRule>
  </conditionalFormatting>
  <conditionalFormatting sqref="N1018:R1018">
    <cfRule type="notContainsBlanks" dxfId="4779" priority="4947">
      <formula>LEN(TRIM(N1018))&gt;0</formula>
    </cfRule>
  </conditionalFormatting>
  <conditionalFormatting sqref="N1018:R1018">
    <cfRule type="notContainsBlanks" dxfId="4778" priority="4946">
      <formula>LEN(TRIM(N1018))&gt;0</formula>
    </cfRule>
  </conditionalFormatting>
  <conditionalFormatting sqref="N1018:R1018">
    <cfRule type="notContainsBlanks" dxfId="4777" priority="4945">
      <formula>LEN(TRIM(N1018))&gt;0</formula>
    </cfRule>
  </conditionalFormatting>
  <conditionalFormatting sqref="N1018:R1018">
    <cfRule type="notContainsBlanks" dxfId="4776" priority="4944">
      <formula>LEN(TRIM(N1018))&gt;0</formula>
    </cfRule>
  </conditionalFormatting>
  <conditionalFormatting sqref="N1018:R1018">
    <cfRule type="notContainsBlanks" dxfId="4775" priority="4943">
      <formula>LEN(TRIM(N1018))&gt;0</formula>
    </cfRule>
  </conditionalFormatting>
  <conditionalFormatting sqref="N1018:R1018">
    <cfRule type="notContainsBlanks" dxfId="4774" priority="4941">
      <formula>LEN(TRIM(N1018))&gt;0</formula>
    </cfRule>
    <cfRule type="notContainsBlanks" dxfId="4773" priority="4942">
      <formula>LEN(TRIM(N1018))&gt;0</formula>
    </cfRule>
  </conditionalFormatting>
  <conditionalFormatting sqref="N1018:R1018">
    <cfRule type="notContainsBlanks" dxfId="4772" priority="4940">
      <formula>LEN(TRIM(N1018))&gt;0</formula>
    </cfRule>
  </conditionalFormatting>
  <conditionalFormatting sqref="N1018:R1018">
    <cfRule type="notContainsBlanks" dxfId="4771" priority="4939">
      <formula>LEN(TRIM(N1018))&gt;0</formula>
    </cfRule>
  </conditionalFormatting>
  <conditionalFormatting sqref="N1018:R1018">
    <cfRule type="notContainsBlanks" dxfId="4770" priority="4938">
      <formula>LEN(TRIM(N1018))&gt;0</formula>
    </cfRule>
  </conditionalFormatting>
  <conditionalFormatting sqref="N1018:R1018">
    <cfRule type="notContainsBlanks" dxfId="4769" priority="4937">
      <formula>LEN(TRIM(N1018))&gt;0</formula>
    </cfRule>
  </conditionalFormatting>
  <conditionalFormatting sqref="N1018:R1018">
    <cfRule type="notContainsBlanks" dxfId="4768" priority="4936">
      <formula>LEN(TRIM(N1018))&gt;0</formula>
    </cfRule>
  </conditionalFormatting>
  <conditionalFormatting sqref="N1018:R1018">
    <cfRule type="notContainsBlanks" dxfId="4767" priority="4935">
      <formula>LEN(TRIM(N1018))&gt;0</formula>
    </cfRule>
  </conditionalFormatting>
  <conditionalFormatting sqref="N1018:R1018">
    <cfRule type="notContainsBlanks" dxfId="4766" priority="4934">
      <formula>LEN(TRIM(N1018))&gt;0</formula>
    </cfRule>
  </conditionalFormatting>
  <conditionalFormatting sqref="N1018:R1018">
    <cfRule type="notContainsBlanks" dxfId="4765" priority="4933">
      <formula>LEN(TRIM(N1018))&gt;0</formula>
    </cfRule>
  </conditionalFormatting>
  <conditionalFormatting sqref="N1018:R1018">
    <cfRule type="notContainsBlanks" dxfId="4764" priority="4932">
      <formula>LEN(TRIM(N1018))&gt;0</formula>
    </cfRule>
  </conditionalFormatting>
  <conditionalFormatting sqref="N1018:R1018">
    <cfRule type="notContainsBlanks" priority="4931">
      <formula>LEN(TRIM(N1018))&gt;0</formula>
    </cfRule>
  </conditionalFormatting>
  <conditionalFormatting sqref="N1018:R1018">
    <cfRule type="notContainsBlanks" dxfId="4763" priority="4930">
      <formula>LEN(TRIM(N1018))&gt;0</formula>
    </cfRule>
  </conditionalFormatting>
  <conditionalFormatting sqref="N1018:R1018">
    <cfRule type="notContainsBlanks" dxfId="4762" priority="4929">
      <formula>LEN(TRIM(N1018))&gt;0</formula>
    </cfRule>
  </conditionalFormatting>
  <conditionalFormatting sqref="N1018:R1018">
    <cfRule type="notContainsBlanks" dxfId="4761" priority="4928">
      <formula>LEN(TRIM(N1018))&gt;0</formula>
    </cfRule>
  </conditionalFormatting>
  <conditionalFormatting sqref="N1018:R1018">
    <cfRule type="notContainsBlanks" dxfId="4760" priority="4927">
      <formula>LEN(TRIM(N1018))&gt;0</formula>
    </cfRule>
  </conditionalFormatting>
  <conditionalFormatting sqref="N1018:R1018">
    <cfRule type="notContainsBlanks" dxfId="4759" priority="4926">
      <formula>LEN(TRIM(N1018))&gt;0</formula>
    </cfRule>
  </conditionalFormatting>
  <conditionalFormatting sqref="N1031:R1031">
    <cfRule type="notContainsBlanks" dxfId="4758" priority="4925">
      <formula>LEN(TRIM(N1031))&gt;0</formula>
    </cfRule>
  </conditionalFormatting>
  <conditionalFormatting sqref="N1031:R1031">
    <cfRule type="notContainsBlanks" dxfId="4757" priority="4924">
      <formula>LEN(TRIM(N1031))&gt;0</formula>
    </cfRule>
  </conditionalFormatting>
  <conditionalFormatting sqref="N1031:R1031">
    <cfRule type="notContainsBlanks" dxfId="4756" priority="4923">
      <formula>LEN(TRIM(N1031))&gt;0</formula>
    </cfRule>
  </conditionalFormatting>
  <conditionalFormatting sqref="N1031:R1031">
    <cfRule type="notContainsBlanks" dxfId="4755" priority="4922">
      <formula>LEN(TRIM(N1031))&gt;0</formula>
    </cfRule>
  </conditionalFormatting>
  <conditionalFormatting sqref="N1031:R1031">
    <cfRule type="notContainsBlanks" dxfId="4754" priority="4921">
      <formula>LEN(TRIM(N1031))&gt;0</formula>
    </cfRule>
  </conditionalFormatting>
  <conditionalFormatting sqref="N1031:R1031">
    <cfRule type="notContainsBlanks" dxfId="4753" priority="4920">
      <formula>LEN(TRIM(N1031))&gt;0</formula>
    </cfRule>
  </conditionalFormatting>
  <conditionalFormatting sqref="N1031:R1031">
    <cfRule type="notContainsBlanks" dxfId="4752" priority="4919">
      <formula>LEN(TRIM(N1031))&gt;0</formula>
    </cfRule>
  </conditionalFormatting>
  <conditionalFormatting sqref="N1031:R1031">
    <cfRule type="notContainsBlanks" dxfId="4751" priority="4918">
      <formula>LEN(TRIM(N1031))&gt;0</formula>
    </cfRule>
  </conditionalFormatting>
  <conditionalFormatting sqref="N1031:R1031">
    <cfRule type="notContainsBlanks" dxfId="4750" priority="4917">
      <formula>LEN(TRIM(N1031))&gt;0</formula>
    </cfRule>
  </conditionalFormatting>
  <conditionalFormatting sqref="N1031:R1031">
    <cfRule type="notContainsBlanks" dxfId="4749" priority="4915">
      <formula>LEN(TRIM(N1031))&gt;0</formula>
    </cfRule>
    <cfRule type="notContainsBlanks" dxfId="4748" priority="4916">
      <formula>LEN(TRIM(N1031))&gt;0</formula>
    </cfRule>
  </conditionalFormatting>
  <conditionalFormatting sqref="N1031:R1031">
    <cfRule type="notContainsBlanks" dxfId="4747" priority="4914">
      <formula>LEN(TRIM(N1031))&gt;0</formula>
    </cfRule>
  </conditionalFormatting>
  <conditionalFormatting sqref="N1031:R1031">
    <cfRule type="notContainsBlanks" dxfId="4746" priority="4913">
      <formula>LEN(TRIM(N1031))&gt;0</formula>
    </cfRule>
  </conditionalFormatting>
  <conditionalFormatting sqref="N1031:R1031">
    <cfRule type="notContainsBlanks" dxfId="4745" priority="4912">
      <formula>LEN(TRIM(N1031))&gt;0</formula>
    </cfRule>
  </conditionalFormatting>
  <conditionalFormatting sqref="N1031:R1031">
    <cfRule type="notContainsBlanks" dxfId="4744" priority="4911">
      <formula>LEN(TRIM(N1031))&gt;0</formula>
    </cfRule>
  </conditionalFormatting>
  <conditionalFormatting sqref="N1031:R1031">
    <cfRule type="notContainsBlanks" dxfId="4743" priority="4910">
      <formula>LEN(TRIM(N1031))&gt;0</formula>
    </cfRule>
  </conditionalFormatting>
  <conditionalFormatting sqref="N1031:R1031">
    <cfRule type="notContainsBlanks" dxfId="4742" priority="4909">
      <formula>LEN(TRIM(N1031))&gt;0</formula>
    </cfRule>
  </conditionalFormatting>
  <conditionalFormatting sqref="N1031:R1031">
    <cfRule type="notContainsBlanks" dxfId="4741" priority="4908">
      <formula>LEN(TRIM(N1031))&gt;0</formula>
    </cfRule>
  </conditionalFormatting>
  <conditionalFormatting sqref="N1031:R1031">
    <cfRule type="notContainsBlanks" dxfId="4740" priority="4907">
      <formula>LEN(TRIM(N1031))&gt;0</formula>
    </cfRule>
  </conditionalFormatting>
  <conditionalFormatting sqref="N1031:R1031">
    <cfRule type="notContainsBlanks" dxfId="4739" priority="4906">
      <formula>LEN(TRIM(N1031))&gt;0</formula>
    </cfRule>
  </conditionalFormatting>
  <conditionalFormatting sqref="N1031:R1031">
    <cfRule type="notContainsBlanks" priority="4905">
      <formula>LEN(TRIM(N1031))&gt;0</formula>
    </cfRule>
  </conditionalFormatting>
  <conditionalFormatting sqref="N1031:R1031">
    <cfRule type="notContainsBlanks" dxfId="4738" priority="4904">
      <formula>LEN(TRIM(N1031))&gt;0</formula>
    </cfRule>
  </conditionalFormatting>
  <conditionalFormatting sqref="N1031:R1031">
    <cfRule type="notContainsBlanks" dxfId="4737" priority="4903">
      <formula>LEN(TRIM(N1031))&gt;0</formula>
    </cfRule>
  </conditionalFormatting>
  <conditionalFormatting sqref="N1031:R1031">
    <cfRule type="notContainsBlanks" dxfId="4736" priority="4902">
      <formula>LEN(TRIM(N1031))&gt;0</formula>
    </cfRule>
  </conditionalFormatting>
  <conditionalFormatting sqref="N1031:R1031">
    <cfRule type="notContainsBlanks" dxfId="4735" priority="4901">
      <formula>LEN(TRIM(N1031))&gt;0</formula>
    </cfRule>
  </conditionalFormatting>
  <conditionalFormatting sqref="N1031:R1031">
    <cfRule type="notContainsBlanks" dxfId="4734" priority="4900">
      <formula>LEN(TRIM(N1031))&gt;0</formula>
    </cfRule>
  </conditionalFormatting>
  <conditionalFormatting sqref="N1044:R1044">
    <cfRule type="notContainsBlanks" dxfId="4733" priority="4899">
      <formula>LEN(TRIM(N1044))&gt;0</formula>
    </cfRule>
  </conditionalFormatting>
  <conditionalFormatting sqref="N1044:R1044">
    <cfRule type="notContainsBlanks" dxfId="4732" priority="4898">
      <formula>LEN(TRIM(N1044))&gt;0</formula>
    </cfRule>
  </conditionalFormatting>
  <conditionalFormatting sqref="N1044:R1044">
    <cfRule type="notContainsBlanks" dxfId="4731" priority="4897">
      <formula>LEN(TRIM(N1044))&gt;0</formula>
    </cfRule>
  </conditionalFormatting>
  <conditionalFormatting sqref="N1044:R1044">
    <cfRule type="notContainsBlanks" dxfId="4730" priority="4896">
      <formula>LEN(TRIM(N1044))&gt;0</formula>
    </cfRule>
  </conditionalFormatting>
  <conditionalFormatting sqref="N1044:R1044">
    <cfRule type="notContainsBlanks" dxfId="4729" priority="4895">
      <formula>LEN(TRIM(N1044))&gt;0</formula>
    </cfRule>
  </conditionalFormatting>
  <conditionalFormatting sqref="N1044:R1044">
    <cfRule type="notContainsBlanks" dxfId="4728" priority="4894">
      <formula>LEN(TRIM(N1044))&gt;0</formula>
    </cfRule>
  </conditionalFormatting>
  <conditionalFormatting sqref="N1044:R1044">
    <cfRule type="notContainsBlanks" dxfId="4727" priority="4893">
      <formula>LEN(TRIM(N1044))&gt;0</formula>
    </cfRule>
  </conditionalFormatting>
  <conditionalFormatting sqref="N1044:R1044">
    <cfRule type="notContainsBlanks" dxfId="4726" priority="4892">
      <formula>LEN(TRIM(N1044))&gt;0</formula>
    </cfRule>
  </conditionalFormatting>
  <conditionalFormatting sqref="N1044:R1044">
    <cfRule type="notContainsBlanks" dxfId="4725" priority="4891">
      <formula>LEN(TRIM(N1044))&gt;0</formula>
    </cfRule>
  </conditionalFormatting>
  <conditionalFormatting sqref="N1044:R1044">
    <cfRule type="notContainsBlanks" dxfId="4724" priority="4889">
      <formula>LEN(TRIM(N1044))&gt;0</formula>
    </cfRule>
    <cfRule type="notContainsBlanks" dxfId="4723" priority="4890">
      <formula>LEN(TRIM(N1044))&gt;0</formula>
    </cfRule>
  </conditionalFormatting>
  <conditionalFormatting sqref="N1044:R1044">
    <cfRule type="notContainsBlanks" dxfId="4722" priority="4888">
      <formula>LEN(TRIM(N1044))&gt;0</formula>
    </cfRule>
  </conditionalFormatting>
  <conditionalFormatting sqref="N1044:R1044">
    <cfRule type="notContainsBlanks" dxfId="4721" priority="4887">
      <formula>LEN(TRIM(N1044))&gt;0</formula>
    </cfRule>
  </conditionalFormatting>
  <conditionalFormatting sqref="N1044:R1044">
    <cfRule type="notContainsBlanks" dxfId="4720" priority="4886">
      <formula>LEN(TRIM(N1044))&gt;0</formula>
    </cfRule>
  </conditionalFormatting>
  <conditionalFormatting sqref="N1044:R1044">
    <cfRule type="notContainsBlanks" dxfId="4719" priority="4885">
      <formula>LEN(TRIM(N1044))&gt;0</formula>
    </cfRule>
  </conditionalFormatting>
  <conditionalFormatting sqref="N1044:R1044">
    <cfRule type="notContainsBlanks" dxfId="4718" priority="4884">
      <formula>LEN(TRIM(N1044))&gt;0</formula>
    </cfRule>
  </conditionalFormatting>
  <conditionalFormatting sqref="N1044:R1044">
    <cfRule type="notContainsBlanks" dxfId="4717" priority="4883">
      <formula>LEN(TRIM(N1044))&gt;0</formula>
    </cfRule>
  </conditionalFormatting>
  <conditionalFormatting sqref="N1044:R1044">
    <cfRule type="notContainsBlanks" dxfId="4716" priority="4882">
      <formula>LEN(TRIM(N1044))&gt;0</formula>
    </cfRule>
  </conditionalFormatting>
  <conditionalFormatting sqref="N1044:R1044">
    <cfRule type="notContainsBlanks" dxfId="4715" priority="4881">
      <formula>LEN(TRIM(N1044))&gt;0</formula>
    </cfRule>
  </conditionalFormatting>
  <conditionalFormatting sqref="N1044:R1044">
    <cfRule type="notContainsBlanks" dxfId="4714" priority="4880">
      <formula>LEN(TRIM(N1044))&gt;0</formula>
    </cfRule>
  </conditionalFormatting>
  <conditionalFormatting sqref="N1044:R1044">
    <cfRule type="notContainsBlanks" priority="4879">
      <formula>LEN(TRIM(N1044))&gt;0</formula>
    </cfRule>
  </conditionalFormatting>
  <conditionalFormatting sqref="N1044:R1044">
    <cfRule type="notContainsBlanks" dxfId="4713" priority="4878">
      <formula>LEN(TRIM(N1044))&gt;0</formula>
    </cfRule>
  </conditionalFormatting>
  <conditionalFormatting sqref="N1044:R1044">
    <cfRule type="notContainsBlanks" dxfId="4712" priority="4877">
      <formula>LEN(TRIM(N1044))&gt;0</formula>
    </cfRule>
  </conditionalFormatting>
  <conditionalFormatting sqref="N1044:R1044">
    <cfRule type="notContainsBlanks" dxfId="4711" priority="4876">
      <formula>LEN(TRIM(N1044))&gt;0</formula>
    </cfRule>
  </conditionalFormatting>
  <conditionalFormatting sqref="N1044:R1044">
    <cfRule type="notContainsBlanks" dxfId="4710" priority="4875">
      <formula>LEN(TRIM(N1044))&gt;0</formula>
    </cfRule>
  </conditionalFormatting>
  <conditionalFormatting sqref="N1044:R1044">
    <cfRule type="notContainsBlanks" dxfId="4709" priority="4874">
      <formula>LEN(TRIM(N1044))&gt;0</formula>
    </cfRule>
  </conditionalFormatting>
  <conditionalFormatting sqref="N1057:R1057">
    <cfRule type="notContainsBlanks" dxfId="4708" priority="4873">
      <formula>LEN(TRIM(N1057))&gt;0</formula>
    </cfRule>
  </conditionalFormatting>
  <conditionalFormatting sqref="N1057:R1057">
    <cfRule type="notContainsBlanks" dxfId="4707" priority="4872">
      <formula>LEN(TRIM(N1057))&gt;0</formula>
    </cfRule>
  </conditionalFormatting>
  <conditionalFormatting sqref="N1057:R1057">
    <cfRule type="notContainsBlanks" dxfId="4706" priority="4871">
      <formula>LEN(TRIM(N1057))&gt;0</formula>
    </cfRule>
  </conditionalFormatting>
  <conditionalFormatting sqref="N1057:R1057">
    <cfRule type="notContainsBlanks" dxfId="4705" priority="4870">
      <formula>LEN(TRIM(N1057))&gt;0</formula>
    </cfRule>
  </conditionalFormatting>
  <conditionalFormatting sqref="N1057:R1057">
    <cfRule type="notContainsBlanks" dxfId="4704" priority="4869">
      <formula>LEN(TRIM(N1057))&gt;0</formula>
    </cfRule>
  </conditionalFormatting>
  <conditionalFormatting sqref="N1057:R1057">
    <cfRule type="notContainsBlanks" dxfId="4703" priority="4868">
      <formula>LEN(TRIM(N1057))&gt;0</formula>
    </cfRule>
  </conditionalFormatting>
  <conditionalFormatting sqref="N1057:R1057">
    <cfRule type="notContainsBlanks" dxfId="4702" priority="4867">
      <formula>LEN(TRIM(N1057))&gt;0</formula>
    </cfRule>
  </conditionalFormatting>
  <conditionalFormatting sqref="N1057:R1057">
    <cfRule type="notContainsBlanks" dxfId="4701" priority="4866">
      <formula>LEN(TRIM(N1057))&gt;0</formula>
    </cfRule>
  </conditionalFormatting>
  <conditionalFormatting sqref="N1057:R1057">
    <cfRule type="notContainsBlanks" dxfId="4700" priority="4865">
      <formula>LEN(TRIM(N1057))&gt;0</formula>
    </cfRule>
  </conditionalFormatting>
  <conditionalFormatting sqref="N1057:R1057">
    <cfRule type="notContainsBlanks" dxfId="4699" priority="4863">
      <formula>LEN(TRIM(N1057))&gt;0</formula>
    </cfRule>
    <cfRule type="notContainsBlanks" dxfId="4698" priority="4864">
      <formula>LEN(TRIM(N1057))&gt;0</formula>
    </cfRule>
  </conditionalFormatting>
  <conditionalFormatting sqref="N1057:R1057">
    <cfRule type="notContainsBlanks" dxfId="4697" priority="4862">
      <formula>LEN(TRIM(N1057))&gt;0</formula>
    </cfRule>
  </conditionalFormatting>
  <conditionalFormatting sqref="N1057:R1057">
    <cfRule type="notContainsBlanks" dxfId="4696" priority="4861">
      <formula>LEN(TRIM(N1057))&gt;0</formula>
    </cfRule>
  </conditionalFormatting>
  <conditionalFormatting sqref="N1057:R1057">
    <cfRule type="notContainsBlanks" dxfId="4695" priority="4860">
      <formula>LEN(TRIM(N1057))&gt;0</formula>
    </cfRule>
  </conditionalFormatting>
  <conditionalFormatting sqref="N1057:R1057">
    <cfRule type="notContainsBlanks" dxfId="4694" priority="4859">
      <formula>LEN(TRIM(N1057))&gt;0</formula>
    </cfRule>
  </conditionalFormatting>
  <conditionalFormatting sqref="N1057:R1057">
    <cfRule type="notContainsBlanks" dxfId="4693" priority="4858">
      <formula>LEN(TRIM(N1057))&gt;0</formula>
    </cfRule>
  </conditionalFormatting>
  <conditionalFormatting sqref="N1057:R1057">
    <cfRule type="notContainsBlanks" dxfId="4692" priority="4857">
      <formula>LEN(TRIM(N1057))&gt;0</formula>
    </cfRule>
  </conditionalFormatting>
  <conditionalFormatting sqref="N1057:R1057">
    <cfRule type="notContainsBlanks" dxfId="4691" priority="4856">
      <formula>LEN(TRIM(N1057))&gt;0</formula>
    </cfRule>
  </conditionalFormatting>
  <conditionalFormatting sqref="N1057:R1057">
    <cfRule type="notContainsBlanks" dxfId="4690" priority="4855">
      <formula>LEN(TRIM(N1057))&gt;0</formula>
    </cfRule>
  </conditionalFormatting>
  <conditionalFormatting sqref="N1057:R1057">
    <cfRule type="notContainsBlanks" dxfId="4689" priority="4854">
      <formula>LEN(TRIM(N1057))&gt;0</formula>
    </cfRule>
  </conditionalFormatting>
  <conditionalFormatting sqref="N1057:R1057">
    <cfRule type="notContainsBlanks" priority="4853">
      <formula>LEN(TRIM(N1057))&gt;0</formula>
    </cfRule>
  </conditionalFormatting>
  <conditionalFormatting sqref="N1057:R1057">
    <cfRule type="notContainsBlanks" dxfId="4688" priority="4852">
      <formula>LEN(TRIM(N1057))&gt;0</formula>
    </cfRule>
  </conditionalFormatting>
  <conditionalFormatting sqref="N1057:R1057">
    <cfRule type="notContainsBlanks" dxfId="4687" priority="4851">
      <formula>LEN(TRIM(N1057))&gt;0</formula>
    </cfRule>
  </conditionalFormatting>
  <conditionalFormatting sqref="N1057:R1057">
    <cfRule type="notContainsBlanks" dxfId="4686" priority="4850">
      <formula>LEN(TRIM(N1057))&gt;0</formula>
    </cfRule>
  </conditionalFormatting>
  <conditionalFormatting sqref="N1057:R1057">
    <cfRule type="notContainsBlanks" dxfId="4685" priority="4849">
      <formula>LEN(TRIM(N1057))&gt;0</formula>
    </cfRule>
  </conditionalFormatting>
  <conditionalFormatting sqref="N1057:R1057">
    <cfRule type="notContainsBlanks" dxfId="4684" priority="4848">
      <formula>LEN(TRIM(N1057))&gt;0</formula>
    </cfRule>
  </conditionalFormatting>
  <conditionalFormatting sqref="N1070:R1070">
    <cfRule type="notContainsBlanks" dxfId="4683" priority="4847">
      <formula>LEN(TRIM(N1070))&gt;0</formula>
    </cfRule>
  </conditionalFormatting>
  <conditionalFormatting sqref="N1070:R1070">
    <cfRule type="notContainsBlanks" dxfId="4682" priority="4846">
      <formula>LEN(TRIM(N1070))&gt;0</formula>
    </cfRule>
  </conditionalFormatting>
  <conditionalFormatting sqref="N1070:R1070">
    <cfRule type="notContainsBlanks" dxfId="4681" priority="4845">
      <formula>LEN(TRIM(N1070))&gt;0</formula>
    </cfRule>
  </conditionalFormatting>
  <conditionalFormatting sqref="N1070:R1070">
    <cfRule type="notContainsBlanks" dxfId="4680" priority="4844">
      <formula>LEN(TRIM(N1070))&gt;0</formula>
    </cfRule>
  </conditionalFormatting>
  <conditionalFormatting sqref="N1070:R1070">
    <cfRule type="notContainsBlanks" dxfId="4679" priority="4843">
      <formula>LEN(TRIM(N1070))&gt;0</formula>
    </cfRule>
  </conditionalFormatting>
  <conditionalFormatting sqref="N1070:R1070">
    <cfRule type="notContainsBlanks" dxfId="4678" priority="4842">
      <formula>LEN(TRIM(N1070))&gt;0</formula>
    </cfRule>
  </conditionalFormatting>
  <conditionalFormatting sqref="N1070:R1070">
    <cfRule type="notContainsBlanks" dxfId="4677" priority="4841">
      <formula>LEN(TRIM(N1070))&gt;0</formula>
    </cfRule>
  </conditionalFormatting>
  <conditionalFormatting sqref="N1070:R1070">
    <cfRule type="notContainsBlanks" dxfId="4676" priority="4840">
      <formula>LEN(TRIM(N1070))&gt;0</formula>
    </cfRule>
  </conditionalFormatting>
  <conditionalFormatting sqref="N1070:R1070">
    <cfRule type="notContainsBlanks" dxfId="4675" priority="4839">
      <formula>LEN(TRIM(N1070))&gt;0</formula>
    </cfRule>
  </conditionalFormatting>
  <conditionalFormatting sqref="N1070:R1070">
    <cfRule type="notContainsBlanks" dxfId="4674" priority="4837">
      <formula>LEN(TRIM(N1070))&gt;0</formula>
    </cfRule>
    <cfRule type="notContainsBlanks" dxfId="4673" priority="4838">
      <formula>LEN(TRIM(N1070))&gt;0</formula>
    </cfRule>
  </conditionalFormatting>
  <conditionalFormatting sqref="N1070:R1070">
    <cfRule type="notContainsBlanks" dxfId="4672" priority="4836">
      <formula>LEN(TRIM(N1070))&gt;0</formula>
    </cfRule>
  </conditionalFormatting>
  <conditionalFormatting sqref="N1070:R1070">
    <cfRule type="notContainsBlanks" dxfId="4671" priority="4835">
      <formula>LEN(TRIM(N1070))&gt;0</formula>
    </cfRule>
  </conditionalFormatting>
  <conditionalFormatting sqref="N1070:R1070">
    <cfRule type="notContainsBlanks" dxfId="4670" priority="4834">
      <formula>LEN(TRIM(N1070))&gt;0</formula>
    </cfRule>
  </conditionalFormatting>
  <conditionalFormatting sqref="N1070:R1070">
    <cfRule type="notContainsBlanks" dxfId="4669" priority="4833">
      <formula>LEN(TRIM(N1070))&gt;0</formula>
    </cfRule>
  </conditionalFormatting>
  <conditionalFormatting sqref="N1070:R1070">
    <cfRule type="notContainsBlanks" dxfId="4668" priority="4832">
      <formula>LEN(TRIM(N1070))&gt;0</formula>
    </cfRule>
  </conditionalFormatting>
  <conditionalFormatting sqref="N1070:R1070">
    <cfRule type="notContainsBlanks" dxfId="4667" priority="4831">
      <formula>LEN(TRIM(N1070))&gt;0</formula>
    </cfRule>
  </conditionalFormatting>
  <conditionalFormatting sqref="N1070:R1070">
    <cfRule type="notContainsBlanks" dxfId="4666" priority="4830">
      <formula>LEN(TRIM(N1070))&gt;0</formula>
    </cfRule>
  </conditionalFormatting>
  <conditionalFormatting sqref="N1070:R1070">
    <cfRule type="notContainsBlanks" dxfId="4665" priority="4829">
      <formula>LEN(TRIM(N1070))&gt;0</formula>
    </cfRule>
  </conditionalFormatting>
  <conditionalFormatting sqref="N1070:R1070">
    <cfRule type="notContainsBlanks" dxfId="4664" priority="4828">
      <formula>LEN(TRIM(N1070))&gt;0</formula>
    </cfRule>
  </conditionalFormatting>
  <conditionalFormatting sqref="N1070:R1070">
    <cfRule type="notContainsBlanks" priority="4827">
      <formula>LEN(TRIM(N1070))&gt;0</formula>
    </cfRule>
  </conditionalFormatting>
  <conditionalFormatting sqref="N1070:R1070">
    <cfRule type="notContainsBlanks" dxfId="4663" priority="4826">
      <formula>LEN(TRIM(N1070))&gt;0</formula>
    </cfRule>
  </conditionalFormatting>
  <conditionalFormatting sqref="N1070:R1070">
    <cfRule type="notContainsBlanks" dxfId="4662" priority="4825">
      <formula>LEN(TRIM(N1070))&gt;0</formula>
    </cfRule>
  </conditionalFormatting>
  <conditionalFormatting sqref="N1070:R1070">
    <cfRule type="notContainsBlanks" dxfId="4661" priority="4824">
      <formula>LEN(TRIM(N1070))&gt;0</formula>
    </cfRule>
  </conditionalFormatting>
  <conditionalFormatting sqref="N1070:R1070">
    <cfRule type="notContainsBlanks" dxfId="4660" priority="4823">
      <formula>LEN(TRIM(N1070))&gt;0</formula>
    </cfRule>
  </conditionalFormatting>
  <conditionalFormatting sqref="N1070:R1070">
    <cfRule type="notContainsBlanks" dxfId="4659" priority="4822">
      <formula>LEN(TRIM(N1070))&gt;0</formula>
    </cfRule>
  </conditionalFormatting>
  <conditionalFormatting sqref="N1083:R1083">
    <cfRule type="notContainsBlanks" dxfId="4658" priority="4821">
      <formula>LEN(TRIM(N1083))&gt;0</formula>
    </cfRule>
  </conditionalFormatting>
  <conditionalFormatting sqref="N1083:R1083">
    <cfRule type="notContainsBlanks" dxfId="4657" priority="4820">
      <formula>LEN(TRIM(N1083))&gt;0</formula>
    </cfRule>
  </conditionalFormatting>
  <conditionalFormatting sqref="N1083:R1083">
    <cfRule type="notContainsBlanks" dxfId="4656" priority="4819">
      <formula>LEN(TRIM(N1083))&gt;0</formula>
    </cfRule>
  </conditionalFormatting>
  <conditionalFormatting sqref="N1083:R1083">
    <cfRule type="notContainsBlanks" dxfId="4655" priority="4818">
      <formula>LEN(TRIM(N1083))&gt;0</formula>
    </cfRule>
  </conditionalFormatting>
  <conditionalFormatting sqref="N1083:R1083">
    <cfRule type="notContainsBlanks" dxfId="4654" priority="4817">
      <formula>LEN(TRIM(N1083))&gt;0</formula>
    </cfRule>
  </conditionalFormatting>
  <conditionalFormatting sqref="N1083:R1083">
    <cfRule type="notContainsBlanks" dxfId="4653" priority="4816">
      <formula>LEN(TRIM(N1083))&gt;0</formula>
    </cfRule>
  </conditionalFormatting>
  <conditionalFormatting sqref="N1083:R1083">
    <cfRule type="notContainsBlanks" dxfId="4652" priority="4815">
      <formula>LEN(TRIM(N1083))&gt;0</formula>
    </cfRule>
  </conditionalFormatting>
  <conditionalFormatting sqref="N1083:R1083">
    <cfRule type="notContainsBlanks" dxfId="4651" priority="4814">
      <formula>LEN(TRIM(N1083))&gt;0</formula>
    </cfRule>
  </conditionalFormatting>
  <conditionalFormatting sqref="N1083:R1083">
    <cfRule type="notContainsBlanks" dxfId="4650" priority="4813">
      <formula>LEN(TRIM(N1083))&gt;0</formula>
    </cfRule>
  </conditionalFormatting>
  <conditionalFormatting sqref="N1083:R1083">
    <cfRule type="notContainsBlanks" dxfId="4649" priority="4811">
      <formula>LEN(TRIM(N1083))&gt;0</formula>
    </cfRule>
    <cfRule type="notContainsBlanks" dxfId="4648" priority="4812">
      <formula>LEN(TRIM(N1083))&gt;0</formula>
    </cfRule>
  </conditionalFormatting>
  <conditionalFormatting sqref="N1083:R1083">
    <cfRule type="notContainsBlanks" dxfId="4647" priority="4810">
      <formula>LEN(TRIM(N1083))&gt;0</formula>
    </cfRule>
  </conditionalFormatting>
  <conditionalFormatting sqref="N1083:R1083">
    <cfRule type="notContainsBlanks" dxfId="4646" priority="4809">
      <formula>LEN(TRIM(N1083))&gt;0</formula>
    </cfRule>
  </conditionalFormatting>
  <conditionalFormatting sqref="N1083:R1083">
    <cfRule type="notContainsBlanks" dxfId="4645" priority="4808">
      <formula>LEN(TRIM(N1083))&gt;0</formula>
    </cfRule>
  </conditionalFormatting>
  <conditionalFormatting sqref="N1083:R1083">
    <cfRule type="notContainsBlanks" dxfId="4644" priority="4807">
      <formula>LEN(TRIM(N1083))&gt;0</formula>
    </cfRule>
  </conditionalFormatting>
  <conditionalFormatting sqref="N1083:R1083">
    <cfRule type="notContainsBlanks" dxfId="4643" priority="4806">
      <formula>LEN(TRIM(N1083))&gt;0</formula>
    </cfRule>
  </conditionalFormatting>
  <conditionalFormatting sqref="N1083:R1083">
    <cfRule type="notContainsBlanks" dxfId="4642" priority="4805">
      <formula>LEN(TRIM(N1083))&gt;0</formula>
    </cfRule>
  </conditionalFormatting>
  <conditionalFormatting sqref="N1083:R1083">
    <cfRule type="notContainsBlanks" dxfId="4641" priority="4804">
      <formula>LEN(TRIM(N1083))&gt;0</formula>
    </cfRule>
  </conditionalFormatting>
  <conditionalFormatting sqref="N1083:R1083">
    <cfRule type="notContainsBlanks" dxfId="4640" priority="4803">
      <formula>LEN(TRIM(N1083))&gt;0</formula>
    </cfRule>
  </conditionalFormatting>
  <conditionalFormatting sqref="N1083:R1083">
    <cfRule type="notContainsBlanks" dxfId="4639" priority="4802">
      <formula>LEN(TRIM(N1083))&gt;0</formula>
    </cfRule>
  </conditionalFormatting>
  <conditionalFormatting sqref="N1083:R1083">
    <cfRule type="notContainsBlanks" priority="4801">
      <formula>LEN(TRIM(N1083))&gt;0</formula>
    </cfRule>
  </conditionalFormatting>
  <conditionalFormatting sqref="N1083:R1083">
    <cfRule type="notContainsBlanks" dxfId="4638" priority="4800">
      <formula>LEN(TRIM(N1083))&gt;0</formula>
    </cfRule>
  </conditionalFormatting>
  <conditionalFormatting sqref="N1083:R1083">
    <cfRule type="notContainsBlanks" dxfId="4637" priority="4799">
      <formula>LEN(TRIM(N1083))&gt;0</formula>
    </cfRule>
  </conditionalFormatting>
  <conditionalFormatting sqref="N1083:R1083">
    <cfRule type="notContainsBlanks" dxfId="4636" priority="4798">
      <formula>LEN(TRIM(N1083))&gt;0</formula>
    </cfRule>
  </conditionalFormatting>
  <conditionalFormatting sqref="N1083:R1083">
    <cfRule type="notContainsBlanks" dxfId="4635" priority="4797">
      <formula>LEN(TRIM(N1083))&gt;0</formula>
    </cfRule>
  </conditionalFormatting>
  <conditionalFormatting sqref="N1083:R1083">
    <cfRule type="notContainsBlanks" dxfId="4634" priority="4796">
      <formula>LEN(TRIM(N1083))&gt;0</formula>
    </cfRule>
  </conditionalFormatting>
  <conditionalFormatting sqref="N1096:R1096">
    <cfRule type="notContainsBlanks" dxfId="4633" priority="4795">
      <formula>LEN(TRIM(N1096))&gt;0</formula>
    </cfRule>
  </conditionalFormatting>
  <conditionalFormatting sqref="N1096:R1096">
    <cfRule type="notContainsBlanks" dxfId="4632" priority="4794">
      <formula>LEN(TRIM(N1096))&gt;0</formula>
    </cfRule>
  </conditionalFormatting>
  <conditionalFormatting sqref="N1096:R1096">
    <cfRule type="notContainsBlanks" dxfId="4631" priority="4793">
      <formula>LEN(TRIM(N1096))&gt;0</formula>
    </cfRule>
  </conditionalFormatting>
  <conditionalFormatting sqref="N1096:R1096">
    <cfRule type="notContainsBlanks" dxfId="4630" priority="4792">
      <formula>LEN(TRIM(N1096))&gt;0</formula>
    </cfRule>
  </conditionalFormatting>
  <conditionalFormatting sqref="N1096:R1096">
    <cfRule type="notContainsBlanks" dxfId="4629" priority="4791">
      <formula>LEN(TRIM(N1096))&gt;0</formula>
    </cfRule>
  </conditionalFormatting>
  <conditionalFormatting sqref="N1096:R1096">
    <cfRule type="notContainsBlanks" dxfId="4628" priority="4790">
      <formula>LEN(TRIM(N1096))&gt;0</formula>
    </cfRule>
  </conditionalFormatting>
  <conditionalFormatting sqref="N1096:R1096">
    <cfRule type="notContainsBlanks" dxfId="4627" priority="4789">
      <formula>LEN(TRIM(N1096))&gt;0</formula>
    </cfRule>
  </conditionalFormatting>
  <conditionalFormatting sqref="N1096:R1096">
    <cfRule type="notContainsBlanks" dxfId="4626" priority="4788">
      <formula>LEN(TRIM(N1096))&gt;0</formula>
    </cfRule>
  </conditionalFormatting>
  <conditionalFormatting sqref="N1096:R1096">
    <cfRule type="notContainsBlanks" dxfId="4625" priority="4787">
      <formula>LEN(TRIM(N1096))&gt;0</formula>
    </cfRule>
  </conditionalFormatting>
  <conditionalFormatting sqref="N1096:R1096">
    <cfRule type="notContainsBlanks" dxfId="4624" priority="4785">
      <formula>LEN(TRIM(N1096))&gt;0</formula>
    </cfRule>
    <cfRule type="notContainsBlanks" dxfId="4623" priority="4786">
      <formula>LEN(TRIM(N1096))&gt;0</formula>
    </cfRule>
  </conditionalFormatting>
  <conditionalFormatting sqref="N1096:R1096">
    <cfRule type="notContainsBlanks" dxfId="4622" priority="4784">
      <formula>LEN(TRIM(N1096))&gt;0</formula>
    </cfRule>
  </conditionalFormatting>
  <conditionalFormatting sqref="N1096:R1096">
    <cfRule type="notContainsBlanks" dxfId="4621" priority="4783">
      <formula>LEN(TRIM(N1096))&gt;0</formula>
    </cfRule>
  </conditionalFormatting>
  <conditionalFormatting sqref="N1096:R1096">
    <cfRule type="notContainsBlanks" dxfId="4620" priority="4782">
      <formula>LEN(TRIM(N1096))&gt;0</formula>
    </cfRule>
  </conditionalFormatting>
  <conditionalFormatting sqref="N1096:R1096">
    <cfRule type="notContainsBlanks" dxfId="4619" priority="4781">
      <formula>LEN(TRIM(N1096))&gt;0</formula>
    </cfRule>
  </conditionalFormatting>
  <conditionalFormatting sqref="N1096:R1096">
    <cfRule type="notContainsBlanks" dxfId="4618" priority="4780">
      <formula>LEN(TRIM(N1096))&gt;0</formula>
    </cfRule>
  </conditionalFormatting>
  <conditionalFormatting sqref="N1096:R1096">
    <cfRule type="notContainsBlanks" dxfId="4617" priority="4779">
      <formula>LEN(TRIM(N1096))&gt;0</formula>
    </cfRule>
  </conditionalFormatting>
  <conditionalFormatting sqref="N1096:R1096">
    <cfRule type="notContainsBlanks" dxfId="4616" priority="4778">
      <formula>LEN(TRIM(N1096))&gt;0</formula>
    </cfRule>
  </conditionalFormatting>
  <conditionalFormatting sqref="N1096:R1096">
    <cfRule type="notContainsBlanks" dxfId="4615" priority="4777">
      <formula>LEN(TRIM(N1096))&gt;0</formula>
    </cfRule>
  </conditionalFormatting>
  <conditionalFormatting sqref="N1096:R1096">
    <cfRule type="notContainsBlanks" dxfId="4614" priority="4776">
      <formula>LEN(TRIM(N1096))&gt;0</formula>
    </cfRule>
  </conditionalFormatting>
  <conditionalFormatting sqref="N1096:R1096">
    <cfRule type="notContainsBlanks" priority="4775">
      <formula>LEN(TRIM(N1096))&gt;0</formula>
    </cfRule>
  </conditionalFormatting>
  <conditionalFormatting sqref="N1096:R1096">
    <cfRule type="notContainsBlanks" dxfId="4613" priority="4774">
      <formula>LEN(TRIM(N1096))&gt;0</formula>
    </cfRule>
  </conditionalFormatting>
  <conditionalFormatting sqref="N1096:R1096">
    <cfRule type="notContainsBlanks" dxfId="4612" priority="4773">
      <formula>LEN(TRIM(N1096))&gt;0</formula>
    </cfRule>
  </conditionalFormatting>
  <conditionalFormatting sqref="N1096:R1096">
    <cfRule type="notContainsBlanks" dxfId="4611" priority="4772">
      <formula>LEN(TRIM(N1096))&gt;0</formula>
    </cfRule>
  </conditionalFormatting>
  <conditionalFormatting sqref="N1096:R1096">
    <cfRule type="notContainsBlanks" dxfId="4610" priority="4771">
      <formula>LEN(TRIM(N1096))&gt;0</formula>
    </cfRule>
  </conditionalFormatting>
  <conditionalFormatting sqref="N1096:R1096">
    <cfRule type="notContainsBlanks" dxfId="4609" priority="4770">
      <formula>LEN(TRIM(N1096))&gt;0</formula>
    </cfRule>
  </conditionalFormatting>
  <conditionalFormatting sqref="N1109:R1109">
    <cfRule type="notContainsBlanks" dxfId="4608" priority="4769">
      <formula>LEN(TRIM(N1109))&gt;0</formula>
    </cfRule>
  </conditionalFormatting>
  <conditionalFormatting sqref="N1109:R1109">
    <cfRule type="notContainsBlanks" dxfId="4607" priority="4768">
      <formula>LEN(TRIM(N1109))&gt;0</formula>
    </cfRule>
  </conditionalFormatting>
  <conditionalFormatting sqref="N1109:R1109">
    <cfRule type="notContainsBlanks" dxfId="4606" priority="4767">
      <formula>LEN(TRIM(N1109))&gt;0</formula>
    </cfRule>
  </conditionalFormatting>
  <conditionalFormatting sqref="N1109:R1109">
    <cfRule type="notContainsBlanks" dxfId="4605" priority="4766">
      <formula>LEN(TRIM(N1109))&gt;0</formula>
    </cfRule>
  </conditionalFormatting>
  <conditionalFormatting sqref="N1109:R1109">
    <cfRule type="notContainsBlanks" dxfId="4604" priority="4765">
      <formula>LEN(TRIM(N1109))&gt;0</formula>
    </cfRule>
  </conditionalFormatting>
  <conditionalFormatting sqref="N1109:R1109">
    <cfRule type="notContainsBlanks" dxfId="4603" priority="4764">
      <formula>LEN(TRIM(N1109))&gt;0</formula>
    </cfRule>
  </conditionalFormatting>
  <conditionalFormatting sqref="N1109:R1109">
    <cfRule type="notContainsBlanks" dxfId="4602" priority="4763">
      <formula>LEN(TRIM(N1109))&gt;0</formula>
    </cfRule>
  </conditionalFormatting>
  <conditionalFormatting sqref="N1109:R1109">
    <cfRule type="notContainsBlanks" dxfId="4601" priority="4762">
      <formula>LEN(TRIM(N1109))&gt;0</formula>
    </cfRule>
  </conditionalFormatting>
  <conditionalFormatting sqref="N1109:R1109">
    <cfRule type="notContainsBlanks" dxfId="4600" priority="4761">
      <formula>LEN(TRIM(N1109))&gt;0</formula>
    </cfRule>
  </conditionalFormatting>
  <conditionalFormatting sqref="N1109:R1109">
    <cfRule type="notContainsBlanks" dxfId="4599" priority="4759">
      <formula>LEN(TRIM(N1109))&gt;0</formula>
    </cfRule>
    <cfRule type="notContainsBlanks" dxfId="4598" priority="4760">
      <formula>LEN(TRIM(N1109))&gt;0</formula>
    </cfRule>
  </conditionalFormatting>
  <conditionalFormatting sqref="N1109:R1109">
    <cfRule type="notContainsBlanks" dxfId="4597" priority="4758">
      <formula>LEN(TRIM(N1109))&gt;0</formula>
    </cfRule>
  </conditionalFormatting>
  <conditionalFormatting sqref="N1109:R1109">
    <cfRule type="notContainsBlanks" dxfId="4596" priority="4757">
      <formula>LEN(TRIM(N1109))&gt;0</formula>
    </cfRule>
  </conditionalFormatting>
  <conditionalFormatting sqref="N1109:R1109">
    <cfRule type="notContainsBlanks" dxfId="4595" priority="4756">
      <formula>LEN(TRIM(N1109))&gt;0</formula>
    </cfRule>
  </conditionalFormatting>
  <conditionalFormatting sqref="N1109:R1109">
    <cfRule type="notContainsBlanks" dxfId="4594" priority="4755">
      <formula>LEN(TRIM(N1109))&gt;0</formula>
    </cfRule>
  </conditionalFormatting>
  <conditionalFormatting sqref="N1109:R1109">
    <cfRule type="notContainsBlanks" dxfId="4593" priority="4754">
      <formula>LEN(TRIM(N1109))&gt;0</formula>
    </cfRule>
  </conditionalFormatting>
  <conditionalFormatting sqref="N1109:R1109">
    <cfRule type="notContainsBlanks" dxfId="4592" priority="4753">
      <formula>LEN(TRIM(N1109))&gt;0</formula>
    </cfRule>
  </conditionalFormatting>
  <conditionalFormatting sqref="N1109:R1109">
    <cfRule type="notContainsBlanks" dxfId="4591" priority="4752">
      <formula>LEN(TRIM(N1109))&gt;0</formula>
    </cfRule>
  </conditionalFormatting>
  <conditionalFormatting sqref="N1109:R1109">
    <cfRule type="notContainsBlanks" dxfId="4590" priority="4751">
      <formula>LEN(TRIM(N1109))&gt;0</formula>
    </cfRule>
  </conditionalFormatting>
  <conditionalFormatting sqref="N1109:R1109">
    <cfRule type="notContainsBlanks" dxfId="4589" priority="4750">
      <formula>LEN(TRIM(N1109))&gt;0</formula>
    </cfRule>
  </conditionalFormatting>
  <conditionalFormatting sqref="N1109:R1109">
    <cfRule type="notContainsBlanks" priority="4749">
      <formula>LEN(TRIM(N1109))&gt;0</formula>
    </cfRule>
  </conditionalFormatting>
  <conditionalFormatting sqref="N1109:R1109">
    <cfRule type="notContainsBlanks" dxfId="4588" priority="4748">
      <formula>LEN(TRIM(N1109))&gt;0</formula>
    </cfRule>
  </conditionalFormatting>
  <conditionalFormatting sqref="N1109:R1109">
    <cfRule type="notContainsBlanks" dxfId="4587" priority="4747">
      <formula>LEN(TRIM(N1109))&gt;0</formula>
    </cfRule>
  </conditionalFormatting>
  <conditionalFormatting sqref="N1109:R1109">
    <cfRule type="notContainsBlanks" dxfId="4586" priority="4746">
      <formula>LEN(TRIM(N1109))&gt;0</formula>
    </cfRule>
  </conditionalFormatting>
  <conditionalFormatting sqref="N1109:R1109">
    <cfRule type="notContainsBlanks" dxfId="4585" priority="4745">
      <formula>LEN(TRIM(N1109))&gt;0</formula>
    </cfRule>
  </conditionalFormatting>
  <conditionalFormatting sqref="N1109:R1109">
    <cfRule type="notContainsBlanks" dxfId="4584" priority="4744">
      <formula>LEN(TRIM(N1109))&gt;0</formula>
    </cfRule>
  </conditionalFormatting>
  <conditionalFormatting sqref="N1122:R1122">
    <cfRule type="notContainsBlanks" dxfId="4583" priority="4743">
      <formula>LEN(TRIM(N1122))&gt;0</formula>
    </cfRule>
  </conditionalFormatting>
  <conditionalFormatting sqref="N1122:R1122">
    <cfRule type="notContainsBlanks" dxfId="4582" priority="4742">
      <formula>LEN(TRIM(N1122))&gt;0</formula>
    </cfRule>
  </conditionalFormatting>
  <conditionalFormatting sqref="N1122:R1122">
    <cfRule type="notContainsBlanks" dxfId="4581" priority="4741">
      <formula>LEN(TRIM(N1122))&gt;0</formula>
    </cfRule>
  </conditionalFormatting>
  <conditionalFormatting sqref="N1122:R1122">
    <cfRule type="notContainsBlanks" dxfId="4580" priority="4740">
      <formula>LEN(TRIM(N1122))&gt;0</formula>
    </cfRule>
  </conditionalFormatting>
  <conditionalFormatting sqref="N1122:R1122">
    <cfRule type="notContainsBlanks" dxfId="4579" priority="4739">
      <formula>LEN(TRIM(N1122))&gt;0</formula>
    </cfRule>
  </conditionalFormatting>
  <conditionalFormatting sqref="N1122:R1122">
    <cfRule type="notContainsBlanks" dxfId="4578" priority="4738">
      <formula>LEN(TRIM(N1122))&gt;0</formula>
    </cfRule>
  </conditionalFormatting>
  <conditionalFormatting sqref="N1122:R1122">
    <cfRule type="notContainsBlanks" dxfId="4577" priority="4737">
      <formula>LEN(TRIM(N1122))&gt;0</formula>
    </cfRule>
  </conditionalFormatting>
  <conditionalFormatting sqref="N1122:R1122">
    <cfRule type="notContainsBlanks" dxfId="4576" priority="4736">
      <formula>LEN(TRIM(N1122))&gt;0</formula>
    </cfRule>
  </conditionalFormatting>
  <conditionalFormatting sqref="N1122:R1122">
    <cfRule type="notContainsBlanks" dxfId="4575" priority="4735">
      <formula>LEN(TRIM(N1122))&gt;0</formula>
    </cfRule>
  </conditionalFormatting>
  <conditionalFormatting sqref="N1122:R1122">
    <cfRule type="notContainsBlanks" dxfId="4574" priority="4733">
      <formula>LEN(TRIM(N1122))&gt;0</formula>
    </cfRule>
    <cfRule type="notContainsBlanks" dxfId="4573" priority="4734">
      <formula>LEN(TRIM(N1122))&gt;0</formula>
    </cfRule>
  </conditionalFormatting>
  <conditionalFormatting sqref="N1122:R1122">
    <cfRule type="notContainsBlanks" dxfId="4572" priority="4732">
      <formula>LEN(TRIM(N1122))&gt;0</formula>
    </cfRule>
  </conditionalFormatting>
  <conditionalFormatting sqref="N1122:R1122">
    <cfRule type="notContainsBlanks" dxfId="4571" priority="4731">
      <formula>LEN(TRIM(N1122))&gt;0</formula>
    </cfRule>
  </conditionalFormatting>
  <conditionalFormatting sqref="N1122:R1122">
    <cfRule type="notContainsBlanks" dxfId="4570" priority="4730">
      <formula>LEN(TRIM(N1122))&gt;0</formula>
    </cfRule>
  </conditionalFormatting>
  <conditionalFormatting sqref="N1122:R1122">
    <cfRule type="notContainsBlanks" dxfId="4569" priority="4729">
      <formula>LEN(TRIM(N1122))&gt;0</formula>
    </cfRule>
  </conditionalFormatting>
  <conditionalFormatting sqref="N1122:R1122">
    <cfRule type="notContainsBlanks" dxfId="4568" priority="4728">
      <formula>LEN(TRIM(N1122))&gt;0</formula>
    </cfRule>
  </conditionalFormatting>
  <conditionalFormatting sqref="N1122:R1122">
    <cfRule type="notContainsBlanks" dxfId="4567" priority="4727">
      <formula>LEN(TRIM(N1122))&gt;0</formula>
    </cfRule>
  </conditionalFormatting>
  <conditionalFormatting sqref="N1122:R1122">
    <cfRule type="notContainsBlanks" dxfId="4566" priority="4726">
      <formula>LEN(TRIM(N1122))&gt;0</formula>
    </cfRule>
  </conditionalFormatting>
  <conditionalFormatting sqref="N1122:R1122">
    <cfRule type="notContainsBlanks" dxfId="4565" priority="4725">
      <formula>LEN(TRIM(N1122))&gt;0</formula>
    </cfRule>
  </conditionalFormatting>
  <conditionalFormatting sqref="N1122:R1122">
    <cfRule type="notContainsBlanks" dxfId="4564" priority="4724">
      <formula>LEN(TRIM(N1122))&gt;0</formula>
    </cfRule>
  </conditionalFormatting>
  <conditionalFormatting sqref="N1122:R1122">
    <cfRule type="notContainsBlanks" priority="4723">
      <formula>LEN(TRIM(N1122))&gt;0</formula>
    </cfRule>
  </conditionalFormatting>
  <conditionalFormatting sqref="N1122:R1122">
    <cfRule type="notContainsBlanks" dxfId="4563" priority="4722">
      <formula>LEN(TRIM(N1122))&gt;0</formula>
    </cfRule>
  </conditionalFormatting>
  <conditionalFormatting sqref="N1122:R1122">
    <cfRule type="notContainsBlanks" dxfId="4562" priority="4721">
      <formula>LEN(TRIM(N1122))&gt;0</formula>
    </cfRule>
  </conditionalFormatting>
  <conditionalFormatting sqref="N1122:R1122">
    <cfRule type="notContainsBlanks" dxfId="4561" priority="4720">
      <formula>LEN(TRIM(N1122))&gt;0</formula>
    </cfRule>
  </conditionalFormatting>
  <conditionalFormatting sqref="N1122:R1122">
    <cfRule type="notContainsBlanks" dxfId="4560" priority="4719">
      <formula>LEN(TRIM(N1122))&gt;0</formula>
    </cfRule>
  </conditionalFormatting>
  <conditionalFormatting sqref="N1122:R1122">
    <cfRule type="notContainsBlanks" dxfId="4559" priority="4718">
      <formula>LEN(TRIM(N1122))&gt;0</formula>
    </cfRule>
  </conditionalFormatting>
  <conditionalFormatting sqref="N1135:R1135">
    <cfRule type="notContainsBlanks" dxfId="4558" priority="4717">
      <formula>LEN(TRIM(N1135))&gt;0</formula>
    </cfRule>
  </conditionalFormatting>
  <conditionalFormatting sqref="N1135:R1135">
    <cfRule type="notContainsBlanks" dxfId="4557" priority="4716">
      <formula>LEN(TRIM(N1135))&gt;0</formula>
    </cfRule>
  </conditionalFormatting>
  <conditionalFormatting sqref="N1135:R1135">
    <cfRule type="notContainsBlanks" dxfId="4556" priority="4715">
      <formula>LEN(TRIM(N1135))&gt;0</formula>
    </cfRule>
  </conditionalFormatting>
  <conditionalFormatting sqref="N1135:R1135">
    <cfRule type="notContainsBlanks" dxfId="4555" priority="4714">
      <formula>LEN(TRIM(N1135))&gt;0</formula>
    </cfRule>
  </conditionalFormatting>
  <conditionalFormatting sqref="N1135:R1135">
    <cfRule type="notContainsBlanks" dxfId="4554" priority="4713">
      <formula>LEN(TRIM(N1135))&gt;0</formula>
    </cfRule>
  </conditionalFormatting>
  <conditionalFormatting sqref="N1135:R1135">
    <cfRule type="notContainsBlanks" dxfId="4553" priority="4712">
      <formula>LEN(TRIM(N1135))&gt;0</formula>
    </cfRule>
  </conditionalFormatting>
  <conditionalFormatting sqref="N1135:R1135">
    <cfRule type="notContainsBlanks" dxfId="4552" priority="4711">
      <formula>LEN(TRIM(N1135))&gt;0</formula>
    </cfRule>
  </conditionalFormatting>
  <conditionalFormatting sqref="N1135:R1135">
    <cfRule type="notContainsBlanks" dxfId="4551" priority="4710">
      <formula>LEN(TRIM(N1135))&gt;0</formula>
    </cfRule>
  </conditionalFormatting>
  <conditionalFormatting sqref="N1135:R1135">
    <cfRule type="notContainsBlanks" dxfId="4550" priority="4709">
      <formula>LEN(TRIM(N1135))&gt;0</formula>
    </cfRule>
  </conditionalFormatting>
  <conditionalFormatting sqref="N1135:R1135">
    <cfRule type="notContainsBlanks" dxfId="4549" priority="4707">
      <formula>LEN(TRIM(N1135))&gt;0</formula>
    </cfRule>
    <cfRule type="notContainsBlanks" dxfId="4548" priority="4708">
      <formula>LEN(TRIM(N1135))&gt;0</formula>
    </cfRule>
  </conditionalFormatting>
  <conditionalFormatting sqref="N1135:R1135">
    <cfRule type="notContainsBlanks" dxfId="4547" priority="4706">
      <formula>LEN(TRIM(N1135))&gt;0</formula>
    </cfRule>
  </conditionalFormatting>
  <conditionalFormatting sqref="N1135:R1135">
    <cfRule type="notContainsBlanks" dxfId="4546" priority="4705">
      <formula>LEN(TRIM(N1135))&gt;0</formula>
    </cfRule>
  </conditionalFormatting>
  <conditionalFormatting sqref="N1135:R1135">
    <cfRule type="notContainsBlanks" dxfId="4545" priority="4704">
      <formula>LEN(TRIM(N1135))&gt;0</formula>
    </cfRule>
  </conditionalFormatting>
  <conditionalFormatting sqref="N1135:R1135">
    <cfRule type="notContainsBlanks" dxfId="4544" priority="4703">
      <formula>LEN(TRIM(N1135))&gt;0</formula>
    </cfRule>
  </conditionalFormatting>
  <conditionalFormatting sqref="N1135:R1135">
    <cfRule type="notContainsBlanks" dxfId="4543" priority="4702">
      <formula>LEN(TRIM(N1135))&gt;0</formula>
    </cfRule>
  </conditionalFormatting>
  <conditionalFormatting sqref="N1135:R1135">
    <cfRule type="notContainsBlanks" dxfId="4542" priority="4701">
      <formula>LEN(TRIM(N1135))&gt;0</formula>
    </cfRule>
  </conditionalFormatting>
  <conditionalFormatting sqref="N1135:R1135">
    <cfRule type="notContainsBlanks" dxfId="4541" priority="4700">
      <formula>LEN(TRIM(N1135))&gt;0</formula>
    </cfRule>
  </conditionalFormatting>
  <conditionalFormatting sqref="N1135:R1135">
    <cfRule type="notContainsBlanks" dxfId="4540" priority="4699">
      <formula>LEN(TRIM(N1135))&gt;0</formula>
    </cfRule>
  </conditionalFormatting>
  <conditionalFormatting sqref="N1135:R1135">
    <cfRule type="notContainsBlanks" dxfId="4539" priority="4698">
      <formula>LEN(TRIM(N1135))&gt;0</formula>
    </cfRule>
  </conditionalFormatting>
  <conditionalFormatting sqref="N1135:R1135">
    <cfRule type="notContainsBlanks" priority="4697">
      <formula>LEN(TRIM(N1135))&gt;0</formula>
    </cfRule>
  </conditionalFormatting>
  <conditionalFormatting sqref="N1135:R1135">
    <cfRule type="notContainsBlanks" dxfId="4538" priority="4696">
      <formula>LEN(TRIM(N1135))&gt;0</formula>
    </cfRule>
  </conditionalFormatting>
  <conditionalFormatting sqref="N1135:R1135">
    <cfRule type="notContainsBlanks" dxfId="4537" priority="4695">
      <formula>LEN(TRIM(N1135))&gt;0</formula>
    </cfRule>
  </conditionalFormatting>
  <conditionalFormatting sqref="N1135:R1135">
    <cfRule type="notContainsBlanks" dxfId="4536" priority="4694">
      <formula>LEN(TRIM(N1135))&gt;0</formula>
    </cfRule>
  </conditionalFormatting>
  <conditionalFormatting sqref="N1135:R1135">
    <cfRule type="notContainsBlanks" dxfId="4535" priority="4693">
      <formula>LEN(TRIM(N1135))&gt;0</formula>
    </cfRule>
  </conditionalFormatting>
  <conditionalFormatting sqref="N1135:R1135">
    <cfRule type="notContainsBlanks" dxfId="4534" priority="4692">
      <formula>LEN(TRIM(N1135))&gt;0</formula>
    </cfRule>
  </conditionalFormatting>
  <conditionalFormatting sqref="N1148:R1148">
    <cfRule type="notContainsBlanks" dxfId="4533" priority="4691">
      <formula>LEN(TRIM(N1148))&gt;0</formula>
    </cfRule>
  </conditionalFormatting>
  <conditionalFormatting sqref="N1148:R1148">
    <cfRule type="notContainsBlanks" dxfId="4532" priority="4690">
      <formula>LEN(TRIM(N1148))&gt;0</formula>
    </cfRule>
  </conditionalFormatting>
  <conditionalFormatting sqref="N1148:R1148">
    <cfRule type="notContainsBlanks" dxfId="4531" priority="4689">
      <formula>LEN(TRIM(N1148))&gt;0</formula>
    </cfRule>
  </conditionalFormatting>
  <conditionalFormatting sqref="N1148:R1148">
    <cfRule type="notContainsBlanks" dxfId="4530" priority="4688">
      <formula>LEN(TRIM(N1148))&gt;0</formula>
    </cfRule>
  </conditionalFormatting>
  <conditionalFormatting sqref="N1148:R1148">
    <cfRule type="notContainsBlanks" dxfId="4529" priority="4687">
      <formula>LEN(TRIM(N1148))&gt;0</formula>
    </cfRule>
  </conditionalFormatting>
  <conditionalFormatting sqref="N1148:R1148">
    <cfRule type="notContainsBlanks" dxfId="4528" priority="4686">
      <formula>LEN(TRIM(N1148))&gt;0</formula>
    </cfRule>
  </conditionalFormatting>
  <conditionalFormatting sqref="N1148:R1148">
    <cfRule type="notContainsBlanks" dxfId="4527" priority="4685">
      <formula>LEN(TRIM(N1148))&gt;0</formula>
    </cfRule>
  </conditionalFormatting>
  <conditionalFormatting sqref="N1148:R1148">
    <cfRule type="notContainsBlanks" dxfId="4526" priority="4684">
      <formula>LEN(TRIM(N1148))&gt;0</formula>
    </cfRule>
  </conditionalFormatting>
  <conditionalFormatting sqref="N1148:R1148">
    <cfRule type="notContainsBlanks" dxfId="4525" priority="4683">
      <formula>LEN(TRIM(N1148))&gt;0</formula>
    </cfRule>
  </conditionalFormatting>
  <conditionalFormatting sqref="N1148:R1148">
    <cfRule type="notContainsBlanks" dxfId="4524" priority="4681">
      <formula>LEN(TRIM(N1148))&gt;0</formula>
    </cfRule>
    <cfRule type="notContainsBlanks" dxfId="4523" priority="4682">
      <formula>LEN(TRIM(N1148))&gt;0</formula>
    </cfRule>
  </conditionalFormatting>
  <conditionalFormatting sqref="N1148:R1148">
    <cfRule type="notContainsBlanks" dxfId="4522" priority="4680">
      <formula>LEN(TRIM(N1148))&gt;0</formula>
    </cfRule>
  </conditionalFormatting>
  <conditionalFormatting sqref="N1148:R1148">
    <cfRule type="notContainsBlanks" dxfId="4521" priority="4679">
      <formula>LEN(TRIM(N1148))&gt;0</formula>
    </cfRule>
  </conditionalFormatting>
  <conditionalFormatting sqref="N1148:R1148">
    <cfRule type="notContainsBlanks" dxfId="4520" priority="4678">
      <formula>LEN(TRIM(N1148))&gt;0</formula>
    </cfRule>
  </conditionalFormatting>
  <conditionalFormatting sqref="N1148:R1148">
    <cfRule type="notContainsBlanks" dxfId="4519" priority="4677">
      <formula>LEN(TRIM(N1148))&gt;0</formula>
    </cfRule>
  </conditionalFormatting>
  <conditionalFormatting sqref="N1148:R1148">
    <cfRule type="notContainsBlanks" dxfId="4518" priority="4676">
      <formula>LEN(TRIM(N1148))&gt;0</formula>
    </cfRule>
  </conditionalFormatting>
  <conditionalFormatting sqref="N1148:R1148">
    <cfRule type="notContainsBlanks" dxfId="4517" priority="4675">
      <formula>LEN(TRIM(N1148))&gt;0</formula>
    </cfRule>
  </conditionalFormatting>
  <conditionalFormatting sqref="N1148:R1148">
    <cfRule type="notContainsBlanks" dxfId="4516" priority="4674">
      <formula>LEN(TRIM(N1148))&gt;0</formula>
    </cfRule>
  </conditionalFormatting>
  <conditionalFormatting sqref="N1148:R1148">
    <cfRule type="notContainsBlanks" dxfId="4515" priority="4673">
      <formula>LEN(TRIM(N1148))&gt;0</formula>
    </cfRule>
  </conditionalFormatting>
  <conditionalFormatting sqref="N1148:R1148">
    <cfRule type="notContainsBlanks" dxfId="4514" priority="4672">
      <formula>LEN(TRIM(N1148))&gt;0</formula>
    </cfRule>
  </conditionalFormatting>
  <conditionalFormatting sqref="N1148:R1148">
    <cfRule type="notContainsBlanks" priority="4671">
      <formula>LEN(TRIM(N1148))&gt;0</formula>
    </cfRule>
  </conditionalFormatting>
  <conditionalFormatting sqref="N1148:R1148">
    <cfRule type="notContainsBlanks" dxfId="4513" priority="4670">
      <formula>LEN(TRIM(N1148))&gt;0</formula>
    </cfRule>
  </conditionalFormatting>
  <conditionalFormatting sqref="N1148:R1148">
    <cfRule type="notContainsBlanks" dxfId="4512" priority="4669">
      <formula>LEN(TRIM(N1148))&gt;0</formula>
    </cfRule>
  </conditionalFormatting>
  <conditionalFormatting sqref="N1148:R1148">
    <cfRule type="notContainsBlanks" dxfId="4511" priority="4668">
      <formula>LEN(TRIM(N1148))&gt;0</formula>
    </cfRule>
  </conditionalFormatting>
  <conditionalFormatting sqref="N1148:R1148">
    <cfRule type="notContainsBlanks" dxfId="4510" priority="4667">
      <formula>LEN(TRIM(N1148))&gt;0</formula>
    </cfRule>
  </conditionalFormatting>
  <conditionalFormatting sqref="N1148:R1148">
    <cfRule type="notContainsBlanks" dxfId="4509" priority="4666">
      <formula>LEN(TRIM(N1148))&gt;0</formula>
    </cfRule>
  </conditionalFormatting>
  <conditionalFormatting sqref="N1161:R1161">
    <cfRule type="notContainsBlanks" dxfId="4508" priority="4665">
      <formula>LEN(TRIM(N1161))&gt;0</formula>
    </cfRule>
  </conditionalFormatting>
  <conditionalFormatting sqref="N1161:R1161">
    <cfRule type="notContainsBlanks" dxfId="4507" priority="4664">
      <formula>LEN(TRIM(N1161))&gt;0</formula>
    </cfRule>
  </conditionalFormatting>
  <conditionalFormatting sqref="N1161:R1161">
    <cfRule type="notContainsBlanks" dxfId="4506" priority="4663">
      <formula>LEN(TRIM(N1161))&gt;0</formula>
    </cfRule>
  </conditionalFormatting>
  <conditionalFormatting sqref="N1161:R1161">
    <cfRule type="notContainsBlanks" dxfId="4505" priority="4662">
      <formula>LEN(TRIM(N1161))&gt;0</formula>
    </cfRule>
  </conditionalFormatting>
  <conditionalFormatting sqref="N1161:R1161">
    <cfRule type="notContainsBlanks" dxfId="4504" priority="4661">
      <formula>LEN(TRIM(N1161))&gt;0</formula>
    </cfRule>
  </conditionalFormatting>
  <conditionalFormatting sqref="N1161:R1161">
    <cfRule type="notContainsBlanks" dxfId="4503" priority="4660">
      <formula>LEN(TRIM(N1161))&gt;0</formula>
    </cfRule>
  </conditionalFormatting>
  <conditionalFormatting sqref="N1161:R1161">
    <cfRule type="notContainsBlanks" dxfId="4502" priority="4659">
      <formula>LEN(TRIM(N1161))&gt;0</formula>
    </cfRule>
  </conditionalFormatting>
  <conditionalFormatting sqref="N1161:R1161">
    <cfRule type="notContainsBlanks" dxfId="4501" priority="4658">
      <formula>LEN(TRIM(N1161))&gt;0</formula>
    </cfRule>
  </conditionalFormatting>
  <conditionalFormatting sqref="N1161:R1161">
    <cfRule type="notContainsBlanks" dxfId="4500" priority="4657">
      <formula>LEN(TRIM(N1161))&gt;0</formula>
    </cfRule>
  </conditionalFormatting>
  <conditionalFormatting sqref="N1161:R1161">
    <cfRule type="notContainsBlanks" dxfId="4499" priority="4655">
      <formula>LEN(TRIM(N1161))&gt;0</formula>
    </cfRule>
    <cfRule type="notContainsBlanks" dxfId="4498" priority="4656">
      <formula>LEN(TRIM(N1161))&gt;0</formula>
    </cfRule>
  </conditionalFormatting>
  <conditionalFormatting sqref="N1161:R1161">
    <cfRule type="notContainsBlanks" dxfId="4497" priority="4654">
      <formula>LEN(TRIM(N1161))&gt;0</formula>
    </cfRule>
  </conditionalFormatting>
  <conditionalFormatting sqref="N1161:R1161">
    <cfRule type="notContainsBlanks" dxfId="4496" priority="4653">
      <formula>LEN(TRIM(N1161))&gt;0</formula>
    </cfRule>
  </conditionalFormatting>
  <conditionalFormatting sqref="N1161:R1161">
    <cfRule type="notContainsBlanks" dxfId="4495" priority="4652">
      <formula>LEN(TRIM(N1161))&gt;0</formula>
    </cfRule>
  </conditionalFormatting>
  <conditionalFormatting sqref="N1161:R1161">
    <cfRule type="notContainsBlanks" dxfId="4494" priority="4651">
      <formula>LEN(TRIM(N1161))&gt;0</formula>
    </cfRule>
  </conditionalFormatting>
  <conditionalFormatting sqref="N1161:R1161">
    <cfRule type="notContainsBlanks" dxfId="4493" priority="4650">
      <formula>LEN(TRIM(N1161))&gt;0</formula>
    </cfRule>
  </conditionalFormatting>
  <conditionalFormatting sqref="N1161:R1161">
    <cfRule type="notContainsBlanks" dxfId="4492" priority="4649">
      <formula>LEN(TRIM(N1161))&gt;0</formula>
    </cfRule>
  </conditionalFormatting>
  <conditionalFormatting sqref="N1161:R1161">
    <cfRule type="notContainsBlanks" dxfId="4491" priority="4648">
      <formula>LEN(TRIM(N1161))&gt;0</formula>
    </cfRule>
  </conditionalFormatting>
  <conditionalFormatting sqref="N1161:R1161">
    <cfRule type="notContainsBlanks" dxfId="4490" priority="4647">
      <formula>LEN(TRIM(N1161))&gt;0</formula>
    </cfRule>
  </conditionalFormatting>
  <conditionalFormatting sqref="N1161:R1161">
    <cfRule type="notContainsBlanks" dxfId="4489" priority="4646">
      <formula>LEN(TRIM(N1161))&gt;0</formula>
    </cfRule>
  </conditionalFormatting>
  <conditionalFormatting sqref="N1161:R1161">
    <cfRule type="notContainsBlanks" priority="4645">
      <formula>LEN(TRIM(N1161))&gt;0</formula>
    </cfRule>
  </conditionalFormatting>
  <conditionalFormatting sqref="N1161:R1161">
    <cfRule type="notContainsBlanks" dxfId="4488" priority="4644">
      <formula>LEN(TRIM(N1161))&gt;0</formula>
    </cfRule>
  </conditionalFormatting>
  <conditionalFormatting sqref="N1161:R1161">
    <cfRule type="notContainsBlanks" dxfId="4487" priority="4643">
      <formula>LEN(TRIM(N1161))&gt;0</formula>
    </cfRule>
  </conditionalFormatting>
  <conditionalFormatting sqref="N1161:R1161">
    <cfRule type="notContainsBlanks" dxfId="4486" priority="4642">
      <formula>LEN(TRIM(N1161))&gt;0</formula>
    </cfRule>
  </conditionalFormatting>
  <conditionalFormatting sqref="N1161:R1161">
    <cfRule type="notContainsBlanks" dxfId="4485" priority="4641">
      <formula>LEN(TRIM(N1161))&gt;0</formula>
    </cfRule>
  </conditionalFormatting>
  <conditionalFormatting sqref="N1161:R1161">
    <cfRule type="notContainsBlanks" dxfId="4484" priority="4640">
      <formula>LEN(TRIM(N1161))&gt;0</formula>
    </cfRule>
  </conditionalFormatting>
  <conditionalFormatting sqref="N1174:R1174">
    <cfRule type="notContainsBlanks" dxfId="4483" priority="4639">
      <formula>LEN(TRIM(N1174))&gt;0</formula>
    </cfRule>
  </conditionalFormatting>
  <conditionalFormatting sqref="N1174:R1174">
    <cfRule type="notContainsBlanks" dxfId="4482" priority="4638">
      <formula>LEN(TRIM(N1174))&gt;0</formula>
    </cfRule>
  </conditionalFormatting>
  <conditionalFormatting sqref="N1174:R1174">
    <cfRule type="notContainsBlanks" dxfId="4481" priority="4637">
      <formula>LEN(TRIM(N1174))&gt;0</formula>
    </cfRule>
  </conditionalFormatting>
  <conditionalFormatting sqref="N1174:R1174">
    <cfRule type="notContainsBlanks" dxfId="4480" priority="4636">
      <formula>LEN(TRIM(N1174))&gt;0</formula>
    </cfRule>
  </conditionalFormatting>
  <conditionalFormatting sqref="N1174:R1174">
    <cfRule type="notContainsBlanks" dxfId="4479" priority="4635">
      <formula>LEN(TRIM(N1174))&gt;0</formula>
    </cfRule>
  </conditionalFormatting>
  <conditionalFormatting sqref="N1174:R1174">
    <cfRule type="notContainsBlanks" dxfId="4478" priority="4634">
      <formula>LEN(TRIM(N1174))&gt;0</formula>
    </cfRule>
  </conditionalFormatting>
  <conditionalFormatting sqref="N1174:R1174">
    <cfRule type="notContainsBlanks" dxfId="4477" priority="4633">
      <formula>LEN(TRIM(N1174))&gt;0</formula>
    </cfRule>
  </conditionalFormatting>
  <conditionalFormatting sqref="N1174:R1174">
    <cfRule type="notContainsBlanks" dxfId="4476" priority="4632">
      <formula>LEN(TRIM(N1174))&gt;0</formula>
    </cfRule>
  </conditionalFormatting>
  <conditionalFormatting sqref="N1174:R1174">
    <cfRule type="notContainsBlanks" dxfId="4475" priority="4631">
      <formula>LEN(TRIM(N1174))&gt;0</formula>
    </cfRule>
  </conditionalFormatting>
  <conditionalFormatting sqref="N1174:R1174">
    <cfRule type="notContainsBlanks" dxfId="4474" priority="4629">
      <formula>LEN(TRIM(N1174))&gt;0</formula>
    </cfRule>
    <cfRule type="notContainsBlanks" dxfId="4473" priority="4630">
      <formula>LEN(TRIM(N1174))&gt;0</formula>
    </cfRule>
  </conditionalFormatting>
  <conditionalFormatting sqref="N1174:R1174">
    <cfRule type="notContainsBlanks" dxfId="4472" priority="4628">
      <formula>LEN(TRIM(N1174))&gt;0</formula>
    </cfRule>
  </conditionalFormatting>
  <conditionalFormatting sqref="N1174:R1174">
    <cfRule type="notContainsBlanks" dxfId="4471" priority="4627">
      <formula>LEN(TRIM(N1174))&gt;0</formula>
    </cfRule>
  </conditionalFormatting>
  <conditionalFormatting sqref="N1174:R1174">
    <cfRule type="notContainsBlanks" dxfId="4470" priority="4626">
      <formula>LEN(TRIM(N1174))&gt;0</formula>
    </cfRule>
  </conditionalFormatting>
  <conditionalFormatting sqref="N1174:R1174">
    <cfRule type="notContainsBlanks" dxfId="4469" priority="4625">
      <formula>LEN(TRIM(N1174))&gt;0</formula>
    </cfRule>
  </conditionalFormatting>
  <conditionalFormatting sqref="N1174:R1174">
    <cfRule type="notContainsBlanks" dxfId="4468" priority="4624">
      <formula>LEN(TRIM(N1174))&gt;0</formula>
    </cfRule>
  </conditionalFormatting>
  <conditionalFormatting sqref="N1174:R1174">
    <cfRule type="notContainsBlanks" dxfId="4467" priority="4623">
      <formula>LEN(TRIM(N1174))&gt;0</formula>
    </cfRule>
  </conditionalFormatting>
  <conditionalFormatting sqref="N1174:R1174">
    <cfRule type="notContainsBlanks" dxfId="4466" priority="4622">
      <formula>LEN(TRIM(N1174))&gt;0</formula>
    </cfRule>
  </conditionalFormatting>
  <conditionalFormatting sqref="N1174:R1174">
    <cfRule type="notContainsBlanks" dxfId="4465" priority="4621">
      <formula>LEN(TRIM(N1174))&gt;0</formula>
    </cfRule>
  </conditionalFormatting>
  <conditionalFormatting sqref="N1174:R1174">
    <cfRule type="notContainsBlanks" dxfId="4464" priority="4620">
      <formula>LEN(TRIM(N1174))&gt;0</formula>
    </cfRule>
  </conditionalFormatting>
  <conditionalFormatting sqref="N1174:R1174">
    <cfRule type="notContainsBlanks" priority="4619">
      <formula>LEN(TRIM(N1174))&gt;0</formula>
    </cfRule>
  </conditionalFormatting>
  <conditionalFormatting sqref="N1174:R1174">
    <cfRule type="notContainsBlanks" dxfId="4463" priority="4618">
      <formula>LEN(TRIM(N1174))&gt;0</formula>
    </cfRule>
  </conditionalFormatting>
  <conditionalFormatting sqref="N1174:R1174">
    <cfRule type="notContainsBlanks" dxfId="4462" priority="4617">
      <formula>LEN(TRIM(N1174))&gt;0</formula>
    </cfRule>
  </conditionalFormatting>
  <conditionalFormatting sqref="N1174:R1174">
    <cfRule type="notContainsBlanks" dxfId="4461" priority="4616">
      <formula>LEN(TRIM(N1174))&gt;0</formula>
    </cfRule>
  </conditionalFormatting>
  <conditionalFormatting sqref="N1174:R1174">
    <cfRule type="notContainsBlanks" dxfId="4460" priority="4615">
      <formula>LEN(TRIM(N1174))&gt;0</formula>
    </cfRule>
  </conditionalFormatting>
  <conditionalFormatting sqref="N1174:R1174">
    <cfRule type="notContainsBlanks" dxfId="4459" priority="4614">
      <formula>LEN(TRIM(N1174))&gt;0</formula>
    </cfRule>
  </conditionalFormatting>
  <conditionalFormatting sqref="N1187:R1187">
    <cfRule type="notContainsBlanks" dxfId="4458" priority="4613">
      <formula>LEN(TRIM(N1187))&gt;0</formula>
    </cfRule>
  </conditionalFormatting>
  <conditionalFormatting sqref="N1187:R1187">
    <cfRule type="notContainsBlanks" dxfId="4457" priority="4612">
      <formula>LEN(TRIM(N1187))&gt;0</formula>
    </cfRule>
  </conditionalFormatting>
  <conditionalFormatting sqref="N1187:R1187">
    <cfRule type="notContainsBlanks" dxfId="4456" priority="4611">
      <formula>LEN(TRIM(N1187))&gt;0</formula>
    </cfRule>
  </conditionalFormatting>
  <conditionalFormatting sqref="N1187:R1187">
    <cfRule type="notContainsBlanks" dxfId="4455" priority="4610">
      <formula>LEN(TRIM(N1187))&gt;0</formula>
    </cfRule>
  </conditionalFormatting>
  <conditionalFormatting sqref="N1187:R1187">
    <cfRule type="notContainsBlanks" dxfId="4454" priority="4609">
      <formula>LEN(TRIM(N1187))&gt;0</formula>
    </cfRule>
  </conditionalFormatting>
  <conditionalFormatting sqref="N1187:R1187">
    <cfRule type="notContainsBlanks" dxfId="4453" priority="4608">
      <formula>LEN(TRIM(N1187))&gt;0</formula>
    </cfRule>
  </conditionalFormatting>
  <conditionalFormatting sqref="N1187:R1187">
    <cfRule type="notContainsBlanks" dxfId="4452" priority="4607">
      <formula>LEN(TRIM(N1187))&gt;0</formula>
    </cfRule>
  </conditionalFormatting>
  <conditionalFormatting sqref="N1187:R1187">
    <cfRule type="notContainsBlanks" dxfId="4451" priority="4606">
      <formula>LEN(TRIM(N1187))&gt;0</formula>
    </cfRule>
  </conditionalFormatting>
  <conditionalFormatting sqref="N1187:R1187">
    <cfRule type="notContainsBlanks" dxfId="4450" priority="4605">
      <formula>LEN(TRIM(N1187))&gt;0</formula>
    </cfRule>
  </conditionalFormatting>
  <conditionalFormatting sqref="N1187:R1187">
    <cfRule type="notContainsBlanks" dxfId="4449" priority="4603">
      <formula>LEN(TRIM(N1187))&gt;0</formula>
    </cfRule>
    <cfRule type="notContainsBlanks" dxfId="4448" priority="4604">
      <formula>LEN(TRIM(N1187))&gt;0</formula>
    </cfRule>
  </conditionalFormatting>
  <conditionalFormatting sqref="N1187:R1187">
    <cfRule type="notContainsBlanks" dxfId="4447" priority="4602">
      <formula>LEN(TRIM(N1187))&gt;0</formula>
    </cfRule>
  </conditionalFormatting>
  <conditionalFormatting sqref="N1187:R1187">
    <cfRule type="notContainsBlanks" dxfId="4446" priority="4601">
      <formula>LEN(TRIM(N1187))&gt;0</formula>
    </cfRule>
  </conditionalFormatting>
  <conditionalFormatting sqref="N1187:R1187">
    <cfRule type="notContainsBlanks" dxfId="4445" priority="4600">
      <formula>LEN(TRIM(N1187))&gt;0</formula>
    </cfRule>
  </conditionalFormatting>
  <conditionalFormatting sqref="N1187:R1187">
    <cfRule type="notContainsBlanks" dxfId="4444" priority="4599">
      <formula>LEN(TRIM(N1187))&gt;0</formula>
    </cfRule>
  </conditionalFormatting>
  <conditionalFormatting sqref="N1187:R1187">
    <cfRule type="notContainsBlanks" dxfId="4443" priority="4598">
      <formula>LEN(TRIM(N1187))&gt;0</formula>
    </cfRule>
  </conditionalFormatting>
  <conditionalFormatting sqref="N1187:R1187">
    <cfRule type="notContainsBlanks" dxfId="4442" priority="4597">
      <formula>LEN(TRIM(N1187))&gt;0</formula>
    </cfRule>
  </conditionalFormatting>
  <conditionalFormatting sqref="N1187:R1187">
    <cfRule type="notContainsBlanks" dxfId="4441" priority="4596">
      <formula>LEN(TRIM(N1187))&gt;0</formula>
    </cfRule>
  </conditionalFormatting>
  <conditionalFormatting sqref="N1187:R1187">
    <cfRule type="notContainsBlanks" dxfId="4440" priority="4595">
      <formula>LEN(TRIM(N1187))&gt;0</formula>
    </cfRule>
  </conditionalFormatting>
  <conditionalFormatting sqref="N1187:R1187">
    <cfRule type="notContainsBlanks" dxfId="4439" priority="4594">
      <formula>LEN(TRIM(N1187))&gt;0</formula>
    </cfRule>
  </conditionalFormatting>
  <conditionalFormatting sqref="N1187:R1187">
    <cfRule type="notContainsBlanks" priority="4593">
      <formula>LEN(TRIM(N1187))&gt;0</formula>
    </cfRule>
  </conditionalFormatting>
  <conditionalFormatting sqref="N1187:R1187">
    <cfRule type="notContainsBlanks" dxfId="4438" priority="4592">
      <formula>LEN(TRIM(N1187))&gt;0</formula>
    </cfRule>
  </conditionalFormatting>
  <conditionalFormatting sqref="N1187:R1187">
    <cfRule type="notContainsBlanks" dxfId="4437" priority="4591">
      <formula>LEN(TRIM(N1187))&gt;0</formula>
    </cfRule>
  </conditionalFormatting>
  <conditionalFormatting sqref="N1187:R1187">
    <cfRule type="notContainsBlanks" dxfId="4436" priority="4590">
      <formula>LEN(TRIM(N1187))&gt;0</formula>
    </cfRule>
  </conditionalFormatting>
  <conditionalFormatting sqref="N1187:R1187">
    <cfRule type="notContainsBlanks" dxfId="4435" priority="4589">
      <formula>LEN(TRIM(N1187))&gt;0</formula>
    </cfRule>
  </conditionalFormatting>
  <conditionalFormatting sqref="N1187:R1187">
    <cfRule type="notContainsBlanks" dxfId="4434" priority="4588">
      <formula>LEN(TRIM(N1187))&gt;0</formula>
    </cfRule>
  </conditionalFormatting>
  <conditionalFormatting sqref="N1200:R1200">
    <cfRule type="notContainsBlanks" dxfId="4433" priority="4587">
      <formula>LEN(TRIM(N1200))&gt;0</formula>
    </cfRule>
  </conditionalFormatting>
  <conditionalFormatting sqref="N1200:R1200">
    <cfRule type="notContainsBlanks" dxfId="4432" priority="4586">
      <formula>LEN(TRIM(N1200))&gt;0</formula>
    </cfRule>
  </conditionalFormatting>
  <conditionalFormatting sqref="N1200:R1200">
    <cfRule type="notContainsBlanks" dxfId="4431" priority="4585">
      <formula>LEN(TRIM(N1200))&gt;0</formula>
    </cfRule>
  </conditionalFormatting>
  <conditionalFormatting sqref="N1200:R1200">
    <cfRule type="notContainsBlanks" dxfId="4430" priority="4584">
      <formula>LEN(TRIM(N1200))&gt;0</formula>
    </cfRule>
  </conditionalFormatting>
  <conditionalFormatting sqref="N1200:R1200">
    <cfRule type="notContainsBlanks" dxfId="4429" priority="4583">
      <formula>LEN(TRIM(N1200))&gt;0</formula>
    </cfRule>
  </conditionalFormatting>
  <conditionalFormatting sqref="N1200:R1200">
    <cfRule type="notContainsBlanks" dxfId="4428" priority="4582">
      <formula>LEN(TRIM(N1200))&gt;0</formula>
    </cfRule>
  </conditionalFormatting>
  <conditionalFormatting sqref="N1200:R1200">
    <cfRule type="notContainsBlanks" dxfId="4427" priority="4581">
      <formula>LEN(TRIM(N1200))&gt;0</formula>
    </cfRule>
  </conditionalFormatting>
  <conditionalFormatting sqref="N1200:R1200">
    <cfRule type="notContainsBlanks" dxfId="4426" priority="4580">
      <formula>LEN(TRIM(N1200))&gt;0</formula>
    </cfRule>
  </conditionalFormatting>
  <conditionalFormatting sqref="N1200:R1200">
    <cfRule type="notContainsBlanks" dxfId="4425" priority="4579">
      <formula>LEN(TRIM(N1200))&gt;0</formula>
    </cfRule>
  </conditionalFormatting>
  <conditionalFormatting sqref="N1200:R1200">
    <cfRule type="notContainsBlanks" dxfId="4424" priority="4577">
      <formula>LEN(TRIM(N1200))&gt;0</formula>
    </cfRule>
    <cfRule type="notContainsBlanks" dxfId="4423" priority="4578">
      <formula>LEN(TRIM(N1200))&gt;0</formula>
    </cfRule>
  </conditionalFormatting>
  <conditionalFormatting sqref="N1200:R1200">
    <cfRule type="notContainsBlanks" dxfId="4422" priority="4576">
      <formula>LEN(TRIM(N1200))&gt;0</formula>
    </cfRule>
  </conditionalFormatting>
  <conditionalFormatting sqref="N1200:R1200">
    <cfRule type="notContainsBlanks" dxfId="4421" priority="4575">
      <formula>LEN(TRIM(N1200))&gt;0</formula>
    </cfRule>
  </conditionalFormatting>
  <conditionalFormatting sqref="N1200:R1200">
    <cfRule type="notContainsBlanks" dxfId="4420" priority="4574">
      <formula>LEN(TRIM(N1200))&gt;0</formula>
    </cfRule>
  </conditionalFormatting>
  <conditionalFormatting sqref="N1200:R1200">
    <cfRule type="notContainsBlanks" dxfId="4419" priority="4573">
      <formula>LEN(TRIM(N1200))&gt;0</formula>
    </cfRule>
  </conditionalFormatting>
  <conditionalFormatting sqref="N1200:R1200">
    <cfRule type="notContainsBlanks" dxfId="4418" priority="4572">
      <formula>LEN(TRIM(N1200))&gt;0</formula>
    </cfRule>
  </conditionalFormatting>
  <conditionalFormatting sqref="N1200:R1200">
    <cfRule type="notContainsBlanks" dxfId="4417" priority="4571">
      <formula>LEN(TRIM(N1200))&gt;0</formula>
    </cfRule>
  </conditionalFormatting>
  <conditionalFormatting sqref="N1200:R1200">
    <cfRule type="notContainsBlanks" dxfId="4416" priority="4570">
      <formula>LEN(TRIM(N1200))&gt;0</formula>
    </cfRule>
  </conditionalFormatting>
  <conditionalFormatting sqref="N1200:R1200">
    <cfRule type="notContainsBlanks" dxfId="4415" priority="4569">
      <formula>LEN(TRIM(N1200))&gt;0</formula>
    </cfRule>
  </conditionalFormatting>
  <conditionalFormatting sqref="N1200:R1200">
    <cfRule type="notContainsBlanks" dxfId="4414" priority="4568">
      <formula>LEN(TRIM(N1200))&gt;0</formula>
    </cfRule>
  </conditionalFormatting>
  <conditionalFormatting sqref="N1200:R1200">
    <cfRule type="notContainsBlanks" priority="4567">
      <formula>LEN(TRIM(N1200))&gt;0</formula>
    </cfRule>
  </conditionalFormatting>
  <conditionalFormatting sqref="N1200:R1200">
    <cfRule type="notContainsBlanks" dxfId="4413" priority="4566">
      <formula>LEN(TRIM(N1200))&gt;0</formula>
    </cfRule>
  </conditionalFormatting>
  <conditionalFormatting sqref="N1200:R1200">
    <cfRule type="notContainsBlanks" dxfId="4412" priority="4565">
      <formula>LEN(TRIM(N1200))&gt;0</formula>
    </cfRule>
  </conditionalFormatting>
  <conditionalFormatting sqref="N1200:R1200">
    <cfRule type="notContainsBlanks" dxfId="4411" priority="4564">
      <formula>LEN(TRIM(N1200))&gt;0</formula>
    </cfRule>
  </conditionalFormatting>
  <conditionalFormatting sqref="N1200:R1200">
    <cfRule type="notContainsBlanks" dxfId="4410" priority="4563">
      <formula>LEN(TRIM(N1200))&gt;0</formula>
    </cfRule>
  </conditionalFormatting>
  <conditionalFormatting sqref="N1200:R1200">
    <cfRule type="notContainsBlanks" dxfId="4409" priority="4562">
      <formula>LEN(TRIM(N1200))&gt;0</formula>
    </cfRule>
  </conditionalFormatting>
  <conditionalFormatting sqref="N1213:R1213">
    <cfRule type="notContainsBlanks" dxfId="4408" priority="4561">
      <formula>LEN(TRIM(N1213))&gt;0</formula>
    </cfRule>
  </conditionalFormatting>
  <conditionalFormatting sqref="N1213:R1213">
    <cfRule type="notContainsBlanks" dxfId="4407" priority="4560">
      <formula>LEN(TRIM(N1213))&gt;0</formula>
    </cfRule>
  </conditionalFormatting>
  <conditionalFormatting sqref="N1213:R1213">
    <cfRule type="notContainsBlanks" dxfId="4406" priority="4559">
      <formula>LEN(TRIM(N1213))&gt;0</formula>
    </cfRule>
  </conditionalFormatting>
  <conditionalFormatting sqref="N1213:R1213">
    <cfRule type="notContainsBlanks" dxfId="4405" priority="4558">
      <formula>LEN(TRIM(N1213))&gt;0</formula>
    </cfRule>
  </conditionalFormatting>
  <conditionalFormatting sqref="N1213:R1213">
    <cfRule type="notContainsBlanks" dxfId="4404" priority="4557">
      <formula>LEN(TRIM(N1213))&gt;0</formula>
    </cfRule>
  </conditionalFormatting>
  <conditionalFormatting sqref="N1213:R1213">
    <cfRule type="notContainsBlanks" dxfId="4403" priority="4556">
      <formula>LEN(TRIM(N1213))&gt;0</formula>
    </cfRule>
  </conditionalFormatting>
  <conditionalFormatting sqref="N1213:R1213">
    <cfRule type="notContainsBlanks" dxfId="4402" priority="4555">
      <formula>LEN(TRIM(N1213))&gt;0</formula>
    </cfRule>
  </conditionalFormatting>
  <conditionalFormatting sqref="N1213:R1213">
    <cfRule type="notContainsBlanks" dxfId="4401" priority="4554">
      <formula>LEN(TRIM(N1213))&gt;0</formula>
    </cfRule>
  </conditionalFormatting>
  <conditionalFormatting sqref="N1213:R1213">
    <cfRule type="notContainsBlanks" dxfId="4400" priority="4553">
      <formula>LEN(TRIM(N1213))&gt;0</formula>
    </cfRule>
  </conditionalFormatting>
  <conditionalFormatting sqref="N1213:R1213">
    <cfRule type="notContainsBlanks" dxfId="4399" priority="4551">
      <formula>LEN(TRIM(N1213))&gt;0</formula>
    </cfRule>
    <cfRule type="notContainsBlanks" dxfId="4398" priority="4552">
      <formula>LEN(TRIM(N1213))&gt;0</formula>
    </cfRule>
  </conditionalFormatting>
  <conditionalFormatting sqref="N1213:R1213">
    <cfRule type="notContainsBlanks" dxfId="4397" priority="4550">
      <formula>LEN(TRIM(N1213))&gt;0</formula>
    </cfRule>
  </conditionalFormatting>
  <conditionalFormatting sqref="N1213:R1213">
    <cfRule type="notContainsBlanks" dxfId="4396" priority="4549">
      <formula>LEN(TRIM(N1213))&gt;0</formula>
    </cfRule>
  </conditionalFormatting>
  <conditionalFormatting sqref="N1213:R1213">
    <cfRule type="notContainsBlanks" dxfId="4395" priority="4548">
      <formula>LEN(TRIM(N1213))&gt;0</formula>
    </cfRule>
  </conditionalFormatting>
  <conditionalFormatting sqref="N1213:R1213">
    <cfRule type="notContainsBlanks" dxfId="4394" priority="4547">
      <formula>LEN(TRIM(N1213))&gt;0</formula>
    </cfRule>
  </conditionalFormatting>
  <conditionalFormatting sqref="N1213:R1213">
    <cfRule type="notContainsBlanks" dxfId="4393" priority="4546">
      <formula>LEN(TRIM(N1213))&gt;0</formula>
    </cfRule>
  </conditionalFormatting>
  <conditionalFormatting sqref="N1213:R1213">
    <cfRule type="notContainsBlanks" dxfId="4392" priority="4545">
      <formula>LEN(TRIM(N1213))&gt;0</formula>
    </cfRule>
  </conditionalFormatting>
  <conditionalFormatting sqref="N1213:R1213">
    <cfRule type="notContainsBlanks" dxfId="4391" priority="4544">
      <formula>LEN(TRIM(N1213))&gt;0</formula>
    </cfRule>
  </conditionalFormatting>
  <conditionalFormatting sqref="N1213:R1213">
    <cfRule type="notContainsBlanks" dxfId="4390" priority="4543">
      <formula>LEN(TRIM(N1213))&gt;0</formula>
    </cfRule>
  </conditionalFormatting>
  <conditionalFormatting sqref="N1213:R1213">
    <cfRule type="notContainsBlanks" dxfId="4389" priority="4542">
      <formula>LEN(TRIM(N1213))&gt;0</formula>
    </cfRule>
  </conditionalFormatting>
  <conditionalFormatting sqref="N1213:R1213">
    <cfRule type="notContainsBlanks" priority="4541">
      <formula>LEN(TRIM(N1213))&gt;0</formula>
    </cfRule>
  </conditionalFormatting>
  <conditionalFormatting sqref="N1213:R1213">
    <cfRule type="notContainsBlanks" dxfId="4388" priority="4540">
      <formula>LEN(TRIM(N1213))&gt;0</formula>
    </cfRule>
  </conditionalFormatting>
  <conditionalFormatting sqref="N1213:R1213">
    <cfRule type="notContainsBlanks" dxfId="4387" priority="4539">
      <formula>LEN(TRIM(N1213))&gt;0</formula>
    </cfRule>
  </conditionalFormatting>
  <conditionalFormatting sqref="N1213:R1213">
    <cfRule type="notContainsBlanks" dxfId="4386" priority="4538">
      <formula>LEN(TRIM(N1213))&gt;0</formula>
    </cfRule>
  </conditionalFormatting>
  <conditionalFormatting sqref="N1213:R1213">
    <cfRule type="notContainsBlanks" dxfId="4385" priority="4537">
      <formula>LEN(TRIM(N1213))&gt;0</formula>
    </cfRule>
  </conditionalFormatting>
  <conditionalFormatting sqref="N1213:R1213">
    <cfRule type="notContainsBlanks" dxfId="4384" priority="4536">
      <formula>LEN(TRIM(N1213))&gt;0</formula>
    </cfRule>
  </conditionalFormatting>
  <conditionalFormatting sqref="N1226:R1226">
    <cfRule type="notContainsBlanks" dxfId="4383" priority="4535">
      <formula>LEN(TRIM(N1226))&gt;0</formula>
    </cfRule>
  </conditionalFormatting>
  <conditionalFormatting sqref="N1226:R1226">
    <cfRule type="notContainsBlanks" dxfId="4382" priority="4534">
      <formula>LEN(TRIM(N1226))&gt;0</formula>
    </cfRule>
  </conditionalFormatting>
  <conditionalFormatting sqref="N1226:R1226">
    <cfRule type="notContainsBlanks" dxfId="4381" priority="4533">
      <formula>LEN(TRIM(N1226))&gt;0</formula>
    </cfRule>
  </conditionalFormatting>
  <conditionalFormatting sqref="N1226:R1226">
    <cfRule type="notContainsBlanks" dxfId="4380" priority="4532">
      <formula>LEN(TRIM(N1226))&gt;0</formula>
    </cfRule>
  </conditionalFormatting>
  <conditionalFormatting sqref="N1226:R1226">
    <cfRule type="notContainsBlanks" dxfId="4379" priority="4531">
      <formula>LEN(TRIM(N1226))&gt;0</formula>
    </cfRule>
  </conditionalFormatting>
  <conditionalFormatting sqref="N1226:R1226">
    <cfRule type="notContainsBlanks" dxfId="4378" priority="4530">
      <formula>LEN(TRIM(N1226))&gt;0</formula>
    </cfRule>
  </conditionalFormatting>
  <conditionalFormatting sqref="N1226:R1226">
    <cfRule type="notContainsBlanks" dxfId="4377" priority="4529">
      <formula>LEN(TRIM(N1226))&gt;0</formula>
    </cfRule>
  </conditionalFormatting>
  <conditionalFormatting sqref="N1226:R1226">
    <cfRule type="notContainsBlanks" dxfId="4376" priority="4528">
      <formula>LEN(TRIM(N1226))&gt;0</formula>
    </cfRule>
  </conditionalFormatting>
  <conditionalFormatting sqref="N1226:R1226">
    <cfRule type="notContainsBlanks" dxfId="4375" priority="4527">
      <formula>LEN(TRIM(N1226))&gt;0</formula>
    </cfRule>
  </conditionalFormatting>
  <conditionalFormatting sqref="N1226:R1226">
    <cfRule type="notContainsBlanks" dxfId="4374" priority="4525">
      <formula>LEN(TRIM(N1226))&gt;0</formula>
    </cfRule>
    <cfRule type="notContainsBlanks" dxfId="4373" priority="4526">
      <formula>LEN(TRIM(N1226))&gt;0</formula>
    </cfRule>
  </conditionalFormatting>
  <conditionalFormatting sqref="N1226:R1226">
    <cfRule type="notContainsBlanks" dxfId="4372" priority="4524">
      <formula>LEN(TRIM(N1226))&gt;0</formula>
    </cfRule>
  </conditionalFormatting>
  <conditionalFormatting sqref="N1226:R1226">
    <cfRule type="notContainsBlanks" dxfId="4371" priority="4523">
      <formula>LEN(TRIM(N1226))&gt;0</formula>
    </cfRule>
  </conditionalFormatting>
  <conditionalFormatting sqref="N1226:R1226">
    <cfRule type="notContainsBlanks" dxfId="4370" priority="4522">
      <formula>LEN(TRIM(N1226))&gt;0</formula>
    </cfRule>
  </conditionalFormatting>
  <conditionalFormatting sqref="N1226:R1226">
    <cfRule type="notContainsBlanks" dxfId="4369" priority="4521">
      <formula>LEN(TRIM(N1226))&gt;0</formula>
    </cfRule>
  </conditionalFormatting>
  <conditionalFormatting sqref="N1226:R1226">
    <cfRule type="notContainsBlanks" dxfId="4368" priority="4520">
      <formula>LEN(TRIM(N1226))&gt;0</formula>
    </cfRule>
  </conditionalFormatting>
  <conditionalFormatting sqref="N1226:R1226">
    <cfRule type="notContainsBlanks" dxfId="4367" priority="4519">
      <formula>LEN(TRIM(N1226))&gt;0</formula>
    </cfRule>
  </conditionalFormatting>
  <conditionalFormatting sqref="N1226:R1226">
    <cfRule type="notContainsBlanks" dxfId="4366" priority="4518">
      <formula>LEN(TRIM(N1226))&gt;0</formula>
    </cfRule>
  </conditionalFormatting>
  <conditionalFormatting sqref="N1226:R1226">
    <cfRule type="notContainsBlanks" dxfId="4365" priority="4517">
      <formula>LEN(TRIM(N1226))&gt;0</formula>
    </cfRule>
  </conditionalFormatting>
  <conditionalFormatting sqref="N1226:R1226">
    <cfRule type="notContainsBlanks" dxfId="4364" priority="4516">
      <formula>LEN(TRIM(N1226))&gt;0</formula>
    </cfRule>
  </conditionalFormatting>
  <conditionalFormatting sqref="N1226:R1226">
    <cfRule type="notContainsBlanks" priority="4515">
      <formula>LEN(TRIM(N1226))&gt;0</formula>
    </cfRule>
  </conditionalFormatting>
  <conditionalFormatting sqref="N1226:R1226">
    <cfRule type="notContainsBlanks" dxfId="4363" priority="4514">
      <formula>LEN(TRIM(N1226))&gt;0</formula>
    </cfRule>
  </conditionalFormatting>
  <conditionalFormatting sqref="N1226:R1226">
    <cfRule type="notContainsBlanks" dxfId="4362" priority="4513">
      <formula>LEN(TRIM(N1226))&gt;0</formula>
    </cfRule>
  </conditionalFormatting>
  <conditionalFormatting sqref="N1226:R1226">
    <cfRule type="notContainsBlanks" dxfId="4361" priority="4512">
      <formula>LEN(TRIM(N1226))&gt;0</formula>
    </cfRule>
  </conditionalFormatting>
  <conditionalFormatting sqref="N1226:R1226">
    <cfRule type="notContainsBlanks" dxfId="4360" priority="4511">
      <formula>LEN(TRIM(N1226))&gt;0</formula>
    </cfRule>
  </conditionalFormatting>
  <conditionalFormatting sqref="N1226:R1226">
    <cfRule type="notContainsBlanks" dxfId="4359" priority="4510">
      <formula>LEN(TRIM(N1226))&gt;0</formula>
    </cfRule>
  </conditionalFormatting>
  <conditionalFormatting sqref="N1239:R1239">
    <cfRule type="notContainsBlanks" dxfId="4358" priority="4509">
      <formula>LEN(TRIM(N1239))&gt;0</formula>
    </cfRule>
  </conditionalFormatting>
  <conditionalFormatting sqref="N1239:R1239">
    <cfRule type="notContainsBlanks" dxfId="4357" priority="4508">
      <formula>LEN(TRIM(N1239))&gt;0</formula>
    </cfRule>
  </conditionalFormatting>
  <conditionalFormatting sqref="N1239:R1239">
    <cfRule type="notContainsBlanks" dxfId="4356" priority="4507">
      <formula>LEN(TRIM(N1239))&gt;0</formula>
    </cfRule>
  </conditionalFormatting>
  <conditionalFormatting sqref="N1239:R1239">
    <cfRule type="notContainsBlanks" dxfId="4355" priority="4506">
      <formula>LEN(TRIM(N1239))&gt;0</formula>
    </cfRule>
  </conditionalFormatting>
  <conditionalFormatting sqref="N1239:R1239">
    <cfRule type="notContainsBlanks" dxfId="4354" priority="4505">
      <formula>LEN(TRIM(N1239))&gt;0</formula>
    </cfRule>
  </conditionalFormatting>
  <conditionalFormatting sqref="N1239:R1239">
    <cfRule type="notContainsBlanks" dxfId="4353" priority="4504">
      <formula>LEN(TRIM(N1239))&gt;0</formula>
    </cfRule>
  </conditionalFormatting>
  <conditionalFormatting sqref="N1239:R1239">
    <cfRule type="notContainsBlanks" dxfId="4352" priority="4503">
      <formula>LEN(TRIM(N1239))&gt;0</formula>
    </cfRule>
  </conditionalFormatting>
  <conditionalFormatting sqref="N1239:R1239">
    <cfRule type="notContainsBlanks" dxfId="4351" priority="4502">
      <formula>LEN(TRIM(N1239))&gt;0</formula>
    </cfRule>
  </conditionalFormatting>
  <conditionalFormatting sqref="N1239:R1239">
    <cfRule type="notContainsBlanks" dxfId="4350" priority="4501">
      <formula>LEN(TRIM(N1239))&gt;0</formula>
    </cfRule>
  </conditionalFormatting>
  <conditionalFormatting sqref="N1239:R1239">
    <cfRule type="notContainsBlanks" dxfId="4349" priority="4499">
      <formula>LEN(TRIM(N1239))&gt;0</formula>
    </cfRule>
    <cfRule type="notContainsBlanks" dxfId="4348" priority="4500">
      <formula>LEN(TRIM(N1239))&gt;0</formula>
    </cfRule>
  </conditionalFormatting>
  <conditionalFormatting sqref="N1239:R1239">
    <cfRule type="notContainsBlanks" dxfId="4347" priority="4498">
      <formula>LEN(TRIM(N1239))&gt;0</formula>
    </cfRule>
  </conditionalFormatting>
  <conditionalFormatting sqref="N1239:R1239">
    <cfRule type="notContainsBlanks" dxfId="4346" priority="4497">
      <formula>LEN(TRIM(N1239))&gt;0</formula>
    </cfRule>
  </conditionalFormatting>
  <conditionalFormatting sqref="N1239:R1239">
    <cfRule type="notContainsBlanks" dxfId="4345" priority="4496">
      <formula>LEN(TRIM(N1239))&gt;0</formula>
    </cfRule>
  </conditionalFormatting>
  <conditionalFormatting sqref="N1239:R1239">
    <cfRule type="notContainsBlanks" dxfId="4344" priority="4495">
      <formula>LEN(TRIM(N1239))&gt;0</formula>
    </cfRule>
  </conditionalFormatting>
  <conditionalFormatting sqref="N1239:R1239">
    <cfRule type="notContainsBlanks" dxfId="4343" priority="4494">
      <formula>LEN(TRIM(N1239))&gt;0</formula>
    </cfRule>
  </conditionalFormatting>
  <conditionalFormatting sqref="N1239:R1239">
    <cfRule type="notContainsBlanks" dxfId="4342" priority="4493">
      <formula>LEN(TRIM(N1239))&gt;0</formula>
    </cfRule>
  </conditionalFormatting>
  <conditionalFormatting sqref="N1239:R1239">
    <cfRule type="notContainsBlanks" dxfId="4341" priority="4492">
      <formula>LEN(TRIM(N1239))&gt;0</formula>
    </cfRule>
  </conditionalFormatting>
  <conditionalFormatting sqref="N1239:R1239">
    <cfRule type="notContainsBlanks" dxfId="4340" priority="4491">
      <formula>LEN(TRIM(N1239))&gt;0</formula>
    </cfRule>
  </conditionalFormatting>
  <conditionalFormatting sqref="N1239:R1239">
    <cfRule type="notContainsBlanks" dxfId="4339" priority="4490">
      <formula>LEN(TRIM(N1239))&gt;0</formula>
    </cfRule>
  </conditionalFormatting>
  <conditionalFormatting sqref="N1239:R1239">
    <cfRule type="notContainsBlanks" priority="4489">
      <formula>LEN(TRIM(N1239))&gt;0</formula>
    </cfRule>
  </conditionalFormatting>
  <conditionalFormatting sqref="N1239:R1239">
    <cfRule type="notContainsBlanks" dxfId="4338" priority="4488">
      <formula>LEN(TRIM(N1239))&gt;0</formula>
    </cfRule>
  </conditionalFormatting>
  <conditionalFormatting sqref="N1239:R1239">
    <cfRule type="notContainsBlanks" dxfId="4337" priority="4487">
      <formula>LEN(TRIM(N1239))&gt;0</formula>
    </cfRule>
  </conditionalFormatting>
  <conditionalFormatting sqref="N1239:R1239">
    <cfRule type="notContainsBlanks" dxfId="4336" priority="4486">
      <formula>LEN(TRIM(N1239))&gt;0</formula>
    </cfRule>
  </conditionalFormatting>
  <conditionalFormatting sqref="N1239:R1239">
    <cfRule type="notContainsBlanks" dxfId="4335" priority="4485">
      <formula>LEN(TRIM(N1239))&gt;0</formula>
    </cfRule>
  </conditionalFormatting>
  <conditionalFormatting sqref="N1239:R1239">
    <cfRule type="notContainsBlanks" dxfId="4334" priority="4484">
      <formula>LEN(TRIM(N1239))&gt;0</formula>
    </cfRule>
  </conditionalFormatting>
  <conditionalFormatting sqref="N1252:R1252">
    <cfRule type="notContainsBlanks" dxfId="4333" priority="4483">
      <formula>LEN(TRIM(N1252))&gt;0</formula>
    </cfRule>
  </conditionalFormatting>
  <conditionalFormatting sqref="N1252:R1252">
    <cfRule type="notContainsBlanks" dxfId="4332" priority="4482">
      <formula>LEN(TRIM(N1252))&gt;0</formula>
    </cfRule>
  </conditionalFormatting>
  <conditionalFormatting sqref="N1252:R1252">
    <cfRule type="notContainsBlanks" dxfId="4331" priority="4481">
      <formula>LEN(TRIM(N1252))&gt;0</formula>
    </cfRule>
  </conditionalFormatting>
  <conditionalFormatting sqref="N1252:R1252">
    <cfRule type="notContainsBlanks" dxfId="4330" priority="4480">
      <formula>LEN(TRIM(N1252))&gt;0</formula>
    </cfRule>
  </conditionalFormatting>
  <conditionalFormatting sqref="N1252:R1252">
    <cfRule type="notContainsBlanks" dxfId="4329" priority="4479">
      <formula>LEN(TRIM(N1252))&gt;0</formula>
    </cfRule>
  </conditionalFormatting>
  <conditionalFormatting sqref="N1252:R1252">
    <cfRule type="notContainsBlanks" dxfId="4328" priority="4478">
      <formula>LEN(TRIM(N1252))&gt;0</formula>
    </cfRule>
  </conditionalFormatting>
  <conditionalFormatting sqref="N1252:R1252">
    <cfRule type="notContainsBlanks" dxfId="4327" priority="4477">
      <formula>LEN(TRIM(N1252))&gt;0</formula>
    </cfRule>
  </conditionalFormatting>
  <conditionalFormatting sqref="N1252:R1252">
    <cfRule type="notContainsBlanks" dxfId="4326" priority="4476">
      <formula>LEN(TRIM(N1252))&gt;0</formula>
    </cfRule>
  </conditionalFormatting>
  <conditionalFormatting sqref="N1252:R1252">
    <cfRule type="notContainsBlanks" dxfId="4325" priority="4475">
      <formula>LEN(TRIM(N1252))&gt;0</formula>
    </cfRule>
  </conditionalFormatting>
  <conditionalFormatting sqref="N1252:R1252">
    <cfRule type="notContainsBlanks" dxfId="4324" priority="4473">
      <formula>LEN(TRIM(N1252))&gt;0</formula>
    </cfRule>
    <cfRule type="notContainsBlanks" dxfId="4323" priority="4474">
      <formula>LEN(TRIM(N1252))&gt;0</formula>
    </cfRule>
  </conditionalFormatting>
  <conditionalFormatting sqref="N1252:R1252">
    <cfRule type="notContainsBlanks" dxfId="4322" priority="4472">
      <formula>LEN(TRIM(N1252))&gt;0</formula>
    </cfRule>
  </conditionalFormatting>
  <conditionalFormatting sqref="N1252:R1252">
    <cfRule type="notContainsBlanks" dxfId="4321" priority="4471">
      <formula>LEN(TRIM(N1252))&gt;0</formula>
    </cfRule>
  </conditionalFormatting>
  <conditionalFormatting sqref="N1252:R1252">
    <cfRule type="notContainsBlanks" dxfId="4320" priority="4470">
      <formula>LEN(TRIM(N1252))&gt;0</formula>
    </cfRule>
  </conditionalFormatting>
  <conditionalFormatting sqref="N1252:R1252">
    <cfRule type="notContainsBlanks" dxfId="4319" priority="4469">
      <formula>LEN(TRIM(N1252))&gt;0</formula>
    </cfRule>
  </conditionalFormatting>
  <conditionalFormatting sqref="N1252:R1252">
    <cfRule type="notContainsBlanks" dxfId="4318" priority="4468">
      <formula>LEN(TRIM(N1252))&gt;0</formula>
    </cfRule>
  </conditionalFormatting>
  <conditionalFormatting sqref="N1252:R1252">
    <cfRule type="notContainsBlanks" dxfId="4317" priority="4467">
      <formula>LEN(TRIM(N1252))&gt;0</formula>
    </cfRule>
  </conditionalFormatting>
  <conditionalFormatting sqref="N1252:R1252">
    <cfRule type="notContainsBlanks" dxfId="4316" priority="4466">
      <formula>LEN(TRIM(N1252))&gt;0</formula>
    </cfRule>
  </conditionalFormatting>
  <conditionalFormatting sqref="N1252:R1252">
    <cfRule type="notContainsBlanks" dxfId="4315" priority="4465">
      <formula>LEN(TRIM(N1252))&gt;0</formula>
    </cfRule>
  </conditionalFormatting>
  <conditionalFormatting sqref="N1252:R1252">
    <cfRule type="notContainsBlanks" dxfId="4314" priority="4464">
      <formula>LEN(TRIM(N1252))&gt;0</formula>
    </cfRule>
  </conditionalFormatting>
  <conditionalFormatting sqref="N1252:R1252">
    <cfRule type="notContainsBlanks" priority="4463">
      <formula>LEN(TRIM(N1252))&gt;0</formula>
    </cfRule>
  </conditionalFormatting>
  <conditionalFormatting sqref="N1252:R1252">
    <cfRule type="notContainsBlanks" dxfId="4313" priority="4462">
      <formula>LEN(TRIM(N1252))&gt;0</formula>
    </cfRule>
  </conditionalFormatting>
  <conditionalFormatting sqref="N1252:R1252">
    <cfRule type="notContainsBlanks" dxfId="4312" priority="4461">
      <formula>LEN(TRIM(N1252))&gt;0</formula>
    </cfRule>
  </conditionalFormatting>
  <conditionalFormatting sqref="N1252:R1252">
    <cfRule type="notContainsBlanks" dxfId="4311" priority="4460">
      <formula>LEN(TRIM(N1252))&gt;0</formula>
    </cfRule>
  </conditionalFormatting>
  <conditionalFormatting sqref="N1252:R1252">
    <cfRule type="notContainsBlanks" dxfId="4310" priority="4459">
      <formula>LEN(TRIM(N1252))&gt;0</formula>
    </cfRule>
  </conditionalFormatting>
  <conditionalFormatting sqref="N1252:R1252">
    <cfRule type="notContainsBlanks" dxfId="4309" priority="4458">
      <formula>LEN(TRIM(N1252))&gt;0</formula>
    </cfRule>
  </conditionalFormatting>
  <conditionalFormatting sqref="N1265:R1265">
    <cfRule type="notContainsBlanks" dxfId="4308" priority="4457">
      <formula>LEN(TRIM(N1265))&gt;0</formula>
    </cfRule>
  </conditionalFormatting>
  <conditionalFormatting sqref="N1265:R1265">
    <cfRule type="notContainsBlanks" dxfId="4307" priority="4456">
      <formula>LEN(TRIM(N1265))&gt;0</formula>
    </cfRule>
  </conditionalFormatting>
  <conditionalFormatting sqref="N1265:R1265">
    <cfRule type="notContainsBlanks" dxfId="4306" priority="4455">
      <formula>LEN(TRIM(N1265))&gt;0</formula>
    </cfRule>
  </conditionalFormatting>
  <conditionalFormatting sqref="N1265:R1265">
    <cfRule type="notContainsBlanks" dxfId="4305" priority="4454">
      <formula>LEN(TRIM(N1265))&gt;0</formula>
    </cfRule>
  </conditionalFormatting>
  <conditionalFormatting sqref="N1265:R1265">
    <cfRule type="notContainsBlanks" dxfId="4304" priority="4453">
      <formula>LEN(TRIM(N1265))&gt;0</formula>
    </cfRule>
  </conditionalFormatting>
  <conditionalFormatting sqref="N1265:R1265">
    <cfRule type="notContainsBlanks" dxfId="4303" priority="4452">
      <formula>LEN(TRIM(N1265))&gt;0</formula>
    </cfRule>
  </conditionalFormatting>
  <conditionalFormatting sqref="N1265:R1265">
    <cfRule type="notContainsBlanks" dxfId="4302" priority="4451">
      <formula>LEN(TRIM(N1265))&gt;0</formula>
    </cfRule>
  </conditionalFormatting>
  <conditionalFormatting sqref="N1265:R1265">
    <cfRule type="notContainsBlanks" dxfId="4301" priority="4450">
      <formula>LEN(TRIM(N1265))&gt;0</formula>
    </cfRule>
  </conditionalFormatting>
  <conditionalFormatting sqref="N1265:R1265">
    <cfRule type="notContainsBlanks" dxfId="4300" priority="4449">
      <formula>LEN(TRIM(N1265))&gt;0</formula>
    </cfRule>
  </conditionalFormatting>
  <conditionalFormatting sqref="N1265:R1265">
    <cfRule type="notContainsBlanks" dxfId="4299" priority="4447">
      <formula>LEN(TRIM(N1265))&gt;0</formula>
    </cfRule>
    <cfRule type="notContainsBlanks" dxfId="4298" priority="4448">
      <formula>LEN(TRIM(N1265))&gt;0</formula>
    </cfRule>
  </conditionalFormatting>
  <conditionalFormatting sqref="N1265:R1265">
    <cfRule type="notContainsBlanks" dxfId="4297" priority="4446">
      <formula>LEN(TRIM(N1265))&gt;0</formula>
    </cfRule>
  </conditionalFormatting>
  <conditionalFormatting sqref="N1265:R1265">
    <cfRule type="notContainsBlanks" dxfId="4296" priority="4445">
      <formula>LEN(TRIM(N1265))&gt;0</formula>
    </cfRule>
  </conditionalFormatting>
  <conditionalFormatting sqref="N1265:R1265">
    <cfRule type="notContainsBlanks" dxfId="4295" priority="4444">
      <formula>LEN(TRIM(N1265))&gt;0</formula>
    </cfRule>
  </conditionalFormatting>
  <conditionalFormatting sqref="N1265:R1265">
    <cfRule type="notContainsBlanks" dxfId="4294" priority="4443">
      <formula>LEN(TRIM(N1265))&gt;0</formula>
    </cfRule>
  </conditionalFormatting>
  <conditionalFormatting sqref="N1265:R1265">
    <cfRule type="notContainsBlanks" dxfId="4293" priority="4442">
      <formula>LEN(TRIM(N1265))&gt;0</formula>
    </cfRule>
  </conditionalFormatting>
  <conditionalFormatting sqref="N1265:R1265">
    <cfRule type="notContainsBlanks" dxfId="4292" priority="4441">
      <formula>LEN(TRIM(N1265))&gt;0</formula>
    </cfRule>
  </conditionalFormatting>
  <conditionalFormatting sqref="N1265:R1265">
    <cfRule type="notContainsBlanks" dxfId="4291" priority="4440">
      <formula>LEN(TRIM(N1265))&gt;0</formula>
    </cfRule>
  </conditionalFormatting>
  <conditionalFormatting sqref="N1265:R1265">
    <cfRule type="notContainsBlanks" dxfId="4290" priority="4439">
      <formula>LEN(TRIM(N1265))&gt;0</formula>
    </cfRule>
  </conditionalFormatting>
  <conditionalFormatting sqref="N1265:R1265">
    <cfRule type="notContainsBlanks" dxfId="4289" priority="4438">
      <formula>LEN(TRIM(N1265))&gt;0</formula>
    </cfRule>
  </conditionalFormatting>
  <conditionalFormatting sqref="N1265:R1265">
    <cfRule type="notContainsBlanks" priority="4437">
      <formula>LEN(TRIM(N1265))&gt;0</formula>
    </cfRule>
  </conditionalFormatting>
  <conditionalFormatting sqref="N1265:R1265">
    <cfRule type="notContainsBlanks" dxfId="4288" priority="4436">
      <formula>LEN(TRIM(N1265))&gt;0</formula>
    </cfRule>
  </conditionalFormatting>
  <conditionalFormatting sqref="N1265:R1265">
    <cfRule type="notContainsBlanks" dxfId="4287" priority="4435">
      <formula>LEN(TRIM(N1265))&gt;0</formula>
    </cfRule>
  </conditionalFormatting>
  <conditionalFormatting sqref="N1265:R1265">
    <cfRule type="notContainsBlanks" dxfId="4286" priority="4434">
      <formula>LEN(TRIM(N1265))&gt;0</formula>
    </cfRule>
  </conditionalFormatting>
  <conditionalFormatting sqref="N1265:R1265">
    <cfRule type="notContainsBlanks" dxfId="4285" priority="4433">
      <formula>LEN(TRIM(N1265))&gt;0</formula>
    </cfRule>
  </conditionalFormatting>
  <conditionalFormatting sqref="N1265:R1265">
    <cfRule type="notContainsBlanks" dxfId="4284" priority="4432">
      <formula>LEN(TRIM(N1265))&gt;0</formula>
    </cfRule>
  </conditionalFormatting>
  <conditionalFormatting sqref="N1278:R1278">
    <cfRule type="notContainsBlanks" dxfId="4283" priority="4431">
      <formula>LEN(TRIM(N1278))&gt;0</formula>
    </cfRule>
  </conditionalFormatting>
  <conditionalFormatting sqref="N1278:R1278">
    <cfRule type="notContainsBlanks" dxfId="4282" priority="4430">
      <formula>LEN(TRIM(N1278))&gt;0</formula>
    </cfRule>
  </conditionalFormatting>
  <conditionalFormatting sqref="N1278:R1278">
    <cfRule type="notContainsBlanks" dxfId="4281" priority="4429">
      <formula>LEN(TRIM(N1278))&gt;0</formula>
    </cfRule>
  </conditionalFormatting>
  <conditionalFormatting sqref="N1278:R1278">
    <cfRule type="notContainsBlanks" dxfId="4280" priority="4428">
      <formula>LEN(TRIM(N1278))&gt;0</formula>
    </cfRule>
  </conditionalFormatting>
  <conditionalFormatting sqref="N1278:R1278">
    <cfRule type="notContainsBlanks" dxfId="4279" priority="4427">
      <formula>LEN(TRIM(N1278))&gt;0</formula>
    </cfRule>
  </conditionalFormatting>
  <conditionalFormatting sqref="N1278:R1278">
    <cfRule type="notContainsBlanks" dxfId="4278" priority="4426">
      <formula>LEN(TRIM(N1278))&gt;0</formula>
    </cfRule>
  </conditionalFormatting>
  <conditionalFormatting sqref="N1278:R1278">
    <cfRule type="notContainsBlanks" dxfId="4277" priority="4425">
      <formula>LEN(TRIM(N1278))&gt;0</formula>
    </cfRule>
  </conditionalFormatting>
  <conditionalFormatting sqref="N1278:R1278">
    <cfRule type="notContainsBlanks" dxfId="4276" priority="4424">
      <formula>LEN(TRIM(N1278))&gt;0</formula>
    </cfRule>
  </conditionalFormatting>
  <conditionalFormatting sqref="N1278:R1278">
    <cfRule type="notContainsBlanks" dxfId="4275" priority="4423">
      <formula>LEN(TRIM(N1278))&gt;0</formula>
    </cfRule>
  </conditionalFormatting>
  <conditionalFormatting sqref="N1278:R1278">
    <cfRule type="notContainsBlanks" dxfId="4274" priority="4421">
      <formula>LEN(TRIM(N1278))&gt;0</formula>
    </cfRule>
    <cfRule type="notContainsBlanks" dxfId="4273" priority="4422">
      <formula>LEN(TRIM(N1278))&gt;0</formula>
    </cfRule>
  </conditionalFormatting>
  <conditionalFormatting sqref="N1278:R1278">
    <cfRule type="notContainsBlanks" dxfId="4272" priority="4420">
      <formula>LEN(TRIM(N1278))&gt;0</formula>
    </cfRule>
  </conditionalFormatting>
  <conditionalFormatting sqref="N1278:R1278">
    <cfRule type="notContainsBlanks" dxfId="4271" priority="4419">
      <formula>LEN(TRIM(N1278))&gt;0</formula>
    </cfRule>
  </conditionalFormatting>
  <conditionalFormatting sqref="N1278:R1278">
    <cfRule type="notContainsBlanks" dxfId="4270" priority="4418">
      <formula>LEN(TRIM(N1278))&gt;0</formula>
    </cfRule>
  </conditionalFormatting>
  <conditionalFormatting sqref="N1278:R1278">
    <cfRule type="notContainsBlanks" dxfId="4269" priority="4417">
      <formula>LEN(TRIM(N1278))&gt;0</formula>
    </cfRule>
  </conditionalFormatting>
  <conditionalFormatting sqref="N1278:R1278">
    <cfRule type="notContainsBlanks" dxfId="4268" priority="4416">
      <formula>LEN(TRIM(N1278))&gt;0</formula>
    </cfRule>
  </conditionalFormatting>
  <conditionalFormatting sqref="N1278:R1278">
    <cfRule type="notContainsBlanks" dxfId="4267" priority="4415">
      <formula>LEN(TRIM(N1278))&gt;0</formula>
    </cfRule>
  </conditionalFormatting>
  <conditionalFormatting sqref="N1278:R1278">
    <cfRule type="notContainsBlanks" dxfId="4266" priority="4414">
      <formula>LEN(TRIM(N1278))&gt;0</formula>
    </cfRule>
  </conditionalFormatting>
  <conditionalFormatting sqref="N1278:R1278">
    <cfRule type="notContainsBlanks" dxfId="4265" priority="4413">
      <formula>LEN(TRIM(N1278))&gt;0</formula>
    </cfRule>
  </conditionalFormatting>
  <conditionalFormatting sqref="N1278:R1278">
    <cfRule type="notContainsBlanks" dxfId="4264" priority="4412">
      <formula>LEN(TRIM(N1278))&gt;0</formula>
    </cfRule>
  </conditionalFormatting>
  <conditionalFormatting sqref="N1278:R1278">
    <cfRule type="notContainsBlanks" priority="4411">
      <formula>LEN(TRIM(N1278))&gt;0</formula>
    </cfRule>
  </conditionalFormatting>
  <conditionalFormatting sqref="N1278:R1278">
    <cfRule type="notContainsBlanks" dxfId="4263" priority="4410">
      <formula>LEN(TRIM(N1278))&gt;0</formula>
    </cfRule>
  </conditionalFormatting>
  <conditionalFormatting sqref="N1278:R1278">
    <cfRule type="notContainsBlanks" dxfId="4262" priority="4409">
      <formula>LEN(TRIM(N1278))&gt;0</formula>
    </cfRule>
  </conditionalFormatting>
  <conditionalFormatting sqref="N1278:R1278">
    <cfRule type="notContainsBlanks" dxfId="4261" priority="4408">
      <formula>LEN(TRIM(N1278))&gt;0</formula>
    </cfRule>
  </conditionalFormatting>
  <conditionalFormatting sqref="N1278:R1278">
    <cfRule type="notContainsBlanks" dxfId="4260" priority="4407">
      <formula>LEN(TRIM(N1278))&gt;0</formula>
    </cfRule>
  </conditionalFormatting>
  <conditionalFormatting sqref="N1278:R1278">
    <cfRule type="notContainsBlanks" dxfId="4259" priority="4406">
      <formula>LEN(TRIM(N1278))&gt;0</formula>
    </cfRule>
  </conditionalFormatting>
  <conditionalFormatting sqref="N1291:R1291">
    <cfRule type="notContainsBlanks" dxfId="4258" priority="4405">
      <formula>LEN(TRIM(N1291))&gt;0</formula>
    </cfRule>
  </conditionalFormatting>
  <conditionalFormatting sqref="N1291:R1291">
    <cfRule type="notContainsBlanks" dxfId="4257" priority="4404">
      <formula>LEN(TRIM(N1291))&gt;0</formula>
    </cfRule>
  </conditionalFormatting>
  <conditionalFormatting sqref="N1291:R1291">
    <cfRule type="notContainsBlanks" dxfId="4256" priority="4403">
      <formula>LEN(TRIM(N1291))&gt;0</formula>
    </cfRule>
  </conditionalFormatting>
  <conditionalFormatting sqref="N1291:R1291">
    <cfRule type="notContainsBlanks" dxfId="4255" priority="4402">
      <formula>LEN(TRIM(N1291))&gt;0</formula>
    </cfRule>
  </conditionalFormatting>
  <conditionalFormatting sqref="N1291:R1291">
    <cfRule type="notContainsBlanks" dxfId="4254" priority="4401">
      <formula>LEN(TRIM(N1291))&gt;0</formula>
    </cfRule>
  </conditionalFormatting>
  <conditionalFormatting sqref="N1291:R1291">
    <cfRule type="notContainsBlanks" dxfId="4253" priority="4400">
      <formula>LEN(TRIM(N1291))&gt;0</formula>
    </cfRule>
  </conditionalFormatting>
  <conditionalFormatting sqref="N1291:R1291">
    <cfRule type="notContainsBlanks" dxfId="4252" priority="4399">
      <formula>LEN(TRIM(N1291))&gt;0</formula>
    </cfRule>
  </conditionalFormatting>
  <conditionalFormatting sqref="N1291:R1291">
    <cfRule type="notContainsBlanks" dxfId="4251" priority="4398">
      <formula>LEN(TRIM(N1291))&gt;0</formula>
    </cfRule>
  </conditionalFormatting>
  <conditionalFormatting sqref="N1291:R1291">
    <cfRule type="notContainsBlanks" dxfId="4250" priority="4397">
      <formula>LEN(TRIM(N1291))&gt;0</formula>
    </cfRule>
  </conditionalFormatting>
  <conditionalFormatting sqref="N1291:R1291">
    <cfRule type="notContainsBlanks" dxfId="4249" priority="4395">
      <formula>LEN(TRIM(N1291))&gt;0</formula>
    </cfRule>
    <cfRule type="notContainsBlanks" dxfId="4248" priority="4396">
      <formula>LEN(TRIM(N1291))&gt;0</formula>
    </cfRule>
  </conditionalFormatting>
  <conditionalFormatting sqref="N1291:R1291">
    <cfRule type="notContainsBlanks" dxfId="4247" priority="4394">
      <formula>LEN(TRIM(N1291))&gt;0</formula>
    </cfRule>
  </conditionalFormatting>
  <conditionalFormatting sqref="N1291:R1291">
    <cfRule type="notContainsBlanks" dxfId="4246" priority="4393">
      <formula>LEN(TRIM(N1291))&gt;0</formula>
    </cfRule>
  </conditionalFormatting>
  <conditionalFormatting sqref="N1291:R1291">
    <cfRule type="notContainsBlanks" dxfId="4245" priority="4392">
      <formula>LEN(TRIM(N1291))&gt;0</formula>
    </cfRule>
  </conditionalFormatting>
  <conditionalFormatting sqref="N1291:R1291">
    <cfRule type="notContainsBlanks" dxfId="4244" priority="4391">
      <formula>LEN(TRIM(N1291))&gt;0</formula>
    </cfRule>
  </conditionalFormatting>
  <conditionalFormatting sqref="N1291:R1291">
    <cfRule type="notContainsBlanks" dxfId="4243" priority="4390">
      <formula>LEN(TRIM(N1291))&gt;0</formula>
    </cfRule>
  </conditionalFormatting>
  <conditionalFormatting sqref="N1291:R1291">
    <cfRule type="notContainsBlanks" dxfId="4242" priority="4389">
      <formula>LEN(TRIM(N1291))&gt;0</formula>
    </cfRule>
  </conditionalFormatting>
  <conditionalFormatting sqref="N1291:R1291">
    <cfRule type="notContainsBlanks" dxfId="4241" priority="4388">
      <formula>LEN(TRIM(N1291))&gt;0</formula>
    </cfRule>
  </conditionalFormatting>
  <conditionalFormatting sqref="N1291:R1291">
    <cfRule type="notContainsBlanks" dxfId="4240" priority="4387">
      <formula>LEN(TRIM(N1291))&gt;0</formula>
    </cfRule>
  </conditionalFormatting>
  <conditionalFormatting sqref="N1291:R1291">
    <cfRule type="notContainsBlanks" dxfId="4239" priority="4386">
      <formula>LEN(TRIM(N1291))&gt;0</formula>
    </cfRule>
  </conditionalFormatting>
  <conditionalFormatting sqref="N1291:R1291">
    <cfRule type="notContainsBlanks" priority="4385">
      <formula>LEN(TRIM(N1291))&gt;0</formula>
    </cfRule>
  </conditionalFormatting>
  <conditionalFormatting sqref="N1291:R1291">
    <cfRule type="notContainsBlanks" dxfId="4238" priority="4384">
      <formula>LEN(TRIM(N1291))&gt;0</formula>
    </cfRule>
  </conditionalFormatting>
  <conditionalFormatting sqref="N1291:R1291">
    <cfRule type="notContainsBlanks" dxfId="4237" priority="4383">
      <formula>LEN(TRIM(N1291))&gt;0</formula>
    </cfRule>
  </conditionalFormatting>
  <conditionalFormatting sqref="N1291:R1291">
    <cfRule type="notContainsBlanks" dxfId="4236" priority="4382">
      <formula>LEN(TRIM(N1291))&gt;0</formula>
    </cfRule>
  </conditionalFormatting>
  <conditionalFormatting sqref="N1291:R1291">
    <cfRule type="notContainsBlanks" dxfId="4235" priority="4381">
      <formula>LEN(TRIM(N1291))&gt;0</formula>
    </cfRule>
  </conditionalFormatting>
  <conditionalFormatting sqref="N1291:R1291">
    <cfRule type="notContainsBlanks" dxfId="4234" priority="4380">
      <formula>LEN(TRIM(N1291))&gt;0</formula>
    </cfRule>
  </conditionalFormatting>
  <conditionalFormatting sqref="N1304:R1304">
    <cfRule type="notContainsBlanks" dxfId="4233" priority="4379">
      <formula>LEN(TRIM(N1304))&gt;0</formula>
    </cfRule>
  </conditionalFormatting>
  <conditionalFormatting sqref="N1304:R1304">
    <cfRule type="notContainsBlanks" dxfId="4232" priority="4378">
      <formula>LEN(TRIM(N1304))&gt;0</formula>
    </cfRule>
  </conditionalFormatting>
  <conditionalFormatting sqref="N1304:R1304">
    <cfRule type="notContainsBlanks" dxfId="4231" priority="4377">
      <formula>LEN(TRIM(N1304))&gt;0</formula>
    </cfRule>
  </conditionalFormatting>
  <conditionalFormatting sqref="N1304:R1304">
    <cfRule type="notContainsBlanks" dxfId="4230" priority="4376">
      <formula>LEN(TRIM(N1304))&gt;0</formula>
    </cfRule>
  </conditionalFormatting>
  <conditionalFormatting sqref="N1304:R1304">
    <cfRule type="notContainsBlanks" dxfId="4229" priority="4375">
      <formula>LEN(TRIM(N1304))&gt;0</formula>
    </cfRule>
  </conditionalFormatting>
  <conditionalFormatting sqref="N1304:R1304">
    <cfRule type="notContainsBlanks" dxfId="4228" priority="4374">
      <formula>LEN(TRIM(N1304))&gt;0</formula>
    </cfRule>
  </conditionalFormatting>
  <conditionalFormatting sqref="N1304:R1304">
    <cfRule type="notContainsBlanks" dxfId="4227" priority="4373">
      <formula>LEN(TRIM(N1304))&gt;0</formula>
    </cfRule>
  </conditionalFormatting>
  <conditionalFormatting sqref="N1304:R1304">
    <cfRule type="notContainsBlanks" dxfId="4226" priority="4372">
      <formula>LEN(TRIM(N1304))&gt;0</formula>
    </cfRule>
  </conditionalFormatting>
  <conditionalFormatting sqref="N1304:R1304">
    <cfRule type="notContainsBlanks" dxfId="4225" priority="4371">
      <formula>LEN(TRIM(N1304))&gt;0</formula>
    </cfRule>
  </conditionalFormatting>
  <conditionalFormatting sqref="N1304:R1304">
    <cfRule type="notContainsBlanks" dxfId="4224" priority="4369">
      <formula>LEN(TRIM(N1304))&gt;0</formula>
    </cfRule>
    <cfRule type="notContainsBlanks" dxfId="4223" priority="4370">
      <formula>LEN(TRIM(N1304))&gt;0</formula>
    </cfRule>
  </conditionalFormatting>
  <conditionalFormatting sqref="N1304:R1304">
    <cfRule type="notContainsBlanks" dxfId="4222" priority="4368">
      <formula>LEN(TRIM(N1304))&gt;0</formula>
    </cfRule>
  </conditionalFormatting>
  <conditionalFormatting sqref="N1304:R1304">
    <cfRule type="notContainsBlanks" dxfId="4221" priority="4367">
      <formula>LEN(TRIM(N1304))&gt;0</formula>
    </cfRule>
  </conditionalFormatting>
  <conditionalFormatting sqref="N1304:R1304">
    <cfRule type="notContainsBlanks" dxfId="4220" priority="4366">
      <formula>LEN(TRIM(N1304))&gt;0</formula>
    </cfRule>
  </conditionalFormatting>
  <conditionalFormatting sqref="N1304:R1304">
    <cfRule type="notContainsBlanks" dxfId="4219" priority="4365">
      <formula>LEN(TRIM(N1304))&gt;0</formula>
    </cfRule>
  </conditionalFormatting>
  <conditionalFormatting sqref="N1304:R1304">
    <cfRule type="notContainsBlanks" dxfId="4218" priority="4364">
      <formula>LEN(TRIM(N1304))&gt;0</formula>
    </cfRule>
  </conditionalFormatting>
  <conditionalFormatting sqref="N1304:R1304">
    <cfRule type="notContainsBlanks" dxfId="4217" priority="4363">
      <formula>LEN(TRIM(N1304))&gt;0</formula>
    </cfRule>
  </conditionalFormatting>
  <conditionalFormatting sqref="N1304:R1304">
    <cfRule type="notContainsBlanks" dxfId="4216" priority="4362">
      <formula>LEN(TRIM(N1304))&gt;0</formula>
    </cfRule>
  </conditionalFormatting>
  <conditionalFormatting sqref="N1304:R1304">
    <cfRule type="notContainsBlanks" dxfId="4215" priority="4361">
      <formula>LEN(TRIM(N1304))&gt;0</formula>
    </cfRule>
  </conditionalFormatting>
  <conditionalFormatting sqref="N1304:R1304">
    <cfRule type="notContainsBlanks" dxfId="4214" priority="4360">
      <formula>LEN(TRIM(N1304))&gt;0</formula>
    </cfRule>
  </conditionalFormatting>
  <conditionalFormatting sqref="N1304:R1304">
    <cfRule type="notContainsBlanks" priority="4359">
      <formula>LEN(TRIM(N1304))&gt;0</formula>
    </cfRule>
  </conditionalFormatting>
  <conditionalFormatting sqref="N1304:R1304">
    <cfRule type="notContainsBlanks" dxfId="4213" priority="4358">
      <formula>LEN(TRIM(N1304))&gt;0</formula>
    </cfRule>
  </conditionalFormatting>
  <conditionalFormatting sqref="N1304:R1304">
    <cfRule type="notContainsBlanks" dxfId="4212" priority="4357">
      <formula>LEN(TRIM(N1304))&gt;0</formula>
    </cfRule>
  </conditionalFormatting>
  <conditionalFormatting sqref="N1304:R1304">
    <cfRule type="notContainsBlanks" dxfId="4211" priority="4356">
      <formula>LEN(TRIM(N1304))&gt;0</formula>
    </cfRule>
  </conditionalFormatting>
  <conditionalFormatting sqref="N1304:R1304">
    <cfRule type="notContainsBlanks" dxfId="4210" priority="4355">
      <formula>LEN(TRIM(N1304))&gt;0</formula>
    </cfRule>
  </conditionalFormatting>
  <conditionalFormatting sqref="N1304:R1304">
    <cfRule type="notContainsBlanks" dxfId="4209" priority="4354">
      <formula>LEN(TRIM(N1304))&gt;0</formula>
    </cfRule>
  </conditionalFormatting>
  <conditionalFormatting sqref="N1317:R1317">
    <cfRule type="notContainsBlanks" dxfId="4208" priority="4353">
      <formula>LEN(TRIM(N1317))&gt;0</formula>
    </cfRule>
  </conditionalFormatting>
  <conditionalFormatting sqref="N1317:R1317">
    <cfRule type="notContainsBlanks" dxfId="4207" priority="4352">
      <formula>LEN(TRIM(N1317))&gt;0</formula>
    </cfRule>
  </conditionalFormatting>
  <conditionalFormatting sqref="N1317:R1317">
    <cfRule type="notContainsBlanks" dxfId="4206" priority="4351">
      <formula>LEN(TRIM(N1317))&gt;0</formula>
    </cfRule>
  </conditionalFormatting>
  <conditionalFormatting sqref="N1317:R1317">
    <cfRule type="notContainsBlanks" dxfId="4205" priority="4350">
      <formula>LEN(TRIM(N1317))&gt;0</formula>
    </cfRule>
  </conditionalFormatting>
  <conditionalFormatting sqref="N1317:R1317">
    <cfRule type="notContainsBlanks" dxfId="4204" priority="4349">
      <formula>LEN(TRIM(N1317))&gt;0</formula>
    </cfRule>
  </conditionalFormatting>
  <conditionalFormatting sqref="N1317:R1317">
    <cfRule type="notContainsBlanks" dxfId="4203" priority="4348">
      <formula>LEN(TRIM(N1317))&gt;0</formula>
    </cfRule>
  </conditionalFormatting>
  <conditionalFormatting sqref="N1317:R1317">
    <cfRule type="notContainsBlanks" dxfId="4202" priority="4347">
      <formula>LEN(TRIM(N1317))&gt;0</formula>
    </cfRule>
  </conditionalFormatting>
  <conditionalFormatting sqref="N1317:R1317">
    <cfRule type="notContainsBlanks" dxfId="4201" priority="4346">
      <formula>LEN(TRIM(N1317))&gt;0</formula>
    </cfRule>
  </conditionalFormatting>
  <conditionalFormatting sqref="N1317:R1317">
    <cfRule type="notContainsBlanks" dxfId="4200" priority="4345">
      <formula>LEN(TRIM(N1317))&gt;0</formula>
    </cfRule>
  </conditionalFormatting>
  <conditionalFormatting sqref="N1317:R1317">
    <cfRule type="notContainsBlanks" dxfId="4199" priority="4343">
      <formula>LEN(TRIM(N1317))&gt;0</formula>
    </cfRule>
    <cfRule type="notContainsBlanks" dxfId="4198" priority="4344">
      <formula>LEN(TRIM(N1317))&gt;0</formula>
    </cfRule>
  </conditionalFormatting>
  <conditionalFormatting sqref="N1317:R1317">
    <cfRule type="notContainsBlanks" dxfId="4197" priority="4342">
      <formula>LEN(TRIM(N1317))&gt;0</formula>
    </cfRule>
  </conditionalFormatting>
  <conditionalFormatting sqref="N1317:R1317">
    <cfRule type="notContainsBlanks" dxfId="4196" priority="4341">
      <formula>LEN(TRIM(N1317))&gt;0</formula>
    </cfRule>
  </conditionalFormatting>
  <conditionalFormatting sqref="N1317:R1317">
    <cfRule type="notContainsBlanks" dxfId="4195" priority="4340">
      <formula>LEN(TRIM(N1317))&gt;0</formula>
    </cfRule>
  </conditionalFormatting>
  <conditionalFormatting sqref="N1317:R1317">
    <cfRule type="notContainsBlanks" dxfId="4194" priority="4339">
      <formula>LEN(TRIM(N1317))&gt;0</formula>
    </cfRule>
  </conditionalFormatting>
  <conditionalFormatting sqref="N1317:R1317">
    <cfRule type="notContainsBlanks" dxfId="4193" priority="4338">
      <formula>LEN(TRIM(N1317))&gt;0</formula>
    </cfRule>
  </conditionalFormatting>
  <conditionalFormatting sqref="N1317:R1317">
    <cfRule type="notContainsBlanks" dxfId="4192" priority="4337">
      <formula>LEN(TRIM(N1317))&gt;0</formula>
    </cfRule>
  </conditionalFormatting>
  <conditionalFormatting sqref="N1317:R1317">
    <cfRule type="notContainsBlanks" dxfId="4191" priority="4336">
      <formula>LEN(TRIM(N1317))&gt;0</formula>
    </cfRule>
  </conditionalFormatting>
  <conditionalFormatting sqref="N1317:R1317">
    <cfRule type="notContainsBlanks" dxfId="4190" priority="4335">
      <formula>LEN(TRIM(N1317))&gt;0</formula>
    </cfRule>
  </conditionalFormatting>
  <conditionalFormatting sqref="N1317:R1317">
    <cfRule type="notContainsBlanks" dxfId="4189" priority="4334">
      <formula>LEN(TRIM(N1317))&gt;0</formula>
    </cfRule>
  </conditionalFormatting>
  <conditionalFormatting sqref="N1317:R1317">
    <cfRule type="notContainsBlanks" priority="4333">
      <formula>LEN(TRIM(N1317))&gt;0</formula>
    </cfRule>
  </conditionalFormatting>
  <conditionalFormatting sqref="N1317:R1317">
    <cfRule type="notContainsBlanks" dxfId="4188" priority="4332">
      <formula>LEN(TRIM(N1317))&gt;0</formula>
    </cfRule>
  </conditionalFormatting>
  <conditionalFormatting sqref="N1317:R1317">
    <cfRule type="notContainsBlanks" dxfId="4187" priority="4331">
      <formula>LEN(TRIM(N1317))&gt;0</formula>
    </cfRule>
  </conditionalFormatting>
  <conditionalFormatting sqref="N1317:R1317">
    <cfRule type="notContainsBlanks" dxfId="4186" priority="4330">
      <formula>LEN(TRIM(N1317))&gt;0</formula>
    </cfRule>
  </conditionalFormatting>
  <conditionalFormatting sqref="N1317:R1317">
    <cfRule type="notContainsBlanks" dxfId="4185" priority="4329">
      <formula>LEN(TRIM(N1317))&gt;0</formula>
    </cfRule>
  </conditionalFormatting>
  <conditionalFormatting sqref="N1317:R1317">
    <cfRule type="notContainsBlanks" dxfId="4184" priority="4328">
      <formula>LEN(TRIM(N1317))&gt;0</formula>
    </cfRule>
  </conditionalFormatting>
  <conditionalFormatting sqref="N1330:R1330">
    <cfRule type="notContainsBlanks" dxfId="4183" priority="4327">
      <formula>LEN(TRIM(N1330))&gt;0</formula>
    </cfRule>
  </conditionalFormatting>
  <conditionalFormatting sqref="N1330:R1330">
    <cfRule type="notContainsBlanks" dxfId="4182" priority="4326">
      <formula>LEN(TRIM(N1330))&gt;0</formula>
    </cfRule>
  </conditionalFormatting>
  <conditionalFormatting sqref="N1330:R1330">
    <cfRule type="notContainsBlanks" dxfId="4181" priority="4325">
      <formula>LEN(TRIM(N1330))&gt;0</formula>
    </cfRule>
  </conditionalFormatting>
  <conditionalFormatting sqref="N1330:R1330">
    <cfRule type="notContainsBlanks" dxfId="4180" priority="4324">
      <formula>LEN(TRIM(N1330))&gt;0</formula>
    </cfRule>
  </conditionalFormatting>
  <conditionalFormatting sqref="N1330:R1330">
    <cfRule type="notContainsBlanks" dxfId="4179" priority="4323">
      <formula>LEN(TRIM(N1330))&gt;0</formula>
    </cfRule>
  </conditionalFormatting>
  <conditionalFormatting sqref="N1330:R1330">
    <cfRule type="notContainsBlanks" dxfId="4178" priority="4322">
      <formula>LEN(TRIM(N1330))&gt;0</formula>
    </cfRule>
  </conditionalFormatting>
  <conditionalFormatting sqref="N1330:R1330">
    <cfRule type="notContainsBlanks" dxfId="4177" priority="4321">
      <formula>LEN(TRIM(N1330))&gt;0</formula>
    </cfRule>
  </conditionalFormatting>
  <conditionalFormatting sqref="N1330:R1330">
    <cfRule type="notContainsBlanks" dxfId="4176" priority="4320">
      <formula>LEN(TRIM(N1330))&gt;0</formula>
    </cfRule>
  </conditionalFormatting>
  <conditionalFormatting sqref="N1330:R1330">
    <cfRule type="notContainsBlanks" dxfId="4175" priority="4319">
      <formula>LEN(TRIM(N1330))&gt;0</formula>
    </cfRule>
  </conditionalFormatting>
  <conditionalFormatting sqref="N1330:R1330">
    <cfRule type="notContainsBlanks" dxfId="4174" priority="4317">
      <formula>LEN(TRIM(N1330))&gt;0</formula>
    </cfRule>
    <cfRule type="notContainsBlanks" dxfId="4173" priority="4318">
      <formula>LEN(TRIM(N1330))&gt;0</formula>
    </cfRule>
  </conditionalFormatting>
  <conditionalFormatting sqref="N1330:R1330">
    <cfRule type="notContainsBlanks" dxfId="4172" priority="4316">
      <formula>LEN(TRIM(N1330))&gt;0</formula>
    </cfRule>
  </conditionalFormatting>
  <conditionalFormatting sqref="N1330:R1330">
    <cfRule type="notContainsBlanks" dxfId="4171" priority="4315">
      <formula>LEN(TRIM(N1330))&gt;0</formula>
    </cfRule>
  </conditionalFormatting>
  <conditionalFormatting sqref="N1330:R1330">
    <cfRule type="notContainsBlanks" dxfId="4170" priority="4314">
      <formula>LEN(TRIM(N1330))&gt;0</formula>
    </cfRule>
  </conditionalFormatting>
  <conditionalFormatting sqref="N1330:R1330">
    <cfRule type="notContainsBlanks" dxfId="4169" priority="4313">
      <formula>LEN(TRIM(N1330))&gt;0</formula>
    </cfRule>
  </conditionalFormatting>
  <conditionalFormatting sqref="N1330:R1330">
    <cfRule type="notContainsBlanks" dxfId="4168" priority="4312">
      <formula>LEN(TRIM(N1330))&gt;0</formula>
    </cfRule>
  </conditionalFormatting>
  <conditionalFormatting sqref="N1330:R1330">
    <cfRule type="notContainsBlanks" dxfId="4167" priority="4311">
      <formula>LEN(TRIM(N1330))&gt;0</formula>
    </cfRule>
  </conditionalFormatting>
  <conditionalFormatting sqref="N1330:R1330">
    <cfRule type="notContainsBlanks" dxfId="4166" priority="4310">
      <formula>LEN(TRIM(N1330))&gt;0</formula>
    </cfRule>
  </conditionalFormatting>
  <conditionalFormatting sqref="N1330:R1330">
    <cfRule type="notContainsBlanks" dxfId="4165" priority="4309">
      <formula>LEN(TRIM(N1330))&gt;0</formula>
    </cfRule>
  </conditionalFormatting>
  <conditionalFormatting sqref="N1330:R1330">
    <cfRule type="notContainsBlanks" dxfId="4164" priority="4308">
      <formula>LEN(TRIM(N1330))&gt;0</formula>
    </cfRule>
  </conditionalFormatting>
  <conditionalFormatting sqref="N1330:R1330">
    <cfRule type="notContainsBlanks" priority="4307">
      <formula>LEN(TRIM(N1330))&gt;0</formula>
    </cfRule>
  </conditionalFormatting>
  <conditionalFormatting sqref="N1330:R1330">
    <cfRule type="notContainsBlanks" dxfId="4163" priority="4306">
      <formula>LEN(TRIM(N1330))&gt;0</formula>
    </cfRule>
  </conditionalFormatting>
  <conditionalFormatting sqref="N1330:R1330">
    <cfRule type="notContainsBlanks" dxfId="4162" priority="4305">
      <formula>LEN(TRIM(N1330))&gt;0</formula>
    </cfRule>
  </conditionalFormatting>
  <conditionalFormatting sqref="N1330:R1330">
    <cfRule type="notContainsBlanks" dxfId="4161" priority="4304">
      <formula>LEN(TRIM(N1330))&gt;0</formula>
    </cfRule>
  </conditionalFormatting>
  <conditionalFormatting sqref="N1330:R1330">
    <cfRule type="notContainsBlanks" dxfId="4160" priority="4303">
      <formula>LEN(TRIM(N1330))&gt;0</formula>
    </cfRule>
  </conditionalFormatting>
  <conditionalFormatting sqref="N1330:R1330">
    <cfRule type="notContainsBlanks" dxfId="4159" priority="4302">
      <formula>LEN(TRIM(N1330))&gt;0</formula>
    </cfRule>
  </conditionalFormatting>
  <conditionalFormatting sqref="N524:R524">
    <cfRule type="notContainsBlanks" dxfId="4158" priority="4301">
      <formula>LEN(TRIM(N524))&gt;0</formula>
    </cfRule>
  </conditionalFormatting>
  <conditionalFormatting sqref="N524:R524">
    <cfRule type="notContainsBlanks" dxfId="4157" priority="4300">
      <formula>LEN(TRIM(N524))&gt;0</formula>
    </cfRule>
  </conditionalFormatting>
  <conditionalFormatting sqref="N524:R524">
    <cfRule type="notContainsBlanks" dxfId="4156" priority="4299">
      <formula>LEN(TRIM(N524))&gt;0</formula>
    </cfRule>
  </conditionalFormatting>
  <conditionalFormatting sqref="N524:R524">
    <cfRule type="notContainsBlanks" dxfId="4155" priority="4298">
      <formula>LEN(TRIM(N524))&gt;0</formula>
    </cfRule>
  </conditionalFormatting>
  <conditionalFormatting sqref="N524:R524">
    <cfRule type="notContainsBlanks" dxfId="4154" priority="4297">
      <formula>LEN(TRIM(N524))&gt;0</formula>
    </cfRule>
  </conditionalFormatting>
  <conditionalFormatting sqref="N524:R524">
    <cfRule type="notContainsBlanks" dxfId="4153" priority="4296">
      <formula>LEN(TRIM(N524))&gt;0</formula>
    </cfRule>
  </conditionalFormatting>
  <conditionalFormatting sqref="N524:R524">
    <cfRule type="notContainsBlanks" dxfId="4152" priority="4295">
      <formula>LEN(TRIM(N524))&gt;0</formula>
    </cfRule>
  </conditionalFormatting>
  <conditionalFormatting sqref="N524:R524">
    <cfRule type="notContainsBlanks" dxfId="4151" priority="4294">
      <formula>LEN(TRIM(N524))&gt;0</formula>
    </cfRule>
  </conditionalFormatting>
  <conditionalFormatting sqref="N524:R524">
    <cfRule type="notContainsBlanks" dxfId="4150" priority="4293">
      <formula>LEN(TRIM(N524))&gt;0</formula>
    </cfRule>
  </conditionalFormatting>
  <conditionalFormatting sqref="N524:R524">
    <cfRule type="notContainsBlanks" dxfId="4149" priority="4291">
      <formula>LEN(TRIM(N524))&gt;0</formula>
    </cfRule>
    <cfRule type="notContainsBlanks" dxfId="4148" priority="4292">
      <formula>LEN(TRIM(N524))&gt;0</formula>
    </cfRule>
  </conditionalFormatting>
  <conditionalFormatting sqref="N524:R524">
    <cfRule type="notContainsBlanks" dxfId="4147" priority="4290">
      <formula>LEN(TRIM(N524))&gt;0</formula>
    </cfRule>
  </conditionalFormatting>
  <conditionalFormatting sqref="N524:R524">
    <cfRule type="notContainsBlanks" dxfId="4146" priority="4289">
      <formula>LEN(TRIM(N524))&gt;0</formula>
    </cfRule>
  </conditionalFormatting>
  <conditionalFormatting sqref="N524:R524">
    <cfRule type="notContainsBlanks" dxfId="4145" priority="4288">
      <formula>LEN(TRIM(N524))&gt;0</formula>
    </cfRule>
  </conditionalFormatting>
  <conditionalFormatting sqref="N524:R524">
    <cfRule type="notContainsBlanks" dxfId="4144" priority="4287">
      <formula>LEN(TRIM(N524))&gt;0</formula>
    </cfRule>
  </conditionalFormatting>
  <conditionalFormatting sqref="N524:R524">
    <cfRule type="notContainsBlanks" dxfId="4143" priority="4286">
      <formula>LEN(TRIM(N524))&gt;0</formula>
    </cfRule>
  </conditionalFormatting>
  <conditionalFormatting sqref="N524:R524">
    <cfRule type="notContainsBlanks" dxfId="4142" priority="4285">
      <formula>LEN(TRIM(N524))&gt;0</formula>
    </cfRule>
  </conditionalFormatting>
  <conditionalFormatting sqref="N524:R524">
    <cfRule type="notContainsBlanks" dxfId="4141" priority="4284">
      <formula>LEN(TRIM(N524))&gt;0</formula>
    </cfRule>
  </conditionalFormatting>
  <conditionalFormatting sqref="N524:R524">
    <cfRule type="notContainsBlanks" dxfId="4140" priority="4283">
      <formula>LEN(TRIM(N524))&gt;0</formula>
    </cfRule>
  </conditionalFormatting>
  <conditionalFormatting sqref="N524:R524">
    <cfRule type="notContainsBlanks" dxfId="4139" priority="4282">
      <formula>LEN(TRIM(N524))&gt;0</formula>
    </cfRule>
  </conditionalFormatting>
  <conditionalFormatting sqref="N524:R524">
    <cfRule type="notContainsBlanks" priority="4281">
      <formula>LEN(TRIM(N524))&gt;0</formula>
    </cfRule>
  </conditionalFormatting>
  <conditionalFormatting sqref="N524:R524">
    <cfRule type="notContainsBlanks" dxfId="4138" priority="4280">
      <formula>LEN(TRIM(N524))&gt;0</formula>
    </cfRule>
  </conditionalFormatting>
  <conditionalFormatting sqref="N524:R524">
    <cfRule type="notContainsBlanks" dxfId="4137" priority="4279">
      <formula>LEN(TRIM(N524))&gt;0</formula>
    </cfRule>
  </conditionalFormatting>
  <conditionalFormatting sqref="N524:R524">
    <cfRule type="notContainsBlanks" dxfId="4136" priority="4278">
      <formula>LEN(TRIM(N524))&gt;0</formula>
    </cfRule>
  </conditionalFormatting>
  <conditionalFormatting sqref="N524:R524">
    <cfRule type="notContainsBlanks" dxfId="4135" priority="4277">
      <formula>LEN(TRIM(N524))&gt;0</formula>
    </cfRule>
  </conditionalFormatting>
  <conditionalFormatting sqref="N524:R524">
    <cfRule type="notContainsBlanks" dxfId="4134" priority="4276">
      <formula>LEN(TRIM(N524))&gt;0</formula>
    </cfRule>
  </conditionalFormatting>
  <conditionalFormatting sqref="N431:S433 N435:S446 S434 N448:S459 S447 N461:S472 S460 N474:S485 S473 N487:S498 S486 N500:S511 S499 N513:S524 S512 N526:S537 S525 N539:S550 S538 N552:S563 S551 N565:S576 S564 N578:S589 S577 N591:S602 S590 N604:S615 S603 N617:S628 S616 N630:S641 S629 N643:S654 S642 N656:S667 S655 N669:S680 S668 N682:S693 S681 N695:S706 S694 N708:S719 S707 N721:S732 S720 N734:S745 S733 N747:S758 S746 N760:S771 S759 N773:S784 S772 N786:S797 S785 N799:S810 S798 N812:S823 S811 N825:S836 S824 N838:S849 S837 N851:S862 S850 N864:S875 S863 N877:S888 S876 N890:S901 S889 N903:S914 S902 N916:S927 S915 N929:S940 S928 N942:S953 S941 N955:S966 S954 N968:S979 S967 N981:S992 S980 N994:S1005 S993 N1007:S1018 S1006 N1020:S1031 S1019 N1033:S1044 S1032 N1046:S1057 S1045 N1059:S1070 S1058 N1072:S1083 S1071 N1085:S1096 S1084 N1098:S1109 S1097 N1111:S1122 S1110 N1124:S1135 S1123 N1137:S1148 S1136 N1150:S1161 S1149 N1163:S1174 S1162 N1176:S1187 S1175 N1189:S1200 S1188 N1202:S1213 S1201 N1215:S1226 S1214 N1228:S1239 S1227 N1241:S1252 S1240 N1254:S1265 S1253 N1267:S1278 S1266 N1280:S1291 S1279 N1293:S1304 S1292 N1306:S1317 S1305 N1319:S1330 S1318 N1332:S1339 S1331">
    <cfRule type="notContainsBlanks" dxfId="4133" priority="4275">
      <formula>LEN(TRIM(N431))&gt;0</formula>
    </cfRule>
  </conditionalFormatting>
  <conditionalFormatting sqref="U433:Y433">
    <cfRule type="notContainsBlanks" dxfId="4132" priority="4274">
      <formula>LEN(TRIM(U433))&gt;0</formula>
    </cfRule>
  </conditionalFormatting>
  <conditionalFormatting sqref="U433:Y433">
    <cfRule type="notContainsBlanks" dxfId="4131" priority="4273">
      <formula>LEN(TRIM(U433))&gt;0</formula>
    </cfRule>
  </conditionalFormatting>
  <conditionalFormatting sqref="U433:Y433">
    <cfRule type="notContainsBlanks" dxfId="4130" priority="4272">
      <formula>LEN(TRIM(U433))&gt;0</formula>
    </cfRule>
  </conditionalFormatting>
  <conditionalFormatting sqref="U433:Y433">
    <cfRule type="notContainsBlanks" dxfId="4129" priority="4271">
      <formula>LEN(TRIM(U433))&gt;0</formula>
    </cfRule>
  </conditionalFormatting>
  <conditionalFormatting sqref="U433:Y433">
    <cfRule type="notContainsBlanks" dxfId="4128" priority="4270">
      <formula>LEN(TRIM(U433))&gt;0</formula>
    </cfRule>
  </conditionalFormatting>
  <conditionalFormatting sqref="U433:Y433">
    <cfRule type="notContainsBlanks" dxfId="4127" priority="4269">
      <formula>LEN(TRIM(U433))&gt;0</formula>
    </cfRule>
  </conditionalFormatting>
  <conditionalFormatting sqref="U433:Y433">
    <cfRule type="notContainsBlanks" dxfId="4126" priority="4268">
      <formula>LEN(TRIM(U433))&gt;0</formula>
    </cfRule>
  </conditionalFormatting>
  <conditionalFormatting sqref="U433:Y433">
    <cfRule type="notContainsBlanks" dxfId="4125" priority="4267">
      <formula>LEN(TRIM(U433))&gt;0</formula>
    </cfRule>
  </conditionalFormatting>
  <conditionalFormatting sqref="U433:Y433">
    <cfRule type="notContainsBlanks" dxfId="4124" priority="4266">
      <formula>LEN(TRIM(U433))&gt;0</formula>
    </cfRule>
  </conditionalFormatting>
  <conditionalFormatting sqref="U433:Y433">
    <cfRule type="notContainsBlanks" dxfId="4123" priority="4264">
      <formula>LEN(TRIM(U433))&gt;0</formula>
    </cfRule>
    <cfRule type="notContainsBlanks" dxfId="4122" priority="4265">
      <formula>LEN(TRIM(U433))&gt;0</formula>
    </cfRule>
  </conditionalFormatting>
  <conditionalFormatting sqref="U433:Y433">
    <cfRule type="notContainsBlanks" dxfId="4121" priority="4263">
      <formula>LEN(TRIM(U433))&gt;0</formula>
    </cfRule>
  </conditionalFormatting>
  <conditionalFormatting sqref="U433:Y433">
    <cfRule type="notContainsBlanks" dxfId="4120" priority="4262">
      <formula>LEN(TRIM(U433))&gt;0</formula>
    </cfRule>
  </conditionalFormatting>
  <conditionalFormatting sqref="U433:Y433">
    <cfRule type="notContainsBlanks" dxfId="4119" priority="4261">
      <formula>LEN(TRIM(U433))&gt;0</formula>
    </cfRule>
  </conditionalFormatting>
  <conditionalFormatting sqref="U433:Y433">
    <cfRule type="notContainsBlanks" dxfId="4118" priority="4260">
      <formula>LEN(TRIM(U433))&gt;0</formula>
    </cfRule>
  </conditionalFormatting>
  <conditionalFormatting sqref="U433:Y433">
    <cfRule type="notContainsBlanks" dxfId="4117" priority="4259">
      <formula>LEN(TRIM(U433))&gt;0</formula>
    </cfRule>
  </conditionalFormatting>
  <conditionalFormatting sqref="U433:Y433">
    <cfRule type="notContainsBlanks" dxfId="4116" priority="4258">
      <formula>LEN(TRIM(U433))&gt;0</formula>
    </cfRule>
  </conditionalFormatting>
  <conditionalFormatting sqref="U433:Y433">
    <cfRule type="notContainsBlanks" dxfId="4115" priority="4257">
      <formula>LEN(TRIM(U433))&gt;0</formula>
    </cfRule>
  </conditionalFormatting>
  <conditionalFormatting sqref="U433:Y433">
    <cfRule type="notContainsBlanks" dxfId="4114" priority="4256">
      <formula>LEN(TRIM(U433))&gt;0</formula>
    </cfRule>
  </conditionalFormatting>
  <conditionalFormatting sqref="U433:Y433">
    <cfRule type="notContainsBlanks" dxfId="4113" priority="4255">
      <formula>LEN(TRIM(U433))&gt;0</formula>
    </cfRule>
  </conditionalFormatting>
  <conditionalFormatting sqref="U433:Y433">
    <cfRule type="notContainsBlanks" priority="4254">
      <formula>LEN(TRIM(U433))&gt;0</formula>
    </cfRule>
  </conditionalFormatting>
  <conditionalFormatting sqref="U433:Y433">
    <cfRule type="notContainsBlanks" dxfId="4112" priority="4253">
      <formula>LEN(TRIM(U433))&gt;0</formula>
    </cfRule>
  </conditionalFormatting>
  <conditionalFormatting sqref="U433:Y433">
    <cfRule type="notContainsBlanks" dxfId="4111" priority="4252">
      <formula>LEN(TRIM(U433))&gt;0</formula>
    </cfRule>
  </conditionalFormatting>
  <conditionalFormatting sqref="U433:Y433">
    <cfRule type="notContainsBlanks" dxfId="4110" priority="4251">
      <formula>LEN(TRIM(U433))&gt;0</formula>
    </cfRule>
  </conditionalFormatting>
  <conditionalFormatting sqref="U433:Y433">
    <cfRule type="notContainsBlanks" dxfId="4109" priority="4250">
      <formula>LEN(TRIM(U433))&gt;0</formula>
    </cfRule>
  </conditionalFormatting>
  <conditionalFormatting sqref="U433:Y433">
    <cfRule type="notContainsBlanks" dxfId="4108" priority="4249">
      <formula>LEN(TRIM(U433))&gt;0</formula>
    </cfRule>
  </conditionalFormatting>
  <conditionalFormatting sqref="U446:Y446">
    <cfRule type="notContainsBlanks" dxfId="4107" priority="4248">
      <formula>LEN(TRIM(U446))&gt;0</formula>
    </cfRule>
  </conditionalFormatting>
  <conditionalFormatting sqref="U446:Y446">
    <cfRule type="notContainsBlanks" dxfId="4106" priority="4247">
      <formula>LEN(TRIM(U446))&gt;0</formula>
    </cfRule>
  </conditionalFormatting>
  <conditionalFormatting sqref="U446:Y446">
    <cfRule type="notContainsBlanks" dxfId="4105" priority="4246">
      <formula>LEN(TRIM(U446))&gt;0</formula>
    </cfRule>
  </conditionalFormatting>
  <conditionalFormatting sqref="U446:Y446">
    <cfRule type="notContainsBlanks" dxfId="4104" priority="4245">
      <formula>LEN(TRIM(U446))&gt;0</formula>
    </cfRule>
  </conditionalFormatting>
  <conditionalFormatting sqref="U446:Y446">
    <cfRule type="notContainsBlanks" dxfId="4103" priority="4244">
      <formula>LEN(TRIM(U446))&gt;0</formula>
    </cfRule>
  </conditionalFormatting>
  <conditionalFormatting sqref="U446:Y446">
    <cfRule type="notContainsBlanks" dxfId="4102" priority="4243">
      <formula>LEN(TRIM(U446))&gt;0</formula>
    </cfRule>
  </conditionalFormatting>
  <conditionalFormatting sqref="U446:Y446">
    <cfRule type="notContainsBlanks" dxfId="4101" priority="4242">
      <formula>LEN(TRIM(U446))&gt;0</formula>
    </cfRule>
  </conditionalFormatting>
  <conditionalFormatting sqref="U446:Y446">
    <cfRule type="notContainsBlanks" dxfId="4100" priority="4241">
      <formula>LEN(TRIM(U446))&gt;0</formula>
    </cfRule>
  </conditionalFormatting>
  <conditionalFormatting sqref="U446:Y446">
    <cfRule type="notContainsBlanks" dxfId="4099" priority="4240">
      <formula>LEN(TRIM(U446))&gt;0</formula>
    </cfRule>
  </conditionalFormatting>
  <conditionalFormatting sqref="U446:Y446">
    <cfRule type="notContainsBlanks" dxfId="4098" priority="4238">
      <formula>LEN(TRIM(U446))&gt;0</formula>
    </cfRule>
    <cfRule type="notContainsBlanks" dxfId="4097" priority="4239">
      <formula>LEN(TRIM(U446))&gt;0</formula>
    </cfRule>
  </conditionalFormatting>
  <conditionalFormatting sqref="U446:Y446">
    <cfRule type="notContainsBlanks" dxfId="4096" priority="4237">
      <formula>LEN(TRIM(U446))&gt;0</formula>
    </cfRule>
  </conditionalFormatting>
  <conditionalFormatting sqref="U446:Y446">
    <cfRule type="notContainsBlanks" dxfId="4095" priority="4236">
      <formula>LEN(TRIM(U446))&gt;0</formula>
    </cfRule>
  </conditionalFormatting>
  <conditionalFormatting sqref="U446:Y446">
    <cfRule type="notContainsBlanks" dxfId="4094" priority="4235">
      <formula>LEN(TRIM(U446))&gt;0</formula>
    </cfRule>
  </conditionalFormatting>
  <conditionalFormatting sqref="U446:Y446">
    <cfRule type="notContainsBlanks" dxfId="4093" priority="4234">
      <formula>LEN(TRIM(U446))&gt;0</formula>
    </cfRule>
  </conditionalFormatting>
  <conditionalFormatting sqref="U446:Y446">
    <cfRule type="notContainsBlanks" dxfId="4092" priority="4233">
      <formula>LEN(TRIM(U446))&gt;0</formula>
    </cfRule>
  </conditionalFormatting>
  <conditionalFormatting sqref="U446:Y446">
    <cfRule type="notContainsBlanks" dxfId="4091" priority="4232">
      <formula>LEN(TRIM(U446))&gt;0</formula>
    </cfRule>
  </conditionalFormatting>
  <conditionalFormatting sqref="U446:Y446">
    <cfRule type="notContainsBlanks" dxfId="4090" priority="4231">
      <formula>LEN(TRIM(U446))&gt;0</formula>
    </cfRule>
  </conditionalFormatting>
  <conditionalFormatting sqref="U446:Y446">
    <cfRule type="notContainsBlanks" dxfId="4089" priority="4230">
      <formula>LEN(TRIM(U446))&gt;0</formula>
    </cfRule>
  </conditionalFormatting>
  <conditionalFormatting sqref="U446:Y446">
    <cfRule type="notContainsBlanks" dxfId="4088" priority="4229">
      <formula>LEN(TRIM(U446))&gt;0</formula>
    </cfRule>
  </conditionalFormatting>
  <conditionalFormatting sqref="U446:Y446">
    <cfRule type="notContainsBlanks" priority="4228">
      <formula>LEN(TRIM(U446))&gt;0</formula>
    </cfRule>
  </conditionalFormatting>
  <conditionalFormatting sqref="U446:Y446">
    <cfRule type="notContainsBlanks" dxfId="4087" priority="4227">
      <formula>LEN(TRIM(U446))&gt;0</formula>
    </cfRule>
  </conditionalFormatting>
  <conditionalFormatting sqref="U446:Y446">
    <cfRule type="notContainsBlanks" dxfId="4086" priority="4226">
      <formula>LEN(TRIM(U446))&gt;0</formula>
    </cfRule>
  </conditionalFormatting>
  <conditionalFormatting sqref="U446:Y446">
    <cfRule type="notContainsBlanks" dxfId="4085" priority="4225">
      <formula>LEN(TRIM(U446))&gt;0</formula>
    </cfRule>
  </conditionalFormatting>
  <conditionalFormatting sqref="U446:Y446">
    <cfRule type="notContainsBlanks" dxfId="4084" priority="4224">
      <formula>LEN(TRIM(U446))&gt;0</formula>
    </cfRule>
  </conditionalFormatting>
  <conditionalFormatting sqref="U446:Y446">
    <cfRule type="notContainsBlanks" dxfId="4083" priority="4223">
      <formula>LEN(TRIM(U446))&gt;0</formula>
    </cfRule>
  </conditionalFormatting>
  <conditionalFormatting sqref="U459:Y459">
    <cfRule type="notContainsBlanks" dxfId="4082" priority="4222">
      <formula>LEN(TRIM(U459))&gt;0</formula>
    </cfRule>
  </conditionalFormatting>
  <conditionalFormatting sqref="U459:Y459">
    <cfRule type="notContainsBlanks" dxfId="4081" priority="4221">
      <formula>LEN(TRIM(U459))&gt;0</formula>
    </cfRule>
  </conditionalFormatting>
  <conditionalFormatting sqref="U459:Y459">
    <cfRule type="notContainsBlanks" dxfId="4080" priority="4220">
      <formula>LEN(TRIM(U459))&gt;0</formula>
    </cfRule>
  </conditionalFormatting>
  <conditionalFormatting sqref="U459:Y459">
    <cfRule type="notContainsBlanks" dxfId="4079" priority="4219">
      <formula>LEN(TRIM(U459))&gt;0</formula>
    </cfRule>
  </conditionalFormatting>
  <conditionalFormatting sqref="U459:Y459">
    <cfRule type="notContainsBlanks" dxfId="4078" priority="4218">
      <formula>LEN(TRIM(U459))&gt;0</formula>
    </cfRule>
  </conditionalFormatting>
  <conditionalFormatting sqref="U459:Y459">
    <cfRule type="notContainsBlanks" dxfId="4077" priority="4217">
      <formula>LEN(TRIM(U459))&gt;0</formula>
    </cfRule>
  </conditionalFormatting>
  <conditionalFormatting sqref="U459:Y459">
    <cfRule type="notContainsBlanks" dxfId="4076" priority="4216">
      <formula>LEN(TRIM(U459))&gt;0</formula>
    </cfRule>
  </conditionalFormatting>
  <conditionalFormatting sqref="U459:Y459">
    <cfRule type="notContainsBlanks" dxfId="4075" priority="4215">
      <formula>LEN(TRIM(U459))&gt;0</formula>
    </cfRule>
  </conditionalFormatting>
  <conditionalFormatting sqref="U459:Y459">
    <cfRule type="notContainsBlanks" dxfId="4074" priority="4214">
      <formula>LEN(TRIM(U459))&gt;0</formula>
    </cfRule>
  </conditionalFormatting>
  <conditionalFormatting sqref="U459:Y459">
    <cfRule type="notContainsBlanks" dxfId="4073" priority="4212">
      <formula>LEN(TRIM(U459))&gt;0</formula>
    </cfRule>
    <cfRule type="notContainsBlanks" dxfId="4072" priority="4213">
      <formula>LEN(TRIM(U459))&gt;0</formula>
    </cfRule>
  </conditionalFormatting>
  <conditionalFormatting sqref="U459:Y459">
    <cfRule type="notContainsBlanks" dxfId="4071" priority="4211">
      <formula>LEN(TRIM(U459))&gt;0</formula>
    </cfRule>
  </conditionalFormatting>
  <conditionalFormatting sqref="U459:Y459">
    <cfRule type="notContainsBlanks" dxfId="4070" priority="4210">
      <formula>LEN(TRIM(U459))&gt;0</formula>
    </cfRule>
  </conditionalFormatting>
  <conditionalFormatting sqref="U459:Y459">
    <cfRule type="notContainsBlanks" dxfId="4069" priority="4209">
      <formula>LEN(TRIM(U459))&gt;0</formula>
    </cfRule>
  </conditionalFormatting>
  <conditionalFormatting sqref="U459:Y459">
    <cfRule type="notContainsBlanks" dxfId="4068" priority="4208">
      <formula>LEN(TRIM(U459))&gt;0</formula>
    </cfRule>
  </conditionalFormatting>
  <conditionalFormatting sqref="U459:Y459">
    <cfRule type="notContainsBlanks" dxfId="4067" priority="4207">
      <formula>LEN(TRIM(U459))&gt;0</formula>
    </cfRule>
  </conditionalFormatting>
  <conditionalFormatting sqref="U459:Y459">
    <cfRule type="notContainsBlanks" dxfId="4066" priority="4206">
      <formula>LEN(TRIM(U459))&gt;0</formula>
    </cfRule>
  </conditionalFormatting>
  <conditionalFormatting sqref="U459:Y459">
    <cfRule type="notContainsBlanks" dxfId="4065" priority="4205">
      <formula>LEN(TRIM(U459))&gt;0</formula>
    </cfRule>
  </conditionalFormatting>
  <conditionalFormatting sqref="U459:Y459">
    <cfRule type="notContainsBlanks" dxfId="4064" priority="4204">
      <formula>LEN(TRIM(U459))&gt;0</formula>
    </cfRule>
  </conditionalFormatting>
  <conditionalFormatting sqref="U459:Y459">
    <cfRule type="notContainsBlanks" dxfId="4063" priority="4203">
      <formula>LEN(TRIM(U459))&gt;0</formula>
    </cfRule>
  </conditionalFormatting>
  <conditionalFormatting sqref="U459:Y459">
    <cfRule type="notContainsBlanks" priority="4202">
      <formula>LEN(TRIM(U459))&gt;0</formula>
    </cfRule>
  </conditionalFormatting>
  <conditionalFormatting sqref="U459:Y459">
    <cfRule type="notContainsBlanks" dxfId="4062" priority="4201">
      <formula>LEN(TRIM(U459))&gt;0</formula>
    </cfRule>
  </conditionalFormatting>
  <conditionalFormatting sqref="U459:Y459">
    <cfRule type="notContainsBlanks" dxfId="4061" priority="4200">
      <formula>LEN(TRIM(U459))&gt;0</formula>
    </cfRule>
  </conditionalFormatting>
  <conditionalFormatting sqref="U459:Y459">
    <cfRule type="notContainsBlanks" dxfId="4060" priority="4199">
      <formula>LEN(TRIM(U459))&gt;0</formula>
    </cfRule>
  </conditionalFormatting>
  <conditionalFormatting sqref="U459:Y459">
    <cfRule type="notContainsBlanks" dxfId="4059" priority="4198">
      <formula>LEN(TRIM(U459))&gt;0</formula>
    </cfRule>
  </conditionalFormatting>
  <conditionalFormatting sqref="U459:Y459">
    <cfRule type="notContainsBlanks" dxfId="4058" priority="4197">
      <formula>LEN(TRIM(U459))&gt;0</formula>
    </cfRule>
  </conditionalFormatting>
  <conditionalFormatting sqref="U472:Y472">
    <cfRule type="notContainsBlanks" dxfId="4057" priority="4196">
      <formula>LEN(TRIM(U472))&gt;0</formula>
    </cfRule>
  </conditionalFormatting>
  <conditionalFormatting sqref="U472:Y472">
    <cfRule type="notContainsBlanks" dxfId="4056" priority="4195">
      <formula>LEN(TRIM(U472))&gt;0</formula>
    </cfRule>
  </conditionalFormatting>
  <conditionalFormatting sqref="U472:Y472">
    <cfRule type="notContainsBlanks" dxfId="4055" priority="4194">
      <formula>LEN(TRIM(U472))&gt;0</formula>
    </cfRule>
  </conditionalFormatting>
  <conditionalFormatting sqref="U472:Y472">
    <cfRule type="notContainsBlanks" dxfId="4054" priority="4193">
      <formula>LEN(TRIM(U472))&gt;0</formula>
    </cfRule>
  </conditionalFormatting>
  <conditionalFormatting sqref="U472:Y472">
    <cfRule type="notContainsBlanks" dxfId="4053" priority="4192">
      <formula>LEN(TRIM(U472))&gt;0</formula>
    </cfRule>
  </conditionalFormatting>
  <conditionalFormatting sqref="U472:Y472">
    <cfRule type="notContainsBlanks" dxfId="4052" priority="4191">
      <formula>LEN(TRIM(U472))&gt;0</formula>
    </cfRule>
  </conditionalFormatting>
  <conditionalFormatting sqref="U472:Y472">
    <cfRule type="notContainsBlanks" dxfId="4051" priority="4190">
      <formula>LEN(TRIM(U472))&gt;0</formula>
    </cfRule>
  </conditionalFormatting>
  <conditionalFormatting sqref="U472:Y472">
    <cfRule type="notContainsBlanks" dxfId="4050" priority="4189">
      <formula>LEN(TRIM(U472))&gt;0</formula>
    </cfRule>
  </conditionalFormatting>
  <conditionalFormatting sqref="U472:Y472">
    <cfRule type="notContainsBlanks" dxfId="4049" priority="4188">
      <formula>LEN(TRIM(U472))&gt;0</formula>
    </cfRule>
  </conditionalFormatting>
  <conditionalFormatting sqref="U472:Y472">
    <cfRule type="notContainsBlanks" dxfId="4048" priority="4186">
      <formula>LEN(TRIM(U472))&gt;0</formula>
    </cfRule>
    <cfRule type="notContainsBlanks" dxfId="4047" priority="4187">
      <formula>LEN(TRIM(U472))&gt;0</formula>
    </cfRule>
  </conditionalFormatting>
  <conditionalFormatting sqref="U472:Y472">
    <cfRule type="notContainsBlanks" dxfId="4046" priority="4185">
      <formula>LEN(TRIM(U472))&gt;0</formula>
    </cfRule>
  </conditionalFormatting>
  <conditionalFormatting sqref="U472:Y472">
    <cfRule type="notContainsBlanks" dxfId="4045" priority="4184">
      <formula>LEN(TRIM(U472))&gt;0</formula>
    </cfRule>
  </conditionalFormatting>
  <conditionalFormatting sqref="U472:Y472">
    <cfRule type="notContainsBlanks" dxfId="4044" priority="4183">
      <formula>LEN(TRIM(U472))&gt;0</formula>
    </cfRule>
  </conditionalFormatting>
  <conditionalFormatting sqref="U472:Y472">
    <cfRule type="notContainsBlanks" dxfId="4043" priority="4182">
      <formula>LEN(TRIM(U472))&gt;0</formula>
    </cfRule>
  </conditionalFormatting>
  <conditionalFormatting sqref="U472:Y472">
    <cfRule type="notContainsBlanks" dxfId="4042" priority="4181">
      <formula>LEN(TRIM(U472))&gt;0</formula>
    </cfRule>
  </conditionalFormatting>
  <conditionalFormatting sqref="U472:Y472">
    <cfRule type="notContainsBlanks" dxfId="4041" priority="4180">
      <formula>LEN(TRIM(U472))&gt;0</formula>
    </cfRule>
  </conditionalFormatting>
  <conditionalFormatting sqref="U472:Y472">
    <cfRule type="notContainsBlanks" dxfId="4040" priority="4179">
      <formula>LEN(TRIM(U472))&gt;0</formula>
    </cfRule>
  </conditionalFormatting>
  <conditionalFormatting sqref="U472:Y472">
    <cfRule type="notContainsBlanks" dxfId="4039" priority="4178">
      <formula>LEN(TRIM(U472))&gt;0</formula>
    </cfRule>
  </conditionalFormatting>
  <conditionalFormatting sqref="U472:Y472">
    <cfRule type="notContainsBlanks" dxfId="4038" priority="4177">
      <formula>LEN(TRIM(U472))&gt;0</formula>
    </cfRule>
  </conditionalFormatting>
  <conditionalFormatting sqref="U472:Y472">
    <cfRule type="notContainsBlanks" priority="4176">
      <formula>LEN(TRIM(U472))&gt;0</formula>
    </cfRule>
  </conditionalFormatting>
  <conditionalFormatting sqref="U472:Y472">
    <cfRule type="notContainsBlanks" dxfId="4037" priority="4175">
      <formula>LEN(TRIM(U472))&gt;0</formula>
    </cfRule>
  </conditionalFormatting>
  <conditionalFormatting sqref="U472:Y472">
    <cfRule type="notContainsBlanks" dxfId="4036" priority="4174">
      <formula>LEN(TRIM(U472))&gt;0</formula>
    </cfRule>
  </conditionalFormatting>
  <conditionalFormatting sqref="U472:Y472">
    <cfRule type="notContainsBlanks" dxfId="4035" priority="4173">
      <formula>LEN(TRIM(U472))&gt;0</formula>
    </cfRule>
  </conditionalFormatting>
  <conditionalFormatting sqref="U472:Y472">
    <cfRule type="notContainsBlanks" dxfId="4034" priority="4172">
      <formula>LEN(TRIM(U472))&gt;0</formula>
    </cfRule>
  </conditionalFormatting>
  <conditionalFormatting sqref="U472:Y472">
    <cfRule type="notContainsBlanks" dxfId="4033" priority="4171">
      <formula>LEN(TRIM(U472))&gt;0</formula>
    </cfRule>
  </conditionalFormatting>
  <conditionalFormatting sqref="U485:Y485">
    <cfRule type="notContainsBlanks" dxfId="4032" priority="4170">
      <formula>LEN(TRIM(U485))&gt;0</formula>
    </cfRule>
  </conditionalFormatting>
  <conditionalFormatting sqref="U485:Y485">
    <cfRule type="notContainsBlanks" dxfId="4031" priority="4169">
      <formula>LEN(TRIM(U485))&gt;0</formula>
    </cfRule>
  </conditionalFormatting>
  <conditionalFormatting sqref="U485:Y485">
    <cfRule type="notContainsBlanks" dxfId="4030" priority="4168">
      <formula>LEN(TRIM(U485))&gt;0</formula>
    </cfRule>
  </conditionalFormatting>
  <conditionalFormatting sqref="U485:Y485">
    <cfRule type="notContainsBlanks" dxfId="4029" priority="4167">
      <formula>LEN(TRIM(U485))&gt;0</formula>
    </cfRule>
  </conditionalFormatting>
  <conditionalFormatting sqref="U485:Y485">
    <cfRule type="notContainsBlanks" dxfId="4028" priority="4166">
      <formula>LEN(TRIM(U485))&gt;0</formula>
    </cfRule>
  </conditionalFormatting>
  <conditionalFormatting sqref="U485:Y485">
    <cfRule type="notContainsBlanks" dxfId="4027" priority="4165">
      <formula>LEN(TRIM(U485))&gt;0</formula>
    </cfRule>
  </conditionalFormatting>
  <conditionalFormatting sqref="U485:Y485">
    <cfRule type="notContainsBlanks" dxfId="4026" priority="4164">
      <formula>LEN(TRIM(U485))&gt;0</formula>
    </cfRule>
  </conditionalFormatting>
  <conditionalFormatting sqref="U485:Y485">
    <cfRule type="notContainsBlanks" dxfId="4025" priority="4163">
      <formula>LEN(TRIM(U485))&gt;0</formula>
    </cfRule>
  </conditionalFormatting>
  <conditionalFormatting sqref="U485:Y485">
    <cfRule type="notContainsBlanks" dxfId="4024" priority="4162">
      <formula>LEN(TRIM(U485))&gt;0</formula>
    </cfRule>
  </conditionalFormatting>
  <conditionalFormatting sqref="U485:Y485">
    <cfRule type="notContainsBlanks" dxfId="4023" priority="4160">
      <formula>LEN(TRIM(U485))&gt;0</formula>
    </cfRule>
    <cfRule type="notContainsBlanks" dxfId="4022" priority="4161">
      <formula>LEN(TRIM(U485))&gt;0</formula>
    </cfRule>
  </conditionalFormatting>
  <conditionalFormatting sqref="U485:Y485">
    <cfRule type="notContainsBlanks" dxfId="4021" priority="4159">
      <formula>LEN(TRIM(U485))&gt;0</formula>
    </cfRule>
  </conditionalFormatting>
  <conditionalFormatting sqref="U485:Y485">
    <cfRule type="notContainsBlanks" dxfId="4020" priority="4158">
      <formula>LEN(TRIM(U485))&gt;0</formula>
    </cfRule>
  </conditionalFormatting>
  <conditionalFormatting sqref="U485:Y485">
    <cfRule type="notContainsBlanks" dxfId="4019" priority="4157">
      <formula>LEN(TRIM(U485))&gt;0</formula>
    </cfRule>
  </conditionalFormatting>
  <conditionalFormatting sqref="U485:Y485">
    <cfRule type="notContainsBlanks" dxfId="4018" priority="4156">
      <formula>LEN(TRIM(U485))&gt;0</formula>
    </cfRule>
  </conditionalFormatting>
  <conditionalFormatting sqref="U485:Y485">
    <cfRule type="notContainsBlanks" dxfId="4017" priority="4155">
      <formula>LEN(TRIM(U485))&gt;0</formula>
    </cfRule>
  </conditionalFormatting>
  <conditionalFormatting sqref="U485:Y485">
    <cfRule type="notContainsBlanks" dxfId="4016" priority="4154">
      <formula>LEN(TRIM(U485))&gt;0</formula>
    </cfRule>
  </conditionalFormatting>
  <conditionalFormatting sqref="U485:Y485">
    <cfRule type="notContainsBlanks" dxfId="4015" priority="4153">
      <formula>LEN(TRIM(U485))&gt;0</formula>
    </cfRule>
  </conditionalFormatting>
  <conditionalFormatting sqref="U485:Y485">
    <cfRule type="notContainsBlanks" dxfId="4014" priority="4152">
      <formula>LEN(TRIM(U485))&gt;0</formula>
    </cfRule>
  </conditionalFormatting>
  <conditionalFormatting sqref="U485:Y485">
    <cfRule type="notContainsBlanks" dxfId="4013" priority="4151">
      <formula>LEN(TRIM(U485))&gt;0</formula>
    </cfRule>
  </conditionalFormatting>
  <conditionalFormatting sqref="U485:Y485">
    <cfRule type="notContainsBlanks" priority="4150">
      <formula>LEN(TRIM(U485))&gt;0</formula>
    </cfRule>
  </conditionalFormatting>
  <conditionalFormatting sqref="U485:Y485">
    <cfRule type="notContainsBlanks" dxfId="4012" priority="4149">
      <formula>LEN(TRIM(U485))&gt;0</formula>
    </cfRule>
  </conditionalFormatting>
  <conditionalFormatting sqref="U485:Y485">
    <cfRule type="notContainsBlanks" dxfId="4011" priority="4148">
      <formula>LEN(TRIM(U485))&gt;0</formula>
    </cfRule>
  </conditionalFormatting>
  <conditionalFormatting sqref="U485:Y485">
    <cfRule type="notContainsBlanks" dxfId="4010" priority="4147">
      <formula>LEN(TRIM(U485))&gt;0</formula>
    </cfRule>
  </conditionalFormatting>
  <conditionalFormatting sqref="U485:Y485">
    <cfRule type="notContainsBlanks" dxfId="4009" priority="4146">
      <formula>LEN(TRIM(U485))&gt;0</formula>
    </cfRule>
  </conditionalFormatting>
  <conditionalFormatting sqref="U485:Y485">
    <cfRule type="notContainsBlanks" dxfId="4008" priority="4145">
      <formula>LEN(TRIM(U485))&gt;0</formula>
    </cfRule>
  </conditionalFormatting>
  <conditionalFormatting sqref="U498:Y498">
    <cfRule type="notContainsBlanks" dxfId="4007" priority="4144">
      <formula>LEN(TRIM(U498))&gt;0</formula>
    </cfRule>
  </conditionalFormatting>
  <conditionalFormatting sqref="U498:Y498">
    <cfRule type="notContainsBlanks" dxfId="4006" priority="4143">
      <formula>LEN(TRIM(U498))&gt;0</formula>
    </cfRule>
  </conditionalFormatting>
  <conditionalFormatting sqref="U498:Y498">
    <cfRule type="notContainsBlanks" dxfId="4005" priority="4142">
      <formula>LEN(TRIM(U498))&gt;0</formula>
    </cfRule>
  </conditionalFormatting>
  <conditionalFormatting sqref="U498:Y498">
    <cfRule type="notContainsBlanks" dxfId="4004" priority="4141">
      <formula>LEN(TRIM(U498))&gt;0</formula>
    </cfRule>
  </conditionalFormatting>
  <conditionalFormatting sqref="U498:Y498">
    <cfRule type="notContainsBlanks" dxfId="4003" priority="4140">
      <formula>LEN(TRIM(U498))&gt;0</formula>
    </cfRule>
  </conditionalFormatting>
  <conditionalFormatting sqref="U498:Y498">
    <cfRule type="notContainsBlanks" dxfId="4002" priority="4139">
      <formula>LEN(TRIM(U498))&gt;0</formula>
    </cfRule>
  </conditionalFormatting>
  <conditionalFormatting sqref="U498:Y498">
    <cfRule type="notContainsBlanks" dxfId="4001" priority="4138">
      <formula>LEN(TRIM(U498))&gt;0</formula>
    </cfRule>
  </conditionalFormatting>
  <conditionalFormatting sqref="U498:Y498">
    <cfRule type="notContainsBlanks" dxfId="4000" priority="4137">
      <formula>LEN(TRIM(U498))&gt;0</formula>
    </cfRule>
  </conditionalFormatting>
  <conditionalFormatting sqref="U498:Y498">
    <cfRule type="notContainsBlanks" dxfId="3999" priority="4136">
      <formula>LEN(TRIM(U498))&gt;0</formula>
    </cfRule>
  </conditionalFormatting>
  <conditionalFormatting sqref="U498:Y498">
    <cfRule type="notContainsBlanks" dxfId="3998" priority="4134">
      <formula>LEN(TRIM(U498))&gt;0</formula>
    </cfRule>
    <cfRule type="notContainsBlanks" dxfId="3997" priority="4135">
      <formula>LEN(TRIM(U498))&gt;0</formula>
    </cfRule>
  </conditionalFormatting>
  <conditionalFormatting sqref="U498:Y498">
    <cfRule type="notContainsBlanks" dxfId="3996" priority="4133">
      <formula>LEN(TRIM(U498))&gt;0</formula>
    </cfRule>
  </conditionalFormatting>
  <conditionalFormatting sqref="U498:Y498">
    <cfRule type="notContainsBlanks" dxfId="3995" priority="4132">
      <formula>LEN(TRIM(U498))&gt;0</formula>
    </cfRule>
  </conditionalFormatting>
  <conditionalFormatting sqref="U498:Y498">
    <cfRule type="notContainsBlanks" dxfId="3994" priority="4131">
      <formula>LEN(TRIM(U498))&gt;0</formula>
    </cfRule>
  </conditionalFormatting>
  <conditionalFormatting sqref="U498:Y498">
    <cfRule type="notContainsBlanks" dxfId="3993" priority="4130">
      <formula>LEN(TRIM(U498))&gt;0</formula>
    </cfRule>
  </conditionalFormatting>
  <conditionalFormatting sqref="U498:Y498">
    <cfRule type="notContainsBlanks" dxfId="3992" priority="4129">
      <formula>LEN(TRIM(U498))&gt;0</formula>
    </cfRule>
  </conditionalFormatting>
  <conditionalFormatting sqref="U498:Y498">
    <cfRule type="notContainsBlanks" dxfId="3991" priority="4128">
      <formula>LEN(TRIM(U498))&gt;0</formula>
    </cfRule>
  </conditionalFormatting>
  <conditionalFormatting sqref="U498:Y498">
    <cfRule type="notContainsBlanks" dxfId="3990" priority="4127">
      <formula>LEN(TRIM(U498))&gt;0</formula>
    </cfRule>
  </conditionalFormatting>
  <conditionalFormatting sqref="U498:Y498">
    <cfRule type="notContainsBlanks" dxfId="3989" priority="4126">
      <formula>LEN(TRIM(U498))&gt;0</formula>
    </cfRule>
  </conditionalFormatting>
  <conditionalFormatting sqref="U498:Y498">
    <cfRule type="notContainsBlanks" dxfId="3988" priority="4125">
      <formula>LEN(TRIM(U498))&gt;0</formula>
    </cfRule>
  </conditionalFormatting>
  <conditionalFormatting sqref="U498:Y498">
    <cfRule type="notContainsBlanks" priority="4124">
      <formula>LEN(TRIM(U498))&gt;0</formula>
    </cfRule>
  </conditionalFormatting>
  <conditionalFormatting sqref="U498:Y498">
    <cfRule type="notContainsBlanks" dxfId="3987" priority="4123">
      <formula>LEN(TRIM(U498))&gt;0</formula>
    </cfRule>
  </conditionalFormatting>
  <conditionalFormatting sqref="U498:Y498">
    <cfRule type="notContainsBlanks" dxfId="3986" priority="4122">
      <formula>LEN(TRIM(U498))&gt;0</formula>
    </cfRule>
  </conditionalFormatting>
  <conditionalFormatting sqref="U498:Y498">
    <cfRule type="notContainsBlanks" dxfId="3985" priority="4121">
      <formula>LEN(TRIM(U498))&gt;0</formula>
    </cfRule>
  </conditionalFormatting>
  <conditionalFormatting sqref="U498:Y498">
    <cfRule type="notContainsBlanks" dxfId="3984" priority="4120">
      <formula>LEN(TRIM(U498))&gt;0</formula>
    </cfRule>
  </conditionalFormatting>
  <conditionalFormatting sqref="U498:Y498">
    <cfRule type="notContainsBlanks" dxfId="3983" priority="4119">
      <formula>LEN(TRIM(U498))&gt;0</formula>
    </cfRule>
  </conditionalFormatting>
  <conditionalFormatting sqref="U511:Y511">
    <cfRule type="notContainsBlanks" dxfId="3982" priority="4118">
      <formula>LEN(TRIM(U511))&gt;0</formula>
    </cfRule>
  </conditionalFormatting>
  <conditionalFormatting sqref="U511:Y511">
    <cfRule type="notContainsBlanks" dxfId="3981" priority="4117">
      <formula>LEN(TRIM(U511))&gt;0</formula>
    </cfRule>
  </conditionalFormatting>
  <conditionalFormatting sqref="U511:Y511">
    <cfRule type="notContainsBlanks" dxfId="3980" priority="4116">
      <formula>LEN(TRIM(U511))&gt;0</formula>
    </cfRule>
  </conditionalFormatting>
  <conditionalFormatting sqref="U511:Y511">
    <cfRule type="notContainsBlanks" dxfId="3979" priority="4115">
      <formula>LEN(TRIM(U511))&gt;0</formula>
    </cfRule>
  </conditionalFormatting>
  <conditionalFormatting sqref="U511:Y511">
    <cfRule type="notContainsBlanks" dxfId="3978" priority="4114">
      <formula>LEN(TRIM(U511))&gt;0</formula>
    </cfRule>
  </conditionalFormatting>
  <conditionalFormatting sqref="U511:Y511">
    <cfRule type="notContainsBlanks" dxfId="3977" priority="4113">
      <formula>LEN(TRIM(U511))&gt;0</formula>
    </cfRule>
  </conditionalFormatting>
  <conditionalFormatting sqref="U511:Y511">
    <cfRule type="notContainsBlanks" dxfId="3976" priority="4112">
      <formula>LEN(TRIM(U511))&gt;0</formula>
    </cfRule>
  </conditionalFormatting>
  <conditionalFormatting sqref="U511:Y511">
    <cfRule type="notContainsBlanks" dxfId="3975" priority="4111">
      <formula>LEN(TRIM(U511))&gt;0</formula>
    </cfRule>
  </conditionalFormatting>
  <conditionalFormatting sqref="U511:Y511">
    <cfRule type="notContainsBlanks" dxfId="3974" priority="4110">
      <formula>LEN(TRIM(U511))&gt;0</formula>
    </cfRule>
  </conditionalFormatting>
  <conditionalFormatting sqref="U511:Y511">
    <cfRule type="notContainsBlanks" dxfId="3973" priority="4108">
      <formula>LEN(TRIM(U511))&gt;0</formula>
    </cfRule>
    <cfRule type="notContainsBlanks" dxfId="3972" priority="4109">
      <formula>LEN(TRIM(U511))&gt;0</formula>
    </cfRule>
  </conditionalFormatting>
  <conditionalFormatting sqref="U511:Y511">
    <cfRule type="notContainsBlanks" dxfId="3971" priority="4107">
      <formula>LEN(TRIM(U511))&gt;0</formula>
    </cfRule>
  </conditionalFormatting>
  <conditionalFormatting sqref="U511:Y511">
    <cfRule type="notContainsBlanks" dxfId="3970" priority="4106">
      <formula>LEN(TRIM(U511))&gt;0</formula>
    </cfRule>
  </conditionalFormatting>
  <conditionalFormatting sqref="U511:Y511">
    <cfRule type="notContainsBlanks" dxfId="3969" priority="4105">
      <formula>LEN(TRIM(U511))&gt;0</formula>
    </cfRule>
  </conditionalFormatting>
  <conditionalFormatting sqref="U511:Y511">
    <cfRule type="notContainsBlanks" dxfId="3968" priority="4104">
      <formula>LEN(TRIM(U511))&gt;0</formula>
    </cfRule>
  </conditionalFormatting>
  <conditionalFormatting sqref="U511:Y511">
    <cfRule type="notContainsBlanks" dxfId="3967" priority="4103">
      <formula>LEN(TRIM(U511))&gt;0</formula>
    </cfRule>
  </conditionalFormatting>
  <conditionalFormatting sqref="U511:Y511">
    <cfRule type="notContainsBlanks" dxfId="3966" priority="4102">
      <formula>LEN(TRIM(U511))&gt;0</formula>
    </cfRule>
  </conditionalFormatting>
  <conditionalFormatting sqref="U511:Y511">
    <cfRule type="notContainsBlanks" dxfId="3965" priority="4101">
      <formula>LEN(TRIM(U511))&gt;0</formula>
    </cfRule>
  </conditionalFormatting>
  <conditionalFormatting sqref="U511:Y511">
    <cfRule type="notContainsBlanks" dxfId="3964" priority="4100">
      <formula>LEN(TRIM(U511))&gt;0</formula>
    </cfRule>
  </conditionalFormatting>
  <conditionalFormatting sqref="U511:Y511">
    <cfRule type="notContainsBlanks" dxfId="3963" priority="4099">
      <formula>LEN(TRIM(U511))&gt;0</formula>
    </cfRule>
  </conditionalFormatting>
  <conditionalFormatting sqref="U511:Y511">
    <cfRule type="notContainsBlanks" priority="4098">
      <formula>LEN(TRIM(U511))&gt;0</formula>
    </cfRule>
  </conditionalFormatting>
  <conditionalFormatting sqref="U511:Y511">
    <cfRule type="notContainsBlanks" dxfId="3962" priority="4097">
      <formula>LEN(TRIM(U511))&gt;0</formula>
    </cfRule>
  </conditionalFormatting>
  <conditionalFormatting sqref="U511:Y511">
    <cfRule type="notContainsBlanks" dxfId="3961" priority="4096">
      <formula>LEN(TRIM(U511))&gt;0</formula>
    </cfRule>
  </conditionalFormatting>
  <conditionalFormatting sqref="U511:Y511">
    <cfRule type="notContainsBlanks" dxfId="3960" priority="4095">
      <formula>LEN(TRIM(U511))&gt;0</formula>
    </cfRule>
  </conditionalFormatting>
  <conditionalFormatting sqref="U511:Y511">
    <cfRule type="notContainsBlanks" dxfId="3959" priority="4094">
      <formula>LEN(TRIM(U511))&gt;0</formula>
    </cfRule>
  </conditionalFormatting>
  <conditionalFormatting sqref="U511:Y511">
    <cfRule type="notContainsBlanks" dxfId="3958" priority="4093">
      <formula>LEN(TRIM(U511))&gt;0</formula>
    </cfRule>
  </conditionalFormatting>
  <conditionalFormatting sqref="U524:Y524">
    <cfRule type="notContainsBlanks" dxfId="3957" priority="4092">
      <formula>LEN(TRIM(U524))&gt;0</formula>
    </cfRule>
  </conditionalFormatting>
  <conditionalFormatting sqref="U524:Y524">
    <cfRule type="notContainsBlanks" dxfId="3956" priority="4091">
      <formula>LEN(TRIM(U524))&gt;0</formula>
    </cfRule>
  </conditionalFormatting>
  <conditionalFormatting sqref="U524:Y524">
    <cfRule type="notContainsBlanks" dxfId="3955" priority="4090">
      <formula>LEN(TRIM(U524))&gt;0</formula>
    </cfRule>
  </conditionalFormatting>
  <conditionalFormatting sqref="U524:Y524">
    <cfRule type="notContainsBlanks" dxfId="3954" priority="4089">
      <formula>LEN(TRIM(U524))&gt;0</formula>
    </cfRule>
  </conditionalFormatting>
  <conditionalFormatting sqref="U524:Y524">
    <cfRule type="notContainsBlanks" dxfId="3953" priority="4088">
      <formula>LEN(TRIM(U524))&gt;0</formula>
    </cfRule>
  </conditionalFormatting>
  <conditionalFormatting sqref="U524:Y524">
    <cfRule type="notContainsBlanks" dxfId="3952" priority="4087">
      <formula>LEN(TRIM(U524))&gt;0</formula>
    </cfRule>
  </conditionalFormatting>
  <conditionalFormatting sqref="U524:Y524">
    <cfRule type="notContainsBlanks" dxfId="3951" priority="4086">
      <formula>LEN(TRIM(U524))&gt;0</formula>
    </cfRule>
  </conditionalFormatting>
  <conditionalFormatting sqref="U524:Y524">
    <cfRule type="notContainsBlanks" dxfId="3950" priority="4085">
      <formula>LEN(TRIM(U524))&gt;0</formula>
    </cfRule>
  </conditionalFormatting>
  <conditionalFormatting sqref="U524:Y524">
    <cfRule type="notContainsBlanks" dxfId="3949" priority="4084">
      <formula>LEN(TRIM(U524))&gt;0</formula>
    </cfRule>
  </conditionalFormatting>
  <conditionalFormatting sqref="U524:Y524">
    <cfRule type="notContainsBlanks" dxfId="3948" priority="4082">
      <formula>LEN(TRIM(U524))&gt;0</formula>
    </cfRule>
    <cfRule type="notContainsBlanks" dxfId="3947" priority="4083">
      <formula>LEN(TRIM(U524))&gt;0</formula>
    </cfRule>
  </conditionalFormatting>
  <conditionalFormatting sqref="U524:Y524">
    <cfRule type="notContainsBlanks" dxfId="3946" priority="4081">
      <formula>LEN(TRIM(U524))&gt;0</formula>
    </cfRule>
  </conditionalFormatting>
  <conditionalFormatting sqref="U524:Y524">
    <cfRule type="notContainsBlanks" dxfId="3945" priority="4080">
      <formula>LEN(TRIM(U524))&gt;0</formula>
    </cfRule>
  </conditionalFormatting>
  <conditionalFormatting sqref="U524:Y524">
    <cfRule type="notContainsBlanks" dxfId="3944" priority="4079">
      <formula>LEN(TRIM(U524))&gt;0</formula>
    </cfRule>
  </conditionalFormatting>
  <conditionalFormatting sqref="U524:Y524">
    <cfRule type="notContainsBlanks" dxfId="3943" priority="4078">
      <formula>LEN(TRIM(U524))&gt;0</formula>
    </cfRule>
  </conditionalFormatting>
  <conditionalFormatting sqref="U524:Y524">
    <cfRule type="notContainsBlanks" dxfId="3942" priority="4077">
      <formula>LEN(TRIM(U524))&gt;0</formula>
    </cfRule>
  </conditionalFormatting>
  <conditionalFormatting sqref="U524:Y524">
    <cfRule type="notContainsBlanks" dxfId="3941" priority="4076">
      <formula>LEN(TRIM(U524))&gt;0</formula>
    </cfRule>
  </conditionalFormatting>
  <conditionalFormatting sqref="U524:Y524">
    <cfRule type="notContainsBlanks" dxfId="3940" priority="4075">
      <formula>LEN(TRIM(U524))&gt;0</formula>
    </cfRule>
  </conditionalFormatting>
  <conditionalFormatting sqref="U524:Y524">
    <cfRule type="notContainsBlanks" dxfId="3939" priority="4074">
      <formula>LEN(TRIM(U524))&gt;0</formula>
    </cfRule>
  </conditionalFormatting>
  <conditionalFormatting sqref="U524:Y524">
    <cfRule type="notContainsBlanks" dxfId="3938" priority="4073">
      <formula>LEN(TRIM(U524))&gt;0</formula>
    </cfRule>
  </conditionalFormatting>
  <conditionalFormatting sqref="U524:Y524">
    <cfRule type="notContainsBlanks" priority="4072">
      <formula>LEN(TRIM(U524))&gt;0</formula>
    </cfRule>
  </conditionalFormatting>
  <conditionalFormatting sqref="U524:Y524">
    <cfRule type="notContainsBlanks" dxfId="3937" priority="4071">
      <formula>LEN(TRIM(U524))&gt;0</formula>
    </cfRule>
  </conditionalFormatting>
  <conditionalFormatting sqref="U524:Y524">
    <cfRule type="notContainsBlanks" dxfId="3936" priority="4070">
      <formula>LEN(TRIM(U524))&gt;0</formula>
    </cfRule>
  </conditionalFormatting>
  <conditionalFormatting sqref="U524:Y524">
    <cfRule type="notContainsBlanks" dxfId="3935" priority="4069">
      <formula>LEN(TRIM(U524))&gt;0</formula>
    </cfRule>
  </conditionalFormatting>
  <conditionalFormatting sqref="U524:Y524">
    <cfRule type="notContainsBlanks" dxfId="3934" priority="4068">
      <formula>LEN(TRIM(U524))&gt;0</formula>
    </cfRule>
  </conditionalFormatting>
  <conditionalFormatting sqref="U524:Y524">
    <cfRule type="notContainsBlanks" dxfId="3933" priority="4067">
      <formula>LEN(TRIM(U524))&gt;0</formula>
    </cfRule>
  </conditionalFormatting>
  <conditionalFormatting sqref="U537:Y537">
    <cfRule type="notContainsBlanks" dxfId="3932" priority="4066">
      <formula>LEN(TRIM(U537))&gt;0</formula>
    </cfRule>
  </conditionalFormatting>
  <conditionalFormatting sqref="U537:Y537">
    <cfRule type="notContainsBlanks" dxfId="3931" priority="4065">
      <formula>LEN(TRIM(U537))&gt;0</formula>
    </cfRule>
  </conditionalFormatting>
  <conditionalFormatting sqref="U537:Y537">
    <cfRule type="notContainsBlanks" dxfId="3930" priority="4064">
      <formula>LEN(TRIM(U537))&gt;0</formula>
    </cfRule>
  </conditionalFormatting>
  <conditionalFormatting sqref="U537:Y537">
    <cfRule type="notContainsBlanks" dxfId="3929" priority="4063">
      <formula>LEN(TRIM(U537))&gt;0</formula>
    </cfRule>
  </conditionalFormatting>
  <conditionalFormatting sqref="U537:Y537">
    <cfRule type="notContainsBlanks" dxfId="3928" priority="4062">
      <formula>LEN(TRIM(U537))&gt;0</formula>
    </cfRule>
  </conditionalFormatting>
  <conditionalFormatting sqref="U537:Y537">
    <cfRule type="notContainsBlanks" dxfId="3927" priority="4061">
      <formula>LEN(TRIM(U537))&gt;0</formula>
    </cfRule>
  </conditionalFormatting>
  <conditionalFormatting sqref="U537:Y537">
    <cfRule type="notContainsBlanks" dxfId="3926" priority="4060">
      <formula>LEN(TRIM(U537))&gt;0</formula>
    </cfRule>
  </conditionalFormatting>
  <conditionalFormatting sqref="U537:Y537">
    <cfRule type="notContainsBlanks" dxfId="3925" priority="4059">
      <formula>LEN(TRIM(U537))&gt;0</formula>
    </cfRule>
  </conditionalFormatting>
  <conditionalFormatting sqref="U537:Y537">
    <cfRule type="notContainsBlanks" dxfId="3924" priority="4058">
      <formula>LEN(TRIM(U537))&gt;0</formula>
    </cfRule>
  </conditionalFormatting>
  <conditionalFormatting sqref="U537:Y537">
    <cfRule type="notContainsBlanks" dxfId="3923" priority="4056">
      <formula>LEN(TRIM(U537))&gt;0</formula>
    </cfRule>
    <cfRule type="notContainsBlanks" dxfId="3922" priority="4057">
      <formula>LEN(TRIM(U537))&gt;0</formula>
    </cfRule>
  </conditionalFormatting>
  <conditionalFormatting sqref="U537:Y537">
    <cfRule type="notContainsBlanks" dxfId="3921" priority="4055">
      <formula>LEN(TRIM(U537))&gt;0</formula>
    </cfRule>
  </conditionalFormatting>
  <conditionalFormatting sqref="U537:Y537">
    <cfRule type="notContainsBlanks" dxfId="3920" priority="4054">
      <formula>LEN(TRIM(U537))&gt;0</formula>
    </cfRule>
  </conditionalFormatting>
  <conditionalFormatting sqref="U537:Y537">
    <cfRule type="notContainsBlanks" dxfId="3919" priority="4053">
      <formula>LEN(TRIM(U537))&gt;0</formula>
    </cfRule>
  </conditionalFormatting>
  <conditionalFormatting sqref="U537:Y537">
    <cfRule type="notContainsBlanks" dxfId="3918" priority="4052">
      <formula>LEN(TRIM(U537))&gt;0</formula>
    </cfRule>
  </conditionalFormatting>
  <conditionalFormatting sqref="U537:Y537">
    <cfRule type="notContainsBlanks" dxfId="3917" priority="4051">
      <formula>LEN(TRIM(U537))&gt;0</formula>
    </cfRule>
  </conditionalFormatting>
  <conditionalFormatting sqref="U537:Y537">
    <cfRule type="notContainsBlanks" dxfId="3916" priority="4050">
      <formula>LEN(TRIM(U537))&gt;0</formula>
    </cfRule>
  </conditionalFormatting>
  <conditionalFormatting sqref="U537:Y537">
    <cfRule type="notContainsBlanks" dxfId="3915" priority="4049">
      <formula>LEN(TRIM(U537))&gt;0</formula>
    </cfRule>
  </conditionalFormatting>
  <conditionalFormatting sqref="U537:Y537">
    <cfRule type="notContainsBlanks" dxfId="3914" priority="4048">
      <formula>LEN(TRIM(U537))&gt;0</formula>
    </cfRule>
  </conditionalFormatting>
  <conditionalFormatting sqref="U537:Y537">
    <cfRule type="notContainsBlanks" dxfId="3913" priority="4047">
      <formula>LEN(TRIM(U537))&gt;0</formula>
    </cfRule>
  </conditionalFormatting>
  <conditionalFormatting sqref="U537:Y537">
    <cfRule type="notContainsBlanks" priority="4046">
      <formula>LEN(TRIM(U537))&gt;0</formula>
    </cfRule>
  </conditionalFormatting>
  <conditionalFormatting sqref="U537:Y537">
    <cfRule type="notContainsBlanks" dxfId="3912" priority="4045">
      <formula>LEN(TRIM(U537))&gt;0</formula>
    </cfRule>
  </conditionalFormatting>
  <conditionalFormatting sqref="U537:Y537">
    <cfRule type="notContainsBlanks" dxfId="3911" priority="4044">
      <formula>LEN(TRIM(U537))&gt;0</formula>
    </cfRule>
  </conditionalFormatting>
  <conditionalFormatting sqref="U537:Y537">
    <cfRule type="notContainsBlanks" dxfId="3910" priority="4043">
      <formula>LEN(TRIM(U537))&gt;0</formula>
    </cfRule>
  </conditionalFormatting>
  <conditionalFormatting sqref="U537:Y537">
    <cfRule type="notContainsBlanks" dxfId="3909" priority="4042">
      <formula>LEN(TRIM(U537))&gt;0</formula>
    </cfRule>
  </conditionalFormatting>
  <conditionalFormatting sqref="U537:Y537">
    <cfRule type="notContainsBlanks" dxfId="3908" priority="4041">
      <formula>LEN(TRIM(U537))&gt;0</formula>
    </cfRule>
  </conditionalFormatting>
  <conditionalFormatting sqref="U550:Y550">
    <cfRule type="notContainsBlanks" dxfId="3907" priority="4040">
      <formula>LEN(TRIM(U550))&gt;0</formula>
    </cfRule>
  </conditionalFormatting>
  <conditionalFormatting sqref="U550:Y550">
    <cfRule type="notContainsBlanks" dxfId="3906" priority="4039">
      <formula>LEN(TRIM(U550))&gt;0</formula>
    </cfRule>
  </conditionalFormatting>
  <conditionalFormatting sqref="U550:Y550">
    <cfRule type="notContainsBlanks" dxfId="3905" priority="4038">
      <formula>LEN(TRIM(U550))&gt;0</formula>
    </cfRule>
  </conditionalFormatting>
  <conditionalFormatting sqref="U550:Y550">
    <cfRule type="notContainsBlanks" dxfId="3904" priority="4037">
      <formula>LEN(TRIM(U550))&gt;0</formula>
    </cfRule>
  </conditionalFormatting>
  <conditionalFormatting sqref="U550:Y550">
    <cfRule type="notContainsBlanks" dxfId="3903" priority="4036">
      <formula>LEN(TRIM(U550))&gt;0</formula>
    </cfRule>
  </conditionalFormatting>
  <conditionalFormatting sqref="U550:Y550">
    <cfRule type="notContainsBlanks" dxfId="3902" priority="4035">
      <formula>LEN(TRIM(U550))&gt;0</formula>
    </cfRule>
  </conditionalFormatting>
  <conditionalFormatting sqref="U550:Y550">
    <cfRule type="notContainsBlanks" dxfId="3901" priority="4034">
      <formula>LEN(TRIM(U550))&gt;0</formula>
    </cfRule>
  </conditionalFormatting>
  <conditionalFormatting sqref="U550:Y550">
    <cfRule type="notContainsBlanks" dxfId="3900" priority="4033">
      <formula>LEN(TRIM(U550))&gt;0</formula>
    </cfRule>
  </conditionalFormatting>
  <conditionalFormatting sqref="U550:Y550">
    <cfRule type="notContainsBlanks" dxfId="3899" priority="4032">
      <formula>LEN(TRIM(U550))&gt;0</formula>
    </cfRule>
  </conditionalFormatting>
  <conditionalFormatting sqref="U550:Y550">
    <cfRule type="notContainsBlanks" dxfId="3898" priority="4030">
      <formula>LEN(TRIM(U550))&gt;0</formula>
    </cfRule>
    <cfRule type="notContainsBlanks" dxfId="3897" priority="4031">
      <formula>LEN(TRIM(U550))&gt;0</formula>
    </cfRule>
  </conditionalFormatting>
  <conditionalFormatting sqref="U550:Y550">
    <cfRule type="notContainsBlanks" dxfId="3896" priority="4029">
      <formula>LEN(TRIM(U550))&gt;0</formula>
    </cfRule>
  </conditionalFormatting>
  <conditionalFormatting sqref="U550:Y550">
    <cfRule type="notContainsBlanks" dxfId="3895" priority="4028">
      <formula>LEN(TRIM(U550))&gt;0</formula>
    </cfRule>
  </conditionalFormatting>
  <conditionalFormatting sqref="U550:Y550">
    <cfRule type="notContainsBlanks" dxfId="3894" priority="4027">
      <formula>LEN(TRIM(U550))&gt;0</formula>
    </cfRule>
  </conditionalFormatting>
  <conditionalFormatting sqref="U550:Y550">
    <cfRule type="notContainsBlanks" dxfId="3893" priority="4026">
      <formula>LEN(TRIM(U550))&gt;0</formula>
    </cfRule>
  </conditionalFormatting>
  <conditionalFormatting sqref="U550:Y550">
    <cfRule type="notContainsBlanks" dxfId="3892" priority="4025">
      <formula>LEN(TRIM(U550))&gt;0</formula>
    </cfRule>
  </conditionalFormatting>
  <conditionalFormatting sqref="U550:Y550">
    <cfRule type="notContainsBlanks" dxfId="3891" priority="4024">
      <formula>LEN(TRIM(U550))&gt;0</formula>
    </cfRule>
  </conditionalFormatting>
  <conditionalFormatting sqref="U550:Y550">
    <cfRule type="notContainsBlanks" dxfId="3890" priority="4023">
      <formula>LEN(TRIM(U550))&gt;0</formula>
    </cfRule>
  </conditionalFormatting>
  <conditionalFormatting sqref="U550:Y550">
    <cfRule type="notContainsBlanks" dxfId="3889" priority="4022">
      <formula>LEN(TRIM(U550))&gt;0</formula>
    </cfRule>
  </conditionalFormatting>
  <conditionalFormatting sqref="U550:Y550">
    <cfRule type="notContainsBlanks" dxfId="3888" priority="4021">
      <formula>LEN(TRIM(U550))&gt;0</formula>
    </cfRule>
  </conditionalFormatting>
  <conditionalFormatting sqref="U550:Y550">
    <cfRule type="notContainsBlanks" priority="4020">
      <formula>LEN(TRIM(U550))&gt;0</formula>
    </cfRule>
  </conditionalFormatting>
  <conditionalFormatting sqref="U550:Y550">
    <cfRule type="notContainsBlanks" dxfId="3887" priority="4019">
      <formula>LEN(TRIM(U550))&gt;0</formula>
    </cfRule>
  </conditionalFormatting>
  <conditionalFormatting sqref="U550:Y550">
    <cfRule type="notContainsBlanks" dxfId="3886" priority="4018">
      <formula>LEN(TRIM(U550))&gt;0</formula>
    </cfRule>
  </conditionalFormatting>
  <conditionalFormatting sqref="U550:Y550">
    <cfRule type="notContainsBlanks" dxfId="3885" priority="4017">
      <formula>LEN(TRIM(U550))&gt;0</formula>
    </cfRule>
  </conditionalFormatting>
  <conditionalFormatting sqref="U550:Y550">
    <cfRule type="notContainsBlanks" dxfId="3884" priority="4016">
      <formula>LEN(TRIM(U550))&gt;0</formula>
    </cfRule>
  </conditionalFormatting>
  <conditionalFormatting sqref="U550:Y550">
    <cfRule type="notContainsBlanks" dxfId="3883" priority="4015">
      <formula>LEN(TRIM(U550))&gt;0</formula>
    </cfRule>
  </conditionalFormatting>
  <conditionalFormatting sqref="U563:Y563">
    <cfRule type="notContainsBlanks" dxfId="3882" priority="4014">
      <formula>LEN(TRIM(U563))&gt;0</formula>
    </cfRule>
  </conditionalFormatting>
  <conditionalFormatting sqref="U563:Y563">
    <cfRule type="notContainsBlanks" dxfId="3881" priority="4013">
      <formula>LEN(TRIM(U563))&gt;0</formula>
    </cfRule>
  </conditionalFormatting>
  <conditionalFormatting sqref="U563:Y563">
    <cfRule type="notContainsBlanks" dxfId="3880" priority="4012">
      <formula>LEN(TRIM(U563))&gt;0</formula>
    </cfRule>
  </conditionalFormatting>
  <conditionalFormatting sqref="U563:Y563">
    <cfRule type="notContainsBlanks" dxfId="3879" priority="4011">
      <formula>LEN(TRIM(U563))&gt;0</formula>
    </cfRule>
  </conditionalFormatting>
  <conditionalFormatting sqref="U563:Y563">
    <cfRule type="notContainsBlanks" dxfId="3878" priority="4010">
      <formula>LEN(TRIM(U563))&gt;0</formula>
    </cfRule>
  </conditionalFormatting>
  <conditionalFormatting sqref="U563:Y563">
    <cfRule type="notContainsBlanks" dxfId="3877" priority="4009">
      <formula>LEN(TRIM(U563))&gt;0</formula>
    </cfRule>
  </conditionalFormatting>
  <conditionalFormatting sqref="U563:Y563">
    <cfRule type="notContainsBlanks" dxfId="3876" priority="4008">
      <formula>LEN(TRIM(U563))&gt;0</formula>
    </cfRule>
  </conditionalFormatting>
  <conditionalFormatting sqref="U563:Y563">
    <cfRule type="notContainsBlanks" dxfId="3875" priority="4007">
      <formula>LEN(TRIM(U563))&gt;0</formula>
    </cfRule>
  </conditionalFormatting>
  <conditionalFormatting sqref="U563:Y563">
    <cfRule type="notContainsBlanks" dxfId="3874" priority="4006">
      <formula>LEN(TRIM(U563))&gt;0</formula>
    </cfRule>
  </conditionalFormatting>
  <conditionalFormatting sqref="U563:Y563">
    <cfRule type="notContainsBlanks" dxfId="3873" priority="4004">
      <formula>LEN(TRIM(U563))&gt;0</formula>
    </cfRule>
    <cfRule type="notContainsBlanks" dxfId="3872" priority="4005">
      <formula>LEN(TRIM(U563))&gt;0</formula>
    </cfRule>
  </conditionalFormatting>
  <conditionalFormatting sqref="U563:Y563">
    <cfRule type="notContainsBlanks" dxfId="3871" priority="4003">
      <formula>LEN(TRIM(U563))&gt;0</formula>
    </cfRule>
  </conditionalFormatting>
  <conditionalFormatting sqref="U563:Y563">
    <cfRule type="notContainsBlanks" dxfId="3870" priority="4002">
      <formula>LEN(TRIM(U563))&gt;0</formula>
    </cfRule>
  </conditionalFormatting>
  <conditionalFormatting sqref="U563:Y563">
    <cfRule type="notContainsBlanks" dxfId="3869" priority="4001">
      <formula>LEN(TRIM(U563))&gt;0</formula>
    </cfRule>
  </conditionalFormatting>
  <conditionalFormatting sqref="U563:Y563">
    <cfRule type="notContainsBlanks" dxfId="3868" priority="4000">
      <formula>LEN(TRIM(U563))&gt;0</formula>
    </cfRule>
  </conditionalFormatting>
  <conditionalFormatting sqref="U563:Y563">
    <cfRule type="notContainsBlanks" dxfId="3867" priority="3999">
      <formula>LEN(TRIM(U563))&gt;0</formula>
    </cfRule>
  </conditionalFormatting>
  <conditionalFormatting sqref="U563:Y563">
    <cfRule type="notContainsBlanks" dxfId="3866" priority="3998">
      <formula>LEN(TRIM(U563))&gt;0</formula>
    </cfRule>
  </conditionalFormatting>
  <conditionalFormatting sqref="U563:Y563">
    <cfRule type="notContainsBlanks" dxfId="3865" priority="3997">
      <formula>LEN(TRIM(U563))&gt;0</formula>
    </cfRule>
  </conditionalFormatting>
  <conditionalFormatting sqref="U563:Y563">
    <cfRule type="notContainsBlanks" dxfId="3864" priority="3996">
      <formula>LEN(TRIM(U563))&gt;0</formula>
    </cfRule>
  </conditionalFormatting>
  <conditionalFormatting sqref="U563:Y563">
    <cfRule type="notContainsBlanks" dxfId="3863" priority="3995">
      <formula>LEN(TRIM(U563))&gt;0</formula>
    </cfRule>
  </conditionalFormatting>
  <conditionalFormatting sqref="U563:Y563">
    <cfRule type="notContainsBlanks" priority="3994">
      <formula>LEN(TRIM(U563))&gt;0</formula>
    </cfRule>
  </conditionalFormatting>
  <conditionalFormatting sqref="U563:Y563">
    <cfRule type="notContainsBlanks" dxfId="3862" priority="3993">
      <formula>LEN(TRIM(U563))&gt;0</formula>
    </cfRule>
  </conditionalFormatting>
  <conditionalFormatting sqref="U563:Y563">
    <cfRule type="notContainsBlanks" dxfId="3861" priority="3992">
      <formula>LEN(TRIM(U563))&gt;0</formula>
    </cfRule>
  </conditionalFormatting>
  <conditionalFormatting sqref="U563:Y563">
    <cfRule type="notContainsBlanks" dxfId="3860" priority="3991">
      <formula>LEN(TRIM(U563))&gt;0</formula>
    </cfRule>
  </conditionalFormatting>
  <conditionalFormatting sqref="U563:Y563">
    <cfRule type="notContainsBlanks" dxfId="3859" priority="3990">
      <formula>LEN(TRIM(U563))&gt;0</formula>
    </cfRule>
  </conditionalFormatting>
  <conditionalFormatting sqref="U563:Y563">
    <cfRule type="notContainsBlanks" dxfId="3858" priority="3989">
      <formula>LEN(TRIM(U563))&gt;0</formula>
    </cfRule>
  </conditionalFormatting>
  <conditionalFormatting sqref="U576:Y576">
    <cfRule type="notContainsBlanks" dxfId="3857" priority="3988">
      <formula>LEN(TRIM(U576))&gt;0</formula>
    </cfRule>
  </conditionalFormatting>
  <conditionalFormatting sqref="U576:Y576">
    <cfRule type="notContainsBlanks" dxfId="3856" priority="3987">
      <formula>LEN(TRIM(U576))&gt;0</formula>
    </cfRule>
  </conditionalFormatting>
  <conditionalFormatting sqref="U576:Y576">
    <cfRule type="notContainsBlanks" dxfId="3855" priority="3986">
      <formula>LEN(TRIM(U576))&gt;0</formula>
    </cfRule>
  </conditionalFormatting>
  <conditionalFormatting sqref="U576:Y576">
    <cfRule type="notContainsBlanks" dxfId="3854" priority="3985">
      <formula>LEN(TRIM(U576))&gt;0</formula>
    </cfRule>
  </conditionalFormatting>
  <conditionalFormatting sqref="U576:Y576">
    <cfRule type="notContainsBlanks" dxfId="3853" priority="3984">
      <formula>LEN(TRIM(U576))&gt;0</formula>
    </cfRule>
  </conditionalFormatting>
  <conditionalFormatting sqref="U576:Y576">
    <cfRule type="notContainsBlanks" dxfId="3852" priority="3983">
      <formula>LEN(TRIM(U576))&gt;0</formula>
    </cfRule>
  </conditionalFormatting>
  <conditionalFormatting sqref="U576:Y576">
    <cfRule type="notContainsBlanks" dxfId="3851" priority="3982">
      <formula>LEN(TRIM(U576))&gt;0</formula>
    </cfRule>
  </conditionalFormatting>
  <conditionalFormatting sqref="U576:Y576">
    <cfRule type="notContainsBlanks" dxfId="3850" priority="3981">
      <formula>LEN(TRIM(U576))&gt;0</formula>
    </cfRule>
  </conditionalFormatting>
  <conditionalFormatting sqref="U576:Y576">
    <cfRule type="notContainsBlanks" dxfId="3849" priority="3980">
      <formula>LEN(TRIM(U576))&gt;0</formula>
    </cfRule>
  </conditionalFormatting>
  <conditionalFormatting sqref="U576:Y576">
    <cfRule type="notContainsBlanks" dxfId="3848" priority="3978">
      <formula>LEN(TRIM(U576))&gt;0</formula>
    </cfRule>
    <cfRule type="notContainsBlanks" dxfId="3847" priority="3979">
      <formula>LEN(TRIM(U576))&gt;0</formula>
    </cfRule>
  </conditionalFormatting>
  <conditionalFormatting sqref="U576:Y576">
    <cfRule type="notContainsBlanks" dxfId="3846" priority="3977">
      <formula>LEN(TRIM(U576))&gt;0</formula>
    </cfRule>
  </conditionalFormatting>
  <conditionalFormatting sqref="U576:Y576">
    <cfRule type="notContainsBlanks" dxfId="3845" priority="3976">
      <formula>LEN(TRIM(U576))&gt;0</formula>
    </cfRule>
  </conditionalFormatting>
  <conditionalFormatting sqref="U576:Y576">
    <cfRule type="notContainsBlanks" dxfId="3844" priority="3975">
      <formula>LEN(TRIM(U576))&gt;0</formula>
    </cfRule>
  </conditionalFormatting>
  <conditionalFormatting sqref="U576:Y576">
    <cfRule type="notContainsBlanks" dxfId="3843" priority="3974">
      <formula>LEN(TRIM(U576))&gt;0</formula>
    </cfRule>
  </conditionalFormatting>
  <conditionalFormatting sqref="U576:Y576">
    <cfRule type="notContainsBlanks" dxfId="3842" priority="3973">
      <formula>LEN(TRIM(U576))&gt;0</formula>
    </cfRule>
  </conditionalFormatting>
  <conditionalFormatting sqref="U576:Y576">
    <cfRule type="notContainsBlanks" dxfId="3841" priority="3972">
      <formula>LEN(TRIM(U576))&gt;0</formula>
    </cfRule>
  </conditionalFormatting>
  <conditionalFormatting sqref="U576:Y576">
    <cfRule type="notContainsBlanks" dxfId="3840" priority="3971">
      <formula>LEN(TRIM(U576))&gt;0</formula>
    </cfRule>
  </conditionalFormatting>
  <conditionalFormatting sqref="U576:Y576">
    <cfRule type="notContainsBlanks" dxfId="3839" priority="3970">
      <formula>LEN(TRIM(U576))&gt;0</formula>
    </cfRule>
  </conditionalFormatting>
  <conditionalFormatting sqref="U576:Y576">
    <cfRule type="notContainsBlanks" dxfId="3838" priority="3969">
      <formula>LEN(TRIM(U576))&gt;0</formula>
    </cfRule>
  </conditionalFormatting>
  <conditionalFormatting sqref="U576:Y576">
    <cfRule type="notContainsBlanks" priority="3968">
      <formula>LEN(TRIM(U576))&gt;0</formula>
    </cfRule>
  </conditionalFormatting>
  <conditionalFormatting sqref="U576:Y576">
    <cfRule type="notContainsBlanks" dxfId="3837" priority="3967">
      <formula>LEN(TRIM(U576))&gt;0</formula>
    </cfRule>
  </conditionalFormatting>
  <conditionalFormatting sqref="U576:Y576">
    <cfRule type="notContainsBlanks" dxfId="3836" priority="3966">
      <formula>LEN(TRIM(U576))&gt;0</formula>
    </cfRule>
  </conditionalFormatting>
  <conditionalFormatting sqref="U576:Y576">
    <cfRule type="notContainsBlanks" dxfId="3835" priority="3965">
      <formula>LEN(TRIM(U576))&gt;0</formula>
    </cfRule>
  </conditionalFormatting>
  <conditionalFormatting sqref="U576:Y576">
    <cfRule type="notContainsBlanks" dxfId="3834" priority="3964">
      <formula>LEN(TRIM(U576))&gt;0</formula>
    </cfRule>
  </conditionalFormatting>
  <conditionalFormatting sqref="U576:Y576">
    <cfRule type="notContainsBlanks" dxfId="3833" priority="3963">
      <formula>LEN(TRIM(U576))&gt;0</formula>
    </cfRule>
  </conditionalFormatting>
  <conditionalFormatting sqref="U589:Y589">
    <cfRule type="notContainsBlanks" dxfId="3832" priority="3962">
      <formula>LEN(TRIM(U589))&gt;0</formula>
    </cfRule>
  </conditionalFormatting>
  <conditionalFormatting sqref="U589:Y589">
    <cfRule type="notContainsBlanks" dxfId="3831" priority="3961">
      <formula>LEN(TRIM(U589))&gt;0</formula>
    </cfRule>
  </conditionalFormatting>
  <conditionalFormatting sqref="U589:Y589">
    <cfRule type="notContainsBlanks" dxfId="3830" priority="3960">
      <formula>LEN(TRIM(U589))&gt;0</formula>
    </cfRule>
  </conditionalFormatting>
  <conditionalFormatting sqref="U589:Y589">
    <cfRule type="notContainsBlanks" dxfId="3829" priority="3959">
      <formula>LEN(TRIM(U589))&gt;0</formula>
    </cfRule>
  </conditionalFormatting>
  <conditionalFormatting sqref="U589:Y589">
    <cfRule type="notContainsBlanks" dxfId="3828" priority="3958">
      <formula>LEN(TRIM(U589))&gt;0</formula>
    </cfRule>
  </conditionalFormatting>
  <conditionalFormatting sqref="U589:Y589">
    <cfRule type="notContainsBlanks" dxfId="3827" priority="3957">
      <formula>LEN(TRIM(U589))&gt;0</formula>
    </cfRule>
  </conditionalFormatting>
  <conditionalFormatting sqref="U589:Y589">
    <cfRule type="notContainsBlanks" dxfId="3826" priority="3956">
      <formula>LEN(TRIM(U589))&gt;0</formula>
    </cfRule>
  </conditionalFormatting>
  <conditionalFormatting sqref="U589:Y589">
    <cfRule type="notContainsBlanks" dxfId="3825" priority="3955">
      <formula>LEN(TRIM(U589))&gt;0</formula>
    </cfRule>
  </conditionalFormatting>
  <conditionalFormatting sqref="U589:Y589">
    <cfRule type="notContainsBlanks" dxfId="3824" priority="3954">
      <formula>LEN(TRIM(U589))&gt;0</formula>
    </cfRule>
  </conditionalFormatting>
  <conditionalFormatting sqref="U589:Y589">
    <cfRule type="notContainsBlanks" dxfId="3823" priority="3952">
      <formula>LEN(TRIM(U589))&gt;0</formula>
    </cfRule>
    <cfRule type="notContainsBlanks" dxfId="3822" priority="3953">
      <formula>LEN(TRIM(U589))&gt;0</formula>
    </cfRule>
  </conditionalFormatting>
  <conditionalFormatting sqref="U589:Y589">
    <cfRule type="notContainsBlanks" dxfId="3821" priority="3951">
      <formula>LEN(TRIM(U589))&gt;0</formula>
    </cfRule>
  </conditionalFormatting>
  <conditionalFormatting sqref="U589:Y589">
    <cfRule type="notContainsBlanks" dxfId="3820" priority="3950">
      <formula>LEN(TRIM(U589))&gt;0</formula>
    </cfRule>
  </conditionalFormatting>
  <conditionalFormatting sqref="U589:Y589">
    <cfRule type="notContainsBlanks" dxfId="3819" priority="3949">
      <formula>LEN(TRIM(U589))&gt;0</formula>
    </cfRule>
  </conditionalFormatting>
  <conditionalFormatting sqref="U589:Y589">
    <cfRule type="notContainsBlanks" dxfId="3818" priority="3948">
      <formula>LEN(TRIM(U589))&gt;0</formula>
    </cfRule>
  </conditionalFormatting>
  <conditionalFormatting sqref="U589:Y589">
    <cfRule type="notContainsBlanks" dxfId="3817" priority="3947">
      <formula>LEN(TRIM(U589))&gt;0</formula>
    </cfRule>
  </conditionalFormatting>
  <conditionalFormatting sqref="U589:Y589">
    <cfRule type="notContainsBlanks" dxfId="3816" priority="3946">
      <formula>LEN(TRIM(U589))&gt;0</formula>
    </cfRule>
  </conditionalFormatting>
  <conditionalFormatting sqref="U589:Y589">
    <cfRule type="notContainsBlanks" dxfId="3815" priority="3945">
      <formula>LEN(TRIM(U589))&gt;0</formula>
    </cfRule>
  </conditionalFormatting>
  <conditionalFormatting sqref="U589:Y589">
    <cfRule type="notContainsBlanks" dxfId="3814" priority="3944">
      <formula>LEN(TRIM(U589))&gt;0</formula>
    </cfRule>
  </conditionalFormatting>
  <conditionalFormatting sqref="U589:Y589">
    <cfRule type="notContainsBlanks" dxfId="3813" priority="3943">
      <formula>LEN(TRIM(U589))&gt;0</formula>
    </cfRule>
  </conditionalFormatting>
  <conditionalFormatting sqref="U589:Y589">
    <cfRule type="notContainsBlanks" priority="3942">
      <formula>LEN(TRIM(U589))&gt;0</formula>
    </cfRule>
  </conditionalFormatting>
  <conditionalFormatting sqref="U589:Y589">
    <cfRule type="notContainsBlanks" dxfId="3812" priority="3941">
      <formula>LEN(TRIM(U589))&gt;0</formula>
    </cfRule>
  </conditionalFormatting>
  <conditionalFormatting sqref="U589:Y589">
    <cfRule type="notContainsBlanks" dxfId="3811" priority="3940">
      <formula>LEN(TRIM(U589))&gt;0</formula>
    </cfRule>
  </conditionalFormatting>
  <conditionalFormatting sqref="U589:Y589">
    <cfRule type="notContainsBlanks" dxfId="3810" priority="3939">
      <formula>LEN(TRIM(U589))&gt;0</formula>
    </cfRule>
  </conditionalFormatting>
  <conditionalFormatting sqref="U589:Y589">
    <cfRule type="notContainsBlanks" dxfId="3809" priority="3938">
      <formula>LEN(TRIM(U589))&gt;0</formula>
    </cfRule>
  </conditionalFormatting>
  <conditionalFormatting sqref="U589:Y589">
    <cfRule type="notContainsBlanks" dxfId="3808" priority="3937">
      <formula>LEN(TRIM(U589))&gt;0</formula>
    </cfRule>
  </conditionalFormatting>
  <conditionalFormatting sqref="U602:Y602">
    <cfRule type="notContainsBlanks" dxfId="3807" priority="3936">
      <formula>LEN(TRIM(U602))&gt;0</formula>
    </cfRule>
  </conditionalFormatting>
  <conditionalFormatting sqref="U602:Y602">
    <cfRule type="notContainsBlanks" dxfId="3806" priority="3935">
      <formula>LEN(TRIM(U602))&gt;0</formula>
    </cfRule>
  </conditionalFormatting>
  <conditionalFormatting sqref="U602:Y602">
    <cfRule type="notContainsBlanks" dxfId="3805" priority="3934">
      <formula>LEN(TRIM(U602))&gt;0</formula>
    </cfRule>
  </conditionalFormatting>
  <conditionalFormatting sqref="U602:Y602">
    <cfRule type="notContainsBlanks" dxfId="3804" priority="3933">
      <formula>LEN(TRIM(U602))&gt;0</formula>
    </cfRule>
  </conditionalFormatting>
  <conditionalFormatting sqref="U602:Y602">
    <cfRule type="notContainsBlanks" dxfId="3803" priority="3932">
      <formula>LEN(TRIM(U602))&gt;0</formula>
    </cfRule>
  </conditionalFormatting>
  <conditionalFormatting sqref="U602:Y602">
    <cfRule type="notContainsBlanks" dxfId="3802" priority="3931">
      <formula>LEN(TRIM(U602))&gt;0</formula>
    </cfRule>
  </conditionalFormatting>
  <conditionalFormatting sqref="U602:Y602">
    <cfRule type="notContainsBlanks" dxfId="3801" priority="3930">
      <formula>LEN(TRIM(U602))&gt;0</formula>
    </cfRule>
  </conditionalFormatting>
  <conditionalFormatting sqref="U602:Y602">
    <cfRule type="notContainsBlanks" dxfId="3800" priority="3929">
      <formula>LEN(TRIM(U602))&gt;0</formula>
    </cfRule>
  </conditionalFormatting>
  <conditionalFormatting sqref="U602:Y602">
    <cfRule type="notContainsBlanks" dxfId="3799" priority="3928">
      <formula>LEN(TRIM(U602))&gt;0</formula>
    </cfRule>
  </conditionalFormatting>
  <conditionalFormatting sqref="U602:Y602">
    <cfRule type="notContainsBlanks" dxfId="3798" priority="3926">
      <formula>LEN(TRIM(U602))&gt;0</formula>
    </cfRule>
    <cfRule type="notContainsBlanks" dxfId="3797" priority="3927">
      <formula>LEN(TRIM(U602))&gt;0</formula>
    </cfRule>
  </conditionalFormatting>
  <conditionalFormatting sqref="U602:Y602">
    <cfRule type="notContainsBlanks" dxfId="3796" priority="3925">
      <formula>LEN(TRIM(U602))&gt;0</formula>
    </cfRule>
  </conditionalFormatting>
  <conditionalFormatting sqref="U602:Y602">
    <cfRule type="notContainsBlanks" dxfId="3795" priority="3924">
      <formula>LEN(TRIM(U602))&gt;0</formula>
    </cfRule>
  </conditionalFormatting>
  <conditionalFormatting sqref="U602:Y602">
    <cfRule type="notContainsBlanks" dxfId="3794" priority="3923">
      <formula>LEN(TRIM(U602))&gt;0</formula>
    </cfRule>
  </conditionalFormatting>
  <conditionalFormatting sqref="U602:Y602">
    <cfRule type="notContainsBlanks" dxfId="3793" priority="3922">
      <formula>LEN(TRIM(U602))&gt;0</formula>
    </cfRule>
  </conditionalFormatting>
  <conditionalFormatting sqref="U602:Y602">
    <cfRule type="notContainsBlanks" dxfId="3792" priority="3921">
      <formula>LEN(TRIM(U602))&gt;0</formula>
    </cfRule>
  </conditionalFormatting>
  <conditionalFormatting sqref="U602:Y602">
    <cfRule type="notContainsBlanks" dxfId="3791" priority="3920">
      <formula>LEN(TRIM(U602))&gt;0</formula>
    </cfRule>
  </conditionalFormatting>
  <conditionalFormatting sqref="U602:Y602">
    <cfRule type="notContainsBlanks" dxfId="3790" priority="3919">
      <formula>LEN(TRIM(U602))&gt;0</formula>
    </cfRule>
  </conditionalFormatting>
  <conditionalFormatting sqref="U602:Y602">
    <cfRule type="notContainsBlanks" dxfId="3789" priority="3918">
      <formula>LEN(TRIM(U602))&gt;0</formula>
    </cfRule>
  </conditionalFormatting>
  <conditionalFormatting sqref="U602:Y602">
    <cfRule type="notContainsBlanks" dxfId="3788" priority="3917">
      <formula>LEN(TRIM(U602))&gt;0</formula>
    </cfRule>
  </conditionalFormatting>
  <conditionalFormatting sqref="U602:Y602">
    <cfRule type="notContainsBlanks" priority="3916">
      <formula>LEN(TRIM(U602))&gt;0</formula>
    </cfRule>
  </conditionalFormatting>
  <conditionalFormatting sqref="U602:Y602">
    <cfRule type="notContainsBlanks" dxfId="3787" priority="3915">
      <formula>LEN(TRIM(U602))&gt;0</formula>
    </cfRule>
  </conditionalFormatting>
  <conditionalFormatting sqref="U602:Y602">
    <cfRule type="notContainsBlanks" dxfId="3786" priority="3914">
      <formula>LEN(TRIM(U602))&gt;0</formula>
    </cfRule>
  </conditionalFormatting>
  <conditionalFormatting sqref="U602:Y602">
    <cfRule type="notContainsBlanks" dxfId="3785" priority="3913">
      <formula>LEN(TRIM(U602))&gt;0</formula>
    </cfRule>
  </conditionalFormatting>
  <conditionalFormatting sqref="U602:Y602">
    <cfRule type="notContainsBlanks" dxfId="3784" priority="3912">
      <formula>LEN(TRIM(U602))&gt;0</formula>
    </cfRule>
  </conditionalFormatting>
  <conditionalFormatting sqref="U602:Y602">
    <cfRule type="notContainsBlanks" dxfId="3783" priority="3911">
      <formula>LEN(TRIM(U602))&gt;0</formula>
    </cfRule>
  </conditionalFormatting>
  <conditionalFormatting sqref="U615:Y615">
    <cfRule type="notContainsBlanks" dxfId="3782" priority="3910">
      <formula>LEN(TRIM(U615))&gt;0</formula>
    </cfRule>
  </conditionalFormatting>
  <conditionalFormatting sqref="U615:Y615">
    <cfRule type="notContainsBlanks" dxfId="3781" priority="3909">
      <formula>LEN(TRIM(U615))&gt;0</formula>
    </cfRule>
  </conditionalFormatting>
  <conditionalFormatting sqref="U615:Y615">
    <cfRule type="notContainsBlanks" dxfId="3780" priority="3908">
      <formula>LEN(TRIM(U615))&gt;0</formula>
    </cfRule>
  </conditionalFormatting>
  <conditionalFormatting sqref="U615:Y615">
    <cfRule type="notContainsBlanks" dxfId="3779" priority="3907">
      <formula>LEN(TRIM(U615))&gt;0</formula>
    </cfRule>
  </conditionalFormatting>
  <conditionalFormatting sqref="U615:Y615">
    <cfRule type="notContainsBlanks" dxfId="3778" priority="3906">
      <formula>LEN(TRIM(U615))&gt;0</formula>
    </cfRule>
  </conditionalFormatting>
  <conditionalFormatting sqref="U615:Y615">
    <cfRule type="notContainsBlanks" dxfId="3777" priority="3905">
      <formula>LEN(TRIM(U615))&gt;0</formula>
    </cfRule>
  </conditionalFormatting>
  <conditionalFormatting sqref="U615:Y615">
    <cfRule type="notContainsBlanks" dxfId="3776" priority="3904">
      <formula>LEN(TRIM(U615))&gt;0</formula>
    </cfRule>
  </conditionalFormatting>
  <conditionalFormatting sqref="U615:Y615">
    <cfRule type="notContainsBlanks" dxfId="3775" priority="3903">
      <formula>LEN(TRIM(U615))&gt;0</formula>
    </cfRule>
  </conditionalFormatting>
  <conditionalFormatting sqref="U615:Y615">
    <cfRule type="notContainsBlanks" dxfId="3774" priority="3902">
      <formula>LEN(TRIM(U615))&gt;0</formula>
    </cfRule>
  </conditionalFormatting>
  <conditionalFormatting sqref="U615:Y615">
    <cfRule type="notContainsBlanks" dxfId="3773" priority="3900">
      <formula>LEN(TRIM(U615))&gt;0</formula>
    </cfRule>
    <cfRule type="notContainsBlanks" dxfId="3772" priority="3901">
      <formula>LEN(TRIM(U615))&gt;0</formula>
    </cfRule>
  </conditionalFormatting>
  <conditionalFormatting sqref="U615:Y615">
    <cfRule type="notContainsBlanks" dxfId="3771" priority="3899">
      <formula>LEN(TRIM(U615))&gt;0</formula>
    </cfRule>
  </conditionalFormatting>
  <conditionalFormatting sqref="U615:Y615">
    <cfRule type="notContainsBlanks" dxfId="3770" priority="3898">
      <formula>LEN(TRIM(U615))&gt;0</formula>
    </cfRule>
  </conditionalFormatting>
  <conditionalFormatting sqref="U615:Y615">
    <cfRule type="notContainsBlanks" dxfId="3769" priority="3897">
      <formula>LEN(TRIM(U615))&gt;0</formula>
    </cfRule>
  </conditionalFormatting>
  <conditionalFormatting sqref="U615:Y615">
    <cfRule type="notContainsBlanks" dxfId="3768" priority="3896">
      <formula>LEN(TRIM(U615))&gt;0</formula>
    </cfRule>
  </conditionalFormatting>
  <conditionalFormatting sqref="U615:Y615">
    <cfRule type="notContainsBlanks" dxfId="3767" priority="3895">
      <formula>LEN(TRIM(U615))&gt;0</formula>
    </cfRule>
  </conditionalFormatting>
  <conditionalFormatting sqref="U615:Y615">
    <cfRule type="notContainsBlanks" dxfId="3766" priority="3894">
      <formula>LEN(TRIM(U615))&gt;0</formula>
    </cfRule>
  </conditionalFormatting>
  <conditionalFormatting sqref="U615:Y615">
    <cfRule type="notContainsBlanks" dxfId="3765" priority="3893">
      <formula>LEN(TRIM(U615))&gt;0</formula>
    </cfRule>
  </conditionalFormatting>
  <conditionalFormatting sqref="U615:Y615">
    <cfRule type="notContainsBlanks" dxfId="3764" priority="3892">
      <formula>LEN(TRIM(U615))&gt;0</formula>
    </cfRule>
  </conditionalFormatting>
  <conditionalFormatting sqref="U615:Y615">
    <cfRule type="notContainsBlanks" dxfId="3763" priority="3891">
      <formula>LEN(TRIM(U615))&gt;0</formula>
    </cfRule>
  </conditionalFormatting>
  <conditionalFormatting sqref="U615:Y615">
    <cfRule type="notContainsBlanks" priority="3890">
      <formula>LEN(TRIM(U615))&gt;0</formula>
    </cfRule>
  </conditionalFormatting>
  <conditionalFormatting sqref="U615:Y615">
    <cfRule type="notContainsBlanks" dxfId="3762" priority="3889">
      <formula>LEN(TRIM(U615))&gt;0</formula>
    </cfRule>
  </conditionalFormatting>
  <conditionalFormatting sqref="U615:Y615">
    <cfRule type="notContainsBlanks" dxfId="3761" priority="3888">
      <formula>LEN(TRIM(U615))&gt;0</formula>
    </cfRule>
  </conditionalFormatting>
  <conditionalFormatting sqref="U615:Y615">
    <cfRule type="notContainsBlanks" dxfId="3760" priority="3887">
      <formula>LEN(TRIM(U615))&gt;0</formula>
    </cfRule>
  </conditionalFormatting>
  <conditionalFormatting sqref="U615:Y615">
    <cfRule type="notContainsBlanks" dxfId="3759" priority="3886">
      <formula>LEN(TRIM(U615))&gt;0</formula>
    </cfRule>
  </conditionalFormatting>
  <conditionalFormatting sqref="U615:Y615">
    <cfRule type="notContainsBlanks" dxfId="3758" priority="3885">
      <formula>LEN(TRIM(U615))&gt;0</formula>
    </cfRule>
  </conditionalFormatting>
  <conditionalFormatting sqref="U628:Y628">
    <cfRule type="notContainsBlanks" dxfId="3757" priority="3884">
      <formula>LEN(TRIM(U628))&gt;0</formula>
    </cfRule>
  </conditionalFormatting>
  <conditionalFormatting sqref="U628:Y628">
    <cfRule type="notContainsBlanks" dxfId="3756" priority="3883">
      <formula>LEN(TRIM(U628))&gt;0</formula>
    </cfRule>
  </conditionalFormatting>
  <conditionalFormatting sqref="U628:Y628">
    <cfRule type="notContainsBlanks" dxfId="3755" priority="3882">
      <formula>LEN(TRIM(U628))&gt;0</formula>
    </cfRule>
  </conditionalFormatting>
  <conditionalFormatting sqref="U628:Y628">
    <cfRule type="notContainsBlanks" dxfId="3754" priority="3881">
      <formula>LEN(TRIM(U628))&gt;0</formula>
    </cfRule>
  </conditionalFormatting>
  <conditionalFormatting sqref="U628:Y628">
    <cfRule type="notContainsBlanks" dxfId="3753" priority="3880">
      <formula>LEN(TRIM(U628))&gt;0</formula>
    </cfRule>
  </conditionalFormatting>
  <conditionalFormatting sqref="U628:Y628">
    <cfRule type="notContainsBlanks" dxfId="3752" priority="3879">
      <formula>LEN(TRIM(U628))&gt;0</formula>
    </cfRule>
  </conditionalFormatting>
  <conditionalFormatting sqref="U628:Y628">
    <cfRule type="notContainsBlanks" dxfId="3751" priority="3878">
      <formula>LEN(TRIM(U628))&gt;0</formula>
    </cfRule>
  </conditionalFormatting>
  <conditionalFormatting sqref="U628:Y628">
    <cfRule type="notContainsBlanks" dxfId="3750" priority="3877">
      <formula>LEN(TRIM(U628))&gt;0</formula>
    </cfRule>
  </conditionalFormatting>
  <conditionalFormatting sqref="U628:Y628">
    <cfRule type="notContainsBlanks" dxfId="3749" priority="3876">
      <formula>LEN(TRIM(U628))&gt;0</formula>
    </cfRule>
  </conditionalFormatting>
  <conditionalFormatting sqref="U628:Y628">
    <cfRule type="notContainsBlanks" dxfId="3748" priority="3874">
      <formula>LEN(TRIM(U628))&gt;0</formula>
    </cfRule>
    <cfRule type="notContainsBlanks" dxfId="3747" priority="3875">
      <formula>LEN(TRIM(U628))&gt;0</formula>
    </cfRule>
  </conditionalFormatting>
  <conditionalFormatting sqref="U628:Y628">
    <cfRule type="notContainsBlanks" dxfId="3746" priority="3873">
      <formula>LEN(TRIM(U628))&gt;0</formula>
    </cfRule>
  </conditionalFormatting>
  <conditionalFormatting sqref="U628:Y628">
    <cfRule type="notContainsBlanks" dxfId="3745" priority="3872">
      <formula>LEN(TRIM(U628))&gt;0</formula>
    </cfRule>
  </conditionalFormatting>
  <conditionalFormatting sqref="U628:Y628">
    <cfRule type="notContainsBlanks" dxfId="3744" priority="3871">
      <formula>LEN(TRIM(U628))&gt;0</formula>
    </cfRule>
  </conditionalFormatting>
  <conditionalFormatting sqref="U628:Y628">
    <cfRule type="notContainsBlanks" dxfId="3743" priority="3870">
      <formula>LEN(TRIM(U628))&gt;0</formula>
    </cfRule>
  </conditionalFormatting>
  <conditionalFormatting sqref="U628:Y628">
    <cfRule type="notContainsBlanks" dxfId="3742" priority="3869">
      <formula>LEN(TRIM(U628))&gt;0</formula>
    </cfRule>
  </conditionalFormatting>
  <conditionalFormatting sqref="U628:Y628">
    <cfRule type="notContainsBlanks" dxfId="3741" priority="3868">
      <formula>LEN(TRIM(U628))&gt;0</formula>
    </cfRule>
  </conditionalFormatting>
  <conditionalFormatting sqref="U628:Y628">
    <cfRule type="notContainsBlanks" dxfId="3740" priority="3867">
      <formula>LEN(TRIM(U628))&gt;0</formula>
    </cfRule>
  </conditionalFormatting>
  <conditionalFormatting sqref="U628:Y628">
    <cfRule type="notContainsBlanks" dxfId="3739" priority="3866">
      <formula>LEN(TRIM(U628))&gt;0</formula>
    </cfRule>
  </conditionalFormatting>
  <conditionalFormatting sqref="U628:Y628">
    <cfRule type="notContainsBlanks" dxfId="3738" priority="3865">
      <formula>LEN(TRIM(U628))&gt;0</formula>
    </cfRule>
  </conditionalFormatting>
  <conditionalFormatting sqref="U628:Y628">
    <cfRule type="notContainsBlanks" priority="3864">
      <formula>LEN(TRIM(U628))&gt;0</formula>
    </cfRule>
  </conditionalFormatting>
  <conditionalFormatting sqref="U628:Y628">
    <cfRule type="notContainsBlanks" dxfId="3737" priority="3863">
      <formula>LEN(TRIM(U628))&gt;0</formula>
    </cfRule>
  </conditionalFormatting>
  <conditionalFormatting sqref="U628:Y628">
    <cfRule type="notContainsBlanks" dxfId="3736" priority="3862">
      <formula>LEN(TRIM(U628))&gt;0</formula>
    </cfRule>
  </conditionalFormatting>
  <conditionalFormatting sqref="U628:Y628">
    <cfRule type="notContainsBlanks" dxfId="3735" priority="3861">
      <formula>LEN(TRIM(U628))&gt;0</formula>
    </cfRule>
  </conditionalFormatting>
  <conditionalFormatting sqref="U628:Y628">
    <cfRule type="notContainsBlanks" dxfId="3734" priority="3860">
      <formula>LEN(TRIM(U628))&gt;0</formula>
    </cfRule>
  </conditionalFormatting>
  <conditionalFormatting sqref="U628:Y628">
    <cfRule type="notContainsBlanks" dxfId="3733" priority="3859">
      <formula>LEN(TRIM(U628))&gt;0</formula>
    </cfRule>
  </conditionalFormatting>
  <conditionalFormatting sqref="U641:Y641">
    <cfRule type="notContainsBlanks" dxfId="3732" priority="3858">
      <formula>LEN(TRIM(U641))&gt;0</formula>
    </cfRule>
  </conditionalFormatting>
  <conditionalFormatting sqref="U641:Y641">
    <cfRule type="notContainsBlanks" dxfId="3731" priority="3857">
      <formula>LEN(TRIM(U641))&gt;0</formula>
    </cfRule>
  </conditionalFormatting>
  <conditionalFormatting sqref="U641:Y641">
    <cfRule type="notContainsBlanks" dxfId="3730" priority="3856">
      <formula>LEN(TRIM(U641))&gt;0</formula>
    </cfRule>
  </conditionalFormatting>
  <conditionalFormatting sqref="U641:Y641">
    <cfRule type="notContainsBlanks" dxfId="3729" priority="3855">
      <formula>LEN(TRIM(U641))&gt;0</formula>
    </cfRule>
  </conditionalFormatting>
  <conditionalFormatting sqref="U641:Y641">
    <cfRule type="notContainsBlanks" dxfId="3728" priority="3854">
      <formula>LEN(TRIM(U641))&gt;0</formula>
    </cfRule>
  </conditionalFormatting>
  <conditionalFormatting sqref="U641:Y641">
    <cfRule type="notContainsBlanks" dxfId="3727" priority="3853">
      <formula>LEN(TRIM(U641))&gt;0</formula>
    </cfRule>
  </conditionalFormatting>
  <conditionalFormatting sqref="U641:Y641">
    <cfRule type="notContainsBlanks" dxfId="3726" priority="3852">
      <formula>LEN(TRIM(U641))&gt;0</formula>
    </cfRule>
  </conditionalFormatting>
  <conditionalFormatting sqref="U641:Y641">
    <cfRule type="notContainsBlanks" dxfId="3725" priority="3851">
      <formula>LEN(TRIM(U641))&gt;0</formula>
    </cfRule>
  </conditionalFormatting>
  <conditionalFormatting sqref="U641:Y641">
    <cfRule type="notContainsBlanks" dxfId="3724" priority="3850">
      <formula>LEN(TRIM(U641))&gt;0</formula>
    </cfRule>
  </conditionalFormatting>
  <conditionalFormatting sqref="U641:Y641">
    <cfRule type="notContainsBlanks" dxfId="3723" priority="3848">
      <formula>LEN(TRIM(U641))&gt;0</formula>
    </cfRule>
    <cfRule type="notContainsBlanks" dxfId="3722" priority="3849">
      <formula>LEN(TRIM(U641))&gt;0</formula>
    </cfRule>
  </conditionalFormatting>
  <conditionalFormatting sqref="U641:Y641">
    <cfRule type="notContainsBlanks" dxfId="3721" priority="3847">
      <formula>LEN(TRIM(U641))&gt;0</formula>
    </cfRule>
  </conditionalFormatting>
  <conditionalFormatting sqref="U641:Y641">
    <cfRule type="notContainsBlanks" dxfId="3720" priority="3846">
      <formula>LEN(TRIM(U641))&gt;0</formula>
    </cfRule>
  </conditionalFormatting>
  <conditionalFormatting sqref="U641:Y641">
    <cfRule type="notContainsBlanks" dxfId="3719" priority="3845">
      <formula>LEN(TRIM(U641))&gt;0</formula>
    </cfRule>
  </conditionalFormatting>
  <conditionalFormatting sqref="U641:Y641">
    <cfRule type="notContainsBlanks" dxfId="3718" priority="3844">
      <formula>LEN(TRIM(U641))&gt;0</formula>
    </cfRule>
  </conditionalFormatting>
  <conditionalFormatting sqref="U641:Y641">
    <cfRule type="notContainsBlanks" dxfId="3717" priority="3843">
      <formula>LEN(TRIM(U641))&gt;0</formula>
    </cfRule>
  </conditionalFormatting>
  <conditionalFormatting sqref="U641:Y641">
    <cfRule type="notContainsBlanks" dxfId="3716" priority="3842">
      <formula>LEN(TRIM(U641))&gt;0</formula>
    </cfRule>
  </conditionalFormatting>
  <conditionalFormatting sqref="U641:Y641">
    <cfRule type="notContainsBlanks" dxfId="3715" priority="3841">
      <formula>LEN(TRIM(U641))&gt;0</formula>
    </cfRule>
  </conditionalFormatting>
  <conditionalFormatting sqref="U641:Y641">
    <cfRule type="notContainsBlanks" dxfId="3714" priority="3840">
      <formula>LEN(TRIM(U641))&gt;0</formula>
    </cfRule>
  </conditionalFormatting>
  <conditionalFormatting sqref="U641:Y641">
    <cfRule type="notContainsBlanks" dxfId="3713" priority="3839">
      <formula>LEN(TRIM(U641))&gt;0</formula>
    </cfRule>
  </conditionalFormatting>
  <conditionalFormatting sqref="U641:Y641">
    <cfRule type="notContainsBlanks" priority="3838">
      <formula>LEN(TRIM(U641))&gt;0</formula>
    </cfRule>
  </conditionalFormatting>
  <conditionalFormatting sqref="U641:Y641">
    <cfRule type="notContainsBlanks" dxfId="3712" priority="3837">
      <formula>LEN(TRIM(U641))&gt;0</formula>
    </cfRule>
  </conditionalFormatting>
  <conditionalFormatting sqref="U641:Y641">
    <cfRule type="notContainsBlanks" dxfId="3711" priority="3836">
      <formula>LEN(TRIM(U641))&gt;0</formula>
    </cfRule>
  </conditionalFormatting>
  <conditionalFormatting sqref="U641:Y641">
    <cfRule type="notContainsBlanks" dxfId="3710" priority="3835">
      <formula>LEN(TRIM(U641))&gt;0</formula>
    </cfRule>
  </conditionalFormatting>
  <conditionalFormatting sqref="U641:Y641">
    <cfRule type="notContainsBlanks" dxfId="3709" priority="3834">
      <formula>LEN(TRIM(U641))&gt;0</formula>
    </cfRule>
  </conditionalFormatting>
  <conditionalFormatting sqref="U641:Y641">
    <cfRule type="notContainsBlanks" dxfId="3708" priority="3833">
      <formula>LEN(TRIM(U641))&gt;0</formula>
    </cfRule>
  </conditionalFormatting>
  <conditionalFormatting sqref="U654:Y654">
    <cfRule type="notContainsBlanks" dxfId="3707" priority="3832">
      <formula>LEN(TRIM(U654))&gt;0</formula>
    </cfRule>
  </conditionalFormatting>
  <conditionalFormatting sqref="U654:Y654">
    <cfRule type="notContainsBlanks" dxfId="3706" priority="3831">
      <formula>LEN(TRIM(U654))&gt;0</formula>
    </cfRule>
  </conditionalFormatting>
  <conditionalFormatting sqref="U654:Y654">
    <cfRule type="notContainsBlanks" dxfId="3705" priority="3830">
      <formula>LEN(TRIM(U654))&gt;0</formula>
    </cfRule>
  </conditionalFormatting>
  <conditionalFormatting sqref="U654:Y654">
    <cfRule type="notContainsBlanks" dxfId="3704" priority="3829">
      <formula>LEN(TRIM(U654))&gt;0</formula>
    </cfRule>
  </conditionalFormatting>
  <conditionalFormatting sqref="U654:Y654">
    <cfRule type="notContainsBlanks" dxfId="3703" priority="3828">
      <formula>LEN(TRIM(U654))&gt;0</formula>
    </cfRule>
  </conditionalFormatting>
  <conditionalFormatting sqref="U654:Y654">
    <cfRule type="notContainsBlanks" dxfId="3702" priority="3827">
      <formula>LEN(TRIM(U654))&gt;0</formula>
    </cfRule>
  </conditionalFormatting>
  <conditionalFormatting sqref="U654:Y654">
    <cfRule type="notContainsBlanks" dxfId="3701" priority="3826">
      <formula>LEN(TRIM(U654))&gt;0</formula>
    </cfRule>
  </conditionalFormatting>
  <conditionalFormatting sqref="U654:Y654">
    <cfRule type="notContainsBlanks" dxfId="3700" priority="3825">
      <formula>LEN(TRIM(U654))&gt;0</formula>
    </cfRule>
  </conditionalFormatting>
  <conditionalFormatting sqref="U654:Y654">
    <cfRule type="notContainsBlanks" dxfId="3699" priority="3824">
      <formula>LEN(TRIM(U654))&gt;0</formula>
    </cfRule>
  </conditionalFormatting>
  <conditionalFormatting sqref="U654:Y654">
    <cfRule type="notContainsBlanks" dxfId="3698" priority="3822">
      <formula>LEN(TRIM(U654))&gt;0</formula>
    </cfRule>
    <cfRule type="notContainsBlanks" dxfId="3697" priority="3823">
      <formula>LEN(TRIM(U654))&gt;0</formula>
    </cfRule>
  </conditionalFormatting>
  <conditionalFormatting sqref="U654:Y654">
    <cfRule type="notContainsBlanks" dxfId="3696" priority="3821">
      <formula>LEN(TRIM(U654))&gt;0</formula>
    </cfRule>
  </conditionalFormatting>
  <conditionalFormatting sqref="U654:Y654">
    <cfRule type="notContainsBlanks" dxfId="3695" priority="3820">
      <formula>LEN(TRIM(U654))&gt;0</formula>
    </cfRule>
  </conditionalFormatting>
  <conditionalFormatting sqref="U654:Y654">
    <cfRule type="notContainsBlanks" dxfId="3694" priority="3819">
      <formula>LEN(TRIM(U654))&gt;0</formula>
    </cfRule>
  </conditionalFormatting>
  <conditionalFormatting sqref="U654:Y654">
    <cfRule type="notContainsBlanks" dxfId="3693" priority="3818">
      <formula>LEN(TRIM(U654))&gt;0</formula>
    </cfRule>
  </conditionalFormatting>
  <conditionalFormatting sqref="U654:Y654">
    <cfRule type="notContainsBlanks" dxfId="3692" priority="3817">
      <formula>LEN(TRIM(U654))&gt;0</formula>
    </cfRule>
  </conditionalFormatting>
  <conditionalFormatting sqref="U654:Y654">
    <cfRule type="notContainsBlanks" dxfId="3691" priority="3816">
      <formula>LEN(TRIM(U654))&gt;0</formula>
    </cfRule>
  </conditionalFormatting>
  <conditionalFormatting sqref="U654:Y654">
    <cfRule type="notContainsBlanks" dxfId="3690" priority="3815">
      <formula>LEN(TRIM(U654))&gt;0</formula>
    </cfRule>
  </conditionalFormatting>
  <conditionalFormatting sqref="U654:Y654">
    <cfRule type="notContainsBlanks" dxfId="3689" priority="3814">
      <formula>LEN(TRIM(U654))&gt;0</formula>
    </cfRule>
  </conditionalFormatting>
  <conditionalFormatting sqref="U654:Y654">
    <cfRule type="notContainsBlanks" dxfId="3688" priority="3813">
      <formula>LEN(TRIM(U654))&gt;0</formula>
    </cfRule>
  </conditionalFormatting>
  <conditionalFormatting sqref="U654:Y654">
    <cfRule type="notContainsBlanks" priority="3812">
      <formula>LEN(TRIM(U654))&gt;0</formula>
    </cfRule>
  </conditionalFormatting>
  <conditionalFormatting sqref="U654:Y654">
    <cfRule type="notContainsBlanks" dxfId="3687" priority="3811">
      <formula>LEN(TRIM(U654))&gt;0</formula>
    </cfRule>
  </conditionalFormatting>
  <conditionalFormatting sqref="U654:Y654">
    <cfRule type="notContainsBlanks" dxfId="3686" priority="3810">
      <formula>LEN(TRIM(U654))&gt;0</formula>
    </cfRule>
  </conditionalFormatting>
  <conditionalFormatting sqref="U654:Y654">
    <cfRule type="notContainsBlanks" dxfId="3685" priority="3809">
      <formula>LEN(TRIM(U654))&gt;0</formula>
    </cfRule>
  </conditionalFormatting>
  <conditionalFormatting sqref="U654:Y654">
    <cfRule type="notContainsBlanks" dxfId="3684" priority="3808">
      <formula>LEN(TRIM(U654))&gt;0</formula>
    </cfRule>
  </conditionalFormatting>
  <conditionalFormatting sqref="U654:Y654">
    <cfRule type="notContainsBlanks" dxfId="3683" priority="3807">
      <formula>LEN(TRIM(U654))&gt;0</formula>
    </cfRule>
  </conditionalFormatting>
  <conditionalFormatting sqref="U667:Y667">
    <cfRule type="notContainsBlanks" dxfId="3682" priority="3806">
      <formula>LEN(TRIM(U667))&gt;0</formula>
    </cfRule>
  </conditionalFormatting>
  <conditionalFormatting sqref="U667:Y667">
    <cfRule type="notContainsBlanks" dxfId="3681" priority="3805">
      <formula>LEN(TRIM(U667))&gt;0</formula>
    </cfRule>
  </conditionalFormatting>
  <conditionalFormatting sqref="U667:Y667">
    <cfRule type="notContainsBlanks" dxfId="3680" priority="3804">
      <formula>LEN(TRIM(U667))&gt;0</formula>
    </cfRule>
  </conditionalFormatting>
  <conditionalFormatting sqref="U667:Y667">
    <cfRule type="notContainsBlanks" dxfId="3679" priority="3803">
      <formula>LEN(TRIM(U667))&gt;0</formula>
    </cfRule>
  </conditionalFormatting>
  <conditionalFormatting sqref="U667:Y667">
    <cfRule type="notContainsBlanks" dxfId="3678" priority="3802">
      <formula>LEN(TRIM(U667))&gt;0</formula>
    </cfRule>
  </conditionalFormatting>
  <conditionalFormatting sqref="U667:Y667">
    <cfRule type="notContainsBlanks" dxfId="3677" priority="3801">
      <formula>LEN(TRIM(U667))&gt;0</formula>
    </cfRule>
  </conditionalFormatting>
  <conditionalFormatting sqref="U667:Y667">
    <cfRule type="notContainsBlanks" dxfId="3676" priority="3800">
      <formula>LEN(TRIM(U667))&gt;0</formula>
    </cfRule>
  </conditionalFormatting>
  <conditionalFormatting sqref="U667:Y667">
    <cfRule type="notContainsBlanks" dxfId="3675" priority="3799">
      <formula>LEN(TRIM(U667))&gt;0</formula>
    </cfRule>
  </conditionalFormatting>
  <conditionalFormatting sqref="U667:Y667">
    <cfRule type="notContainsBlanks" dxfId="3674" priority="3798">
      <formula>LEN(TRIM(U667))&gt;0</formula>
    </cfRule>
  </conditionalFormatting>
  <conditionalFormatting sqref="U667:Y667">
    <cfRule type="notContainsBlanks" dxfId="3673" priority="3796">
      <formula>LEN(TRIM(U667))&gt;0</formula>
    </cfRule>
    <cfRule type="notContainsBlanks" dxfId="3672" priority="3797">
      <formula>LEN(TRIM(U667))&gt;0</formula>
    </cfRule>
  </conditionalFormatting>
  <conditionalFormatting sqref="U667:Y667">
    <cfRule type="notContainsBlanks" dxfId="3671" priority="3795">
      <formula>LEN(TRIM(U667))&gt;0</formula>
    </cfRule>
  </conditionalFormatting>
  <conditionalFormatting sqref="U667:Y667">
    <cfRule type="notContainsBlanks" dxfId="3670" priority="3794">
      <formula>LEN(TRIM(U667))&gt;0</formula>
    </cfRule>
  </conditionalFormatting>
  <conditionalFormatting sqref="U667:Y667">
    <cfRule type="notContainsBlanks" dxfId="3669" priority="3793">
      <formula>LEN(TRIM(U667))&gt;0</formula>
    </cfRule>
  </conditionalFormatting>
  <conditionalFormatting sqref="U667:Y667">
    <cfRule type="notContainsBlanks" dxfId="3668" priority="3792">
      <formula>LEN(TRIM(U667))&gt;0</formula>
    </cfRule>
  </conditionalFormatting>
  <conditionalFormatting sqref="U667:Y667">
    <cfRule type="notContainsBlanks" dxfId="3667" priority="3791">
      <formula>LEN(TRIM(U667))&gt;0</formula>
    </cfRule>
  </conditionalFormatting>
  <conditionalFormatting sqref="U667:Y667">
    <cfRule type="notContainsBlanks" dxfId="3666" priority="3790">
      <formula>LEN(TRIM(U667))&gt;0</formula>
    </cfRule>
  </conditionalFormatting>
  <conditionalFormatting sqref="U667:Y667">
    <cfRule type="notContainsBlanks" dxfId="3665" priority="3789">
      <formula>LEN(TRIM(U667))&gt;0</formula>
    </cfRule>
  </conditionalFormatting>
  <conditionalFormatting sqref="U667:Y667">
    <cfRule type="notContainsBlanks" dxfId="3664" priority="3788">
      <formula>LEN(TRIM(U667))&gt;0</formula>
    </cfRule>
  </conditionalFormatting>
  <conditionalFormatting sqref="U667:Y667">
    <cfRule type="notContainsBlanks" dxfId="3663" priority="3787">
      <formula>LEN(TRIM(U667))&gt;0</formula>
    </cfRule>
  </conditionalFormatting>
  <conditionalFormatting sqref="U667:Y667">
    <cfRule type="notContainsBlanks" priority="3786">
      <formula>LEN(TRIM(U667))&gt;0</formula>
    </cfRule>
  </conditionalFormatting>
  <conditionalFormatting sqref="U667:Y667">
    <cfRule type="notContainsBlanks" dxfId="3662" priority="3785">
      <formula>LEN(TRIM(U667))&gt;0</formula>
    </cfRule>
  </conditionalFormatting>
  <conditionalFormatting sqref="U667:Y667">
    <cfRule type="notContainsBlanks" dxfId="3661" priority="3784">
      <formula>LEN(TRIM(U667))&gt;0</formula>
    </cfRule>
  </conditionalFormatting>
  <conditionalFormatting sqref="U667:Y667">
    <cfRule type="notContainsBlanks" dxfId="3660" priority="3783">
      <formula>LEN(TRIM(U667))&gt;0</formula>
    </cfRule>
  </conditionalFormatting>
  <conditionalFormatting sqref="U667:Y667">
    <cfRule type="notContainsBlanks" dxfId="3659" priority="3782">
      <formula>LEN(TRIM(U667))&gt;0</formula>
    </cfRule>
  </conditionalFormatting>
  <conditionalFormatting sqref="U667:Y667">
    <cfRule type="notContainsBlanks" dxfId="3658" priority="3781">
      <formula>LEN(TRIM(U667))&gt;0</formula>
    </cfRule>
  </conditionalFormatting>
  <conditionalFormatting sqref="U680:Y680">
    <cfRule type="notContainsBlanks" dxfId="3657" priority="3780">
      <formula>LEN(TRIM(U680))&gt;0</formula>
    </cfRule>
  </conditionalFormatting>
  <conditionalFormatting sqref="U680:Y680">
    <cfRule type="notContainsBlanks" dxfId="3656" priority="3779">
      <formula>LEN(TRIM(U680))&gt;0</formula>
    </cfRule>
  </conditionalFormatting>
  <conditionalFormatting sqref="U680:Y680">
    <cfRule type="notContainsBlanks" dxfId="3655" priority="3778">
      <formula>LEN(TRIM(U680))&gt;0</formula>
    </cfRule>
  </conditionalFormatting>
  <conditionalFormatting sqref="U680:Y680">
    <cfRule type="notContainsBlanks" dxfId="3654" priority="3777">
      <formula>LEN(TRIM(U680))&gt;0</formula>
    </cfRule>
  </conditionalFormatting>
  <conditionalFormatting sqref="U680:Y680">
    <cfRule type="notContainsBlanks" dxfId="3653" priority="3776">
      <formula>LEN(TRIM(U680))&gt;0</formula>
    </cfRule>
  </conditionalFormatting>
  <conditionalFormatting sqref="U680:Y680">
    <cfRule type="notContainsBlanks" dxfId="3652" priority="3775">
      <formula>LEN(TRIM(U680))&gt;0</formula>
    </cfRule>
  </conditionalFormatting>
  <conditionalFormatting sqref="U680:Y680">
    <cfRule type="notContainsBlanks" dxfId="3651" priority="3774">
      <formula>LEN(TRIM(U680))&gt;0</formula>
    </cfRule>
  </conditionalFormatting>
  <conditionalFormatting sqref="U680:Y680">
    <cfRule type="notContainsBlanks" dxfId="3650" priority="3773">
      <formula>LEN(TRIM(U680))&gt;0</formula>
    </cfRule>
  </conditionalFormatting>
  <conditionalFormatting sqref="U680:Y680">
    <cfRule type="notContainsBlanks" dxfId="3649" priority="3772">
      <formula>LEN(TRIM(U680))&gt;0</formula>
    </cfRule>
  </conditionalFormatting>
  <conditionalFormatting sqref="U680:Y680">
    <cfRule type="notContainsBlanks" dxfId="3648" priority="3770">
      <formula>LEN(TRIM(U680))&gt;0</formula>
    </cfRule>
    <cfRule type="notContainsBlanks" dxfId="3647" priority="3771">
      <formula>LEN(TRIM(U680))&gt;0</formula>
    </cfRule>
  </conditionalFormatting>
  <conditionalFormatting sqref="U680:Y680">
    <cfRule type="notContainsBlanks" dxfId="3646" priority="3769">
      <formula>LEN(TRIM(U680))&gt;0</formula>
    </cfRule>
  </conditionalFormatting>
  <conditionalFormatting sqref="U680:Y680">
    <cfRule type="notContainsBlanks" dxfId="3645" priority="3768">
      <formula>LEN(TRIM(U680))&gt;0</formula>
    </cfRule>
  </conditionalFormatting>
  <conditionalFormatting sqref="U680:Y680">
    <cfRule type="notContainsBlanks" dxfId="3644" priority="3767">
      <formula>LEN(TRIM(U680))&gt;0</formula>
    </cfRule>
  </conditionalFormatting>
  <conditionalFormatting sqref="U680:Y680">
    <cfRule type="notContainsBlanks" dxfId="3643" priority="3766">
      <formula>LEN(TRIM(U680))&gt;0</formula>
    </cfRule>
  </conditionalFormatting>
  <conditionalFormatting sqref="U680:Y680">
    <cfRule type="notContainsBlanks" dxfId="3642" priority="3765">
      <formula>LEN(TRIM(U680))&gt;0</formula>
    </cfRule>
  </conditionalFormatting>
  <conditionalFormatting sqref="U680:Y680">
    <cfRule type="notContainsBlanks" dxfId="3641" priority="3764">
      <formula>LEN(TRIM(U680))&gt;0</formula>
    </cfRule>
  </conditionalFormatting>
  <conditionalFormatting sqref="U680:Y680">
    <cfRule type="notContainsBlanks" dxfId="3640" priority="3763">
      <formula>LEN(TRIM(U680))&gt;0</formula>
    </cfRule>
  </conditionalFormatting>
  <conditionalFormatting sqref="U680:Y680">
    <cfRule type="notContainsBlanks" dxfId="3639" priority="3762">
      <formula>LEN(TRIM(U680))&gt;0</formula>
    </cfRule>
  </conditionalFormatting>
  <conditionalFormatting sqref="U680:Y680">
    <cfRule type="notContainsBlanks" dxfId="3638" priority="3761">
      <formula>LEN(TRIM(U680))&gt;0</formula>
    </cfRule>
  </conditionalFormatting>
  <conditionalFormatting sqref="U680:Y680">
    <cfRule type="notContainsBlanks" priority="3760">
      <formula>LEN(TRIM(U680))&gt;0</formula>
    </cfRule>
  </conditionalFormatting>
  <conditionalFormatting sqref="U680:Y680">
    <cfRule type="notContainsBlanks" dxfId="3637" priority="3759">
      <formula>LEN(TRIM(U680))&gt;0</formula>
    </cfRule>
  </conditionalFormatting>
  <conditionalFormatting sqref="U680:Y680">
    <cfRule type="notContainsBlanks" dxfId="3636" priority="3758">
      <formula>LEN(TRIM(U680))&gt;0</formula>
    </cfRule>
  </conditionalFormatting>
  <conditionalFormatting sqref="U680:Y680">
    <cfRule type="notContainsBlanks" dxfId="3635" priority="3757">
      <formula>LEN(TRIM(U680))&gt;0</formula>
    </cfRule>
  </conditionalFormatting>
  <conditionalFormatting sqref="U680:Y680">
    <cfRule type="notContainsBlanks" dxfId="3634" priority="3756">
      <formula>LEN(TRIM(U680))&gt;0</formula>
    </cfRule>
  </conditionalFormatting>
  <conditionalFormatting sqref="U680:Y680">
    <cfRule type="notContainsBlanks" dxfId="3633" priority="3755">
      <formula>LEN(TRIM(U680))&gt;0</formula>
    </cfRule>
  </conditionalFormatting>
  <conditionalFormatting sqref="U693:Y693">
    <cfRule type="notContainsBlanks" dxfId="3632" priority="3754">
      <formula>LEN(TRIM(U693))&gt;0</formula>
    </cfRule>
  </conditionalFormatting>
  <conditionalFormatting sqref="U693:Y693">
    <cfRule type="notContainsBlanks" dxfId="3631" priority="3753">
      <formula>LEN(TRIM(U693))&gt;0</formula>
    </cfRule>
  </conditionalFormatting>
  <conditionalFormatting sqref="U693:Y693">
    <cfRule type="notContainsBlanks" dxfId="3630" priority="3752">
      <formula>LEN(TRIM(U693))&gt;0</formula>
    </cfRule>
  </conditionalFormatting>
  <conditionalFormatting sqref="U693:Y693">
    <cfRule type="notContainsBlanks" dxfId="3629" priority="3751">
      <formula>LEN(TRIM(U693))&gt;0</formula>
    </cfRule>
  </conditionalFormatting>
  <conditionalFormatting sqref="U693:Y693">
    <cfRule type="notContainsBlanks" dxfId="3628" priority="3750">
      <formula>LEN(TRIM(U693))&gt;0</formula>
    </cfRule>
  </conditionalFormatting>
  <conditionalFormatting sqref="U693:Y693">
    <cfRule type="notContainsBlanks" dxfId="3627" priority="3749">
      <formula>LEN(TRIM(U693))&gt;0</formula>
    </cfRule>
  </conditionalFormatting>
  <conditionalFormatting sqref="U693:Y693">
    <cfRule type="notContainsBlanks" dxfId="3626" priority="3748">
      <formula>LEN(TRIM(U693))&gt;0</formula>
    </cfRule>
  </conditionalFormatting>
  <conditionalFormatting sqref="U693:Y693">
    <cfRule type="notContainsBlanks" dxfId="3625" priority="3747">
      <formula>LEN(TRIM(U693))&gt;0</formula>
    </cfRule>
  </conditionalFormatting>
  <conditionalFormatting sqref="U693:Y693">
    <cfRule type="notContainsBlanks" dxfId="3624" priority="3746">
      <formula>LEN(TRIM(U693))&gt;0</formula>
    </cfRule>
  </conditionalFormatting>
  <conditionalFormatting sqref="U693:Y693">
    <cfRule type="notContainsBlanks" dxfId="3623" priority="3744">
      <formula>LEN(TRIM(U693))&gt;0</formula>
    </cfRule>
    <cfRule type="notContainsBlanks" dxfId="3622" priority="3745">
      <formula>LEN(TRIM(U693))&gt;0</formula>
    </cfRule>
  </conditionalFormatting>
  <conditionalFormatting sqref="U693:Y693">
    <cfRule type="notContainsBlanks" dxfId="3621" priority="3743">
      <formula>LEN(TRIM(U693))&gt;0</formula>
    </cfRule>
  </conditionalFormatting>
  <conditionalFormatting sqref="U693:Y693">
    <cfRule type="notContainsBlanks" dxfId="3620" priority="3742">
      <formula>LEN(TRIM(U693))&gt;0</formula>
    </cfRule>
  </conditionalFormatting>
  <conditionalFormatting sqref="U693:Y693">
    <cfRule type="notContainsBlanks" dxfId="3619" priority="3741">
      <formula>LEN(TRIM(U693))&gt;0</formula>
    </cfRule>
  </conditionalFormatting>
  <conditionalFormatting sqref="U693:Y693">
    <cfRule type="notContainsBlanks" dxfId="3618" priority="3740">
      <formula>LEN(TRIM(U693))&gt;0</formula>
    </cfRule>
  </conditionalFormatting>
  <conditionalFormatting sqref="U693:Y693">
    <cfRule type="notContainsBlanks" dxfId="3617" priority="3739">
      <formula>LEN(TRIM(U693))&gt;0</formula>
    </cfRule>
  </conditionalFormatting>
  <conditionalFormatting sqref="U693:Y693">
    <cfRule type="notContainsBlanks" dxfId="3616" priority="3738">
      <formula>LEN(TRIM(U693))&gt;0</formula>
    </cfRule>
  </conditionalFormatting>
  <conditionalFormatting sqref="U693:Y693">
    <cfRule type="notContainsBlanks" dxfId="3615" priority="3737">
      <formula>LEN(TRIM(U693))&gt;0</formula>
    </cfRule>
  </conditionalFormatting>
  <conditionalFormatting sqref="U693:Y693">
    <cfRule type="notContainsBlanks" dxfId="3614" priority="3736">
      <formula>LEN(TRIM(U693))&gt;0</formula>
    </cfRule>
  </conditionalFormatting>
  <conditionalFormatting sqref="U693:Y693">
    <cfRule type="notContainsBlanks" dxfId="3613" priority="3735">
      <formula>LEN(TRIM(U693))&gt;0</formula>
    </cfRule>
  </conditionalFormatting>
  <conditionalFormatting sqref="U693:Y693">
    <cfRule type="notContainsBlanks" priority="3734">
      <formula>LEN(TRIM(U693))&gt;0</formula>
    </cfRule>
  </conditionalFormatting>
  <conditionalFormatting sqref="U693:Y693">
    <cfRule type="notContainsBlanks" dxfId="3612" priority="3733">
      <formula>LEN(TRIM(U693))&gt;0</formula>
    </cfRule>
  </conditionalFormatting>
  <conditionalFormatting sqref="U693:Y693">
    <cfRule type="notContainsBlanks" dxfId="3611" priority="3732">
      <formula>LEN(TRIM(U693))&gt;0</formula>
    </cfRule>
  </conditionalFormatting>
  <conditionalFormatting sqref="U693:Y693">
    <cfRule type="notContainsBlanks" dxfId="3610" priority="3731">
      <formula>LEN(TRIM(U693))&gt;0</formula>
    </cfRule>
  </conditionalFormatting>
  <conditionalFormatting sqref="U693:Y693">
    <cfRule type="notContainsBlanks" dxfId="3609" priority="3730">
      <formula>LEN(TRIM(U693))&gt;0</formula>
    </cfRule>
  </conditionalFormatting>
  <conditionalFormatting sqref="U693:Y693">
    <cfRule type="notContainsBlanks" dxfId="3608" priority="3729">
      <formula>LEN(TRIM(U693))&gt;0</formula>
    </cfRule>
  </conditionalFormatting>
  <conditionalFormatting sqref="U706:Y706">
    <cfRule type="notContainsBlanks" dxfId="3607" priority="3728">
      <formula>LEN(TRIM(U706))&gt;0</formula>
    </cfRule>
  </conditionalFormatting>
  <conditionalFormatting sqref="U706:Y706">
    <cfRule type="notContainsBlanks" dxfId="3606" priority="3727">
      <formula>LEN(TRIM(U706))&gt;0</formula>
    </cfRule>
  </conditionalFormatting>
  <conditionalFormatting sqref="U706:Y706">
    <cfRule type="notContainsBlanks" dxfId="3605" priority="3726">
      <formula>LEN(TRIM(U706))&gt;0</formula>
    </cfRule>
  </conditionalFormatting>
  <conditionalFormatting sqref="U706:Y706">
    <cfRule type="notContainsBlanks" dxfId="3604" priority="3725">
      <formula>LEN(TRIM(U706))&gt;0</formula>
    </cfRule>
  </conditionalFormatting>
  <conditionalFormatting sqref="U706:Y706">
    <cfRule type="notContainsBlanks" dxfId="3603" priority="3724">
      <formula>LEN(TRIM(U706))&gt;0</formula>
    </cfRule>
  </conditionalFormatting>
  <conditionalFormatting sqref="U706:Y706">
    <cfRule type="notContainsBlanks" dxfId="3602" priority="3723">
      <formula>LEN(TRIM(U706))&gt;0</formula>
    </cfRule>
  </conditionalFormatting>
  <conditionalFormatting sqref="U706:Y706">
    <cfRule type="notContainsBlanks" dxfId="3601" priority="3722">
      <formula>LEN(TRIM(U706))&gt;0</formula>
    </cfRule>
  </conditionalFormatting>
  <conditionalFormatting sqref="U706:Y706">
    <cfRule type="notContainsBlanks" dxfId="3600" priority="3721">
      <formula>LEN(TRIM(U706))&gt;0</formula>
    </cfRule>
  </conditionalFormatting>
  <conditionalFormatting sqref="U706:Y706">
    <cfRule type="notContainsBlanks" dxfId="3599" priority="3720">
      <formula>LEN(TRIM(U706))&gt;0</formula>
    </cfRule>
  </conditionalFormatting>
  <conditionalFormatting sqref="U706:Y706">
    <cfRule type="notContainsBlanks" dxfId="3598" priority="3718">
      <formula>LEN(TRIM(U706))&gt;0</formula>
    </cfRule>
    <cfRule type="notContainsBlanks" dxfId="3597" priority="3719">
      <formula>LEN(TRIM(U706))&gt;0</formula>
    </cfRule>
  </conditionalFormatting>
  <conditionalFormatting sqref="U706:Y706">
    <cfRule type="notContainsBlanks" dxfId="3596" priority="3717">
      <formula>LEN(TRIM(U706))&gt;0</formula>
    </cfRule>
  </conditionalFormatting>
  <conditionalFormatting sqref="U706:Y706">
    <cfRule type="notContainsBlanks" dxfId="3595" priority="3716">
      <formula>LEN(TRIM(U706))&gt;0</formula>
    </cfRule>
  </conditionalFormatting>
  <conditionalFormatting sqref="U706:Y706">
    <cfRule type="notContainsBlanks" dxfId="3594" priority="3715">
      <formula>LEN(TRIM(U706))&gt;0</formula>
    </cfRule>
  </conditionalFormatting>
  <conditionalFormatting sqref="U706:Y706">
    <cfRule type="notContainsBlanks" dxfId="3593" priority="3714">
      <formula>LEN(TRIM(U706))&gt;0</formula>
    </cfRule>
  </conditionalFormatting>
  <conditionalFormatting sqref="U706:Y706">
    <cfRule type="notContainsBlanks" dxfId="3592" priority="3713">
      <formula>LEN(TRIM(U706))&gt;0</formula>
    </cfRule>
  </conditionalFormatting>
  <conditionalFormatting sqref="U706:Y706">
    <cfRule type="notContainsBlanks" dxfId="3591" priority="3712">
      <formula>LEN(TRIM(U706))&gt;0</formula>
    </cfRule>
  </conditionalFormatting>
  <conditionalFormatting sqref="U706:Y706">
    <cfRule type="notContainsBlanks" dxfId="3590" priority="3711">
      <formula>LEN(TRIM(U706))&gt;0</formula>
    </cfRule>
  </conditionalFormatting>
  <conditionalFormatting sqref="U706:Y706">
    <cfRule type="notContainsBlanks" dxfId="3589" priority="3710">
      <formula>LEN(TRIM(U706))&gt;0</formula>
    </cfRule>
  </conditionalFormatting>
  <conditionalFormatting sqref="U706:Y706">
    <cfRule type="notContainsBlanks" dxfId="3588" priority="3709">
      <formula>LEN(TRIM(U706))&gt;0</formula>
    </cfRule>
  </conditionalFormatting>
  <conditionalFormatting sqref="U706:Y706">
    <cfRule type="notContainsBlanks" priority="3708">
      <formula>LEN(TRIM(U706))&gt;0</formula>
    </cfRule>
  </conditionalFormatting>
  <conditionalFormatting sqref="U706:Y706">
    <cfRule type="notContainsBlanks" dxfId="3587" priority="3707">
      <formula>LEN(TRIM(U706))&gt;0</formula>
    </cfRule>
  </conditionalFormatting>
  <conditionalFormatting sqref="U706:Y706">
    <cfRule type="notContainsBlanks" dxfId="3586" priority="3706">
      <formula>LEN(TRIM(U706))&gt;0</formula>
    </cfRule>
  </conditionalFormatting>
  <conditionalFormatting sqref="U706:Y706">
    <cfRule type="notContainsBlanks" dxfId="3585" priority="3705">
      <formula>LEN(TRIM(U706))&gt;0</formula>
    </cfRule>
  </conditionalFormatting>
  <conditionalFormatting sqref="U706:Y706">
    <cfRule type="notContainsBlanks" dxfId="3584" priority="3704">
      <formula>LEN(TRIM(U706))&gt;0</formula>
    </cfRule>
  </conditionalFormatting>
  <conditionalFormatting sqref="U706:Y706">
    <cfRule type="notContainsBlanks" dxfId="3583" priority="3703">
      <formula>LEN(TRIM(U706))&gt;0</formula>
    </cfRule>
  </conditionalFormatting>
  <conditionalFormatting sqref="U719:Y719">
    <cfRule type="notContainsBlanks" dxfId="3582" priority="3702">
      <formula>LEN(TRIM(U719))&gt;0</formula>
    </cfRule>
  </conditionalFormatting>
  <conditionalFormatting sqref="U719:Y719">
    <cfRule type="notContainsBlanks" dxfId="3581" priority="3701">
      <formula>LEN(TRIM(U719))&gt;0</formula>
    </cfRule>
  </conditionalFormatting>
  <conditionalFormatting sqref="U719:Y719">
    <cfRule type="notContainsBlanks" dxfId="3580" priority="3700">
      <formula>LEN(TRIM(U719))&gt;0</formula>
    </cfRule>
  </conditionalFormatting>
  <conditionalFormatting sqref="U719:Y719">
    <cfRule type="notContainsBlanks" dxfId="3579" priority="3699">
      <formula>LEN(TRIM(U719))&gt;0</formula>
    </cfRule>
  </conditionalFormatting>
  <conditionalFormatting sqref="U719:Y719">
    <cfRule type="notContainsBlanks" dxfId="3578" priority="3698">
      <formula>LEN(TRIM(U719))&gt;0</formula>
    </cfRule>
  </conditionalFormatting>
  <conditionalFormatting sqref="U719:Y719">
    <cfRule type="notContainsBlanks" dxfId="3577" priority="3697">
      <formula>LEN(TRIM(U719))&gt;0</formula>
    </cfRule>
  </conditionalFormatting>
  <conditionalFormatting sqref="U719:Y719">
    <cfRule type="notContainsBlanks" dxfId="3576" priority="3696">
      <formula>LEN(TRIM(U719))&gt;0</formula>
    </cfRule>
  </conditionalFormatting>
  <conditionalFormatting sqref="U719:Y719">
    <cfRule type="notContainsBlanks" dxfId="3575" priority="3695">
      <formula>LEN(TRIM(U719))&gt;0</formula>
    </cfRule>
  </conditionalFormatting>
  <conditionalFormatting sqref="U719:Y719">
    <cfRule type="notContainsBlanks" dxfId="3574" priority="3694">
      <formula>LEN(TRIM(U719))&gt;0</formula>
    </cfRule>
  </conditionalFormatting>
  <conditionalFormatting sqref="U719:Y719">
    <cfRule type="notContainsBlanks" dxfId="3573" priority="3692">
      <formula>LEN(TRIM(U719))&gt;0</formula>
    </cfRule>
    <cfRule type="notContainsBlanks" dxfId="3572" priority="3693">
      <formula>LEN(TRIM(U719))&gt;0</formula>
    </cfRule>
  </conditionalFormatting>
  <conditionalFormatting sqref="U719:Y719">
    <cfRule type="notContainsBlanks" dxfId="3571" priority="3691">
      <formula>LEN(TRIM(U719))&gt;0</formula>
    </cfRule>
  </conditionalFormatting>
  <conditionalFormatting sqref="U719:Y719">
    <cfRule type="notContainsBlanks" dxfId="3570" priority="3690">
      <formula>LEN(TRIM(U719))&gt;0</formula>
    </cfRule>
  </conditionalFormatting>
  <conditionalFormatting sqref="U719:Y719">
    <cfRule type="notContainsBlanks" dxfId="3569" priority="3689">
      <formula>LEN(TRIM(U719))&gt;0</formula>
    </cfRule>
  </conditionalFormatting>
  <conditionalFormatting sqref="U719:Y719">
    <cfRule type="notContainsBlanks" dxfId="3568" priority="3688">
      <formula>LEN(TRIM(U719))&gt;0</formula>
    </cfRule>
  </conditionalFormatting>
  <conditionalFormatting sqref="U719:Y719">
    <cfRule type="notContainsBlanks" dxfId="3567" priority="3687">
      <formula>LEN(TRIM(U719))&gt;0</formula>
    </cfRule>
  </conditionalFormatting>
  <conditionalFormatting sqref="U719:Y719">
    <cfRule type="notContainsBlanks" dxfId="3566" priority="3686">
      <formula>LEN(TRIM(U719))&gt;0</formula>
    </cfRule>
  </conditionalFormatting>
  <conditionalFormatting sqref="U719:Y719">
    <cfRule type="notContainsBlanks" dxfId="3565" priority="3685">
      <formula>LEN(TRIM(U719))&gt;0</formula>
    </cfRule>
  </conditionalFormatting>
  <conditionalFormatting sqref="U719:Y719">
    <cfRule type="notContainsBlanks" dxfId="3564" priority="3684">
      <formula>LEN(TRIM(U719))&gt;0</formula>
    </cfRule>
  </conditionalFormatting>
  <conditionalFormatting sqref="U719:Y719">
    <cfRule type="notContainsBlanks" dxfId="3563" priority="3683">
      <formula>LEN(TRIM(U719))&gt;0</formula>
    </cfRule>
  </conditionalFormatting>
  <conditionalFormatting sqref="U719:Y719">
    <cfRule type="notContainsBlanks" priority="3682">
      <formula>LEN(TRIM(U719))&gt;0</formula>
    </cfRule>
  </conditionalFormatting>
  <conditionalFormatting sqref="U719:Y719">
    <cfRule type="notContainsBlanks" dxfId="3562" priority="3681">
      <formula>LEN(TRIM(U719))&gt;0</formula>
    </cfRule>
  </conditionalFormatting>
  <conditionalFormatting sqref="U719:Y719">
    <cfRule type="notContainsBlanks" dxfId="3561" priority="3680">
      <formula>LEN(TRIM(U719))&gt;0</formula>
    </cfRule>
  </conditionalFormatting>
  <conditionalFormatting sqref="U719:Y719">
    <cfRule type="notContainsBlanks" dxfId="3560" priority="3679">
      <formula>LEN(TRIM(U719))&gt;0</formula>
    </cfRule>
  </conditionalFormatting>
  <conditionalFormatting sqref="U719:Y719">
    <cfRule type="notContainsBlanks" dxfId="3559" priority="3678">
      <formula>LEN(TRIM(U719))&gt;0</formula>
    </cfRule>
  </conditionalFormatting>
  <conditionalFormatting sqref="U719:Y719">
    <cfRule type="notContainsBlanks" dxfId="3558" priority="3677">
      <formula>LEN(TRIM(U719))&gt;0</formula>
    </cfRule>
  </conditionalFormatting>
  <conditionalFormatting sqref="U732:Y732">
    <cfRule type="notContainsBlanks" dxfId="3557" priority="3676">
      <formula>LEN(TRIM(U732))&gt;0</formula>
    </cfRule>
  </conditionalFormatting>
  <conditionalFormatting sqref="U732:Y732">
    <cfRule type="notContainsBlanks" dxfId="3556" priority="3675">
      <formula>LEN(TRIM(U732))&gt;0</formula>
    </cfRule>
  </conditionalFormatting>
  <conditionalFormatting sqref="U732:Y732">
    <cfRule type="notContainsBlanks" dxfId="3555" priority="3674">
      <formula>LEN(TRIM(U732))&gt;0</formula>
    </cfRule>
  </conditionalFormatting>
  <conditionalFormatting sqref="U732:Y732">
    <cfRule type="notContainsBlanks" dxfId="3554" priority="3673">
      <formula>LEN(TRIM(U732))&gt;0</formula>
    </cfRule>
  </conditionalFormatting>
  <conditionalFormatting sqref="U732:Y732">
    <cfRule type="notContainsBlanks" dxfId="3553" priority="3672">
      <formula>LEN(TRIM(U732))&gt;0</formula>
    </cfRule>
  </conditionalFormatting>
  <conditionalFormatting sqref="U732:Y732">
    <cfRule type="notContainsBlanks" dxfId="3552" priority="3671">
      <formula>LEN(TRIM(U732))&gt;0</formula>
    </cfRule>
  </conditionalFormatting>
  <conditionalFormatting sqref="U732:Y732">
    <cfRule type="notContainsBlanks" dxfId="3551" priority="3670">
      <formula>LEN(TRIM(U732))&gt;0</formula>
    </cfRule>
  </conditionalFormatting>
  <conditionalFormatting sqref="U732:Y732">
    <cfRule type="notContainsBlanks" dxfId="3550" priority="3669">
      <formula>LEN(TRIM(U732))&gt;0</formula>
    </cfRule>
  </conditionalFormatting>
  <conditionalFormatting sqref="U732:Y732">
    <cfRule type="notContainsBlanks" dxfId="3549" priority="3668">
      <formula>LEN(TRIM(U732))&gt;0</formula>
    </cfRule>
  </conditionalFormatting>
  <conditionalFormatting sqref="U732:Y732">
    <cfRule type="notContainsBlanks" dxfId="3548" priority="3666">
      <formula>LEN(TRIM(U732))&gt;0</formula>
    </cfRule>
    <cfRule type="notContainsBlanks" dxfId="3547" priority="3667">
      <formula>LEN(TRIM(U732))&gt;0</formula>
    </cfRule>
  </conditionalFormatting>
  <conditionalFormatting sqref="U732:Y732">
    <cfRule type="notContainsBlanks" dxfId="3546" priority="3665">
      <formula>LEN(TRIM(U732))&gt;0</formula>
    </cfRule>
  </conditionalFormatting>
  <conditionalFormatting sqref="U732:Y732">
    <cfRule type="notContainsBlanks" dxfId="3545" priority="3664">
      <formula>LEN(TRIM(U732))&gt;0</formula>
    </cfRule>
  </conditionalFormatting>
  <conditionalFormatting sqref="U732:Y732">
    <cfRule type="notContainsBlanks" dxfId="3544" priority="3663">
      <formula>LEN(TRIM(U732))&gt;0</formula>
    </cfRule>
  </conditionalFormatting>
  <conditionalFormatting sqref="U732:Y732">
    <cfRule type="notContainsBlanks" dxfId="3543" priority="3662">
      <formula>LEN(TRIM(U732))&gt;0</formula>
    </cfRule>
  </conditionalFormatting>
  <conditionalFormatting sqref="U732:Y732">
    <cfRule type="notContainsBlanks" dxfId="3542" priority="3661">
      <formula>LEN(TRIM(U732))&gt;0</formula>
    </cfRule>
  </conditionalFormatting>
  <conditionalFormatting sqref="U732:Y732">
    <cfRule type="notContainsBlanks" dxfId="3541" priority="3660">
      <formula>LEN(TRIM(U732))&gt;0</formula>
    </cfRule>
  </conditionalFormatting>
  <conditionalFormatting sqref="U732:Y732">
    <cfRule type="notContainsBlanks" dxfId="3540" priority="3659">
      <formula>LEN(TRIM(U732))&gt;0</formula>
    </cfRule>
  </conditionalFormatting>
  <conditionalFormatting sqref="U732:Y732">
    <cfRule type="notContainsBlanks" dxfId="3539" priority="3658">
      <formula>LEN(TRIM(U732))&gt;0</formula>
    </cfRule>
  </conditionalFormatting>
  <conditionalFormatting sqref="U732:Y732">
    <cfRule type="notContainsBlanks" dxfId="3538" priority="3657">
      <formula>LEN(TRIM(U732))&gt;0</formula>
    </cfRule>
  </conditionalFormatting>
  <conditionalFormatting sqref="U732:Y732">
    <cfRule type="notContainsBlanks" priority="3656">
      <formula>LEN(TRIM(U732))&gt;0</formula>
    </cfRule>
  </conditionalFormatting>
  <conditionalFormatting sqref="U732:Y732">
    <cfRule type="notContainsBlanks" dxfId="3537" priority="3655">
      <formula>LEN(TRIM(U732))&gt;0</formula>
    </cfRule>
  </conditionalFormatting>
  <conditionalFormatting sqref="U732:Y732">
    <cfRule type="notContainsBlanks" dxfId="3536" priority="3654">
      <formula>LEN(TRIM(U732))&gt;0</formula>
    </cfRule>
  </conditionalFormatting>
  <conditionalFormatting sqref="U732:Y732">
    <cfRule type="notContainsBlanks" dxfId="3535" priority="3653">
      <formula>LEN(TRIM(U732))&gt;0</formula>
    </cfRule>
  </conditionalFormatting>
  <conditionalFormatting sqref="U732:Y732">
    <cfRule type="notContainsBlanks" dxfId="3534" priority="3652">
      <formula>LEN(TRIM(U732))&gt;0</formula>
    </cfRule>
  </conditionalFormatting>
  <conditionalFormatting sqref="U732:Y732">
    <cfRule type="notContainsBlanks" dxfId="3533" priority="3651">
      <formula>LEN(TRIM(U732))&gt;0</formula>
    </cfRule>
  </conditionalFormatting>
  <conditionalFormatting sqref="U745:Y745">
    <cfRule type="notContainsBlanks" dxfId="3532" priority="3650">
      <formula>LEN(TRIM(U745))&gt;0</formula>
    </cfRule>
  </conditionalFormatting>
  <conditionalFormatting sqref="U745:Y745">
    <cfRule type="notContainsBlanks" dxfId="3531" priority="3649">
      <formula>LEN(TRIM(U745))&gt;0</formula>
    </cfRule>
  </conditionalFormatting>
  <conditionalFormatting sqref="U745:Y745">
    <cfRule type="notContainsBlanks" dxfId="3530" priority="3648">
      <formula>LEN(TRIM(U745))&gt;0</formula>
    </cfRule>
  </conditionalFormatting>
  <conditionalFormatting sqref="U745:Y745">
    <cfRule type="notContainsBlanks" dxfId="3529" priority="3647">
      <formula>LEN(TRIM(U745))&gt;0</formula>
    </cfRule>
  </conditionalFormatting>
  <conditionalFormatting sqref="U745:Y745">
    <cfRule type="notContainsBlanks" dxfId="3528" priority="3646">
      <formula>LEN(TRIM(U745))&gt;0</formula>
    </cfRule>
  </conditionalFormatting>
  <conditionalFormatting sqref="U745:Y745">
    <cfRule type="notContainsBlanks" dxfId="3527" priority="3645">
      <formula>LEN(TRIM(U745))&gt;0</formula>
    </cfRule>
  </conditionalFormatting>
  <conditionalFormatting sqref="U745:Y745">
    <cfRule type="notContainsBlanks" dxfId="3526" priority="3644">
      <formula>LEN(TRIM(U745))&gt;0</formula>
    </cfRule>
  </conditionalFormatting>
  <conditionalFormatting sqref="U745:Y745">
    <cfRule type="notContainsBlanks" dxfId="3525" priority="3643">
      <formula>LEN(TRIM(U745))&gt;0</formula>
    </cfRule>
  </conditionalFormatting>
  <conditionalFormatting sqref="U745:Y745">
    <cfRule type="notContainsBlanks" dxfId="3524" priority="3642">
      <formula>LEN(TRIM(U745))&gt;0</formula>
    </cfRule>
  </conditionalFormatting>
  <conditionalFormatting sqref="U745:Y745">
    <cfRule type="notContainsBlanks" dxfId="3523" priority="3640">
      <formula>LEN(TRIM(U745))&gt;0</formula>
    </cfRule>
    <cfRule type="notContainsBlanks" dxfId="3522" priority="3641">
      <formula>LEN(TRIM(U745))&gt;0</formula>
    </cfRule>
  </conditionalFormatting>
  <conditionalFormatting sqref="U745:Y745">
    <cfRule type="notContainsBlanks" dxfId="3521" priority="3639">
      <formula>LEN(TRIM(U745))&gt;0</formula>
    </cfRule>
  </conditionalFormatting>
  <conditionalFormatting sqref="U745:Y745">
    <cfRule type="notContainsBlanks" dxfId="3520" priority="3638">
      <formula>LEN(TRIM(U745))&gt;0</formula>
    </cfRule>
  </conditionalFormatting>
  <conditionalFormatting sqref="U745:Y745">
    <cfRule type="notContainsBlanks" dxfId="3519" priority="3637">
      <formula>LEN(TRIM(U745))&gt;0</formula>
    </cfRule>
  </conditionalFormatting>
  <conditionalFormatting sqref="U745:Y745">
    <cfRule type="notContainsBlanks" dxfId="3518" priority="3636">
      <formula>LEN(TRIM(U745))&gt;0</formula>
    </cfRule>
  </conditionalFormatting>
  <conditionalFormatting sqref="U745:Y745">
    <cfRule type="notContainsBlanks" dxfId="3517" priority="3635">
      <formula>LEN(TRIM(U745))&gt;0</formula>
    </cfRule>
  </conditionalFormatting>
  <conditionalFormatting sqref="U745:Y745">
    <cfRule type="notContainsBlanks" dxfId="3516" priority="3634">
      <formula>LEN(TRIM(U745))&gt;0</formula>
    </cfRule>
  </conditionalFormatting>
  <conditionalFormatting sqref="U745:Y745">
    <cfRule type="notContainsBlanks" dxfId="3515" priority="3633">
      <formula>LEN(TRIM(U745))&gt;0</formula>
    </cfRule>
  </conditionalFormatting>
  <conditionalFormatting sqref="U745:Y745">
    <cfRule type="notContainsBlanks" dxfId="3514" priority="3632">
      <formula>LEN(TRIM(U745))&gt;0</formula>
    </cfRule>
  </conditionalFormatting>
  <conditionalFormatting sqref="U745:Y745">
    <cfRule type="notContainsBlanks" dxfId="3513" priority="3631">
      <formula>LEN(TRIM(U745))&gt;0</formula>
    </cfRule>
  </conditionalFormatting>
  <conditionalFormatting sqref="U745:Y745">
    <cfRule type="notContainsBlanks" priority="3630">
      <formula>LEN(TRIM(U745))&gt;0</formula>
    </cfRule>
  </conditionalFormatting>
  <conditionalFormatting sqref="U745:Y745">
    <cfRule type="notContainsBlanks" dxfId="3512" priority="3629">
      <formula>LEN(TRIM(U745))&gt;0</formula>
    </cfRule>
  </conditionalFormatting>
  <conditionalFormatting sqref="U745:Y745">
    <cfRule type="notContainsBlanks" dxfId="3511" priority="3628">
      <formula>LEN(TRIM(U745))&gt;0</formula>
    </cfRule>
  </conditionalFormatting>
  <conditionalFormatting sqref="U745:Y745">
    <cfRule type="notContainsBlanks" dxfId="3510" priority="3627">
      <formula>LEN(TRIM(U745))&gt;0</formula>
    </cfRule>
  </conditionalFormatting>
  <conditionalFormatting sqref="U745:Y745">
    <cfRule type="notContainsBlanks" dxfId="3509" priority="3626">
      <formula>LEN(TRIM(U745))&gt;0</formula>
    </cfRule>
  </conditionalFormatting>
  <conditionalFormatting sqref="U745:Y745">
    <cfRule type="notContainsBlanks" dxfId="3508" priority="3625">
      <formula>LEN(TRIM(U745))&gt;0</formula>
    </cfRule>
  </conditionalFormatting>
  <conditionalFormatting sqref="U758:Y758">
    <cfRule type="notContainsBlanks" dxfId="3507" priority="3624">
      <formula>LEN(TRIM(U758))&gt;0</formula>
    </cfRule>
  </conditionalFormatting>
  <conditionalFormatting sqref="U758:Y758">
    <cfRule type="notContainsBlanks" dxfId="3506" priority="3623">
      <formula>LEN(TRIM(U758))&gt;0</formula>
    </cfRule>
  </conditionalFormatting>
  <conditionalFormatting sqref="U758:Y758">
    <cfRule type="notContainsBlanks" dxfId="3505" priority="3622">
      <formula>LEN(TRIM(U758))&gt;0</formula>
    </cfRule>
  </conditionalFormatting>
  <conditionalFormatting sqref="U758:Y758">
    <cfRule type="notContainsBlanks" dxfId="3504" priority="3621">
      <formula>LEN(TRIM(U758))&gt;0</formula>
    </cfRule>
  </conditionalFormatting>
  <conditionalFormatting sqref="U758:Y758">
    <cfRule type="notContainsBlanks" dxfId="3503" priority="3620">
      <formula>LEN(TRIM(U758))&gt;0</formula>
    </cfRule>
  </conditionalFormatting>
  <conditionalFormatting sqref="U758:Y758">
    <cfRule type="notContainsBlanks" dxfId="3502" priority="3619">
      <formula>LEN(TRIM(U758))&gt;0</formula>
    </cfRule>
  </conditionalFormatting>
  <conditionalFormatting sqref="U758:Y758">
    <cfRule type="notContainsBlanks" dxfId="3501" priority="3618">
      <formula>LEN(TRIM(U758))&gt;0</formula>
    </cfRule>
  </conditionalFormatting>
  <conditionalFormatting sqref="U758:Y758">
    <cfRule type="notContainsBlanks" dxfId="3500" priority="3617">
      <formula>LEN(TRIM(U758))&gt;0</formula>
    </cfRule>
  </conditionalFormatting>
  <conditionalFormatting sqref="U758:Y758">
    <cfRule type="notContainsBlanks" dxfId="3499" priority="3616">
      <formula>LEN(TRIM(U758))&gt;0</formula>
    </cfRule>
  </conditionalFormatting>
  <conditionalFormatting sqref="U758:Y758">
    <cfRule type="notContainsBlanks" dxfId="3498" priority="3614">
      <formula>LEN(TRIM(U758))&gt;0</formula>
    </cfRule>
    <cfRule type="notContainsBlanks" dxfId="3497" priority="3615">
      <formula>LEN(TRIM(U758))&gt;0</formula>
    </cfRule>
  </conditionalFormatting>
  <conditionalFormatting sqref="U758:Y758">
    <cfRule type="notContainsBlanks" dxfId="3496" priority="3613">
      <formula>LEN(TRIM(U758))&gt;0</formula>
    </cfRule>
  </conditionalFormatting>
  <conditionalFormatting sqref="U758:Y758">
    <cfRule type="notContainsBlanks" dxfId="3495" priority="3612">
      <formula>LEN(TRIM(U758))&gt;0</formula>
    </cfRule>
  </conditionalFormatting>
  <conditionalFormatting sqref="U758:Y758">
    <cfRule type="notContainsBlanks" dxfId="3494" priority="3611">
      <formula>LEN(TRIM(U758))&gt;0</formula>
    </cfRule>
  </conditionalFormatting>
  <conditionalFormatting sqref="U758:Y758">
    <cfRule type="notContainsBlanks" dxfId="3493" priority="3610">
      <formula>LEN(TRIM(U758))&gt;0</formula>
    </cfRule>
  </conditionalFormatting>
  <conditionalFormatting sqref="U758:Y758">
    <cfRule type="notContainsBlanks" dxfId="3492" priority="3609">
      <formula>LEN(TRIM(U758))&gt;0</formula>
    </cfRule>
  </conditionalFormatting>
  <conditionalFormatting sqref="U758:Y758">
    <cfRule type="notContainsBlanks" dxfId="3491" priority="3608">
      <formula>LEN(TRIM(U758))&gt;0</formula>
    </cfRule>
  </conditionalFormatting>
  <conditionalFormatting sqref="U758:Y758">
    <cfRule type="notContainsBlanks" dxfId="3490" priority="3607">
      <formula>LEN(TRIM(U758))&gt;0</formula>
    </cfRule>
  </conditionalFormatting>
  <conditionalFormatting sqref="U758:Y758">
    <cfRule type="notContainsBlanks" dxfId="3489" priority="3606">
      <formula>LEN(TRIM(U758))&gt;0</formula>
    </cfRule>
  </conditionalFormatting>
  <conditionalFormatting sqref="U758:Y758">
    <cfRule type="notContainsBlanks" dxfId="3488" priority="3605">
      <formula>LEN(TRIM(U758))&gt;0</formula>
    </cfRule>
  </conditionalFormatting>
  <conditionalFormatting sqref="U758:Y758">
    <cfRule type="notContainsBlanks" priority="3604">
      <formula>LEN(TRIM(U758))&gt;0</formula>
    </cfRule>
  </conditionalFormatting>
  <conditionalFormatting sqref="U758:Y758">
    <cfRule type="notContainsBlanks" dxfId="3487" priority="3603">
      <formula>LEN(TRIM(U758))&gt;0</formula>
    </cfRule>
  </conditionalFormatting>
  <conditionalFormatting sqref="U758:Y758">
    <cfRule type="notContainsBlanks" dxfId="3486" priority="3602">
      <formula>LEN(TRIM(U758))&gt;0</formula>
    </cfRule>
  </conditionalFormatting>
  <conditionalFormatting sqref="U758:Y758">
    <cfRule type="notContainsBlanks" dxfId="3485" priority="3601">
      <formula>LEN(TRIM(U758))&gt;0</formula>
    </cfRule>
  </conditionalFormatting>
  <conditionalFormatting sqref="U758:Y758">
    <cfRule type="notContainsBlanks" dxfId="3484" priority="3600">
      <formula>LEN(TRIM(U758))&gt;0</formula>
    </cfRule>
  </conditionalFormatting>
  <conditionalFormatting sqref="U758:Y758">
    <cfRule type="notContainsBlanks" dxfId="3483" priority="3599">
      <formula>LEN(TRIM(U758))&gt;0</formula>
    </cfRule>
  </conditionalFormatting>
  <conditionalFormatting sqref="U771:Y771">
    <cfRule type="notContainsBlanks" dxfId="3482" priority="3598">
      <formula>LEN(TRIM(U771))&gt;0</formula>
    </cfRule>
  </conditionalFormatting>
  <conditionalFormatting sqref="U771:Y771">
    <cfRule type="notContainsBlanks" dxfId="3481" priority="3597">
      <formula>LEN(TRIM(U771))&gt;0</formula>
    </cfRule>
  </conditionalFormatting>
  <conditionalFormatting sqref="U771:Y771">
    <cfRule type="notContainsBlanks" dxfId="3480" priority="3596">
      <formula>LEN(TRIM(U771))&gt;0</formula>
    </cfRule>
  </conditionalFormatting>
  <conditionalFormatting sqref="U771:Y771">
    <cfRule type="notContainsBlanks" dxfId="3479" priority="3595">
      <formula>LEN(TRIM(U771))&gt;0</formula>
    </cfRule>
  </conditionalFormatting>
  <conditionalFormatting sqref="U771:Y771">
    <cfRule type="notContainsBlanks" dxfId="3478" priority="3594">
      <formula>LEN(TRIM(U771))&gt;0</formula>
    </cfRule>
  </conditionalFormatting>
  <conditionalFormatting sqref="U771:Y771">
    <cfRule type="notContainsBlanks" dxfId="3477" priority="3593">
      <formula>LEN(TRIM(U771))&gt;0</formula>
    </cfRule>
  </conditionalFormatting>
  <conditionalFormatting sqref="U771:Y771">
    <cfRule type="notContainsBlanks" dxfId="3476" priority="3592">
      <formula>LEN(TRIM(U771))&gt;0</formula>
    </cfRule>
  </conditionalFormatting>
  <conditionalFormatting sqref="U771:Y771">
    <cfRule type="notContainsBlanks" dxfId="3475" priority="3591">
      <formula>LEN(TRIM(U771))&gt;0</formula>
    </cfRule>
  </conditionalFormatting>
  <conditionalFormatting sqref="U771:Y771">
    <cfRule type="notContainsBlanks" dxfId="3474" priority="3590">
      <formula>LEN(TRIM(U771))&gt;0</formula>
    </cfRule>
  </conditionalFormatting>
  <conditionalFormatting sqref="U771:Y771">
    <cfRule type="notContainsBlanks" dxfId="3473" priority="3588">
      <formula>LEN(TRIM(U771))&gt;0</formula>
    </cfRule>
    <cfRule type="notContainsBlanks" dxfId="3472" priority="3589">
      <formula>LEN(TRIM(U771))&gt;0</formula>
    </cfRule>
  </conditionalFormatting>
  <conditionalFormatting sqref="U771:Y771">
    <cfRule type="notContainsBlanks" dxfId="3471" priority="3587">
      <formula>LEN(TRIM(U771))&gt;0</formula>
    </cfRule>
  </conditionalFormatting>
  <conditionalFormatting sqref="U771:Y771">
    <cfRule type="notContainsBlanks" dxfId="3470" priority="3586">
      <formula>LEN(TRIM(U771))&gt;0</formula>
    </cfRule>
  </conditionalFormatting>
  <conditionalFormatting sqref="U771:Y771">
    <cfRule type="notContainsBlanks" dxfId="3469" priority="3585">
      <formula>LEN(TRIM(U771))&gt;0</formula>
    </cfRule>
  </conditionalFormatting>
  <conditionalFormatting sqref="U771:Y771">
    <cfRule type="notContainsBlanks" dxfId="3468" priority="3584">
      <formula>LEN(TRIM(U771))&gt;0</formula>
    </cfRule>
  </conditionalFormatting>
  <conditionalFormatting sqref="U771:Y771">
    <cfRule type="notContainsBlanks" dxfId="3467" priority="3583">
      <formula>LEN(TRIM(U771))&gt;0</formula>
    </cfRule>
  </conditionalFormatting>
  <conditionalFormatting sqref="U771:Y771">
    <cfRule type="notContainsBlanks" dxfId="3466" priority="3582">
      <formula>LEN(TRIM(U771))&gt;0</formula>
    </cfRule>
  </conditionalFormatting>
  <conditionalFormatting sqref="U771:Y771">
    <cfRule type="notContainsBlanks" dxfId="3465" priority="3581">
      <formula>LEN(TRIM(U771))&gt;0</formula>
    </cfRule>
  </conditionalFormatting>
  <conditionalFormatting sqref="U771:Y771">
    <cfRule type="notContainsBlanks" dxfId="3464" priority="3580">
      <formula>LEN(TRIM(U771))&gt;0</formula>
    </cfRule>
  </conditionalFormatting>
  <conditionalFormatting sqref="U771:Y771">
    <cfRule type="notContainsBlanks" dxfId="3463" priority="3579">
      <formula>LEN(TRIM(U771))&gt;0</formula>
    </cfRule>
  </conditionalFormatting>
  <conditionalFormatting sqref="U771:Y771">
    <cfRule type="notContainsBlanks" priority="3578">
      <formula>LEN(TRIM(U771))&gt;0</formula>
    </cfRule>
  </conditionalFormatting>
  <conditionalFormatting sqref="U771:Y771">
    <cfRule type="notContainsBlanks" dxfId="3462" priority="3577">
      <formula>LEN(TRIM(U771))&gt;0</formula>
    </cfRule>
  </conditionalFormatting>
  <conditionalFormatting sqref="U771:Y771">
    <cfRule type="notContainsBlanks" dxfId="3461" priority="3576">
      <formula>LEN(TRIM(U771))&gt;0</formula>
    </cfRule>
  </conditionalFormatting>
  <conditionalFormatting sqref="U771:Y771">
    <cfRule type="notContainsBlanks" dxfId="3460" priority="3575">
      <formula>LEN(TRIM(U771))&gt;0</formula>
    </cfRule>
  </conditionalFormatting>
  <conditionalFormatting sqref="U771:Y771">
    <cfRule type="notContainsBlanks" dxfId="3459" priority="3574">
      <formula>LEN(TRIM(U771))&gt;0</formula>
    </cfRule>
  </conditionalFormatting>
  <conditionalFormatting sqref="U771:Y771">
    <cfRule type="notContainsBlanks" dxfId="3458" priority="3573">
      <formula>LEN(TRIM(U771))&gt;0</formula>
    </cfRule>
  </conditionalFormatting>
  <conditionalFormatting sqref="U784:Y784">
    <cfRule type="notContainsBlanks" dxfId="3457" priority="3572">
      <formula>LEN(TRIM(U784))&gt;0</formula>
    </cfRule>
  </conditionalFormatting>
  <conditionalFormatting sqref="U784:Y784">
    <cfRule type="notContainsBlanks" dxfId="3456" priority="3571">
      <formula>LEN(TRIM(U784))&gt;0</formula>
    </cfRule>
  </conditionalFormatting>
  <conditionalFormatting sqref="U784:Y784">
    <cfRule type="notContainsBlanks" dxfId="3455" priority="3570">
      <formula>LEN(TRIM(U784))&gt;0</formula>
    </cfRule>
  </conditionalFormatting>
  <conditionalFormatting sqref="U784:Y784">
    <cfRule type="notContainsBlanks" dxfId="3454" priority="3569">
      <formula>LEN(TRIM(U784))&gt;0</formula>
    </cfRule>
  </conditionalFormatting>
  <conditionalFormatting sqref="U784:Y784">
    <cfRule type="notContainsBlanks" dxfId="3453" priority="3568">
      <formula>LEN(TRIM(U784))&gt;0</formula>
    </cfRule>
  </conditionalFormatting>
  <conditionalFormatting sqref="U784:Y784">
    <cfRule type="notContainsBlanks" dxfId="3452" priority="3567">
      <formula>LEN(TRIM(U784))&gt;0</formula>
    </cfRule>
  </conditionalFormatting>
  <conditionalFormatting sqref="U784:Y784">
    <cfRule type="notContainsBlanks" dxfId="3451" priority="3566">
      <formula>LEN(TRIM(U784))&gt;0</formula>
    </cfRule>
  </conditionalFormatting>
  <conditionalFormatting sqref="U784:Y784">
    <cfRule type="notContainsBlanks" dxfId="3450" priority="3565">
      <formula>LEN(TRIM(U784))&gt;0</formula>
    </cfRule>
  </conditionalFormatting>
  <conditionalFormatting sqref="U784:Y784">
    <cfRule type="notContainsBlanks" dxfId="3449" priority="3564">
      <formula>LEN(TRIM(U784))&gt;0</formula>
    </cfRule>
  </conditionalFormatting>
  <conditionalFormatting sqref="U784:Y784">
    <cfRule type="notContainsBlanks" dxfId="3448" priority="3562">
      <formula>LEN(TRIM(U784))&gt;0</formula>
    </cfRule>
    <cfRule type="notContainsBlanks" dxfId="3447" priority="3563">
      <formula>LEN(TRIM(U784))&gt;0</formula>
    </cfRule>
  </conditionalFormatting>
  <conditionalFormatting sqref="U784:Y784">
    <cfRule type="notContainsBlanks" dxfId="3446" priority="3561">
      <formula>LEN(TRIM(U784))&gt;0</formula>
    </cfRule>
  </conditionalFormatting>
  <conditionalFormatting sqref="U784:Y784">
    <cfRule type="notContainsBlanks" dxfId="3445" priority="3560">
      <formula>LEN(TRIM(U784))&gt;0</formula>
    </cfRule>
  </conditionalFormatting>
  <conditionalFormatting sqref="U784:Y784">
    <cfRule type="notContainsBlanks" dxfId="3444" priority="3559">
      <formula>LEN(TRIM(U784))&gt;0</formula>
    </cfRule>
  </conditionalFormatting>
  <conditionalFormatting sqref="U784:Y784">
    <cfRule type="notContainsBlanks" dxfId="3443" priority="3558">
      <formula>LEN(TRIM(U784))&gt;0</formula>
    </cfRule>
  </conditionalFormatting>
  <conditionalFormatting sqref="U784:Y784">
    <cfRule type="notContainsBlanks" dxfId="3442" priority="3557">
      <formula>LEN(TRIM(U784))&gt;0</formula>
    </cfRule>
  </conditionalFormatting>
  <conditionalFormatting sqref="U784:Y784">
    <cfRule type="notContainsBlanks" dxfId="3441" priority="3556">
      <formula>LEN(TRIM(U784))&gt;0</formula>
    </cfRule>
  </conditionalFormatting>
  <conditionalFormatting sqref="U784:Y784">
    <cfRule type="notContainsBlanks" dxfId="3440" priority="3555">
      <formula>LEN(TRIM(U784))&gt;0</formula>
    </cfRule>
  </conditionalFormatting>
  <conditionalFormatting sqref="U784:Y784">
    <cfRule type="notContainsBlanks" dxfId="3439" priority="3554">
      <formula>LEN(TRIM(U784))&gt;0</formula>
    </cfRule>
  </conditionalFormatting>
  <conditionalFormatting sqref="U784:Y784">
    <cfRule type="notContainsBlanks" dxfId="3438" priority="3553">
      <formula>LEN(TRIM(U784))&gt;0</formula>
    </cfRule>
  </conditionalFormatting>
  <conditionalFormatting sqref="U784:Y784">
    <cfRule type="notContainsBlanks" priority="3552">
      <formula>LEN(TRIM(U784))&gt;0</formula>
    </cfRule>
  </conditionalFormatting>
  <conditionalFormatting sqref="U784:Y784">
    <cfRule type="notContainsBlanks" dxfId="3437" priority="3551">
      <formula>LEN(TRIM(U784))&gt;0</formula>
    </cfRule>
  </conditionalFormatting>
  <conditionalFormatting sqref="U784:Y784">
    <cfRule type="notContainsBlanks" dxfId="3436" priority="3550">
      <formula>LEN(TRIM(U784))&gt;0</formula>
    </cfRule>
  </conditionalFormatting>
  <conditionalFormatting sqref="U784:Y784">
    <cfRule type="notContainsBlanks" dxfId="3435" priority="3549">
      <formula>LEN(TRIM(U784))&gt;0</formula>
    </cfRule>
  </conditionalFormatting>
  <conditionalFormatting sqref="U784:Y784">
    <cfRule type="notContainsBlanks" dxfId="3434" priority="3548">
      <formula>LEN(TRIM(U784))&gt;0</formula>
    </cfRule>
  </conditionalFormatting>
  <conditionalFormatting sqref="U784:Y784">
    <cfRule type="notContainsBlanks" dxfId="3433" priority="3547">
      <formula>LEN(TRIM(U784))&gt;0</formula>
    </cfRule>
  </conditionalFormatting>
  <conditionalFormatting sqref="U797:Y797">
    <cfRule type="notContainsBlanks" dxfId="3432" priority="3546">
      <formula>LEN(TRIM(U797))&gt;0</formula>
    </cfRule>
  </conditionalFormatting>
  <conditionalFormatting sqref="U797:Y797">
    <cfRule type="notContainsBlanks" dxfId="3431" priority="3545">
      <formula>LEN(TRIM(U797))&gt;0</formula>
    </cfRule>
  </conditionalFormatting>
  <conditionalFormatting sqref="U797:Y797">
    <cfRule type="notContainsBlanks" dxfId="3430" priority="3544">
      <formula>LEN(TRIM(U797))&gt;0</formula>
    </cfRule>
  </conditionalFormatting>
  <conditionalFormatting sqref="U797:Y797">
    <cfRule type="notContainsBlanks" dxfId="3429" priority="3543">
      <formula>LEN(TRIM(U797))&gt;0</formula>
    </cfRule>
  </conditionalFormatting>
  <conditionalFormatting sqref="U797:Y797">
    <cfRule type="notContainsBlanks" dxfId="3428" priority="3542">
      <formula>LEN(TRIM(U797))&gt;0</formula>
    </cfRule>
  </conditionalFormatting>
  <conditionalFormatting sqref="U797:Y797">
    <cfRule type="notContainsBlanks" dxfId="3427" priority="3541">
      <formula>LEN(TRIM(U797))&gt;0</formula>
    </cfRule>
  </conditionalFormatting>
  <conditionalFormatting sqref="U797:Y797">
    <cfRule type="notContainsBlanks" dxfId="3426" priority="3540">
      <formula>LEN(TRIM(U797))&gt;0</formula>
    </cfRule>
  </conditionalFormatting>
  <conditionalFormatting sqref="U797:Y797">
    <cfRule type="notContainsBlanks" dxfId="3425" priority="3539">
      <formula>LEN(TRIM(U797))&gt;0</formula>
    </cfRule>
  </conditionalFormatting>
  <conditionalFormatting sqref="U797:Y797">
    <cfRule type="notContainsBlanks" dxfId="3424" priority="3538">
      <formula>LEN(TRIM(U797))&gt;0</formula>
    </cfRule>
  </conditionalFormatting>
  <conditionalFormatting sqref="U797:Y797">
    <cfRule type="notContainsBlanks" dxfId="3423" priority="3536">
      <formula>LEN(TRIM(U797))&gt;0</formula>
    </cfRule>
    <cfRule type="notContainsBlanks" dxfId="3422" priority="3537">
      <formula>LEN(TRIM(U797))&gt;0</formula>
    </cfRule>
  </conditionalFormatting>
  <conditionalFormatting sqref="U797:Y797">
    <cfRule type="notContainsBlanks" dxfId="3421" priority="3535">
      <formula>LEN(TRIM(U797))&gt;0</formula>
    </cfRule>
  </conditionalFormatting>
  <conditionalFormatting sqref="U797:Y797">
    <cfRule type="notContainsBlanks" dxfId="3420" priority="3534">
      <formula>LEN(TRIM(U797))&gt;0</formula>
    </cfRule>
  </conditionalFormatting>
  <conditionalFormatting sqref="U797:Y797">
    <cfRule type="notContainsBlanks" dxfId="3419" priority="3533">
      <formula>LEN(TRIM(U797))&gt;0</formula>
    </cfRule>
  </conditionalFormatting>
  <conditionalFormatting sqref="U797:Y797">
    <cfRule type="notContainsBlanks" dxfId="3418" priority="3532">
      <formula>LEN(TRIM(U797))&gt;0</formula>
    </cfRule>
  </conditionalFormatting>
  <conditionalFormatting sqref="U797:Y797">
    <cfRule type="notContainsBlanks" dxfId="3417" priority="3531">
      <formula>LEN(TRIM(U797))&gt;0</formula>
    </cfRule>
  </conditionalFormatting>
  <conditionalFormatting sqref="U797:Y797">
    <cfRule type="notContainsBlanks" dxfId="3416" priority="3530">
      <formula>LEN(TRIM(U797))&gt;0</formula>
    </cfRule>
  </conditionalFormatting>
  <conditionalFormatting sqref="U797:Y797">
    <cfRule type="notContainsBlanks" dxfId="3415" priority="3529">
      <formula>LEN(TRIM(U797))&gt;0</formula>
    </cfRule>
  </conditionalFormatting>
  <conditionalFormatting sqref="U797:Y797">
    <cfRule type="notContainsBlanks" dxfId="3414" priority="3528">
      <formula>LEN(TRIM(U797))&gt;0</formula>
    </cfRule>
  </conditionalFormatting>
  <conditionalFormatting sqref="U797:Y797">
    <cfRule type="notContainsBlanks" dxfId="3413" priority="3527">
      <formula>LEN(TRIM(U797))&gt;0</formula>
    </cfRule>
  </conditionalFormatting>
  <conditionalFormatting sqref="U797:Y797">
    <cfRule type="notContainsBlanks" priority="3526">
      <formula>LEN(TRIM(U797))&gt;0</formula>
    </cfRule>
  </conditionalFormatting>
  <conditionalFormatting sqref="U797:Y797">
    <cfRule type="notContainsBlanks" dxfId="3412" priority="3525">
      <formula>LEN(TRIM(U797))&gt;0</formula>
    </cfRule>
  </conditionalFormatting>
  <conditionalFormatting sqref="U797:Y797">
    <cfRule type="notContainsBlanks" dxfId="3411" priority="3524">
      <formula>LEN(TRIM(U797))&gt;0</formula>
    </cfRule>
  </conditionalFormatting>
  <conditionalFormatting sqref="U797:Y797">
    <cfRule type="notContainsBlanks" dxfId="3410" priority="3523">
      <formula>LEN(TRIM(U797))&gt;0</formula>
    </cfRule>
  </conditionalFormatting>
  <conditionalFormatting sqref="U797:Y797">
    <cfRule type="notContainsBlanks" dxfId="3409" priority="3522">
      <formula>LEN(TRIM(U797))&gt;0</formula>
    </cfRule>
  </conditionalFormatting>
  <conditionalFormatting sqref="U797:Y797">
    <cfRule type="notContainsBlanks" dxfId="3408" priority="3521">
      <formula>LEN(TRIM(U797))&gt;0</formula>
    </cfRule>
  </conditionalFormatting>
  <conditionalFormatting sqref="U810:Y810">
    <cfRule type="notContainsBlanks" dxfId="3407" priority="3520">
      <formula>LEN(TRIM(U810))&gt;0</formula>
    </cfRule>
  </conditionalFormatting>
  <conditionalFormatting sqref="U810:Y810">
    <cfRule type="notContainsBlanks" dxfId="3406" priority="3519">
      <formula>LEN(TRIM(U810))&gt;0</formula>
    </cfRule>
  </conditionalFormatting>
  <conditionalFormatting sqref="U810:Y810">
    <cfRule type="notContainsBlanks" dxfId="3405" priority="3518">
      <formula>LEN(TRIM(U810))&gt;0</formula>
    </cfRule>
  </conditionalFormatting>
  <conditionalFormatting sqref="U810:Y810">
    <cfRule type="notContainsBlanks" dxfId="3404" priority="3517">
      <formula>LEN(TRIM(U810))&gt;0</formula>
    </cfRule>
  </conditionalFormatting>
  <conditionalFormatting sqref="U810:Y810">
    <cfRule type="notContainsBlanks" dxfId="3403" priority="3516">
      <formula>LEN(TRIM(U810))&gt;0</formula>
    </cfRule>
  </conditionalFormatting>
  <conditionalFormatting sqref="U810:Y810">
    <cfRule type="notContainsBlanks" dxfId="3402" priority="3515">
      <formula>LEN(TRIM(U810))&gt;0</formula>
    </cfRule>
  </conditionalFormatting>
  <conditionalFormatting sqref="U810:Y810">
    <cfRule type="notContainsBlanks" dxfId="3401" priority="3514">
      <formula>LEN(TRIM(U810))&gt;0</formula>
    </cfRule>
  </conditionalFormatting>
  <conditionalFormatting sqref="U810:Y810">
    <cfRule type="notContainsBlanks" dxfId="3400" priority="3513">
      <formula>LEN(TRIM(U810))&gt;0</formula>
    </cfRule>
  </conditionalFormatting>
  <conditionalFormatting sqref="U810:Y810">
    <cfRule type="notContainsBlanks" dxfId="3399" priority="3512">
      <formula>LEN(TRIM(U810))&gt;0</formula>
    </cfRule>
  </conditionalFormatting>
  <conditionalFormatting sqref="U810:Y810">
    <cfRule type="notContainsBlanks" dxfId="3398" priority="3510">
      <formula>LEN(TRIM(U810))&gt;0</formula>
    </cfRule>
    <cfRule type="notContainsBlanks" dxfId="3397" priority="3511">
      <formula>LEN(TRIM(U810))&gt;0</formula>
    </cfRule>
  </conditionalFormatting>
  <conditionalFormatting sqref="U810:Y810">
    <cfRule type="notContainsBlanks" dxfId="3396" priority="3509">
      <formula>LEN(TRIM(U810))&gt;0</formula>
    </cfRule>
  </conditionalFormatting>
  <conditionalFormatting sqref="U810:Y810">
    <cfRule type="notContainsBlanks" dxfId="3395" priority="3508">
      <formula>LEN(TRIM(U810))&gt;0</formula>
    </cfRule>
  </conditionalFormatting>
  <conditionalFormatting sqref="U810:Y810">
    <cfRule type="notContainsBlanks" dxfId="3394" priority="3507">
      <formula>LEN(TRIM(U810))&gt;0</formula>
    </cfRule>
  </conditionalFormatting>
  <conditionalFormatting sqref="U810:Y810">
    <cfRule type="notContainsBlanks" dxfId="3393" priority="3506">
      <formula>LEN(TRIM(U810))&gt;0</formula>
    </cfRule>
  </conditionalFormatting>
  <conditionalFormatting sqref="U810:Y810">
    <cfRule type="notContainsBlanks" dxfId="3392" priority="3505">
      <formula>LEN(TRIM(U810))&gt;0</formula>
    </cfRule>
  </conditionalFormatting>
  <conditionalFormatting sqref="U810:Y810">
    <cfRule type="notContainsBlanks" dxfId="3391" priority="3504">
      <formula>LEN(TRIM(U810))&gt;0</formula>
    </cfRule>
  </conditionalFormatting>
  <conditionalFormatting sqref="U810:Y810">
    <cfRule type="notContainsBlanks" dxfId="3390" priority="3503">
      <formula>LEN(TRIM(U810))&gt;0</formula>
    </cfRule>
  </conditionalFormatting>
  <conditionalFormatting sqref="U810:Y810">
    <cfRule type="notContainsBlanks" dxfId="3389" priority="3502">
      <formula>LEN(TRIM(U810))&gt;0</formula>
    </cfRule>
  </conditionalFormatting>
  <conditionalFormatting sqref="U810:Y810">
    <cfRule type="notContainsBlanks" dxfId="3388" priority="3501">
      <formula>LEN(TRIM(U810))&gt;0</formula>
    </cfRule>
  </conditionalFormatting>
  <conditionalFormatting sqref="U810:Y810">
    <cfRule type="notContainsBlanks" priority="3500">
      <formula>LEN(TRIM(U810))&gt;0</formula>
    </cfRule>
  </conditionalFormatting>
  <conditionalFormatting sqref="U810:Y810">
    <cfRule type="notContainsBlanks" dxfId="3387" priority="3499">
      <formula>LEN(TRIM(U810))&gt;0</formula>
    </cfRule>
  </conditionalFormatting>
  <conditionalFormatting sqref="U810:Y810">
    <cfRule type="notContainsBlanks" dxfId="3386" priority="3498">
      <formula>LEN(TRIM(U810))&gt;0</formula>
    </cfRule>
  </conditionalFormatting>
  <conditionalFormatting sqref="U810:Y810">
    <cfRule type="notContainsBlanks" dxfId="3385" priority="3497">
      <formula>LEN(TRIM(U810))&gt;0</formula>
    </cfRule>
  </conditionalFormatting>
  <conditionalFormatting sqref="U810:Y810">
    <cfRule type="notContainsBlanks" dxfId="3384" priority="3496">
      <formula>LEN(TRIM(U810))&gt;0</formula>
    </cfRule>
  </conditionalFormatting>
  <conditionalFormatting sqref="U810:Y810">
    <cfRule type="notContainsBlanks" dxfId="3383" priority="3495">
      <formula>LEN(TRIM(U810))&gt;0</formula>
    </cfRule>
  </conditionalFormatting>
  <conditionalFormatting sqref="U823:Y823">
    <cfRule type="notContainsBlanks" dxfId="3382" priority="3494">
      <formula>LEN(TRIM(U823))&gt;0</formula>
    </cfRule>
  </conditionalFormatting>
  <conditionalFormatting sqref="U823:Y823">
    <cfRule type="notContainsBlanks" dxfId="3381" priority="3493">
      <formula>LEN(TRIM(U823))&gt;0</formula>
    </cfRule>
  </conditionalFormatting>
  <conditionalFormatting sqref="U823:Y823">
    <cfRule type="notContainsBlanks" dxfId="3380" priority="3492">
      <formula>LEN(TRIM(U823))&gt;0</formula>
    </cfRule>
  </conditionalFormatting>
  <conditionalFormatting sqref="U823:Y823">
    <cfRule type="notContainsBlanks" dxfId="3379" priority="3491">
      <formula>LEN(TRIM(U823))&gt;0</formula>
    </cfRule>
  </conditionalFormatting>
  <conditionalFormatting sqref="U823:Y823">
    <cfRule type="notContainsBlanks" dxfId="3378" priority="3490">
      <formula>LEN(TRIM(U823))&gt;0</formula>
    </cfRule>
  </conditionalFormatting>
  <conditionalFormatting sqref="U823:Y823">
    <cfRule type="notContainsBlanks" dxfId="3377" priority="3489">
      <formula>LEN(TRIM(U823))&gt;0</formula>
    </cfRule>
  </conditionalFormatting>
  <conditionalFormatting sqref="U823:Y823">
    <cfRule type="notContainsBlanks" dxfId="3376" priority="3488">
      <formula>LEN(TRIM(U823))&gt;0</formula>
    </cfRule>
  </conditionalFormatting>
  <conditionalFormatting sqref="U823:Y823">
    <cfRule type="notContainsBlanks" dxfId="3375" priority="3487">
      <formula>LEN(TRIM(U823))&gt;0</formula>
    </cfRule>
  </conditionalFormatting>
  <conditionalFormatting sqref="U823:Y823">
    <cfRule type="notContainsBlanks" dxfId="3374" priority="3486">
      <formula>LEN(TRIM(U823))&gt;0</formula>
    </cfRule>
  </conditionalFormatting>
  <conditionalFormatting sqref="U823:Y823">
    <cfRule type="notContainsBlanks" dxfId="3373" priority="3484">
      <formula>LEN(TRIM(U823))&gt;0</formula>
    </cfRule>
    <cfRule type="notContainsBlanks" dxfId="3372" priority="3485">
      <formula>LEN(TRIM(U823))&gt;0</formula>
    </cfRule>
  </conditionalFormatting>
  <conditionalFormatting sqref="U823:Y823">
    <cfRule type="notContainsBlanks" dxfId="3371" priority="3483">
      <formula>LEN(TRIM(U823))&gt;0</formula>
    </cfRule>
  </conditionalFormatting>
  <conditionalFormatting sqref="U823:Y823">
    <cfRule type="notContainsBlanks" dxfId="3370" priority="3482">
      <formula>LEN(TRIM(U823))&gt;0</formula>
    </cfRule>
  </conditionalFormatting>
  <conditionalFormatting sqref="U823:Y823">
    <cfRule type="notContainsBlanks" dxfId="3369" priority="3481">
      <formula>LEN(TRIM(U823))&gt;0</formula>
    </cfRule>
  </conditionalFormatting>
  <conditionalFormatting sqref="U823:Y823">
    <cfRule type="notContainsBlanks" dxfId="3368" priority="3480">
      <formula>LEN(TRIM(U823))&gt;0</formula>
    </cfRule>
  </conditionalFormatting>
  <conditionalFormatting sqref="U823:Y823">
    <cfRule type="notContainsBlanks" dxfId="3367" priority="3479">
      <formula>LEN(TRIM(U823))&gt;0</formula>
    </cfRule>
  </conditionalFormatting>
  <conditionalFormatting sqref="U823:Y823">
    <cfRule type="notContainsBlanks" dxfId="3366" priority="3478">
      <formula>LEN(TRIM(U823))&gt;0</formula>
    </cfRule>
  </conditionalFormatting>
  <conditionalFormatting sqref="U823:Y823">
    <cfRule type="notContainsBlanks" dxfId="3365" priority="3477">
      <formula>LEN(TRIM(U823))&gt;0</formula>
    </cfRule>
  </conditionalFormatting>
  <conditionalFormatting sqref="U823:Y823">
    <cfRule type="notContainsBlanks" dxfId="3364" priority="3476">
      <formula>LEN(TRIM(U823))&gt;0</formula>
    </cfRule>
  </conditionalFormatting>
  <conditionalFormatting sqref="U823:Y823">
    <cfRule type="notContainsBlanks" dxfId="3363" priority="3475">
      <formula>LEN(TRIM(U823))&gt;0</formula>
    </cfRule>
  </conditionalFormatting>
  <conditionalFormatting sqref="U823:Y823">
    <cfRule type="notContainsBlanks" priority="3474">
      <formula>LEN(TRIM(U823))&gt;0</formula>
    </cfRule>
  </conditionalFormatting>
  <conditionalFormatting sqref="U823:Y823">
    <cfRule type="notContainsBlanks" dxfId="3362" priority="3473">
      <formula>LEN(TRIM(U823))&gt;0</formula>
    </cfRule>
  </conditionalFormatting>
  <conditionalFormatting sqref="U823:Y823">
    <cfRule type="notContainsBlanks" dxfId="3361" priority="3472">
      <formula>LEN(TRIM(U823))&gt;0</formula>
    </cfRule>
  </conditionalFormatting>
  <conditionalFormatting sqref="U823:Y823">
    <cfRule type="notContainsBlanks" dxfId="3360" priority="3471">
      <formula>LEN(TRIM(U823))&gt;0</formula>
    </cfRule>
  </conditionalFormatting>
  <conditionalFormatting sqref="U823:Y823">
    <cfRule type="notContainsBlanks" dxfId="3359" priority="3470">
      <formula>LEN(TRIM(U823))&gt;0</formula>
    </cfRule>
  </conditionalFormatting>
  <conditionalFormatting sqref="U823:Y823">
    <cfRule type="notContainsBlanks" dxfId="3358" priority="3469">
      <formula>LEN(TRIM(U823))&gt;0</formula>
    </cfRule>
  </conditionalFormatting>
  <conditionalFormatting sqref="U836:Y836">
    <cfRule type="notContainsBlanks" dxfId="3357" priority="3468">
      <formula>LEN(TRIM(U836))&gt;0</formula>
    </cfRule>
  </conditionalFormatting>
  <conditionalFormatting sqref="U836:Y836">
    <cfRule type="notContainsBlanks" dxfId="3356" priority="3467">
      <formula>LEN(TRIM(U836))&gt;0</formula>
    </cfRule>
  </conditionalFormatting>
  <conditionalFormatting sqref="U836:Y836">
    <cfRule type="notContainsBlanks" dxfId="3355" priority="3466">
      <formula>LEN(TRIM(U836))&gt;0</formula>
    </cfRule>
  </conditionalFormatting>
  <conditionalFormatting sqref="U836:Y836">
    <cfRule type="notContainsBlanks" dxfId="3354" priority="3465">
      <formula>LEN(TRIM(U836))&gt;0</formula>
    </cfRule>
  </conditionalFormatting>
  <conditionalFormatting sqref="U836:Y836">
    <cfRule type="notContainsBlanks" dxfId="3353" priority="3464">
      <formula>LEN(TRIM(U836))&gt;0</formula>
    </cfRule>
  </conditionalFormatting>
  <conditionalFormatting sqref="U836:Y836">
    <cfRule type="notContainsBlanks" dxfId="3352" priority="3463">
      <formula>LEN(TRIM(U836))&gt;0</formula>
    </cfRule>
  </conditionalFormatting>
  <conditionalFormatting sqref="U836:Y836">
    <cfRule type="notContainsBlanks" dxfId="3351" priority="3462">
      <formula>LEN(TRIM(U836))&gt;0</formula>
    </cfRule>
  </conditionalFormatting>
  <conditionalFormatting sqref="U836:Y836">
    <cfRule type="notContainsBlanks" dxfId="3350" priority="3461">
      <formula>LEN(TRIM(U836))&gt;0</formula>
    </cfRule>
  </conditionalFormatting>
  <conditionalFormatting sqref="U836:Y836">
    <cfRule type="notContainsBlanks" dxfId="3349" priority="3460">
      <formula>LEN(TRIM(U836))&gt;0</formula>
    </cfRule>
  </conditionalFormatting>
  <conditionalFormatting sqref="U836:Y836">
    <cfRule type="notContainsBlanks" dxfId="3348" priority="3458">
      <formula>LEN(TRIM(U836))&gt;0</formula>
    </cfRule>
    <cfRule type="notContainsBlanks" dxfId="3347" priority="3459">
      <formula>LEN(TRIM(U836))&gt;0</formula>
    </cfRule>
  </conditionalFormatting>
  <conditionalFormatting sqref="U836:Y836">
    <cfRule type="notContainsBlanks" dxfId="3346" priority="3457">
      <formula>LEN(TRIM(U836))&gt;0</formula>
    </cfRule>
  </conditionalFormatting>
  <conditionalFormatting sqref="U836:Y836">
    <cfRule type="notContainsBlanks" dxfId="3345" priority="3456">
      <formula>LEN(TRIM(U836))&gt;0</formula>
    </cfRule>
  </conditionalFormatting>
  <conditionalFormatting sqref="U836:Y836">
    <cfRule type="notContainsBlanks" dxfId="3344" priority="3455">
      <formula>LEN(TRIM(U836))&gt;0</formula>
    </cfRule>
  </conditionalFormatting>
  <conditionalFormatting sqref="U836:Y836">
    <cfRule type="notContainsBlanks" dxfId="3343" priority="3454">
      <formula>LEN(TRIM(U836))&gt;0</formula>
    </cfRule>
  </conditionalFormatting>
  <conditionalFormatting sqref="U836:Y836">
    <cfRule type="notContainsBlanks" dxfId="3342" priority="3453">
      <formula>LEN(TRIM(U836))&gt;0</formula>
    </cfRule>
  </conditionalFormatting>
  <conditionalFormatting sqref="U836:Y836">
    <cfRule type="notContainsBlanks" dxfId="3341" priority="3452">
      <formula>LEN(TRIM(U836))&gt;0</formula>
    </cfRule>
  </conditionalFormatting>
  <conditionalFormatting sqref="U836:Y836">
    <cfRule type="notContainsBlanks" dxfId="3340" priority="3451">
      <formula>LEN(TRIM(U836))&gt;0</formula>
    </cfRule>
  </conditionalFormatting>
  <conditionalFormatting sqref="U836:Y836">
    <cfRule type="notContainsBlanks" dxfId="3339" priority="3450">
      <formula>LEN(TRIM(U836))&gt;0</formula>
    </cfRule>
  </conditionalFormatting>
  <conditionalFormatting sqref="U836:Y836">
    <cfRule type="notContainsBlanks" dxfId="3338" priority="3449">
      <formula>LEN(TRIM(U836))&gt;0</formula>
    </cfRule>
  </conditionalFormatting>
  <conditionalFormatting sqref="U836:Y836">
    <cfRule type="notContainsBlanks" priority="3448">
      <formula>LEN(TRIM(U836))&gt;0</formula>
    </cfRule>
  </conditionalFormatting>
  <conditionalFormatting sqref="U836:Y836">
    <cfRule type="notContainsBlanks" dxfId="3337" priority="3447">
      <formula>LEN(TRIM(U836))&gt;0</formula>
    </cfRule>
  </conditionalFormatting>
  <conditionalFormatting sqref="U836:Y836">
    <cfRule type="notContainsBlanks" dxfId="3336" priority="3446">
      <formula>LEN(TRIM(U836))&gt;0</formula>
    </cfRule>
  </conditionalFormatting>
  <conditionalFormatting sqref="U836:Y836">
    <cfRule type="notContainsBlanks" dxfId="3335" priority="3445">
      <formula>LEN(TRIM(U836))&gt;0</formula>
    </cfRule>
  </conditionalFormatting>
  <conditionalFormatting sqref="U836:Y836">
    <cfRule type="notContainsBlanks" dxfId="3334" priority="3444">
      <formula>LEN(TRIM(U836))&gt;0</formula>
    </cfRule>
  </conditionalFormatting>
  <conditionalFormatting sqref="U836:Y836">
    <cfRule type="notContainsBlanks" dxfId="3333" priority="3443">
      <formula>LEN(TRIM(U836))&gt;0</formula>
    </cfRule>
  </conditionalFormatting>
  <conditionalFormatting sqref="U849:Y849">
    <cfRule type="notContainsBlanks" dxfId="3332" priority="3442">
      <formula>LEN(TRIM(U849))&gt;0</formula>
    </cfRule>
  </conditionalFormatting>
  <conditionalFormatting sqref="U849:Y849">
    <cfRule type="notContainsBlanks" dxfId="3331" priority="3441">
      <formula>LEN(TRIM(U849))&gt;0</formula>
    </cfRule>
  </conditionalFormatting>
  <conditionalFormatting sqref="U849:Y849">
    <cfRule type="notContainsBlanks" dxfId="3330" priority="3440">
      <formula>LEN(TRIM(U849))&gt;0</formula>
    </cfRule>
  </conditionalFormatting>
  <conditionalFormatting sqref="U849:Y849">
    <cfRule type="notContainsBlanks" dxfId="3329" priority="3439">
      <formula>LEN(TRIM(U849))&gt;0</formula>
    </cfRule>
  </conditionalFormatting>
  <conditionalFormatting sqref="U849:Y849">
    <cfRule type="notContainsBlanks" dxfId="3328" priority="3438">
      <formula>LEN(TRIM(U849))&gt;0</formula>
    </cfRule>
  </conditionalFormatting>
  <conditionalFormatting sqref="U849:Y849">
    <cfRule type="notContainsBlanks" dxfId="3327" priority="3437">
      <formula>LEN(TRIM(U849))&gt;0</formula>
    </cfRule>
  </conditionalFormatting>
  <conditionalFormatting sqref="U849:Y849">
    <cfRule type="notContainsBlanks" dxfId="3326" priority="3436">
      <formula>LEN(TRIM(U849))&gt;0</formula>
    </cfRule>
  </conditionalFormatting>
  <conditionalFormatting sqref="U849:Y849">
    <cfRule type="notContainsBlanks" dxfId="3325" priority="3435">
      <formula>LEN(TRIM(U849))&gt;0</formula>
    </cfRule>
  </conditionalFormatting>
  <conditionalFormatting sqref="U849:Y849">
    <cfRule type="notContainsBlanks" dxfId="3324" priority="3434">
      <formula>LEN(TRIM(U849))&gt;0</formula>
    </cfRule>
  </conditionalFormatting>
  <conditionalFormatting sqref="U849:Y849">
    <cfRule type="notContainsBlanks" dxfId="3323" priority="3432">
      <formula>LEN(TRIM(U849))&gt;0</formula>
    </cfRule>
    <cfRule type="notContainsBlanks" dxfId="3322" priority="3433">
      <formula>LEN(TRIM(U849))&gt;0</formula>
    </cfRule>
  </conditionalFormatting>
  <conditionalFormatting sqref="U849:Y849">
    <cfRule type="notContainsBlanks" dxfId="3321" priority="3431">
      <formula>LEN(TRIM(U849))&gt;0</formula>
    </cfRule>
  </conditionalFormatting>
  <conditionalFormatting sqref="U849:Y849">
    <cfRule type="notContainsBlanks" dxfId="3320" priority="3430">
      <formula>LEN(TRIM(U849))&gt;0</formula>
    </cfRule>
  </conditionalFormatting>
  <conditionalFormatting sqref="U849:Y849">
    <cfRule type="notContainsBlanks" dxfId="3319" priority="3429">
      <formula>LEN(TRIM(U849))&gt;0</formula>
    </cfRule>
  </conditionalFormatting>
  <conditionalFormatting sqref="U849:Y849">
    <cfRule type="notContainsBlanks" dxfId="3318" priority="3428">
      <formula>LEN(TRIM(U849))&gt;0</formula>
    </cfRule>
  </conditionalFormatting>
  <conditionalFormatting sqref="U849:Y849">
    <cfRule type="notContainsBlanks" dxfId="3317" priority="3427">
      <formula>LEN(TRIM(U849))&gt;0</formula>
    </cfRule>
  </conditionalFormatting>
  <conditionalFormatting sqref="U849:Y849">
    <cfRule type="notContainsBlanks" dxfId="3316" priority="3426">
      <formula>LEN(TRIM(U849))&gt;0</formula>
    </cfRule>
  </conditionalFormatting>
  <conditionalFormatting sqref="U849:Y849">
    <cfRule type="notContainsBlanks" dxfId="3315" priority="3425">
      <formula>LEN(TRIM(U849))&gt;0</formula>
    </cfRule>
  </conditionalFormatting>
  <conditionalFormatting sqref="U849:Y849">
    <cfRule type="notContainsBlanks" dxfId="3314" priority="3424">
      <formula>LEN(TRIM(U849))&gt;0</formula>
    </cfRule>
  </conditionalFormatting>
  <conditionalFormatting sqref="U849:Y849">
    <cfRule type="notContainsBlanks" dxfId="3313" priority="3423">
      <formula>LEN(TRIM(U849))&gt;0</formula>
    </cfRule>
  </conditionalFormatting>
  <conditionalFormatting sqref="U849:Y849">
    <cfRule type="notContainsBlanks" priority="3422">
      <formula>LEN(TRIM(U849))&gt;0</formula>
    </cfRule>
  </conditionalFormatting>
  <conditionalFormatting sqref="U849:Y849">
    <cfRule type="notContainsBlanks" dxfId="3312" priority="3421">
      <formula>LEN(TRIM(U849))&gt;0</formula>
    </cfRule>
  </conditionalFormatting>
  <conditionalFormatting sqref="U849:Y849">
    <cfRule type="notContainsBlanks" dxfId="3311" priority="3420">
      <formula>LEN(TRIM(U849))&gt;0</formula>
    </cfRule>
  </conditionalFormatting>
  <conditionalFormatting sqref="U849:Y849">
    <cfRule type="notContainsBlanks" dxfId="3310" priority="3419">
      <formula>LEN(TRIM(U849))&gt;0</formula>
    </cfRule>
  </conditionalFormatting>
  <conditionalFormatting sqref="U849:Y849">
    <cfRule type="notContainsBlanks" dxfId="3309" priority="3418">
      <formula>LEN(TRIM(U849))&gt;0</formula>
    </cfRule>
  </conditionalFormatting>
  <conditionalFormatting sqref="U849:Y849">
    <cfRule type="notContainsBlanks" dxfId="3308" priority="3417">
      <formula>LEN(TRIM(U849))&gt;0</formula>
    </cfRule>
  </conditionalFormatting>
  <conditionalFormatting sqref="U862:Y862">
    <cfRule type="notContainsBlanks" dxfId="3307" priority="3416">
      <formula>LEN(TRIM(U862))&gt;0</formula>
    </cfRule>
  </conditionalFormatting>
  <conditionalFormatting sqref="U862:Y862">
    <cfRule type="notContainsBlanks" dxfId="3306" priority="3415">
      <formula>LEN(TRIM(U862))&gt;0</formula>
    </cfRule>
  </conditionalFormatting>
  <conditionalFormatting sqref="U862:Y862">
    <cfRule type="notContainsBlanks" dxfId="3305" priority="3414">
      <formula>LEN(TRIM(U862))&gt;0</formula>
    </cfRule>
  </conditionalFormatting>
  <conditionalFormatting sqref="U862:Y862">
    <cfRule type="notContainsBlanks" dxfId="3304" priority="3413">
      <formula>LEN(TRIM(U862))&gt;0</formula>
    </cfRule>
  </conditionalFormatting>
  <conditionalFormatting sqref="U862:Y862">
    <cfRule type="notContainsBlanks" dxfId="3303" priority="3412">
      <formula>LEN(TRIM(U862))&gt;0</formula>
    </cfRule>
  </conditionalFormatting>
  <conditionalFormatting sqref="U862:Y862">
    <cfRule type="notContainsBlanks" dxfId="3302" priority="3411">
      <formula>LEN(TRIM(U862))&gt;0</formula>
    </cfRule>
  </conditionalFormatting>
  <conditionalFormatting sqref="U862:Y862">
    <cfRule type="notContainsBlanks" dxfId="3301" priority="3410">
      <formula>LEN(TRIM(U862))&gt;0</formula>
    </cfRule>
  </conditionalFormatting>
  <conditionalFormatting sqref="U862:Y862">
    <cfRule type="notContainsBlanks" dxfId="3300" priority="3409">
      <formula>LEN(TRIM(U862))&gt;0</formula>
    </cfRule>
  </conditionalFormatting>
  <conditionalFormatting sqref="U862:Y862">
    <cfRule type="notContainsBlanks" dxfId="3299" priority="3408">
      <formula>LEN(TRIM(U862))&gt;0</formula>
    </cfRule>
  </conditionalFormatting>
  <conditionalFormatting sqref="U862:Y862">
    <cfRule type="notContainsBlanks" dxfId="3298" priority="3406">
      <formula>LEN(TRIM(U862))&gt;0</formula>
    </cfRule>
    <cfRule type="notContainsBlanks" dxfId="3297" priority="3407">
      <formula>LEN(TRIM(U862))&gt;0</formula>
    </cfRule>
  </conditionalFormatting>
  <conditionalFormatting sqref="U862:Y862">
    <cfRule type="notContainsBlanks" dxfId="3296" priority="3405">
      <formula>LEN(TRIM(U862))&gt;0</formula>
    </cfRule>
  </conditionalFormatting>
  <conditionalFormatting sqref="U862:Y862">
    <cfRule type="notContainsBlanks" dxfId="3295" priority="3404">
      <formula>LEN(TRIM(U862))&gt;0</formula>
    </cfRule>
  </conditionalFormatting>
  <conditionalFormatting sqref="U862:Y862">
    <cfRule type="notContainsBlanks" dxfId="3294" priority="3403">
      <formula>LEN(TRIM(U862))&gt;0</formula>
    </cfRule>
  </conditionalFormatting>
  <conditionalFormatting sqref="U862:Y862">
    <cfRule type="notContainsBlanks" dxfId="3293" priority="3402">
      <formula>LEN(TRIM(U862))&gt;0</formula>
    </cfRule>
  </conditionalFormatting>
  <conditionalFormatting sqref="U862:Y862">
    <cfRule type="notContainsBlanks" dxfId="3292" priority="3401">
      <formula>LEN(TRIM(U862))&gt;0</formula>
    </cfRule>
  </conditionalFormatting>
  <conditionalFormatting sqref="U862:Y862">
    <cfRule type="notContainsBlanks" dxfId="3291" priority="3400">
      <formula>LEN(TRIM(U862))&gt;0</formula>
    </cfRule>
  </conditionalFormatting>
  <conditionalFormatting sqref="U862:Y862">
    <cfRule type="notContainsBlanks" dxfId="3290" priority="3399">
      <formula>LEN(TRIM(U862))&gt;0</formula>
    </cfRule>
  </conditionalFormatting>
  <conditionalFormatting sqref="U862:Y862">
    <cfRule type="notContainsBlanks" dxfId="3289" priority="3398">
      <formula>LEN(TRIM(U862))&gt;0</formula>
    </cfRule>
  </conditionalFormatting>
  <conditionalFormatting sqref="U862:Y862">
    <cfRule type="notContainsBlanks" dxfId="3288" priority="3397">
      <formula>LEN(TRIM(U862))&gt;0</formula>
    </cfRule>
  </conditionalFormatting>
  <conditionalFormatting sqref="U862:Y862">
    <cfRule type="notContainsBlanks" priority="3396">
      <formula>LEN(TRIM(U862))&gt;0</formula>
    </cfRule>
  </conditionalFormatting>
  <conditionalFormatting sqref="U862:Y862">
    <cfRule type="notContainsBlanks" dxfId="3287" priority="3395">
      <formula>LEN(TRIM(U862))&gt;0</formula>
    </cfRule>
  </conditionalFormatting>
  <conditionalFormatting sqref="U862:Y862">
    <cfRule type="notContainsBlanks" dxfId="3286" priority="3394">
      <formula>LEN(TRIM(U862))&gt;0</formula>
    </cfRule>
  </conditionalFormatting>
  <conditionalFormatting sqref="U862:Y862">
    <cfRule type="notContainsBlanks" dxfId="3285" priority="3393">
      <formula>LEN(TRIM(U862))&gt;0</formula>
    </cfRule>
  </conditionalFormatting>
  <conditionalFormatting sqref="U862:Y862">
    <cfRule type="notContainsBlanks" dxfId="3284" priority="3392">
      <formula>LEN(TRIM(U862))&gt;0</formula>
    </cfRule>
  </conditionalFormatting>
  <conditionalFormatting sqref="U862:Y862">
    <cfRule type="notContainsBlanks" dxfId="3283" priority="3391">
      <formula>LEN(TRIM(U862))&gt;0</formula>
    </cfRule>
  </conditionalFormatting>
  <conditionalFormatting sqref="U875:Y875">
    <cfRule type="notContainsBlanks" dxfId="3282" priority="3390">
      <formula>LEN(TRIM(U875))&gt;0</formula>
    </cfRule>
  </conditionalFormatting>
  <conditionalFormatting sqref="U875:Y875">
    <cfRule type="notContainsBlanks" dxfId="3281" priority="3389">
      <formula>LEN(TRIM(U875))&gt;0</formula>
    </cfRule>
  </conditionalFormatting>
  <conditionalFormatting sqref="U875:Y875">
    <cfRule type="notContainsBlanks" dxfId="3280" priority="3388">
      <formula>LEN(TRIM(U875))&gt;0</formula>
    </cfRule>
  </conditionalFormatting>
  <conditionalFormatting sqref="U875:Y875">
    <cfRule type="notContainsBlanks" dxfId="3279" priority="3387">
      <formula>LEN(TRIM(U875))&gt;0</formula>
    </cfRule>
  </conditionalFormatting>
  <conditionalFormatting sqref="U875:Y875">
    <cfRule type="notContainsBlanks" dxfId="3278" priority="3386">
      <formula>LEN(TRIM(U875))&gt;0</formula>
    </cfRule>
  </conditionalFormatting>
  <conditionalFormatting sqref="U875:Y875">
    <cfRule type="notContainsBlanks" dxfId="3277" priority="3385">
      <formula>LEN(TRIM(U875))&gt;0</formula>
    </cfRule>
  </conditionalFormatting>
  <conditionalFormatting sqref="U875:Y875">
    <cfRule type="notContainsBlanks" dxfId="3276" priority="3384">
      <formula>LEN(TRIM(U875))&gt;0</formula>
    </cfRule>
  </conditionalFormatting>
  <conditionalFormatting sqref="U875:Y875">
    <cfRule type="notContainsBlanks" dxfId="3275" priority="3383">
      <formula>LEN(TRIM(U875))&gt;0</formula>
    </cfRule>
  </conditionalFormatting>
  <conditionalFormatting sqref="U875:Y875">
    <cfRule type="notContainsBlanks" dxfId="3274" priority="3382">
      <formula>LEN(TRIM(U875))&gt;0</formula>
    </cfRule>
  </conditionalFormatting>
  <conditionalFormatting sqref="U875:Y875">
    <cfRule type="notContainsBlanks" dxfId="3273" priority="3380">
      <formula>LEN(TRIM(U875))&gt;0</formula>
    </cfRule>
    <cfRule type="notContainsBlanks" dxfId="3272" priority="3381">
      <formula>LEN(TRIM(U875))&gt;0</formula>
    </cfRule>
  </conditionalFormatting>
  <conditionalFormatting sqref="U875:Y875">
    <cfRule type="notContainsBlanks" dxfId="3271" priority="3379">
      <formula>LEN(TRIM(U875))&gt;0</formula>
    </cfRule>
  </conditionalFormatting>
  <conditionalFormatting sqref="U875:Y875">
    <cfRule type="notContainsBlanks" dxfId="3270" priority="3378">
      <formula>LEN(TRIM(U875))&gt;0</formula>
    </cfRule>
  </conditionalFormatting>
  <conditionalFormatting sqref="U875:Y875">
    <cfRule type="notContainsBlanks" dxfId="3269" priority="3377">
      <formula>LEN(TRIM(U875))&gt;0</formula>
    </cfRule>
  </conditionalFormatting>
  <conditionalFormatting sqref="U875:Y875">
    <cfRule type="notContainsBlanks" dxfId="3268" priority="3376">
      <formula>LEN(TRIM(U875))&gt;0</formula>
    </cfRule>
  </conditionalFormatting>
  <conditionalFormatting sqref="U875:Y875">
    <cfRule type="notContainsBlanks" dxfId="3267" priority="3375">
      <formula>LEN(TRIM(U875))&gt;0</formula>
    </cfRule>
  </conditionalFormatting>
  <conditionalFormatting sqref="U875:Y875">
    <cfRule type="notContainsBlanks" dxfId="3266" priority="3374">
      <formula>LEN(TRIM(U875))&gt;0</formula>
    </cfRule>
  </conditionalFormatting>
  <conditionalFormatting sqref="U875:Y875">
    <cfRule type="notContainsBlanks" dxfId="3265" priority="3373">
      <formula>LEN(TRIM(U875))&gt;0</formula>
    </cfRule>
  </conditionalFormatting>
  <conditionalFormatting sqref="U875:Y875">
    <cfRule type="notContainsBlanks" dxfId="3264" priority="3372">
      <formula>LEN(TRIM(U875))&gt;0</formula>
    </cfRule>
  </conditionalFormatting>
  <conditionalFormatting sqref="U875:Y875">
    <cfRule type="notContainsBlanks" dxfId="3263" priority="3371">
      <formula>LEN(TRIM(U875))&gt;0</formula>
    </cfRule>
  </conditionalFormatting>
  <conditionalFormatting sqref="U875:Y875">
    <cfRule type="notContainsBlanks" priority="3370">
      <formula>LEN(TRIM(U875))&gt;0</formula>
    </cfRule>
  </conditionalFormatting>
  <conditionalFormatting sqref="U875:Y875">
    <cfRule type="notContainsBlanks" dxfId="3262" priority="3369">
      <formula>LEN(TRIM(U875))&gt;0</formula>
    </cfRule>
  </conditionalFormatting>
  <conditionalFormatting sqref="U875:Y875">
    <cfRule type="notContainsBlanks" dxfId="3261" priority="3368">
      <formula>LEN(TRIM(U875))&gt;0</formula>
    </cfRule>
  </conditionalFormatting>
  <conditionalFormatting sqref="U875:Y875">
    <cfRule type="notContainsBlanks" dxfId="3260" priority="3367">
      <formula>LEN(TRIM(U875))&gt;0</formula>
    </cfRule>
  </conditionalFormatting>
  <conditionalFormatting sqref="U875:Y875">
    <cfRule type="notContainsBlanks" dxfId="3259" priority="3366">
      <formula>LEN(TRIM(U875))&gt;0</formula>
    </cfRule>
  </conditionalFormatting>
  <conditionalFormatting sqref="U875:Y875">
    <cfRule type="notContainsBlanks" dxfId="3258" priority="3365">
      <formula>LEN(TRIM(U875))&gt;0</formula>
    </cfRule>
  </conditionalFormatting>
  <conditionalFormatting sqref="U888:Y888">
    <cfRule type="notContainsBlanks" dxfId="3257" priority="3364">
      <formula>LEN(TRIM(U888))&gt;0</formula>
    </cfRule>
  </conditionalFormatting>
  <conditionalFormatting sqref="U888:Y888">
    <cfRule type="notContainsBlanks" dxfId="3256" priority="3363">
      <formula>LEN(TRIM(U888))&gt;0</formula>
    </cfRule>
  </conditionalFormatting>
  <conditionalFormatting sqref="U888:Y888">
    <cfRule type="notContainsBlanks" dxfId="3255" priority="3362">
      <formula>LEN(TRIM(U888))&gt;0</formula>
    </cfRule>
  </conditionalFormatting>
  <conditionalFormatting sqref="U888:Y888">
    <cfRule type="notContainsBlanks" dxfId="3254" priority="3361">
      <formula>LEN(TRIM(U888))&gt;0</formula>
    </cfRule>
  </conditionalFormatting>
  <conditionalFormatting sqref="U888:Y888">
    <cfRule type="notContainsBlanks" dxfId="3253" priority="3360">
      <formula>LEN(TRIM(U888))&gt;0</formula>
    </cfRule>
  </conditionalFormatting>
  <conditionalFormatting sqref="U888:Y888">
    <cfRule type="notContainsBlanks" dxfId="3252" priority="3359">
      <formula>LEN(TRIM(U888))&gt;0</formula>
    </cfRule>
  </conditionalFormatting>
  <conditionalFormatting sqref="U888:Y888">
    <cfRule type="notContainsBlanks" dxfId="3251" priority="3358">
      <formula>LEN(TRIM(U888))&gt;0</formula>
    </cfRule>
  </conditionalFormatting>
  <conditionalFormatting sqref="U888:Y888">
    <cfRule type="notContainsBlanks" dxfId="3250" priority="3357">
      <formula>LEN(TRIM(U888))&gt;0</formula>
    </cfRule>
  </conditionalFormatting>
  <conditionalFormatting sqref="U888:Y888">
    <cfRule type="notContainsBlanks" dxfId="3249" priority="3356">
      <formula>LEN(TRIM(U888))&gt;0</formula>
    </cfRule>
  </conditionalFormatting>
  <conditionalFormatting sqref="U888:Y888">
    <cfRule type="notContainsBlanks" dxfId="3248" priority="3354">
      <formula>LEN(TRIM(U888))&gt;0</formula>
    </cfRule>
    <cfRule type="notContainsBlanks" dxfId="3247" priority="3355">
      <formula>LEN(TRIM(U888))&gt;0</formula>
    </cfRule>
  </conditionalFormatting>
  <conditionalFormatting sqref="U888:Y888">
    <cfRule type="notContainsBlanks" dxfId="3246" priority="3353">
      <formula>LEN(TRIM(U888))&gt;0</formula>
    </cfRule>
  </conditionalFormatting>
  <conditionalFormatting sqref="U888:Y888">
    <cfRule type="notContainsBlanks" dxfId="3245" priority="3352">
      <formula>LEN(TRIM(U888))&gt;0</formula>
    </cfRule>
  </conditionalFormatting>
  <conditionalFormatting sqref="U888:Y888">
    <cfRule type="notContainsBlanks" dxfId="3244" priority="3351">
      <formula>LEN(TRIM(U888))&gt;0</formula>
    </cfRule>
  </conditionalFormatting>
  <conditionalFormatting sqref="U888:Y888">
    <cfRule type="notContainsBlanks" dxfId="3243" priority="3350">
      <formula>LEN(TRIM(U888))&gt;0</formula>
    </cfRule>
  </conditionalFormatting>
  <conditionalFormatting sqref="U888:Y888">
    <cfRule type="notContainsBlanks" dxfId="3242" priority="3349">
      <formula>LEN(TRIM(U888))&gt;0</formula>
    </cfRule>
  </conditionalFormatting>
  <conditionalFormatting sqref="U888:Y888">
    <cfRule type="notContainsBlanks" dxfId="3241" priority="3348">
      <formula>LEN(TRIM(U888))&gt;0</formula>
    </cfRule>
  </conditionalFormatting>
  <conditionalFormatting sqref="U888:Y888">
    <cfRule type="notContainsBlanks" dxfId="3240" priority="3347">
      <formula>LEN(TRIM(U888))&gt;0</formula>
    </cfRule>
  </conditionalFormatting>
  <conditionalFormatting sqref="U888:Y888">
    <cfRule type="notContainsBlanks" dxfId="3239" priority="3346">
      <formula>LEN(TRIM(U888))&gt;0</formula>
    </cfRule>
  </conditionalFormatting>
  <conditionalFormatting sqref="U888:Y888">
    <cfRule type="notContainsBlanks" dxfId="3238" priority="3345">
      <formula>LEN(TRIM(U888))&gt;0</formula>
    </cfRule>
  </conditionalFormatting>
  <conditionalFormatting sqref="U888:Y888">
    <cfRule type="notContainsBlanks" priority="3344">
      <formula>LEN(TRIM(U888))&gt;0</formula>
    </cfRule>
  </conditionalFormatting>
  <conditionalFormatting sqref="U888:Y888">
    <cfRule type="notContainsBlanks" dxfId="3237" priority="3343">
      <formula>LEN(TRIM(U888))&gt;0</formula>
    </cfRule>
  </conditionalFormatting>
  <conditionalFormatting sqref="U888:Y888">
    <cfRule type="notContainsBlanks" dxfId="3236" priority="3342">
      <formula>LEN(TRIM(U888))&gt;0</formula>
    </cfRule>
  </conditionalFormatting>
  <conditionalFormatting sqref="U888:Y888">
    <cfRule type="notContainsBlanks" dxfId="3235" priority="3341">
      <formula>LEN(TRIM(U888))&gt;0</formula>
    </cfRule>
  </conditionalFormatting>
  <conditionalFormatting sqref="U888:Y888">
    <cfRule type="notContainsBlanks" dxfId="3234" priority="3340">
      <formula>LEN(TRIM(U888))&gt;0</formula>
    </cfRule>
  </conditionalFormatting>
  <conditionalFormatting sqref="U888:Y888">
    <cfRule type="notContainsBlanks" dxfId="3233" priority="3339">
      <formula>LEN(TRIM(U888))&gt;0</formula>
    </cfRule>
  </conditionalFormatting>
  <conditionalFormatting sqref="U901:Y901">
    <cfRule type="notContainsBlanks" dxfId="3232" priority="3338">
      <formula>LEN(TRIM(U901))&gt;0</formula>
    </cfRule>
  </conditionalFormatting>
  <conditionalFormatting sqref="U901:Y901">
    <cfRule type="notContainsBlanks" dxfId="3231" priority="3337">
      <formula>LEN(TRIM(U901))&gt;0</formula>
    </cfRule>
  </conditionalFormatting>
  <conditionalFormatting sqref="U901:Y901">
    <cfRule type="notContainsBlanks" dxfId="3230" priority="3336">
      <formula>LEN(TRIM(U901))&gt;0</formula>
    </cfRule>
  </conditionalFormatting>
  <conditionalFormatting sqref="U901:Y901">
    <cfRule type="notContainsBlanks" dxfId="3229" priority="3335">
      <formula>LEN(TRIM(U901))&gt;0</formula>
    </cfRule>
  </conditionalFormatting>
  <conditionalFormatting sqref="U901:Y901">
    <cfRule type="notContainsBlanks" dxfId="3228" priority="3334">
      <formula>LEN(TRIM(U901))&gt;0</formula>
    </cfRule>
  </conditionalFormatting>
  <conditionalFormatting sqref="U901:Y901">
    <cfRule type="notContainsBlanks" dxfId="3227" priority="3333">
      <formula>LEN(TRIM(U901))&gt;0</formula>
    </cfRule>
  </conditionalFormatting>
  <conditionalFormatting sqref="U901:Y901">
    <cfRule type="notContainsBlanks" dxfId="3226" priority="3332">
      <formula>LEN(TRIM(U901))&gt;0</formula>
    </cfRule>
  </conditionalFormatting>
  <conditionalFormatting sqref="U901:Y901">
    <cfRule type="notContainsBlanks" dxfId="3225" priority="3331">
      <formula>LEN(TRIM(U901))&gt;0</formula>
    </cfRule>
  </conditionalFormatting>
  <conditionalFormatting sqref="U901:Y901">
    <cfRule type="notContainsBlanks" dxfId="3224" priority="3330">
      <formula>LEN(TRIM(U901))&gt;0</formula>
    </cfRule>
  </conditionalFormatting>
  <conditionalFormatting sqref="U901:Y901">
    <cfRule type="notContainsBlanks" dxfId="3223" priority="3328">
      <formula>LEN(TRIM(U901))&gt;0</formula>
    </cfRule>
    <cfRule type="notContainsBlanks" dxfId="3222" priority="3329">
      <formula>LEN(TRIM(U901))&gt;0</formula>
    </cfRule>
  </conditionalFormatting>
  <conditionalFormatting sqref="U901:Y901">
    <cfRule type="notContainsBlanks" dxfId="3221" priority="3327">
      <formula>LEN(TRIM(U901))&gt;0</formula>
    </cfRule>
  </conditionalFormatting>
  <conditionalFormatting sqref="U901:Y901">
    <cfRule type="notContainsBlanks" dxfId="3220" priority="3326">
      <formula>LEN(TRIM(U901))&gt;0</formula>
    </cfRule>
  </conditionalFormatting>
  <conditionalFormatting sqref="U901:Y901">
    <cfRule type="notContainsBlanks" dxfId="3219" priority="3325">
      <formula>LEN(TRIM(U901))&gt;0</formula>
    </cfRule>
  </conditionalFormatting>
  <conditionalFormatting sqref="U901:Y901">
    <cfRule type="notContainsBlanks" dxfId="3218" priority="3324">
      <formula>LEN(TRIM(U901))&gt;0</formula>
    </cfRule>
  </conditionalFormatting>
  <conditionalFormatting sqref="U901:Y901">
    <cfRule type="notContainsBlanks" dxfId="3217" priority="3323">
      <formula>LEN(TRIM(U901))&gt;0</formula>
    </cfRule>
  </conditionalFormatting>
  <conditionalFormatting sqref="U901:Y901">
    <cfRule type="notContainsBlanks" dxfId="3216" priority="3322">
      <formula>LEN(TRIM(U901))&gt;0</formula>
    </cfRule>
  </conditionalFormatting>
  <conditionalFormatting sqref="U901:Y901">
    <cfRule type="notContainsBlanks" dxfId="3215" priority="3321">
      <formula>LEN(TRIM(U901))&gt;0</formula>
    </cfRule>
  </conditionalFormatting>
  <conditionalFormatting sqref="U901:Y901">
    <cfRule type="notContainsBlanks" dxfId="3214" priority="3320">
      <formula>LEN(TRIM(U901))&gt;0</formula>
    </cfRule>
  </conditionalFormatting>
  <conditionalFormatting sqref="U901:Y901">
    <cfRule type="notContainsBlanks" dxfId="3213" priority="3319">
      <formula>LEN(TRIM(U901))&gt;0</formula>
    </cfRule>
  </conditionalFormatting>
  <conditionalFormatting sqref="U901:Y901">
    <cfRule type="notContainsBlanks" priority="3318">
      <formula>LEN(TRIM(U901))&gt;0</formula>
    </cfRule>
  </conditionalFormatting>
  <conditionalFormatting sqref="U901:Y901">
    <cfRule type="notContainsBlanks" dxfId="3212" priority="3317">
      <formula>LEN(TRIM(U901))&gt;0</formula>
    </cfRule>
  </conditionalFormatting>
  <conditionalFormatting sqref="U901:Y901">
    <cfRule type="notContainsBlanks" dxfId="3211" priority="3316">
      <formula>LEN(TRIM(U901))&gt;0</formula>
    </cfRule>
  </conditionalFormatting>
  <conditionalFormatting sqref="U901:Y901">
    <cfRule type="notContainsBlanks" dxfId="3210" priority="3315">
      <formula>LEN(TRIM(U901))&gt;0</formula>
    </cfRule>
  </conditionalFormatting>
  <conditionalFormatting sqref="U901:Y901">
    <cfRule type="notContainsBlanks" dxfId="3209" priority="3314">
      <formula>LEN(TRIM(U901))&gt;0</formula>
    </cfRule>
  </conditionalFormatting>
  <conditionalFormatting sqref="U901:Y901">
    <cfRule type="notContainsBlanks" dxfId="3208" priority="3313">
      <formula>LEN(TRIM(U901))&gt;0</formula>
    </cfRule>
  </conditionalFormatting>
  <conditionalFormatting sqref="U914:Y914">
    <cfRule type="notContainsBlanks" dxfId="3207" priority="3312">
      <formula>LEN(TRIM(U914))&gt;0</formula>
    </cfRule>
  </conditionalFormatting>
  <conditionalFormatting sqref="U914:Y914">
    <cfRule type="notContainsBlanks" dxfId="3206" priority="3311">
      <formula>LEN(TRIM(U914))&gt;0</formula>
    </cfRule>
  </conditionalFormatting>
  <conditionalFormatting sqref="U914:Y914">
    <cfRule type="notContainsBlanks" dxfId="3205" priority="3310">
      <formula>LEN(TRIM(U914))&gt;0</formula>
    </cfRule>
  </conditionalFormatting>
  <conditionalFormatting sqref="U914:Y914">
    <cfRule type="notContainsBlanks" dxfId="3204" priority="3309">
      <formula>LEN(TRIM(U914))&gt;0</formula>
    </cfRule>
  </conditionalFormatting>
  <conditionalFormatting sqref="U914:Y914">
    <cfRule type="notContainsBlanks" dxfId="3203" priority="3308">
      <formula>LEN(TRIM(U914))&gt;0</formula>
    </cfRule>
  </conditionalFormatting>
  <conditionalFormatting sqref="U914:Y914">
    <cfRule type="notContainsBlanks" dxfId="3202" priority="3307">
      <formula>LEN(TRIM(U914))&gt;0</formula>
    </cfRule>
  </conditionalFormatting>
  <conditionalFormatting sqref="U914:Y914">
    <cfRule type="notContainsBlanks" dxfId="3201" priority="3306">
      <formula>LEN(TRIM(U914))&gt;0</formula>
    </cfRule>
  </conditionalFormatting>
  <conditionalFormatting sqref="U914:Y914">
    <cfRule type="notContainsBlanks" dxfId="3200" priority="3305">
      <formula>LEN(TRIM(U914))&gt;0</formula>
    </cfRule>
  </conditionalFormatting>
  <conditionalFormatting sqref="U914:Y914">
    <cfRule type="notContainsBlanks" dxfId="3199" priority="3304">
      <formula>LEN(TRIM(U914))&gt;0</formula>
    </cfRule>
  </conditionalFormatting>
  <conditionalFormatting sqref="U914:Y914">
    <cfRule type="notContainsBlanks" dxfId="3198" priority="3302">
      <formula>LEN(TRIM(U914))&gt;0</formula>
    </cfRule>
    <cfRule type="notContainsBlanks" dxfId="3197" priority="3303">
      <formula>LEN(TRIM(U914))&gt;0</formula>
    </cfRule>
  </conditionalFormatting>
  <conditionalFormatting sqref="U914:Y914">
    <cfRule type="notContainsBlanks" dxfId="3196" priority="3301">
      <formula>LEN(TRIM(U914))&gt;0</formula>
    </cfRule>
  </conditionalFormatting>
  <conditionalFormatting sqref="U914:Y914">
    <cfRule type="notContainsBlanks" dxfId="3195" priority="3300">
      <formula>LEN(TRIM(U914))&gt;0</formula>
    </cfRule>
  </conditionalFormatting>
  <conditionalFormatting sqref="U914:Y914">
    <cfRule type="notContainsBlanks" dxfId="3194" priority="3299">
      <formula>LEN(TRIM(U914))&gt;0</formula>
    </cfRule>
  </conditionalFormatting>
  <conditionalFormatting sqref="U914:Y914">
    <cfRule type="notContainsBlanks" dxfId="3193" priority="3298">
      <formula>LEN(TRIM(U914))&gt;0</formula>
    </cfRule>
  </conditionalFormatting>
  <conditionalFormatting sqref="U914:Y914">
    <cfRule type="notContainsBlanks" dxfId="3192" priority="3297">
      <formula>LEN(TRIM(U914))&gt;0</formula>
    </cfRule>
  </conditionalFormatting>
  <conditionalFormatting sqref="U914:Y914">
    <cfRule type="notContainsBlanks" dxfId="3191" priority="3296">
      <formula>LEN(TRIM(U914))&gt;0</formula>
    </cfRule>
  </conditionalFormatting>
  <conditionalFormatting sqref="U914:Y914">
    <cfRule type="notContainsBlanks" dxfId="3190" priority="3295">
      <formula>LEN(TRIM(U914))&gt;0</formula>
    </cfRule>
  </conditionalFormatting>
  <conditionalFormatting sqref="U914:Y914">
    <cfRule type="notContainsBlanks" dxfId="3189" priority="3294">
      <formula>LEN(TRIM(U914))&gt;0</formula>
    </cfRule>
  </conditionalFormatting>
  <conditionalFormatting sqref="U914:Y914">
    <cfRule type="notContainsBlanks" dxfId="3188" priority="3293">
      <formula>LEN(TRIM(U914))&gt;0</formula>
    </cfRule>
  </conditionalFormatting>
  <conditionalFormatting sqref="U914:Y914">
    <cfRule type="notContainsBlanks" priority="3292">
      <formula>LEN(TRIM(U914))&gt;0</formula>
    </cfRule>
  </conditionalFormatting>
  <conditionalFormatting sqref="U914:Y914">
    <cfRule type="notContainsBlanks" dxfId="3187" priority="3291">
      <formula>LEN(TRIM(U914))&gt;0</formula>
    </cfRule>
  </conditionalFormatting>
  <conditionalFormatting sqref="U914:Y914">
    <cfRule type="notContainsBlanks" dxfId="3186" priority="3290">
      <formula>LEN(TRIM(U914))&gt;0</formula>
    </cfRule>
  </conditionalFormatting>
  <conditionalFormatting sqref="U914:Y914">
    <cfRule type="notContainsBlanks" dxfId="3185" priority="3289">
      <formula>LEN(TRIM(U914))&gt;0</formula>
    </cfRule>
  </conditionalFormatting>
  <conditionalFormatting sqref="U914:Y914">
    <cfRule type="notContainsBlanks" dxfId="3184" priority="3288">
      <formula>LEN(TRIM(U914))&gt;0</formula>
    </cfRule>
  </conditionalFormatting>
  <conditionalFormatting sqref="U914:Y914">
    <cfRule type="notContainsBlanks" dxfId="3183" priority="3287">
      <formula>LEN(TRIM(U914))&gt;0</formula>
    </cfRule>
  </conditionalFormatting>
  <conditionalFormatting sqref="U927:Y927">
    <cfRule type="notContainsBlanks" dxfId="3182" priority="3286">
      <formula>LEN(TRIM(U927))&gt;0</formula>
    </cfRule>
  </conditionalFormatting>
  <conditionalFormatting sqref="U927:Y927">
    <cfRule type="notContainsBlanks" dxfId="3181" priority="3285">
      <formula>LEN(TRIM(U927))&gt;0</formula>
    </cfRule>
  </conditionalFormatting>
  <conditionalFormatting sqref="U927:Y927">
    <cfRule type="notContainsBlanks" dxfId="3180" priority="3284">
      <formula>LEN(TRIM(U927))&gt;0</formula>
    </cfRule>
  </conditionalFormatting>
  <conditionalFormatting sqref="U927:Y927">
    <cfRule type="notContainsBlanks" dxfId="3179" priority="3283">
      <formula>LEN(TRIM(U927))&gt;0</formula>
    </cfRule>
  </conditionalFormatting>
  <conditionalFormatting sqref="U927:Y927">
    <cfRule type="notContainsBlanks" dxfId="3178" priority="3282">
      <formula>LEN(TRIM(U927))&gt;0</formula>
    </cfRule>
  </conditionalFormatting>
  <conditionalFormatting sqref="U927:Y927">
    <cfRule type="notContainsBlanks" dxfId="3177" priority="3281">
      <formula>LEN(TRIM(U927))&gt;0</formula>
    </cfRule>
  </conditionalFormatting>
  <conditionalFormatting sqref="U927:Y927">
    <cfRule type="notContainsBlanks" dxfId="3176" priority="3280">
      <formula>LEN(TRIM(U927))&gt;0</formula>
    </cfRule>
  </conditionalFormatting>
  <conditionalFormatting sqref="U927:Y927">
    <cfRule type="notContainsBlanks" dxfId="3175" priority="3279">
      <formula>LEN(TRIM(U927))&gt;0</formula>
    </cfRule>
  </conditionalFormatting>
  <conditionalFormatting sqref="U927:Y927">
    <cfRule type="notContainsBlanks" dxfId="3174" priority="3278">
      <formula>LEN(TRIM(U927))&gt;0</formula>
    </cfRule>
  </conditionalFormatting>
  <conditionalFormatting sqref="U927:Y927">
    <cfRule type="notContainsBlanks" dxfId="3173" priority="3276">
      <formula>LEN(TRIM(U927))&gt;0</formula>
    </cfRule>
    <cfRule type="notContainsBlanks" dxfId="3172" priority="3277">
      <formula>LEN(TRIM(U927))&gt;0</formula>
    </cfRule>
  </conditionalFormatting>
  <conditionalFormatting sqref="U927:Y927">
    <cfRule type="notContainsBlanks" dxfId="3171" priority="3275">
      <formula>LEN(TRIM(U927))&gt;0</formula>
    </cfRule>
  </conditionalFormatting>
  <conditionalFormatting sqref="U927:Y927">
    <cfRule type="notContainsBlanks" dxfId="3170" priority="3274">
      <formula>LEN(TRIM(U927))&gt;0</formula>
    </cfRule>
  </conditionalFormatting>
  <conditionalFormatting sqref="U927:Y927">
    <cfRule type="notContainsBlanks" dxfId="3169" priority="3273">
      <formula>LEN(TRIM(U927))&gt;0</formula>
    </cfRule>
  </conditionalFormatting>
  <conditionalFormatting sqref="U927:Y927">
    <cfRule type="notContainsBlanks" dxfId="3168" priority="3272">
      <formula>LEN(TRIM(U927))&gt;0</formula>
    </cfRule>
  </conditionalFormatting>
  <conditionalFormatting sqref="U927:Y927">
    <cfRule type="notContainsBlanks" dxfId="3167" priority="3271">
      <formula>LEN(TRIM(U927))&gt;0</formula>
    </cfRule>
  </conditionalFormatting>
  <conditionalFormatting sqref="U927:Y927">
    <cfRule type="notContainsBlanks" dxfId="3166" priority="3270">
      <formula>LEN(TRIM(U927))&gt;0</formula>
    </cfRule>
  </conditionalFormatting>
  <conditionalFormatting sqref="U927:Y927">
    <cfRule type="notContainsBlanks" dxfId="3165" priority="3269">
      <formula>LEN(TRIM(U927))&gt;0</formula>
    </cfRule>
  </conditionalFormatting>
  <conditionalFormatting sqref="U927:Y927">
    <cfRule type="notContainsBlanks" dxfId="3164" priority="3268">
      <formula>LEN(TRIM(U927))&gt;0</formula>
    </cfRule>
  </conditionalFormatting>
  <conditionalFormatting sqref="U927:Y927">
    <cfRule type="notContainsBlanks" dxfId="3163" priority="3267">
      <formula>LEN(TRIM(U927))&gt;0</formula>
    </cfRule>
  </conditionalFormatting>
  <conditionalFormatting sqref="U927:Y927">
    <cfRule type="notContainsBlanks" priority="3266">
      <formula>LEN(TRIM(U927))&gt;0</formula>
    </cfRule>
  </conditionalFormatting>
  <conditionalFormatting sqref="U927:Y927">
    <cfRule type="notContainsBlanks" dxfId="3162" priority="3265">
      <formula>LEN(TRIM(U927))&gt;0</formula>
    </cfRule>
  </conditionalFormatting>
  <conditionalFormatting sqref="U927:Y927">
    <cfRule type="notContainsBlanks" dxfId="3161" priority="3264">
      <formula>LEN(TRIM(U927))&gt;0</formula>
    </cfRule>
  </conditionalFormatting>
  <conditionalFormatting sqref="U927:Y927">
    <cfRule type="notContainsBlanks" dxfId="3160" priority="3263">
      <formula>LEN(TRIM(U927))&gt;0</formula>
    </cfRule>
  </conditionalFormatting>
  <conditionalFormatting sqref="U927:Y927">
    <cfRule type="notContainsBlanks" dxfId="3159" priority="3262">
      <formula>LEN(TRIM(U927))&gt;0</formula>
    </cfRule>
  </conditionalFormatting>
  <conditionalFormatting sqref="U927:Y927">
    <cfRule type="notContainsBlanks" dxfId="3158" priority="3261">
      <formula>LEN(TRIM(U927))&gt;0</formula>
    </cfRule>
  </conditionalFormatting>
  <conditionalFormatting sqref="U940:Y940">
    <cfRule type="notContainsBlanks" dxfId="3157" priority="3260">
      <formula>LEN(TRIM(U940))&gt;0</formula>
    </cfRule>
  </conditionalFormatting>
  <conditionalFormatting sqref="U940:Y940">
    <cfRule type="notContainsBlanks" dxfId="3156" priority="3259">
      <formula>LEN(TRIM(U940))&gt;0</formula>
    </cfRule>
  </conditionalFormatting>
  <conditionalFormatting sqref="U940:Y940">
    <cfRule type="notContainsBlanks" dxfId="3155" priority="3258">
      <formula>LEN(TRIM(U940))&gt;0</formula>
    </cfRule>
  </conditionalFormatting>
  <conditionalFormatting sqref="U940:Y940">
    <cfRule type="notContainsBlanks" dxfId="3154" priority="3257">
      <formula>LEN(TRIM(U940))&gt;0</formula>
    </cfRule>
  </conditionalFormatting>
  <conditionalFormatting sqref="U940:Y940">
    <cfRule type="notContainsBlanks" dxfId="3153" priority="3256">
      <formula>LEN(TRIM(U940))&gt;0</formula>
    </cfRule>
  </conditionalFormatting>
  <conditionalFormatting sqref="U940:Y940">
    <cfRule type="notContainsBlanks" dxfId="3152" priority="3255">
      <formula>LEN(TRIM(U940))&gt;0</formula>
    </cfRule>
  </conditionalFormatting>
  <conditionalFormatting sqref="U940:Y940">
    <cfRule type="notContainsBlanks" dxfId="3151" priority="3254">
      <formula>LEN(TRIM(U940))&gt;0</formula>
    </cfRule>
  </conditionalFormatting>
  <conditionalFormatting sqref="U940:Y940">
    <cfRule type="notContainsBlanks" dxfId="3150" priority="3253">
      <formula>LEN(TRIM(U940))&gt;0</formula>
    </cfRule>
  </conditionalFormatting>
  <conditionalFormatting sqref="U940:Y940">
    <cfRule type="notContainsBlanks" dxfId="3149" priority="3252">
      <formula>LEN(TRIM(U940))&gt;0</formula>
    </cfRule>
  </conditionalFormatting>
  <conditionalFormatting sqref="U940:Y940">
    <cfRule type="notContainsBlanks" dxfId="3148" priority="3250">
      <formula>LEN(TRIM(U940))&gt;0</formula>
    </cfRule>
    <cfRule type="notContainsBlanks" dxfId="3147" priority="3251">
      <formula>LEN(TRIM(U940))&gt;0</formula>
    </cfRule>
  </conditionalFormatting>
  <conditionalFormatting sqref="U940:Y940">
    <cfRule type="notContainsBlanks" dxfId="3146" priority="3249">
      <formula>LEN(TRIM(U940))&gt;0</formula>
    </cfRule>
  </conditionalFormatting>
  <conditionalFormatting sqref="U940:Y940">
    <cfRule type="notContainsBlanks" dxfId="3145" priority="3248">
      <formula>LEN(TRIM(U940))&gt;0</formula>
    </cfRule>
  </conditionalFormatting>
  <conditionalFormatting sqref="U940:Y940">
    <cfRule type="notContainsBlanks" dxfId="3144" priority="3247">
      <formula>LEN(TRIM(U940))&gt;0</formula>
    </cfRule>
  </conditionalFormatting>
  <conditionalFormatting sqref="U940:Y940">
    <cfRule type="notContainsBlanks" dxfId="3143" priority="3246">
      <formula>LEN(TRIM(U940))&gt;0</formula>
    </cfRule>
  </conditionalFormatting>
  <conditionalFormatting sqref="U940:Y940">
    <cfRule type="notContainsBlanks" dxfId="3142" priority="3245">
      <formula>LEN(TRIM(U940))&gt;0</formula>
    </cfRule>
  </conditionalFormatting>
  <conditionalFormatting sqref="U940:Y940">
    <cfRule type="notContainsBlanks" dxfId="3141" priority="3244">
      <formula>LEN(TRIM(U940))&gt;0</formula>
    </cfRule>
  </conditionalFormatting>
  <conditionalFormatting sqref="U940:Y940">
    <cfRule type="notContainsBlanks" dxfId="3140" priority="3243">
      <formula>LEN(TRIM(U940))&gt;0</formula>
    </cfRule>
  </conditionalFormatting>
  <conditionalFormatting sqref="U940:Y940">
    <cfRule type="notContainsBlanks" dxfId="3139" priority="3242">
      <formula>LEN(TRIM(U940))&gt;0</formula>
    </cfRule>
  </conditionalFormatting>
  <conditionalFormatting sqref="U940:Y940">
    <cfRule type="notContainsBlanks" dxfId="3138" priority="3241">
      <formula>LEN(TRIM(U940))&gt;0</formula>
    </cfRule>
  </conditionalFormatting>
  <conditionalFormatting sqref="U940:Y940">
    <cfRule type="notContainsBlanks" priority="3240">
      <formula>LEN(TRIM(U940))&gt;0</formula>
    </cfRule>
  </conditionalFormatting>
  <conditionalFormatting sqref="U940:Y940">
    <cfRule type="notContainsBlanks" dxfId="3137" priority="3239">
      <formula>LEN(TRIM(U940))&gt;0</formula>
    </cfRule>
  </conditionalFormatting>
  <conditionalFormatting sqref="U940:Y940">
    <cfRule type="notContainsBlanks" dxfId="3136" priority="3238">
      <formula>LEN(TRIM(U940))&gt;0</formula>
    </cfRule>
  </conditionalFormatting>
  <conditionalFormatting sqref="U940:Y940">
    <cfRule type="notContainsBlanks" dxfId="3135" priority="3237">
      <formula>LEN(TRIM(U940))&gt;0</formula>
    </cfRule>
  </conditionalFormatting>
  <conditionalFormatting sqref="U940:Y940">
    <cfRule type="notContainsBlanks" dxfId="3134" priority="3236">
      <formula>LEN(TRIM(U940))&gt;0</formula>
    </cfRule>
  </conditionalFormatting>
  <conditionalFormatting sqref="U940:Y940">
    <cfRule type="notContainsBlanks" dxfId="3133" priority="3235">
      <formula>LEN(TRIM(U940))&gt;0</formula>
    </cfRule>
  </conditionalFormatting>
  <conditionalFormatting sqref="U953:Y953">
    <cfRule type="notContainsBlanks" dxfId="3132" priority="3234">
      <formula>LEN(TRIM(U953))&gt;0</formula>
    </cfRule>
  </conditionalFormatting>
  <conditionalFormatting sqref="U953:Y953">
    <cfRule type="notContainsBlanks" dxfId="3131" priority="3233">
      <formula>LEN(TRIM(U953))&gt;0</formula>
    </cfRule>
  </conditionalFormatting>
  <conditionalFormatting sqref="U953:Y953">
    <cfRule type="notContainsBlanks" dxfId="3130" priority="3232">
      <formula>LEN(TRIM(U953))&gt;0</formula>
    </cfRule>
  </conditionalFormatting>
  <conditionalFormatting sqref="U953:Y953">
    <cfRule type="notContainsBlanks" dxfId="3129" priority="3231">
      <formula>LEN(TRIM(U953))&gt;0</formula>
    </cfRule>
  </conditionalFormatting>
  <conditionalFormatting sqref="U953:Y953">
    <cfRule type="notContainsBlanks" dxfId="3128" priority="3230">
      <formula>LEN(TRIM(U953))&gt;0</formula>
    </cfRule>
  </conditionalFormatting>
  <conditionalFormatting sqref="U953:Y953">
    <cfRule type="notContainsBlanks" dxfId="3127" priority="3229">
      <formula>LEN(TRIM(U953))&gt;0</formula>
    </cfRule>
  </conditionalFormatting>
  <conditionalFormatting sqref="U953:Y953">
    <cfRule type="notContainsBlanks" dxfId="3126" priority="3228">
      <formula>LEN(TRIM(U953))&gt;0</formula>
    </cfRule>
  </conditionalFormatting>
  <conditionalFormatting sqref="U953:Y953">
    <cfRule type="notContainsBlanks" dxfId="3125" priority="3227">
      <formula>LEN(TRIM(U953))&gt;0</formula>
    </cfRule>
  </conditionalFormatting>
  <conditionalFormatting sqref="U953:Y953">
    <cfRule type="notContainsBlanks" dxfId="3124" priority="3226">
      <formula>LEN(TRIM(U953))&gt;0</formula>
    </cfRule>
  </conditionalFormatting>
  <conditionalFormatting sqref="U953:Y953">
    <cfRule type="notContainsBlanks" dxfId="3123" priority="3224">
      <formula>LEN(TRIM(U953))&gt;0</formula>
    </cfRule>
    <cfRule type="notContainsBlanks" dxfId="3122" priority="3225">
      <formula>LEN(TRIM(U953))&gt;0</formula>
    </cfRule>
  </conditionalFormatting>
  <conditionalFormatting sqref="U953:Y953">
    <cfRule type="notContainsBlanks" dxfId="3121" priority="3223">
      <formula>LEN(TRIM(U953))&gt;0</formula>
    </cfRule>
  </conditionalFormatting>
  <conditionalFormatting sqref="U953:Y953">
    <cfRule type="notContainsBlanks" dxfId="3120" priority="3222">
      <formula>LEN(TRIM(U953))&gt;0</formula>
    </cfRule>
  </conditionalFormatting>
  <conditionalFormatting sqref="U953:Y953">
    <cfRule type="notContainsBlanks" dxfId="3119" priority="3221">
      <formula>LEN(TRIM(U953))&gt;0</formula>
    </cfRule>
  </conditionalFormatting>
  <conditionalFormatting sqref="U953:Y953">
    <cfRule type="notContainsBlanks" dxfId="3118" priority="3220">
      <formula>LEN(TRIM(U953))&gt;0</formula>
    </cfRule>
  </conditionalFormatting>
  <conditionalFormatting sqref="U953:Y953">
    <cfRule type="notContainsBlanks" dxfId="3117" priority="3219">
      <formula>LEN(TRIM(U953))&gt;0</formula>
    </cfRule>
  </conditionalFormatting>
  <conditionalFormatting sqref="U953:Y953">
    <cfRule type="notContainsBlanks" dxfId="3116" priority="3218">
      <formula>LEN(TRIM(U953))&gt;0</formula>
    </cfRule>
  </conditionalFormatting>
  <conditionalFormatting sqref="U953:Y953">
    <cfRule type="notContainsBlanks" dxfId="3115" priority="3217">
      <formula>LEN(TRIM(U953))&gt;0</formula>
    </cfRule>
  </conditionalFormatting>
  <conditionalFormatting sqref="U953:Y953">
    <cfRule type="notContainsBlanks" dxfId="3114" priority="3216">
      <formula>LEN(TRIM(U953))&gt;0</formula>
    </cfRule>
  </conditionalFormatting>
  <conditionalFormatting sqref="U953:Y953">
    <cfRule type="notContainsBlanks" dxfId="3113" priority="3215">
      <formula>LEN(TRIM(U953))&gt;0</formula>
    </cfRule>
  </conditionalFormatting>
  <conditionalFormatting sqref="U953:Y953">
    <cfRule type="notContainsBlanks" priority="3214">
      <formula>LEN(TRIM(U953))&gt;0</formula>
    </cfRule>
  </conditionalFormatting>
  <conditionalFormatting sqref="U953:Y953">
    <cfRule type="notContainsBlanks" dxfId="3112" priority="3213">
      <formula>LEN(TRIM(U953))&gt;0</formula>
    </cfRule>
  </conditionalFormatting>
  <conditionalFormatting sqref="U953:Y953">
    <cfRule type="notContainsBlanks" dxfId="3111" priority="3212">
      <formula>LEN(TRIM(U953))&gt;0</formula>
    </cfRule>
  </conditionalFormatting>
  <conditionalFormatting sqref="U953:Y953">
    <cfRule type="notContainsBlanks" dxfId="3110" priority="3211">
      <formula>LEN(TRIM(U953))&gt;0</formula>
    </cfRule>
  </conditionalFormatting>
  <conditionalFormatting sqref="U953:Y953">
    <cfRule type="notContainsBlanks" dxfId="3109" priority="3210">
      <formula>LEN(TRIM(U953))&gt;0</formula>
    </cfRule>
  </conditionalFormatting>
  <conditionalFormatting sqref="U953:Y953">
    <cfRule type="notContainsBlanks" dxfId="3108" priority="3209">
      <formula>LEN(TRIM(U953))&gt;0</formula>
    </cfRule>
  </conditionalFormatting>
  <conditionalFormatting sqref="U966:Y966">
    <cfRule type="notContainsBlanks" dxfId="3107" priority="3208">
      <formula>LEN(TRIM(U966))&gt;0</formula>
    </cfRule>
  </conditionalFormatting>
  <conditionalFormatting sqref="U966:Y966">
    <cfRule type="notContainsBlanks" dxfId="3106" priority="3207">
      <formula>LEN(TRIM(U966))&gt;0</formula>
    </cfRule>
  </conditionalFormatting>
  <conditionalFormatting sqref="U966:Y966">
    <cfRule type="notContainsBlanks" dxfId="3105" priority="3206">
      <formula>LEN(TRIM(U966))&gt;0</formula>
    </cfRule>
  </conditionalFormatting>
  <conditionalFormatting sqref="U966:Y966">
    <cfRule type="notContainsBlanks" dxfId="3104" priority="3205">
      <formula>LEN(TRIM(U966))&gt;0</formula>
    </cfRule>
  </conditionalFormatting>
  <conditionalFormatting sqref="U966:Y966">
    <cfRule type="notContainsBlanks" dxfId="3103" priority="3204">
      <formula>LEN(TRIM(U966))&gt;0</formula>
    </cfRule>
  </conditionalFormatting>
  <conditionalFormatting sqref="U966:Y966">
    <cfRule type="notContainsBlanks" dxfId="3102" priority="3203">
      <formula>LEN(TRIM(U966))&gt;0</formula>
    </cfRule>
  </conditionalFormatting>
  <conditionalFormatting sqref="U966:Y966">
    <cfRule type="notContainsBlanks" dxfId="3101" priority="3202">
      <formula>LEN(TRIM(U966))&gt;0</formula>
    </cfRule>
  </conditionalFormatting>
  <conditionalFormatting sqref="U966:Y966">
    <cfRule type="notContainsBlanks" dxfId="3100" priority="3201">
      <formula>LEN(TRIM(U966))&gt;0</formula>
    </cfRule>
  </conditionalFormatting>
  <conditionalFormatting sqref="U966:Y966">
    <cfRule type="notContainsBlanks" dxfId="3099" priority="3200">
      <formula>LEN(TRIM(U966))&gt;0</formula>
    </cfRule>
  </conditionalFormatting>
  <conditionalFormatting sqref="U966:Y966">
    <cfRule type="notContainsBlanks" dxfId="3098" priority="3198">
      <formula>LEN(TRIM(U966))&gt;0</formula>
    </cfRule>
    <cfRule type="notContainsBlanks" dxfId="3097" priority="3199">
      <formula>LEN(TRIM(U966))&gt;0</formula>
    </cfRule>
  </conditionalFormatting>
  <conditionalFormatting sqref="U966:Y966">
    <cfRule type="notContainsBlanks" dxfId="3096" priority="3197">
      <formula>LEN(TRIM(U966))&gt;0</formula>
    </cfRule>
  </conditionalFormatting>
  <conditionalFormatting sqref="U966:Y966">
    <cfRule type="notContainsBlanks" dxfId="3095" priority="3196">
      <formula>LEN(TRIM(U966))&gt;0</formula>
    </cfRule>
  </conditionalFormatting>
  <conditionalFormatting sqref="U966:Y966">
    <cfRule type="notContainsBlanks" dxfId="3094" priority="3195">
      <formula>LEN(TRIM(U966))&gt;0</formula>
    </cfRule>
  </conditionalFormatting>
  <conditionalFormatting sqref="U966:Y966">
    <cfRule type="notContainsBlanks" dxfId="3093" priority="3194">
      <formula>LEN(TRIM(U966))&gt;0</formula>
    </cfRule>
  </conditionalFormatting>
  <conditionalFormatting sqref="U966:Y966">
    <cfRule type="notContainsBlanks" dxfId="3092" priority="3193">
      <formula>LEN(TRIM(U966))&gt;0</formula>
    </cfRule>
  </conditionalFormatting>
  <conditionalFormatting sqref="U966:Y966">
    <cfRule type="notContainsBlanks" dxfId="3091" priority="3192">
      <formula>LEN(TRIM(U966))&gt;0</formula>
    </cfRule>
  </conditionalFormatting>
  <conditionalFormatting sqref="U966:Y966">
    <cfRule type="notContainsBlanks" dxfId="3090" priority="3191">
      <formula>LEN(TRIM(U966))&gt;0</formula>
    </cfRule>
  </conditionalFormatting>
  <conditionalFormatting sqref="U966:Y966">
    <cfRule type="notContainsBlanks" dxfId="3089" priority="3190">
      <formula>LEN(TRIM(U966))&gt;0</formula>
    </cfRule>
  </conditionalFormatting>
  <conditionalFormatting sqref="U966:Y966">
    <cfRule type="notContainsBlanks" dxfId="3088" priority="3189">
      <formula>LEN(TRIM(U966))&gt;0</formula>
    </cfRule>
  </conditionalFormatting>
  <conditionalFormatting sqref="U966:Y966">
    <cfRule type="notContainsBlanks" priority="3188">
      <formula>LEN(TRIM(U966))&gt;0</formula>
    </cfRule>
  </conditionalFormatting>
  <conditionalFormatting sqref="U966:Y966">
    <cfRule type="notContainsBlanks" dxfId="3087" priority="3187">
      <formula>LEN(TRIM(U966))&gt;0</formula>
    </cfRule>
  </conditionalFormatting>
  <conditionalFormatting sqref="U966:Y966">
    <cfRule type="notContainsBlanks" dxfId="3086" priority="3186">
      <formula>LEN(TRIM(U966))&gt;0</formula>
    </cfRule>
  </conditionalFormatting>
  <conditionalFormatting sqref="U966:Y966">
    <cfRule type="notContainsBlanks" dxfId="3085" priority="3185">
      <formula>LEN(TRIM(U966))&gt;0</formula>
    </cfRule>
  </conditionalFormatting>
  <conditionalFormatting sqref="U966:Y966">
    <cfRule type="notContainsBlanks" dxfId="3084" priority="3184">
      <formula>LEN(TRIM(U966))&gt;0</formula>
    </cfRule>
  </conditionalFormatting>
  <conditionalFormatting sqref="U966:Y966">
    <cfRule type="notContainsBlanks" dxfId="3083" priority="3183">
      <formula>LEN(TRIM(U966))&gt;0</formula>
    </cfRule>
  </conditionalFormatting>
  <conditionalFormatting sqref="U979:Y979">
    <cfRule type="notContainsBlanks" dxfId="3082" priority="3182">
      <formula>LEN(TRIM(U979))&gt;0</formula>
    </cfRule>
  </conditionalFormatting>
  <conditionalFormatting sqref="U979:Y979">
    <cfRule type="notContainsBlanks" dxfId="3081" priority="3181">
      <formula>LEN(TRIM(U979))&gt;0</formula>
    </cfRule>
  </conditionalFormatting>
  <conditionalFormatting sqref="U979:Y979">
    <cfRule type="notContainsBlanks" dxfId="3080" priority="3180">
      <formula>LEN(TRIM(U979))&gt;0</formula>
    </cfRule>
  </conditionalFormatting>
  <conditionalFormatting sqref="U979:Y979">
    <cfRule type="notContainsBlanks" dxfId="3079" priority="3179">
      <formula>LEN(TRIM(U979))&gt;0</formula>
    </cfRule>
  </conditionalFormatting>
  <conditionalFormatting sqref="U979:Y979">
    <cfRule type="notContainsBlanks" dxfId="3078" priority="3178">
      <formula>LEN(TRIM(U979))&gt;0</formula>
    </cfRule>
  </conditionalFormatting>
  <conditionalFormatting sqref="U979:Y979">
    <cfRule type="notContainsBlanks" dxfId="3077" priority="3177">
      <formula>LEN(TRIM(U979))&gt;0</formula>
    </cfRule>
  </conditionalFormatting>
  <conditionalFormatting sqref="U979:Y979">
    <cfRule type="notContainsBlanks" dxfId="3076" priority="3176">
      <formula>LEN(TRIM(U979))&gt;0</formula>
    </cfRule>
  </conditionalFormatting>
  <conditionalFormatting sqref="U979:Y979">
    <cfRule type="notContainsBlanks" dxfId="3075" priority="3175">
      <formula>LEN(TRIM(U979))&gt;0</formula>
    </cfRule>
  </conditionalFormatting>
  <conditionalFormatting sqref="U979:Y979">
    <cfRule type="notContainsBlanks" dxfId="3074" priority="3174">
      <formula>LEN(TRIM(U979))&gt;0</formula>
    </cfRule>
  </conditionalFormatting>
  <conditionalFormatting sqref="U979:Y979">
    <cfRule type="notContainsBlanks" dxfId="3073" priority="3172">
      <formula>LEN(TRIM(U979))&gt;0</formula>
    </cfRule>
    <cfRule type="notContainsBlanks" dxfId="3072" priority="3173">
      <formula>LEN(TRIM(U979))&gt;0</formula>
    </cfRule>
  </conditionalFormatting>
  <conditionalFormatting sqref="U979:Y979">
    <cfRule type="notContainsBlanks" dxfId="3071" priority="3171">
      <formula>LEN(TRIM(U979))&gt;0</formula>
    </cfRule>
  </conditionalFormatting>
  <conditionalFormatting sqref="U979:Y979">
    <cfRule type="notContainsBlanks" dxfId="3070" priority="3170">
      <formula>LEN(TRIM(U979))&gt;0</formula>
    </cfRule>
  </conditionalFormatting>
  <conditionalFormatting sqref="U979:Y979">
    <cfRule type="notContainsBlanks" dxfId="3069" priority="3169">
      <formula>LEN(TRIM(U979))&gt;0</formula>
    </cfRule>
  </conditionalFormatting>
  <conditionalFormatting sqref="U979:Y979">
    <cfRule type="notContainsBlanks" dxfId="3068" priority="3168">
      <formula>LEN(TRIM(U979))&gt;0</formula>
    </cfRule>
  </conditionalFormatting>
  <conditionalFormatting sqref="U979:Y979">
    <cfRule type="notContainsBlanks" dxfId="3067" priority="3167">
      <formula>LEN(TRIM(U979))&gt;0</formula>
    </cfRule>
  </conditionalFormatting>
  <conditionalFormatting sqref="U979:Y979">
    <cfRule type="notContainsBlanks" dxfId="3066" priority="3166">
      <formula>LEN(TRIM(U979))&gt;0</formula>
    </cfRule>
  </conditionalFormatting>
  <conditionalFormatting sqref="U979:Y979">
    <cfRule type="notContainsBlanks" dxfId="3065" priority="3165">
      <formula>LEN(TRIM(U979))&gt;0</formula>
    </cfRule>
  </conditionalFormatting>
  <conditionalFormatting sqref="U979:Y979">
    <cfRule type="notContainsBlanks" dxfId="3064" priority="3164">
      <formula>LEN(TRIM(U979))&gt;0</formula>
    </cfRule>
  </conditionalFormatting>
  <conditionalFormatting sqref="U979:Y979">
    <cfRule type="notContainsBlanks" dxfId="3063" priority="3163">
      <formula>LEN(TRIM(U979))&gt;0</formula>
    </cfRule>
  </conditionalFormatting>
  <conditionalFormatting sqref="U979:Y979">
    <cfRule type="notContainsBlanks" priority="3162">
      <formula>LEN(TRIM(U979))&gt;0</formula>
    </cfRule>
  </conditionalFormatting>
  <conditionalFormatting sqref="U979:Y979">
    <cfRule type="notContainsBlanks" dxfId="3062" priority="3161">
      <formula>LEN(TRIM(U979))&gt;0</formula>
    </cfRule>
  </conditionalFormatting>
  <conditionalFormatting sqref="U979:Y979">
    <cfRule type="notContainsBlanks" dxfId="3061" priority="3160">
      <formula>LEN(TRIM(U979))&gt;0</formula>
    </cfRule>
  </conditionalFormatting>
  <conditionalFormatting sqref="U979:Y979">
    <cfRule type="notContainsBlanks" dxfId="3060" priority="3159">
      <formula>LEN(TRIM(U979))&gt;0</formula>
    </cfRule>
  </conditionalFormatting>
  <conditionalFormatting sqref="U979:Y979">
    <cfRule type="notContainsBlanks" dxfId="3059" priority="3158">
      <formula>LEN(TRIM(U979))&gt;0</formula>
    </cfRule>
  </conditionalFormatting>
  <conditionalFormatting sqref="U979:Y979">
    <cfRule type="notContainsBlanks" dxfId="3058" priority="3157">
      <formula>LEN(TRIM(U979))&gt;0</formula>
    </cfRule>
  </conditionalFormatting>
  <conditionalFormatting sqref="U992:Y992">
    <cfRule type="notContainsBlanks" dxfId="3057" priority="3156">
      <formula>LEN(TRIM(U992))&gt;0</formula>
    </cfRule>
  </conditionalFormatting>
  <conditionalFormatting sqref="U992:Y992">
    <cfRule type="notContainsBlanks" dxfId="3056" priority="3155">
      <formula>LEN(TRIM(U992))&gt;0</formula>
    </cfRule>
  </conditionalFormatting>
  <conditionalFormatting sqref="U992:Y992">
    <cfRule type="notContainsBlanks" dxfId="3055" priority="3154">
      <formula>LEN(TRIM(U992))&gt;0</formula>
    </cfRule>
  </conditionalFormatting>
  <conditionalFormatting sqref="U992:Y992">
    <cfRule type="notContainsBlanks" dxfId="3054" priority="3153">
      <formula>LEN(TRIM(U992))&gt;0</formula>
    </cfRule>
  </conditionalFormatting>
  <conditionalFormatting sqref="U992:Y992">
    <cfRule type="notContainsBlanks" dxfId="3053" priority="3152">
      <formula>LEN(TRIM(U992))&gt;0</formula>
    </cfRule>
  </conditionalFormatting>
  <conditionalFormatting sqref="U992:Y992">
    <cfRule type="notContainsBlanks" dxfId="3052" priority="3151">
      <formula>LEN(TRIM(U992))&gt;0</formula>
    </cfRule>
  </conditionalFormatting>
  <conditionalFormatting sqref="U992:Y992">
    <cfRule type="notContainsBlanks" dxfId="3051" priority="3150">
      <formula>LEN(TRIM(U992))&gt;0</formula>
    </cfRule>
  </conditionalFormatting>
  <conditionalFormatting sqref="U992:Y992">
    <cfRule type="notContainsBlanks" dxfId="3050" priority="3149">
      <formula>LEN(TRIM(U992))&gt;0</formula>
    </cfRule>
  </conditionalFormatting>
  <conditionalFormatting sqref="U992:Y992">
    <cfRule type="notContainsBlanks" dxfId="3049" priority="3148">
      <formula>LEN(TRIM(U992))&gt;0</formula>
    </cfRule>
  </conditionalFormatting>
  <conditionalFormatting sqref="U992:Y992">
    <cfRule type="notContainsBlanks" dxfId="3048" priority="3146">
      <formula>LEN(TRIM(U992))&gt;0</formula>
    </cfRule>
    <cfRule type="notContainsBlanks" dxfId="3047" priority="3147">
      <formula>LEN(TRIM(U992))&gt;0</formula>
    </cfRule>
  </conditionalFormatting>
  <conditionalFormatting sqref="U992:Y992">
    <cfRule type="notContainsBlanks" dxfId="3046" priority="3145">
      <formula>LEN(TRIM(U992))&gt;0</formula>
    </cfRule>
  </conditionalFormatting>
  <conditionalFormatting sqref="U992:Y992">
    <cfRule type="notContainsBlanks" dxfId="3045" priority="3144">
      <formula>LEN(TRIM(U992))&gt;0</formula>
    </cfRule>
  </conditionalFormatting>
  <conditionalFormatting sqref="U992:Y992">
    <cfRule type="notContainsBlanks" dxfId="3044" priority="3143">
      <formula>LEN(TRIM(U992))&gt;0</formula>
    </cfRule>
  </conditionalFormatting>
  <conditionalFormatting sqref="U992:Y992">
    <cfRule type="notContainsBlanks" dxfId="3043" priority="3142">
      <formula>LEN(TRIM(U992))&gt;0</formula>
    </cfRule>
  </conditionalFormatting>
  <conditionalFormatting sqref="U992:Y992">
    <cfRule type="notContainsBlanks" dxfId="3042" priority="3141">
      <formula>LEN(TRIM(U992))&gt;0</formula>
    </cfRule>
  </conditionalFormatting>
  <conditionalFormatting sqref="U992:Y992">
    <cfRule type="notContainsBlanks" dxfId="3041" priority="3140">
      <formula>LEN(TRIM(U992))&gt;0</formula>
    </cfRule>
  </conditionalFormatting>
  <conditionalFormatting sqref="U992:Y992">
    <cfRule type="notContainsBlanks" dxfId="3040" priority="3139">
      <formula>LEN(TRIM(U992))&gt;0</formula>
    </cfRule>
  </conditionalFormatting>
  <conditionalFormatting sqref="U992:Y992">
    <cfRule type="notContainsBlanks" dxfId="3039" priority="3138">
      <formula>LEN(TRIM(U992))&gt;0</formula>
    </cfRule>
  </conditionalFormatting>
  <conditionalFormatting sqref="U992:Y992">
    <cfRule type="notContainsBlanks" dxfId="3038" priority="3137">
      <formula>LEN(TRIM(U992))&gt;0</formula>
    </cfRule>
  </conditionalFormatting>
  <conditionalFormatting sqref="U992:Y992">
    <cfRule type="notContainsBlanks" priority="3136">
      <formula>LEN(TRIM(U992))&gt;0</formula>
    </cfRule>
  </conditionalFormatting>
  <conditionalFormatting sqref="U992:Y992">
    <cfRule type="notContainsBlanks" dxfId="3037" priority="3135">
      <formula>LEN(TRIM(U992))&gt;0</formula>
    </cfRule>
  </conditionalFormatting>
  <conditionalFormatting sqref="U992:Y992">
    <cfRule type="notContainsBlanks" dxfId="3036" priority="3134">
      <formula>LEN(TRIM(U992))&gt;0</formula>
    </cfRule>
  </conditionalFormatting>
  <conditionalFormatting sqref="U992:Y992">
    <cfRule type="notContainsBlanks" dxfId="3035" priority="3133">
      <formula>LEN(TRIM(U992))&gt;0</formula>
    </cfRule>
  </conditionalFormatting>
  <conditionalFormatting sqref="U992:Y992">
    <cfRule type="notContainsBlanks" dxfId="3034" priority="3132">
      <formula>LEN(TRIM(U992))&gt;0</formula>
    </cfRule>
  </conditionalFormatting>
  <conditionalFormatting sqref="U992:Y992">
    <cfRule type="notContainsBlanks" dxfId="3033" priority="3131">
      <formula>LEN(TRIM(U992))&gt;0</formula>
    </cfRule>
  </conditionalFormatting>
  <conditionalFormatting sqref="U1005:Y1005">
    <cfRule type="notContainsBlanks" dxfId="3032" priority="3130">
      <formula>LEN(TRIM(U1005))&gt;0</formula>
    </cfRule>
  </conditionalFormatting>
  <conditionalFormatting sqref="U1005:Y1005">
    <cfRule type="notContainsBlanks" dxfId="3031" priority="3129">
      <formula>LEN(TRIM(U1005))&gt;0</formula>
    </cfRule>
  </conditionalFormatting>
  <conditionalFormatting sqref="U1005:Y1005">
    <cfRule type="notContainsBlanks" dxfId="3030" priority="3128">
      <formula>LEN(TRIM(U1005))&gt;0</formula>
    </cfRule>
  </conditionalFormatting>
  <conditionalFormatting sqref="U1005:Y1005">
    <cfRule type="notContainsBlanks" dxfId="3029" priority="3127">
      <formula>LEN(TRIM(U1005))&gt;0</formula>
    </cfRule>
  </conditionalFormatting>
  <conditionalFormatting sqref="U1005:Y1005">
    <cfRule type="notContainsBlanks" dxfId="3028" priority="3126">
      <formula>LEN(TRIM(U1005))&gt;0</formula>
    </cfRule>
  </conditionalFormatting>
  <conditionalFormatting sqref="U1005:Y1005">
    <cfRule type="notContainsBlanks" dxfId="3027" priority="3125">
      <formula>LEN(TRIM(U1005))&gt;0</formula>
    </cfRule>
  </conditionalFormatting>
  <conditionalFormatting sqref="U1005:Y1005">
    <cfRule type="notContainsBlanks" dxfId="3026" priority="3124">
      <formula>LEN(TRIM(U1005))&gt;0</formula>
    </cfRule>
  </conditionalFormatting>
  <conditionalFormatting sqref="U1005:Y1005">
    <cfRule type="notContainsBlanks" dxfId="3025" priority="3123">
      <formula>LEN(TRIM(U1005))&gt;0</formula>
    </cfRule>
  </conditionalFormatting>
  <conditionalFormatting sqref="U1005:Y1005">
    <cfRule type="notContainsBlanks" dxfId="3024" priority="3122">
      <formula>LEN(TRIM(U1005))&gt;0</formula>
    </cfRule>
  </conditionalFormatting>
  <conditionalFormatting sqref="U1005:Y1005">
    <cfRule type="notContainsBlanks" dxfId="3023" priority="3120">
      <formula>LEN(TRIM(U1005))&gt;0</formula>
    </cfRule>
    <cfRule type="notContainsBlanks" dxfId="3022" priority="3121">
      <formula>LEN(TRIM(U1005))&gt;0</formula>
    </cfRule>
  </conditionalFormatting>
  <conditionalFormatting sqref="U1005:Y1005">
    <cfRule type="notContainsBlanks" dxfId="3021" priority="3119">
      <formula>LEN(TRIM(U1005))&gt;0</formula>
    </cfRule>
  </conditionalFormatting>
  <conditionalFormatting sqref="U1005:Y1005">
    <cfRule type="notContainsBlanks" dxfId="3020" priority="3118">
      <formula>LEN(TRIM(U1005))&gt;0</formula>
    </cfRule>
  </conditionalFormatting>
  <conditionalFormatting sqref="U1005:Y1005">
    <cfRule type="notContainsBlanks" dxfId="3019" priority="3117">
      <formula>LEN(TRIM(U1005))&gt;0</formula>
    </cfRule>
  </conditionalFormatting>
  <conditionalFormatting sqref="U1005:Y1005">
    <cfRule type="notContainsBlanks" dxfId="3018" priority="3116">
      <formula>LEN(TRIM(U1005))&gt;0</formula>
    </cfRule>
  </conditionalFormatting>
  <conditionalFormatting sqref="U1005:Y1005">
    <cfRule type="notContainsBlanks" dxfId="3017" priority="3115">
      <formula>LEN(TRIM(U1005))&gt;0</formula>
    </cfRule>
  </conditionalFormatting>
  <conditionalFormatting sqref="U1005:Y1005">
    <cfRule type="notContainsBlanks" dxfId="3016" priority="3114">
      <formula>LEN(TRIM(U1005))&gt;0</formula>
    </cfRule>
  </conditionalFormatting>
  <conditionalFormatting sqref="U1005:Y1005">
    <cfRule type="notContainsBlanks" dxfId="3015" priority="3113">
      <formula>LEN(TRIM(U1005))&gt;0</formula>
    </cfRule>
  </conditionalFormatting>
  <conditionalFormatting sqref="U1005:Y1005">
    <cfRule type="notContainsBlanks" dxfId="3014" priority="3112">
      <formula>LEN(TRIM(U1005))&gt;0</formula>
    </cfRule>
  </conditionalFormatting>
  <conditionalFormatting sqref="U1005:Y1005">
    <cfRule type="notContainsBlanks" dxfId="3013" priority="3111">
      <formula>LEN(TRIM(U1005))&gt;0</formula>
    </cfRule>
  </conditionalFormatting>
  <conditionalFormatting sqref="U1005:Y1005">
    <cfRule type="notContainsBlanks" priority="3110">
      <formula>LEN(TRIM(U1005))&gt;0</formula>
    </cfRule>
  </conditionalFormatting>
  <conditionalFormatting sqref="U1005:Y1005">
    <cfRule type="notContainsBlanks" dxfId="3012" priority="3109">
      <formula>LEN(TRIM(U1005))&gt;0</formula>
    </cfRule>
  </conditionalFormatting>
  <conditionalFormatting sqref="U1005:Y1005">
    <cfRule type="notContainsBlanks" dxfId="3011" priority="3108">
      <formula>LEN(TRIM(U1005))&gt;0</formula>
    </cfRule>
  </conditionalFormatting>
  <conditionalFormatting sqref="U1005:Y1005">
    <cfRule type="notContainsBlanks" dxfId="3010" priority="3107">
      <formula>LEN(TRIM(U1005))&gt;0</formula>
    </cfRule>
  </conditionalFormatting>
  <conditionalFormatting sqref="U1005:Y1005">
    <cfRule type="notContainsBlanks" dxfId="3009" priority="3106">
      <formula>LEN(TRIM(U1005))&gt;0</formula>
    </cfRule>
  </conditionalFormatting>
  <conditionalFormatting sqref="U1005:Y1005">
    <cfRule type="notContainsBlanks" dxfId="3008" priority="3105">
      <formula>LEN(TRIM(U1005))&gt;0</formula>
    </cfRule>
  </conditionalFormatting>
  <conditionalFormatting sqref="U1018:Y1018">
    <cfRule type="notContainsBlanks" dxfId="3007" priority="3104">
      <formula>LEN(TRIM(U1018))&gt;0</formula>
    </cfRule>
  </conditionalFormatting>
  <conditionalFormatting sqref="U1018:Y1018">
    <cfRule type="notContainsBlanks" dxfId="3006" priority="3103">
      <formula>LEN(TRIM(U1018))&gt;0</formula>
    </cfRule>
  </conditionalFormatting>
  <conditionalFormatting sqref="U1018:Y1018">
    <cfRule type="notContainsBlanks" dxfId="3005" priority="3102">
      <formula>LEN(TRIM(U1018))&gt;0</formula>
    </cfRule>
  </conditionalFormatting>
  <conditionalFormatting sqref="U1018:Y1018">
    <cfRule type="notContainsBlanks" dxfId="3004" priority="3101">
      <formula>LEN(TRIM(U1018))&gt;0</formula>
    </cfRule>
  </conditionalFormatting>
  <conditionalFormatting sqref="U1018:Y1018">
    <cfRule type="notContainsBlanks" dxfId="3003" priority="3100">
      <formula>LEN(TRIM(U1018))&gt;0</formula>
    </cfRule>
  </conditionalFormatting>
  <conditionalFormatting sqref="U1018:Y1018">
    <cfRule type="notContainsBlanks" dxfId="3002" priority="3099">
      <formula>LEN(TRIM(U1018))&gt;0</formula>
    </cfRule>
  </conditionalFormatting>
  <conditionalFormatting sqref="U1018:Y1018">
    <cfRule type="notContainsBlanks" dxfId="3001" priority="3098">
      <formula>LEN(TRIM(U1018))&gt;0</formula>
    </cfRule>
  </conditionalFormatting>
  <conditionalFormatting sqref="U1018:Y1018">
    <cfRule type="notContainsBlanks" dxfId="3000" priority="3097">
      <formula>LEN(TRIM(U1018))&gt;0</formula>
    </cfRule>
  </conditionalFormatting>
  <conditionalFormatting sqref="U1018:Y1018">
    <cfRule type="notContainsBlanks" dxfId="2999" priority="3096">
      <formula>LEN(TRIM(U1018))&gt;0</formula>
    </cfRule>
  </conditionalFormatting>
  <conditionalFormatting sqref="U1018:Y1018">
    <cfRule type="notContainsBlanks" dxfId="2998" priority="3094">
      <formula>LEN(TRIM(U1018))&gt;0</formula>
    </cfRule>
    <cfRule type="notContainsBlanks" dxfId="2997" priority="3095">
      <formula>LEN(TRIM(U1018))&gt;0</formula>
    </cfRule>
  </conditionalFormatting>
  <conditionalFormatting sqref="U1018:Y1018">
    <cfRule type="notContainsBlanks" dxfId="2996" priority="3093">
      <formula>LEN(TRIM(U1018))&gt;0</formula>
    </cfRule>
  </conditionalFormatting>
  <conditionalFormatting sqref="U1018:Y1018">
    <cfRule type="notContainsBlanks" dxfId="2995" priority="3092">
      <formula>LEN(TRIM(U1018))&gt;0</formula>
    </cfRule>
  </conditionalFormatting>
  <conditionalFormatting sqref="U1018:Y1018">
    <cfRule type="notContainsBlanks" dxfId="2994" priority="3091">
      <formula>LEN(TRIM(U1018))&gt;0</formula>
    </cfRule>
  </conditionalFormatting>
  <conditionalFormatting sqref="U1018:Y1018">
    <cfRule type="notContainsBlanks" dxfId="2993" priority="3090">
      <formula>LEN(TRIM(U1018))&gt;0</formula>
    </cfRule>
  </conditionalFormatting>
  <conditionalFormatting sqref="U1018:Y1018">
    <cfRule type="notContainsBlanks" dxfId="2992" priority="3089">
      <formula>LEN(TRIM(U1018))&gt;0</formula>
    </cfRule>
  </conditionalFormatting>
  <conditionalFormatting sqref="U1018:Y1018">
    <cfRule type="notContainsBlanks" dxfId="2991" priority="3088">
      <formula>LEN(TRIM(U1018))&gt;0</formula>
    </cfRule>
  </conditionalFormatting>
  <conditionalFormatting sqref="U1018:Y1018">
    <cfRule type="notContainsBlanks" dxfId="2990" priority="3087">
      <formula>LEN(TRIM(U1018))&gt;0</formula>
    </cfRule>
  </conditionalFormatting>
  <conditionalFormatting sqref="U1018:Y1018">
    <cfRule type="notContainsBlanks" dxfId="2989" priority="3086">
      <formula>LEN(TRIM(U1018))&gt;0</formula>
    </cfRule>
  </conditionalFormatting>
  <conditionalFormatting sqref="U1018:Y1018">
    <cfRule type="notContainsBlanks" dxfId="2988" priority="3085">
      <formula>LEN(TRIM(U1018))&gt;0</formula>
    </cfRule>
  </conditionalFormatting>
  <conditionalFormatting sqref="U1018:Y1018">
    <cfRule type="notContainsBlanks" priority="3084">
      <formula>LEN(TRIM(U1018))&gt;0</formula>
    </cfRule>
  </conditionalFormatting>
  <conditionalFormatting sqref="U1018:Y1018">
    <cfRule type="notContainsBlanks" dxfId="2987" priority="3083">
      <formula>LEN(TRIM(U1018))&gt;0</formula>
    </cfRule>
  </conditionalFormatting>
  <conditionalFormatting sqref="U1018:Y1018">
    <cfRule type="notContainsBlanks" dxfId="2986" priority="3082">
      <formula>LEN(TRIM(U1018))&gt;0</formula>
    </cfRule>
  </conditionalFormatting>
  <conditionalFormatting sqref="U1018:Y1018">
    <cfRule type="notContainsBlanks" dxfId="2985" priority="3081">
      <formula>LEN(TRIM(U1018))&gt;0</formula>
    </cfRule>
  </conditionalFormatting>
  <conditionalFormatting sqref="U1018:Y1018">
    <cfRule type="notContainsBlanks" dxfId="2984" priority="3080">
      <formula>LEN(TRIM(U1018))&gt;0</formula>
    </cfRule>
  </conditionalFormatting>
  <conditionalFormatting sqref="U1018:Y1018">
    <cfRule type="notContainsBlanks" dxfId="2983" priority="3079">
      <formula>LEN(TRIM(U1018))&gt;0</formula>
    </cfRule>
  </conditionalFormatting>
  <conditionalFormatting sqref="U1044:Y1044">
    <cfRule type="notContainsBlanks" dxfId="2982" priority="3078">
      <formula>LEN(TRIM(U1044))&gt;0</formula>
    </cfRule>
  </conditionalFormatting>
  <conditionalFormatting sqref="U1044:Y1044">
    <cfRule type="notContainsBlanks" dxfId="2981" priority="3077">
      <formula>LEN(TRIM(U1044))&gt;0</formula>
    </cfRule>
  </conditionalFormatting>
  <conditionalFormatting sqref="U1044:Y1044">
    <cfRule type="notContainsBlanks" dxfId="2980" priority="3076">
      <formula>LEN(TRIM(U1044))&gt;0</formula>
    </cfRule>
  </conditionalFormatting>
  <conditionalFormatting sqref="U1044:Y1044">
    <cfRule type="notContainsBlanks" dxfId="2979" priority="3075">
      <formula>LEN(TRIM(U1044))&gt;0</formula>
    </cfRule>
  </conditionalFormatting>
  <conditionalFormatting sqref="U1044:Y1044">
    <cfRule type="notContainsBlanks" dxfId="2978" priority="3074">
      <formula>LEN(TRIM(U1044))&gt;0</formula>
    </cfRule>
  </conditionalFormatting>
  <conditionalFormatting sqref="U1044:Y1044">
    <cfRule type="notContainsBlanks" dxfId="2977" priority="3073">
      <formula>LEN(TRIM(U1044))&gt;0</formula>
    </cfRule>
  </conditionalFormatting>
  <conditionalFormatting sqref="U1044:Y1044">
    <cfRule type="notContainsBlanks" dxfId="2976" priority="3072">
      <formula>LEN(TRIM(U1044))&gt;0</formula>
    </cfRule>
  </conditionalFormatting>
  <conditionalFormatting sqref="U1044:Y1044">
    <cfRule type="notContainsBlanks" dxfId="2975" priority="3071">
      <formula>LEN(TRIM(U1044))&gt;0</formula>
    </cfRule>
  </conditionalFormatting>
  <conditionalFormatting sqref="U1044:Y1044">
    <cfRule type="notContainsBlanks" dxfId="2974" priority="3070">
      <formula>LEN(TRIM(U1044))&gt;0</formula>
    </cfRule>
  </conditionalFormatting>
  <conditionalFormatting sqref="U1044:Y1044">
    <cfRule type="notContainsBlanks" dxfId="2973" priority="3068">
      <formula>LEN(TRIM(U1044))&gt;0</formula>
    </cfRule>
    <cfRule type="notContainsBlanks" dxfId="2972" priority="3069">
      <formula>LEN(TRIM(U1044))&gt;0</formula>
    </cfRule>
  </conditionalFormatting>
  <conditionalFormatting sqref="U1044:Y1044">
    <cfRule type="notContainsBlanks" dxfId="2971" priority="3067">
      <formula>LEN(TRIM(U1044))&gt;0</formula>
    </cfRule>
  </conditionalFormatting>
  <conditionalFormatting sqref="U1044:Y1044">
    <cfRule type="notContainsBlanks" dxfId="2970" priority="3066">
      <formula>LEN(TRIM(U1044))&gt;0</formula>
    </cfRule>
  </conditionalFormatting>
  <conditionalFormatting sqref="U1044:Y1044">
    <cfRule type="notContainsBlanks" dxfId="2969" priority="3065">
      <formula>LEN(TRIM(U1044))&gt;0</formula>
    </cfRule>
  </conditionalFormatting>
  <conditionalFormatting sqref="U1044:Y1044">
    <cfRule type="notContainsBlanks" dxfId="2968" priority="3064">
      <formula>LEN(TRIM(U1044))&gt;0</formula>
    </cfRule>
  </conditionalFormatting>
  <conditionalFormatting sqref="U1044:Y1044">
    <cfRule type="notContainsBlanks" dxfId="2967" priority="3063">
      <formula>LEN(TRIM(U1044))&gt;0</formula>
    </cfRule>
  </conditionalFormatting>
  <conditionalFormatting sqref="U1044:Y1044">
    <cfRule type="notContainsBlanks" dxfId="2966" priority="3062">
      <formula>LEN(TRIM(U1044))&gt;0</formula>
    </cfRule>
  </conditionalFormatting>
  <conditionalFormatting sqref="U1044:Y1044">
    <cfRule type="notContainsBlanks" dxfId="2965" priority="3061">
      <formula>LEN(TRIM(U1044))&gt;0</formula>
    </cfRule>
  </conditionalFormatting>
  <conditionalFormatting sqref="U1044:Y1044">
    <cfRule type="notContainsBlanks" dxfId="2964" priority="3060">
      <formula>LEN(TRIM(U1044))&gt;0</formula>
    </cfRule>
  </conditionalFormatting>
  <conditionalFormatting sqref="U1044:Y1044">
    <cfRule type="notContainsBlanks" dxfId="2963" priority="3059">
      <formula>LEN(TRIM(U1044))&gt;0</formula>
    </cfRule>
  </conditionalFormatting>
  <conditionalFormatting sqref="U1044:Y1044">
    <cfRule type="notContainsBlanks" priority="3058">
      <formula>LEN(TRIM(U1044))&gt;0</formula>
    </cfRule>
  </conditionalFormatting>
  <conditionalFormatting sqref="U1044:Y1044">
    <cfRule type="notContainsBlanks" dxfId="2962" priority="3057">
      <formula>LEN(TRIM(U1044))&gt;0</formula>
    </cfRule>
  </conditionalFormatting>
  <conditionalFormatting sqref="U1044:Y1044">
    <cfRule type="notContainsBlanks" dxfId="2961" priority="3056">
      <formula>LEN(TRIM(U1044))&gt;0</formula>
    </cfRule>
  </conditionalFormatting>
  <conditionalFormatting sqref="U1044:Y1044">
    <cfRule type="notContainsBlanks" dxfId="2960" priority="3055">
      <formula>LEN(TRIM(U1044))&gt;0</formula>
    </cfRule>
  </conditionalFormatting>
  <conditionalFormatting sqref="U1044:Y1044">
    <cfRule type="notContainsBlanks" dxfId="2959" priority="3054">
      <formula>LEN(TRIM(U1044))&gt;0</formula>
    </cfRule>
  </conditionalFormatting>
  <conditionalFormatting sqref="U1044:Y1044">
    <cfRule type="notContainsBlanks" dxfId="2958" priority="3053">
      <formula>LEN(TRIM(U1044))&gt;0</formula>
    </cfRule>
  </conditionalFormatting>
  <conditionalFormatting sqref="U1057:Y1057">
    <cfRule type="notContainsBlanks" dxfId="2957" priority="3052">
      <formula>LEN(TRIM(U1057))&gt;0</formula>
    </cfRule>
  </conditionalFormatting>
  <conditionalFormatting sqref="U1057:Y1057">
    <cfRule type="notContainsBlanks" dxfId="2956" priority="3051">
      <formula>LEN(TRIM(U1057))&gt;0</formula>
    </cfRule>
  </conditionalFormatting>
  <conditionalFormatting sqref="U1057:Y1057">
    <cfRule type="notContainsBlanks" dxfId="2955" priority="3050">
      <formula>LEN(TRIM(U1057))&gt;0</formula>
    </cfRule>
  </conditionalFormatting>
  <conditionalFormatting sqref="U1057:Y1057">
    <cfRule type="notContainsBlanks" dxfId="2954" priority="3049">
      <formula>LEN(TRIM(U1057))&gt;0</formula>
    </cfRule>
  </conditionalFormatting>
  <conditionalFormatting sqref="U1057:Y1057">
    <cfRule type="notContainsBlanks" dxfId="2953" priority="3048">
      <formula>LEN(TRIM(U1057))&gt;0</formula>
    </cfRule>
  </conditionalFormatting>
  <conditionalFormatting sqref="U1057:Y1057">
    <cfRule type="notContainsBlanks" dxfId="2952" priority="3047">
      <formula>LEN(TRIM(U1057))&gt;0</formula>
    </cfRule>
  </conditionalFormatting>
  <conditionalFormatting sqref="U1057:Y1057">
    <cfRule type="notContainsBlanks" dxfId="2951" priority="3046">
      <formula>LEN(TRIM(U1057))&gt;0</formula>
    </cfRule>
  </conditionalFormatting>
  <conditionalFormatting sqref="U1057:Y1057">
    <cfRule type="notContainsBlanks" dxfId="2950" priority="3045">
      <formula>LEN(TRIM(U1057))&gt;0</formula>
    </cfRule>
  </conditionalFormatting>
  <conditionalFormatting sqref="U1057:Y1057">
    <cfRule type="notContainsBlanks" dxfId="2949" priority="3044">
      <formula>LEN(TRIM(U1057))&gt;0</formula>
    </cfRule>
  </conditionalFormatting>
  <conditionalFormatting sqref="U1057:Y1057">
    <cfRule type="notContainsBlanks" dxfId="2948" priority="3042">
      <formula>LEN(TRIM(U1057))&gt;0</formula>
    </cfRule>
    <cfRule type="notContainsBlanks" dxfId="2947" priority="3043">
      <formula>LEN(TRIM(U1057))&gt;0</formula>
    </cfRule>
  </conditionalFormatting>
  <conditionalFormatting sqref="U1057:Y1057">
    <cfRule type="notContainsBlanks" dxfId="2946" priority="3041">
      <formula>LEN(TRIM(U1057))&gt;0</formula>
    </cfRule>
  </conditionalFormatting>
  <conditionalFormatting sqref="U1057:Y1057">
    <cfRule type="notContainsBlanks" dxfId="2945" priority="3040">
      <formula>LEN(TRIM(U1057))&gt;0</formula>
    </cfRule>
  </conditionalFormatting>
  <conditionalFormatting sqref="U1057:Y1057">
    <cfRule type="notContainsBlanks" dxfId="2944" priority="3039">
      <formula>LEN(TRIM(U1057))&gt;0</formula>
    </cfRule>
  </conditionalFormatting>
  <conditionalFormatting sqref="U1057:Y1057">
    <cfRule type="notContainsBlanks" dxfId="2943" priority="3038">
      <formula>LEN(TRIM(U1057))&gt;0</formula>
    </cfRule>
  </conditionalFormatting>
  <conditionalFormatting sqref="U1057:Y1057">
    <cfRule type="notContainsBlanks" dxfId="2942" priority="3037">
      <formula>LEN(TRIM(U1057))&gt;0</formula>
    </cfRule>
  </conditionalFormatting>
  <conditionalFormatting sqref="U1057:Y1057">
    <cfRule type="notContainsBlanks" dxfId="2941" priority="3036">
      <formula>LEN(TRIM(U1057))&gt;0</formula>
    </cfRule>
  </conditionalFormatting>
  <conditionalFormatting sqref="U1057:Y1057">
    <cfRule type="notContainsBlanks" dxfId="2940" priority="3035">
      <formula>LEN(TRIM(U1057))&gt;0</formula>
    </cfRule>
  </conditionalFormatting>
  <conditionalFormatting sqref="U1057:Y1057">
    <cfRule type="notContainsBlanks" dxfId="2939" priority="3034">
      <formula>LEN(TRIM(U1057))&gt;0</formula>
    </cfRule>
  </conditionalFormatting>
  <conditionalFormatting sqref="U1057:Y1057">
    <cfRule type="notContainsBlanks" dxfId="2938" priority="3033">
      <formula>LEN(TRIM(U1057))&gt;0</formula>
    </cfRule>
  </conditionalFormatting>
  <conditionalFormatting sqref="U1057:Y1057">
    <cfRule type="notContainsBlanks" priority="3032">
      <formula>LEN(TRIM(U1057))&gt;0</formula>
    </cfRule>
  </conditionalFormatting>
  <conditionalFormatting sqref="U1057:Y1057">
    <cfRule type="notContainsBlanks" dxfId="2937" priority="3031">
      <formula>LEN(TRIM(U1057))&gt;0</formula>
    </cfRule>
  </conditionalFormatting>
  <conditionalFormatting sqref="U1057:Y1057">
    <cfRule type="notContainsBlanks" dxfId="2936" priority="3030">
      <formula>LEN(TRIM(U1057))&gt;0</formula>
    </cfRule>
  </conditionalFormatting>
  <conditionalFormatting sqref="U1057:Y1057">
    <cfRule type="notContainsBlanks" dxfId="2935" priority="3029">
      <formula>LEN(TRIM(U1057))&gt;0</formula>
    </cfRule>
  </conditionalFormatting>
  <conditionalFormatting sqref="U1057:Y1057">
    <cfRule type="notContainsBlanks" dxfId="2934" priority="3028">
      <formula>LEN(TRIM(U1057))&gt;0</formula>
    </cfRule>
  </conditionalFormatting>
  <conditionalFormatting sqref="U1057:Y1057">
    <cfRule type="notContainsBlanks" dxfId="2933" priority="3027">
      <formula>LEN(TRIM(U1057))&gt;0</formula>
    </cfRule>
  </conditionalFormatting>
  <conditionalFormatting sqref="U1070:Y1070">
    <cfRule type="notContainsBlanks" dxfId="2932" priority="3026">
      <formula>LEN(TRIM(U1070))&gt;0</formula>
    </cfRule>
  </conditionalFormatting>
  <conditionalFormatting sqref="U1070:Y1070">
    <cfRule type="notContainsBlanks" dxfId="2931" priority="3025">
      <formula>LEN(TRIM(U1070))&gt;0</formula>
    </cfRule>
  </conditionalFormatting>
  <conditionalFormatting sqref="U1070:Y1070">
    <cfRule type="notContainsBlanks" dxfId="2930" priority="3024">
      <formula>LEN(TRIM(U1070))&gt;0</formula>
    </cfRule>
  </conditionalFormatting>
  <conditionalFormatting sqref="U1070:Y1070">
    <cfRule type="notContainsBlanks" dxfId="2929" priority="3023">
      <formula>LEN(TRIM(U1070))&gt;0</formula>
    </cfRule>
  </conditionalFormatting>
  <conditionalFormatting sqref="U1070:Y1070">
    <cfRule type="notContainsBlanks" dxfId="2928" priority="3022">
      <formula>LEN(TRIM(U1070))&gt;0</formula>
    </cfRule>
  </conditionalFormatting>
  <conditionalFormatting sqref="U1070:Y1070">
    <cfRule type="notContainsBlanks" dxfId="2927" priority="3021">
      <formula>LEN(TRIM(U1070))&gt;0</formula>
    </cfRule>
  </conditionalFormatting>
  <conditionalFormatting sqref="U1070:Y1070">
    <cfRule type="notContainsBlanks" dxfId="2926" priority="3020">
      <formula>LEN(TRIM(U1070))&gt;0</formula>
    </cfRule>
  </conditionalFormatting>
  <conditionalFormatting sqref="U1070:Y1070">
    <cfRule type="notContainsBlanks" dxfId="2925" priority="3019">
      <formula>LEN(TRIM(U1070))&gt;0</formula>
    </cfRule>
  </conditionalFormatting>
  <conditionalFormatting sqref="U1070:Y1070">
    <cfRule type="notContainsBlanks" dxfId="2924" priority="3018">
      <formula>LEN(TRIM(U1070))&gt;0</formula>
    </cfRule>
  </conditionalFormatting>
  <conditionalFormatting sqref="U1070:Y1070">
    <cfRule type="notContainsBlanks" dxfId="2923" priority="3016">
      <formula>LEN(TRIM(U1070))&gt;0</formula>
    </cfRule>
    <cfRule type="notContainsBlanks" dxfId="2922" priority="3017">
      <formula>LEN(TRIM(U1070))&gt;0</formula>
    </cfRule>
  </conditionalFormatting>
  <conditionalFormatting sqref="U1070:Y1070">
    <cfRule type="notContainsBlanks" dxfId="2921" priority="3015">
      <formula>LEN(TRIM(U1070))&gt;0</formula>
    </cfRule>
  </conditionalFormatting>
  <conditionalFormatting sqref="U1070:Y1070">
    <cfRule type="notContainsBlanks" dxfId="2920" priority="3014">
      <formula>LEN(TRIM(U1070))&gt;0</formula>
    </cfRule>
  </conditionalFormatting>
  <conditionalFormatting sqref="U1070:Y1070">
    <cfRule type="notContainsBlanks" dxfId="2919" priority="3013">
      <formula>LEN(TRIM(U1070))&gt;0</formula>
    </cfRule>
  </conditionalFormatting>
  <conditionalFormatting sqref="U1070:Y1070">
    <cfRule type="notContainsBlanks" dxfId="2918" priority="3012">
      <formula>LEN(TRIM(U1070))&gt;0</formula>
    </cfRule>
  </conditionalFormatting>
  <conditionalFormatting sqref="U1070:Y1070">
    <cfRule type="notContainsBlanks" dxfId="2917" priority="3011">
      <formula>LEN(TRIM(U1070))&gt;0</formula>
    </cfRule>
  </conditionalFormatting>
  <conditionalFormatting sqref="U1070:Y1070">
    <cfRule type="notContainsBlanks" dxfId="2916" priority="3010">
      <formula>LEN(TRIM(U1070))&gt;0</formula>
    </cfRule>
  </conditionalFormatting>
  <conditionalFormatting sqref="U1070:Y1070">
    <cfRule type="notContainsBlanks" dxfId="2915" priority="3009">
      <formula>LEN(TRIM(U1070))&gt;0</formula>
    </cfRule>
  </conditionalFormatting>
  <conditionalFormatting sqref="U1070:Y1070">
    <cfRule type="notContainsBlanks" dxfId="2914" priority="3008">
      <formula>LEN(TRIM(U1070))&gt;0</formula>
    </cfRule>
  </conditionalFormatting>
  <conditionalFormatting sqref="U1070:Y1070">
    <cfRule type="notContainsBlanks" dxfId="2913" priority="3007">
      <formula>LEN(TRIM(U1070))&gt;0</formula>
    </cfRule>
  </conditionalFormatting>
  <conditionalFormatting sqref="U1070:Y1070">
    <cfRule type="notContainsBlanks" priority="3006">
      <formula>LEN(TRIM(U1070))&gt;0</formula>
    </cfRule>
  </conditionalFormatting>
  <conditionalFormatting sqref="U1070:Y1070">
    <cfRule type="notContainsBlanks" dxfId="2912" priority="3005">
      <formula>LEN(TRIM(U1070))&gt;0</formula>
    </cfRule>
  </conditionalFormatting>
  <conditionalFormatting sqref="U1070:Y1070">
    <cfRule type="notContainsBlanks" dxfId="2911" priority="3004">
      <formula>LEN(TRIM(U1070))&gt;0</formula>
    </cfRule>
  </conditionalFormatting>
  <conditionalFormatting sqref="U1070:Y1070">
    <cfRule type="notContainsBlanks" dxfId="2910" priority="3003">
      <formula>LEN(TRIM(U1070))&gt;0</formula>
    </cfRule>
  </conditionalFormatting>
  <conditionalFormatting sqref="U1070:Y1070">
    <cfRule type="notContainsBlanks" dxfId="2909" priority="3002">
      <formula>LEN(TRIM(U1070))&gt;0</formula>
    </cfRule>
  </conditionalFormatting>
  <conditionalFormatting sqref="U1070:Y1070">
    <cfRule type="notContainsBlanks" dxfId="2908" priority="3001">
      <formula>LEN(TRIM(U1070))&gt;0</formula>
    </cfRule>
  </conditionalFormatting>
  <conditionalFormatting sqref="U1083:Y1083">
    <cfRule type="notContainsBlanks" dxfId="2907" priority="3000">
      <formula>LEN(TRIM(U1083))&gt;0</formula>
    </cfRule>
  </conditionalFormatting>
  <conditionalFormatting sqref="U1083:Y1083">
    <cfRule type="notContainsBlanks" dxfId="2906" priority="2999">
      <formula>LEN(TRIM(U1083))&gt;0</formula>
    </cfRule>
  </conditionalFormatting>
  <conditionalFormatting sqref="U1083:Y1083">
    <cfRule type="notContainsBlanks" dxfId="2905" priority="2998">
      <formula>LEN(TRIM(U1083))&gt;0</formula>
    </cfRule>
  </conditionalFormatting>
  <conditionalFormatting sqref="U1083:Y1083">
    <cfRule type="notContainsBlanks" dxfId="2904" priority="2997">
      <formula>LEN(TRIM(U1083))&gt;0</formula>
    </cfRule>
  </conditionalFormatting>
  <conditionalFormatting sqref="U1083:Y1083">
    <cfRule type="notContainsBlanks" dxfId="2903" priority="2996">
      <formula>LEN(TRIM(U1083))&gt;0</formula>
    </cfRule>
  </conditionalFormatting>
  <conditionalFormatting sqref="U1083:Y1083">
    <cfRule type="notContainsBlanks" dxfId="2902" priority="2995">
      <formula>LEN(TRIM(U1083))&gt;0</formula>
    </cfRule>
  </conditionalFormatting>
  <conditionalFormatting sqref="U1083:Y1083">
    <cfRule type="notContainsBlanks" dxfId="2901" priority="2994">
      <formula>LEN(TRIM(U1083))&gt;0</formula>
    </cfRule>
  </conditionalFormatting>
  <conditionalFormatting sqref="U1083:Y1083">
    <cfRule type="notContainsBlanks" dxfId="2900" priority="2993">
      <formula>LEN(TRIM(U1083))&gt;0</formula>
    </cfRule>
  </conditionalFormatting>
  <conditionalFormatting sqref="U1083:Y1083">
    <cfRule type="notContainsBlanks" dxfId="2899" priority="2992">
      <formula>LEN(TRIM(U1083))&gt;0</formula>
    </cfRule>
  </conditionalFormatting>
  <conditionalFormatting sqref="U1083:Y1083">
    <cfRule type="notContainsBlanks" dxfId="2898" priority="2990">
      <formula>LEN(TRIM(U1083))&gt;0</formula>
    </cfRule>
    <cfRule type="notContainsBlanks" dxfId="2897" priority="2991">
      <formula>LEN(TRIM(U1083))&gt;0</formula>
    </cfRule>
  </conditionalFormatting>
  <conditionalFormatting sqref="U1083:Y1083">
    <cfRule type="notContainsBlanks" dxfId="2896" priority="2989">
      <formula>LEN(TRIM(U1083))&gt;0</formula>
    </cfRule>
  </conditionalFormatting>
  <conditionalFormatting sqref="U1083:Y1083">
    <cfRule type="notContainsBlanks" dxfId="2895" priority="2988">
      <formula>LEN(TRIM(U1083))&gt;0</formula>
    </cfRule>
  </conditionalFormatting>
  <conditionalFormatting sqref="U1083:Y1083">
    <cfRule type="notContainsBlanks" dxfId="2894" priority="2987">
      <formula>LEN(TRIM(U1083))&gt;0</formula>
    </cfRule>
  </conditionalFormatting>
  <conditionalFormatting sqref="U1083:Y1083">
    <cfRule type="notContainsBlanks" dxfId="2893" priority="2986">
      <formula>LEN(TRIM(U1083))&gt;0</formula>
    </cfRule>
  </conditionalFormatting>
  <conditionalFormatting sqref="U1083:Y1083">
    <cfRule type="notContainsBlanks" dxfId="2892" priority="2985">
      <formula>LEN(TRIM(U1083))&gt;0</formula>
    </cfRule>
  </conditionalFormatting>
  <conditionalFormatting sqref="U1083:Y1083">
    <cfRule type="notContainsBlanks" dxfId="2891" priority="2984">
      <formula>LEN(TRIM(U1083))&gt;0</formula>
    </cfRule>
  </conditionalFormatting>
  <conditionalFormatting sqref="U1083:Y1083">
    <cfRule type="notContainsBlanks" dxfId="2890" priority="2983">
      <formula>LEN(TRIM(U1083))&gt;0</formula>
    </cfRule>
  </conditionalFormatting>
  <conditionalFormatting sqref="U1083:Y1083">
    <cfRule type="notContainsBlanks" dxfId="2889" priority="2982">
      <formula>LEN(TRIM(U1083))&gt;0</formula>
    </cfRule>
  </conditionalFormatting>
  <conditionalFormatting sqref="U1083:Y1083">
    <cfRule type="notContainsBlanks" dxfId="2888" priority="2981">
      <formula>LEN(TRIM(U1083))&gt;0</formula>
    </cfRule>
  </conditionalFormatting>
  <conditionalFormatting sqref="U1083:Y1083">
    <cfRule type="notContainsBlanks" priority="2980">
      <formula>LEN(TRIM(U1083))&gt;0</formula>
    </cfRule>
  </conditionalFormatting>
  <conditionalFormatting sqref="U1083:Y1083">
    <cfRule type="notContainsBlanks" dxfId="2887" priority="2979">
      <formula>LEN(TRIM(U1083))&gt;0</formula>
    </cfRule>
  </conditionalFormatting>
  <conditionalFormatting sqref="U1083:Y1083">
    <cfRule type="notContainsBlanks" dxfId="2886" priority="2978">
      <formula>LEN(TRIM(U1083))&gt;0</formula>
    </cfRule>
  </conditionalFormatting>
  <conditionalFormatting sqref="U1083:Y1083">
    <cfRule type="notContainsBlanks" dxfId="2885" priority="2977">
      <formula>LEN(TRIM(U1083))&gt;0</formula>
    </cfRule>
  </conditionalFormatting>
  <conditionalFormatting sqref="U1083:Y1083">
    <cfRule type="notContainsBlanks" dxfId="2884" priority="2976">
      <formula>LEN(TRIM(U1083))&gt;0</formula>
    </cfRule>
  </conditionalFormatting>
  <conditionalFormatting sqref="U1083:Y1083">
    <cfRule type="notContainsBlanks" dxfId="2883" priority="2975">
      <formula>LEN(TRIM(U1083))&gt;0</formula>
    </cfRule>
  </conditionalFormatting>
  <conditionalFormatting sqref="U1096:Y1096">
    <cfRule type="notContainsBlanks" dxfId="2882" priority="2974">
      <formula>LEN(TRIM(U1096))&gt;0</formula>
    </cfRule>
  </conditionalFormatting>
  <conditionalFormatting sqref="U1096:Y1096">
    <cfRule type="notContainsBlanks" dxfId="2881" priority="2973">
      <formula>LEN(TRIM(U1096))&gt;0</formula>
    </cfRule>
  </conditionalFormatting>
  <conditionalFormatting sqref="U1096:Y1096">
    <cfRule type="notContainsBlanks" dxfId="2880" priority="2972">
      <formula>LEN(TRIM(U1096))&gt;0</formula>
    </cfRule>
  </conditionalFormatting>
  <conditionalFormatting sqref="U1096:Y1096">
    <cfRule type="notContainsBlanks" dxfId="2879" priority="2971">
      <formula>LEN(TRIM(U1096))&gt;0</formula>
    </cfRule>
  </conditionalFormatting>
  <conditionalFormatting sqref="U1096:Y1096">
    <cfRule type="notContainsBlanks" dxfId="2878" priority="2970">
      <formula>LEN(TRIM(U1096))&gt;0</formula>
    </cfRule>
  </conditionalFormatting>
  <conditionalFormatting sqref="U1096:Y1096">
    <cfRule type="notContainsBlanks" dxfId="2877" priority="2969">
      <formula>LEN(TRIM(U1096))&gt;0</formula>
    </cfRule>
  </conditionalFormatting>
  <conditionalFormatting sqref="U1096:Y1096">
    <cfRule type="notContainsBlanks" dxfId="2876" priority="2968">
      <formula>LEN(TRIM(U1096))&gt;0</formula>
    </cfRule>
  </conditionalFormatting>
  <conditionalFormatting sqref="U1096:Y1096">
    <cfRule type="notContainsBlanks" dxfId="2875" priority="2967">
      <formula>LEN(TRIM(U1096))&gt;0</formula>
    </cfRule>
  </conditionalFormatting>
  <conditionalFormatting sqref="U1096:Y1096">
    <cfRule type="notContainsBlanks" dxfId="2874" priority="2966">
      <formula>LEN(TRIM(U1096))&gt;0</formula>
    </cfRule>
  </conditionalFormatting>
  <conditionalFormatting sqref="U1096:Y1096">
    <cfRule type="notContainsBlanks" dxfId="2873" priority="2964">
      <formula>LEN(TRIM(U1096))&gt;0</formula>
    </cfRule>
    <cfRule type="notContainsBlanks" dxfId="2872" priority="2965">
      <formula>LEN(TRIM(U1096))&gt;0</formula>
    </cfRule>
  </conditionalFormatting>
  <conditionalFormatting sqref="U1096:Y1096">
    <cfRule type="notContainsBlanks" dxfId="2871" priority="2963">
      <formula>LEN(TRIM(U1096))&gt;0</formula>
    </cfRule>
  </conditionalFormatting>
  <conditionalFormatting sqref="U1096:Y1096">
    <cfRule type="notContainsBlanks" dxfId="2870" priority="2962">
      <formula>LEN(TRIM(U1096))&gt;0</formula>
    </cfRule>
  </conditionalFormatting>
  <conditionalFormatting sqref="U1096:Y1096">
    <cfRule type="notContainsBlanks" dxfId="2869" priority="2961">
      <formula>LEN(TRIM(U1096))&gt;0</formula>
    </cfRule>
  </conditionalFormatting>
  <conditionalFormatting sqref="U1096:Y1096">
    <cfRule type="notContainsBlanks" dxfId="2868" priority="2960">
      <formula>LEN(TRIM(U1096))&gt;0</formula>
    </cfRule>
  </conditionalFormatting>
  <conditionalFormatting sqref="U1096:Y1096">
    <cfRule type="notContainsBlanks" dxfId="2867" priority="2959">
      <formula>LEN(TRIM(U1096))&gt;0</formula>
    </cfRule>
  </conditionalFormatting>
  <conditionalFormatting sqref="U1096:Y1096">
    <cfRule type="notContainsBlanks" dxfId="2866" priority="2958">
      <formula>LEN(TRIM(U1096))&gt;0</formula>
    </cfRule>
  </conditionalFormatting>
  <conditionalFormatting sqref="U1096:Y1096">
    <cfRule type="notContainsBlanks" dxfId="2865" priority="2957">
      <formula>LEN(TRIM(U1096))&gt;0</formula>
    </cfRule>
  </conditionalFormatting>
  <conditionalFormatting sqref="U1096:Y1096">
    <cfRule type="notContainsBlanks" dxfId="2864" priority="2956">
      <formula>LEN(TRIM(U1096))&gt;0</formula>
    </cfRule>
  </conditionalFormatting>
  <conditionalFormatting sqref="U1096:Y1096">
    <cfRule type="notContainsBlanks" dxfId="2863" priority="2955">
      <formula>LEN(TRIM(U1096))&gt;0</formula>
    </cfRule>
  </conditionalFormatting>
  <conditionalFormatting sqref="U1096:Y1096">
    <cfRule type="notContainsBlanks" priority="2954">
      <formula>LEN(TRIM(U1096))&gt;0</formula>
    </cfRule>
  </conditionalFormatting>
  <conditionalFormatting sqref="U1096:Y1096">
    <cfRule type="notContainsBlanks" dxfId="2862" priority="2953">
      <formula>LEN(TRIM(U1096))&gt;0</formula>
    </cfRule>
  </conditionalFormatting>
  <conditionalFormatting sqref="U1096:Y1096">
    <cfRule type="notContainsBlanks" dxfId="2861" priority="2952">
      <formula>LEN(TRIM(U1096))&gt;0</formula>
    </cfRule>
  </conditionalFormatting>
  <conditionalFormatting sqref="U1096:Y1096">
    <cfRule type="notContainsBlanks" dxfId="2860" priority="2951">
      <formula>LEN(TRIM(U1096))&gt;0</formula>
    </cfRule>
  </conditionalFormatting>
  <conditionalFormatting sqref="U1096:Y1096">
    <cfRule type="notContainsBlanks" dxfId="2859" priority="2950">
      <formula>LEN(TRIM(U1096))&gt;0</formula>
    </cfRule>
  </conditionalFormatting>
  <conditionalFormatting sqref="U1096:Y1096">
    <cfRule type="notContainsBlanks" dxfId="2858" priority="2949">
      <formula>LEN(TRIM(U1096))&gt;0</formula>
    </cfRule>
  </conditionalFormatting>
  <conditionalFormatting sqref="U1109:Y1109">
    <cfRule type="notContainsBlanks" dxfId="2857" priority="2948">
      <formula>LEN(TRIM(U1109))&gt;0</formula>
    </cfRule>
  </conditionalFormatting>
  <conditionalFormatting sqref="U1109:Y1109">
    <cfRule type="notContainsBlanks" dxfId="2856" priority="2947">
      <formula>LEN(TRIM(U1109))&gt;0</formula>
    </cfRule>
  </conditionalFormatting>
  <conditionalFormatting sqref="U1109:Y1109">
    <cfRule type="notContainsBlanks" dxfId="2855" priority="2946">
      <formula>LEN(TRIM(U1109))&gt;0</formula>
    </cfRule>
  </conditionalFormatting>
  <conditionalFormatting sqref="U1109:Y1109">
    <cfRule type="notContainsBlanks" dxfId="2854" priority="2945">
      <formula>LEN(TRIM(U1109))&gt;0</formula>
    </cfRule>
  </conditionalFormatting>
  <conditionalFormatting sqref="U1109:Y1109">
    <cfRule type="notContainsBlanks" dxfId="2853" priority="2944">
      <formula>LEN(TRIM(U1109))&gt;0</formula>
    </cfRule>
  </conditionalFormatting>
  <conditionalFormatting sqref="U1109:Y1109">
    <cfRule type="notContainsBlanks" dxfId="2852" priority="2943">
      <formula>LEN(TRIM(U1109))&gt;0</formula>
    </cfRule>
  </conditionalFormatting>
  <conditionalFormatting sqref="U1109:Y1109">
    <cfRule type="notContainsBlanks" dxfId="2851" priority="2942">
      <formula>LEN(TRIM(U1109))&gt;0</formula>
    </cfRule>
  </conditionalFormatting>
  <conditionalFormatting sqref="U1109:Y1109">
    <cfRule type="notContainsBlanks" dxfId="2850" priority="2941">
      <formula>LEN(TRIM(U1109))&gt;0</formula>
    </cfRule>
  </conditionalFormatting>
  <conditionalFormatting sqref="U1109:Y1109">
    <cfRule type="notContainsBlanks" dxfId="2849" priority="2940">
      <formula>LEN(TRIM(U1109))&gt;0</formula>
    </cfRule>
  </conditionalFormatting>
  <conditionalFormatting sqref="U1109:Y1109">
    <cfRule type="notContainsBlanks" dxfId="2848" priority="2938">
      <formula>LEN(TRIM(U1109))&gt;0</formula>
    </cfRule>
    <cfRule type="notContainsBlanks" dxfId="2847" priority="2939">
      <formula>LEN(TRIM(U1109))&gt;0</formula>
    </cfRule>
  </conditionalFormatting>
  <conditionalFormatting sqref="U1109:Y1109">
    <cfRule type="notContainsBlanks" dxfId="2846" priority="2937">
      <formula>LEN(TRIM(U1109))&gt;0</formula>
    </cfRule>
  </conditionalFormatting>
  <conditionalFormatting sqref="U1109:Y1109">
    <cfRule type="notContainsBlanks" dxfId="2845" priority="2936">
      <formula>LEN(TRIM(U1109))&gt;0</formula>
    </cfRule>
  </conditionalFormatting>
  <conditionalFormatting sqref="U1109:Y1109">
    <cfRule type="notContainsBlanks" dxfId="2844" priority="2935">
      <formula>LEN(TRIM(U1109))&gt;0</formula>
    </cfRule>
  </conditionalFormatting>
  <conditionalFormatting sqref="U1109:Y1109">
    <cfRule type="notContainsBlanks" dxfId="2843" priority="2934">
      <formula>LEN(TRIM(U1109))&gt;0</formula>
    </cfRule>
  </conditionalFormatting>
  <conditionalFormatting sqref="U1109:Y1109">
    <cfRule type="notContainsBlanks" dxfId="2842" priority="2933">
      <formula>LEN(TRIM(U1109))&gt;0</formula>
    </cfRule>
  </conditionalFormatting>
  <conditionalFormatting sqref="U1109:Y1109">
    <cfRule type="notContainsBlanks" dxfId="2841" priority="2932">
      <formula>LEN(TRIM(U1109))&gt;0</formula>
    </cfRule>
  </conditionalFormatting>
  <conditionalFormatting sqref="U1109:Y1109">
    <cfRule type="notContainsBlanks" dxfId="2840" priority="2931">
      <formula>LEN(TRIM(U1109))&gt;0</formula>
    </cfRule>
  </conditionalFormatting>
  <conditionalFormatting sqref="U1109:Y1109">
    <cfRule type="notContainsBlanks" dxfId="2839" priority="2930">
      <formula>LEN(TRIM(U1109))&gt;0</formula>
    </cfRule>
  </conditionalFormatting>
  <conditionalFormatting sqref="U1109:Y1109">
    <cfRule type="notContainsBlanks" dxfId="2838" priority="2929">
      <formula>LEN(TRIM(U1109))&gt;0</formula>
    </cfRule>
  </conditionalFormatting>
  <conditionalFormatting sqref="U1109:Y1109">
    <cfRule type="notContainsBlanks" priority="2928">
      <formula>LEN(TRIM(U1109))&gt;0</formula>
    </cfRule>
  </conditionalFormatting>
  <conditionalFormatting sqref="U1109:Y1109">
    <cfRule type="notContainsBlanks" dxfId="2837" priority="2927">
      <formula>LEN(TRIM(U1109))&gt;0</formula>
    </cfRule>
  </conditionalFormatting>
  <conditionalFormatting sqref="U1109:Y1109">
    <cfRule type="notContainsBlanks" dxfId="2836" priority="2926">
      <formula>LEN(TRIM(U1109))&gt;0</formula>
    </cfRule>
  </conditionalFormatting>
  <conditionalFormatting sqref="U1109:Y1109">
    <cfRule type="notContainsBlanks" dxfId="2835" priority="2925">
      <formula>LEN(TRIM(U1109))&gt;0</formula>
    </cfRule>
  </conditionalFormatting>
  <conditionalFormatting sqref="U1109:Y1109">
    <cfRule type="notContainsBlanks" dxfId="2834" priority="2924">
      <formula>LEN(TRIM(U1109))&gt;0</formula>
    </cfRule>
  </conditionalFormatting>
  <conditionalFormatting sqref="U1109:Y1109">
    <cfRule type="notContainsBlanks" dxfId="2833" priority="2923">
      <formula>LEN(TRIM(U1109))&gt;0</formula>
    </cfRule>
  </conditionalFormatting>
  <conditionalFormatting sqref="U1122:Y1122">
    <cfRule type="notContainsBlanks" dxfId="2832" priority="2922">
      <formula>LEN(TRIM(U1122))&gt;0</formula>
    </cfRule>
  </conditionalFormatting>
  <conditionalFormatting sqref="U1122:Y1122">
    <cfRule type="notContainsBlanks" dxfId="2831" priority="2921">
      <formula>LEN(TRIM(U1122))&gt;0</formula>
    </cfRule>
  </conditionalFormatting>
  <conditionalFormatting sqref="U1122:Y1122">
    <cfRule type="notContainsBlanks" dxfId="2830" priority="2920">
      <formula>LEN(TRIM(U1122))&gt;0</formula>
    </cfRule>
  </conditionalFormatting>
  <conditionalFormatting sqref="U1122:Y1122">
    <cfRule type="notContainsBlanks" dxfId="2829" priority="2919">
      <formula>LEN(TRIM(U1122))&gt;0</formula>
    </cfRule>
  </conditionalFormatting>
  <conditionalFormatting sqref="U1122:Y1122">
    <cfRule type="notContainsBlanks" dxfId="2828" priority="2918">
      <formula>LEN(TRIM(U1122))&gt;0</formula>
    </cfRule>
  </conditionalFormatting>
  <conditionalFormatting sqref="U1122:Y1122">
    <cfRule type="notContainsBlanks" dxfId="2827" priority="2917">
      <formula>LEN(TRIM(U1122))&gt;0</formula>
    </cfRule>
  </conditionalFormatting>
  <conditionalFormatting sqref="U1122:Y1122">
    <cfRule type="notContainsBlanks" dxfId="2826" priority="2916">
      <formula>LEN(TRIM(U1122))&gt;0</formula>
    </cfRule>
  </conditionalFormatting>
  <conditionalFormatting sqref="U1122:Y1122">
    <cfRule type="notContainsBlanks" dxfId="2825" priority="2915">
      <formula>LEN(TRIM(U1122))&gt;0</formula>
    </cfRule>
  </conditionalFormatting>
  <conditionalFormatting sqref="U1122:Y1122">
    <cfRule type="notContainsBlanks" dxfId="2824" priority="2914">
      <formula>LEN(TRIM(U1122))&gt;0</formula>
    </cfRule>
  </conditionalFormatting>
  <conditionalFormatting sqref="U1122:Y1122">
    <cfRule type="notContainsBlanks" dxfId="2823" priority="2912">
      <formula>LEN(TRIM(U1122))&gt;0</formula>
    </cfRule>
    <cfRule type="notContainsBlanks" dxfId="2822" priority="2913">
      <formula>LEN(TRIM(U1122))&gt;0</formula>
    </cfRule>
  </conditionalFormatting>
  <conditionalFormatting sqref="U1122:Y1122">
    <cfRule type="notContainsBlanks" dxfId="2821" priority="2911">
      <formula>LEN(TRIM(U1122))&gt;0</formula>
    </cfRule>
  </conditionalFormatting>
  <conditionalFormatting sqref="U1122:Y1122">
    <cfRule type="notContainsBlanks" dxfId="2820" priority="2910">
      <formula>LEN(TRIM(U1122))&gt;0</formula>
    </cfRule>
  </conditionalFormatting>
  <conditionalFormatting sqref="U1122:Y1122">
    <cfRule type="notContainsBlanks" dxfId="2819" priority="2909">
      <formula>LEN(TRIM(U1122))&gt;0</formula>
    </cfRule>
  </conditionalFormatting>
  <conditionalFormatting sqref="U1122:Y1122">
    <cfRule type="notContainsBlanks" dxfId="2818" priority="2908">
      <formula>LEN(TRIM(U1122))&gt;0</formula>
    </cfRule>
  </conditionalFormatting>
  <conditionalFormatting sqref="U1122:Y1122">
    <cfRule type="notContainsBlanks" dxfId="2817" priority="2907">
      <formula>LEN(TRIM(U1122))&gt;0</formula>
    </cfRule>
  </conditionalFormatting>
  <conditionalFormatting sqref="U1122:Y1122">
    <cfRule type="notContainsBlanks" dxfId="2816" priority="2906">
      <formula>LEN(TRIM(U1122))&gt;0</formula>
    </cfRule>
  </conditionalFormatting>
  <conditionalFormatting sqref="U1122:Y1122">
    <cfRule type="notContainsBlanks" dxfId="2815" priority="2905">
      <formula>LEN(TRIM(U1122))&gt;0</formula>
    </cfRule>
  </conditionalFormatting>
  <conditionalFormatting sqref="U1122:Y1122">
    <cfRule type="notContainsBlanks" dxfId="2814" priority="2904">
      <formula>LEN(TRIM(U1122))&gt;0</formula>
    </cfRule>
  </conditionalFormatting>
  <conditionalFormatting sqref="U1122:Y1122">
    <cfRule type="notContainsBlanks" dxfId="2813" priority="2903">
      <formula>LEN(TRIM(U1122))&gt;0</formula>
    </cfRule>
  </conditionalFormatting>
  <conditionalFormatting sqref="U1122:Y1122">
    <cfRule type="notContainsBlanks" priority="2902">
      <formula>LEN(TRIM(U1122))&gt;0</formula>
    </cfRule>
  </conditionalFormatting>
  <conditionalFormatting sqref="U1122:Y1122">
    <cfRule type="notContainsBlanks" dxfId="2812" priority="2901">
      <formula>LEN(TRIM(U1122))&gt;0</formula>
    </cfRule>
  </conditionalFormatting>
  <conditionalFormatting sqref="U1122:Y1122">
    <cfRule type="notContainsBlanks" dxfId="2811" priority="2900">
      <formula>LEN(TRIM(U1122))&gt;0</formula>
    </cfRule>
  </conditionalFormatting>
  <conditionalFormatting sqref="U1122:Y1122">
    <cfRule type="notContainsBlanks" dxfId="2810" priority="2899">
      <formula>LEN(TRIM(U1122))&gt;0</formula>
    </cfRule>
  </conditionalFormatting>
  <conditionalFormatting sqref="U1122:Y1122">
    <cfRule type="notContainsBlanks" dxfId="2809" priority="2898">
      <formula>LEN(TRIM(U1122))&gt;0</formula>
    </cfRule>
  </conditionalFormatting>
  <conditionalFormatting sqref="U1122:Y1122">
    <cfRule type="notContainsBlanks" dxfId="2808" priority="2897">
      <formula>LEN(TRIM(U1122))&gt;0</formula>
    </cfRule>
  </conditionalFormatting>
  <conditionalFormatting sqref="U1135:Y1135">
    <cfRule type="notContainsBlanks" dxfId="2807" priority="2896">
      <formula>LEN(TRIM(U1135))&gt;0</formula>
    </cfRule>
  </conditionalFormatting>
  <conditionalFormatting sqref="U1135:Y1135">
    <cfRule type="notContainsBlanks" dxfId="2806" priority="2895">
      <formula>LEN(TRIM(U1135))&gt;0</formula>
    </cfRule>
  </conditionalFormatting>
  <conditionalFormatting sqref="U1135:Y1135">
    <cfRule type="notContainsBlanks" dxfId="2805" priority="2894">
      <formula>LEN(TRIM(U1135))&gt;0</formula>
    </cfRule>
  </conditionalFormatting>
  <conditionalFormatting sqref="U1135:Y1135">
    <cfRule type="notContainsBlanks" dxfId="2804" priority="2893">
      <formula>LEN(TRIM(U1135))&gt;0</formula>
    </cfRule>
  </conditionalFormatting>
  <conditionalFormatting sqref="U1135:Y1135">
    <cfRule type="notContainsBlanks" dxfId="2803" priority="2892">
      <formula>LEN(TRIM(U1135))&gt;0</formula>
    </cfRule>
  </conditionalFormatting>
  <conditionalFormatting sqref="U1135:Y1135">
    <cfRule type="notContainsBlanks" dxfId="2802" priority="2891">
      <formula>LEN(TRIM(U1135))&gt;0</formula>
    </cfRule>
  </conditionalFormatting>
  <conditionalFormatting sqref="U1135:Y1135">
    <cfRule type="notContainsBlanks" dxfId="2801" priority="2890">
      <formula>LEN(TRIM(U1135))&gt;0</formula>
    </cfRule>
  </conditionalFormatting>
  <conditionalFormatting sqref="U1135:Y1135">
    <cfRule type="notContainsBlanks" dxfId="2800" priority="2889">
      <formula>LEN(TRIM(U1135))&gt;0</formula>
    </cfRule>
  </conditionalFormatting>
  <conditionalFormatting sqref="U1135:Y1135">
    <cfRule type="notContainsBlanks" dxfId="2799" priority="2888">
      <formula>LEN(TRIM(U1135))&gt;0</formula>
    </cfRule>
  </conditionalFormatting>
  <conditionalFormatting sqref="U1135:Y1135">
    <cfRule type="notContainsBlanks" dxfId="2798" priority="2886">
      <formula>LEN(TRIM(U1135))&gt;0</formula>
    </cfRule>
    <cfRule type="notContainsBlanks" dxfId="2797" priority="2887">
      <formula>LEN(TRIM(U1135))&gt;0</formula>
    </cfRule>
  </conditionalFormatting>
  <conditionalFormatting sqref="U1135:Y1135">
    <cfRule type="notContainsBlanks" dxfId="2796" priority="2885">
      <formula>LEN(TRIM(U1135))&gt;0</formula>
    </cfRule>
  </conditionalFormatting>
  <conditionalFormatting sqref="U1135:Y1135">
    <cfRule type="notContainsBlanks" dxfId="2795" priority="2884">
      <formula>LEN(TRIM(U1135))&gt;0</formula>
    </cfRule>
  </conditionalFormatting>
  <conditionalFormatting sqref="U1135:Y1135">
    <cfRule type="notContainsBlanks" dxfId="2794" priority="2883">
      <formula>LEN(TRIM(U1135))&gt;0</formula>
    </cfRule>
  </conditionalFormatting>
  <conditionalFormatting sqref="U1135:Y1135">
    <cfRule type="notContainsBlanks" dxfId="2793" priority="2882">
      <formula>LEN(TRIM(U1135))&gt;0</formula>
    </cfRule>
  </conditionalFormatting>
  <conditionalFormatting sqref="U1135:Y1135">
    <cfRule type="notContainsBlanks" dxfId="2792" priority="2881">
      <formula>LEN(TRIM(U1135))&gt;0</formula>
    </cfRule>
  </conditionalFormatting>
  <conditionalFormatting sqref="U1135:Y1135">
    <cfRule type="notContainsBlanks" dxfId="2791" priority="2880">
      <formula>LEN(TRIM(U1135))&gt;0</formula>
    </cfRule>
  </conditionalFormatting>
  <conditionalFormatting sqref="U1135:Y1135">
    <cfRule type="notContainsBlanks" dxfId="2790" priority="2879">
      <formula>LEN(TRIM(U1135))&gt;0</formula>
    </cfRule>
  </conditionalFormatting>
  <conditionalFormatting sqref="U1135:Y1135">
    <cfRule type="notContainsBlanks" dxfId="2789" priority="2878">
      <formula>LEN(TRIM(U1135))&gt;0</formula>
    </cfRule>
  </conditionalFormatting>
  <conditionalFormatting sqref="U1135:Y1135">
    <cfRule type="notContainsBlanks" dxfId="2788" priority="2877">
      <formula>LEN(TRIM(U1135))&gt;0</formula>
    </cfRule>
  </conditionalFormatting>
  <conditionalFormatting sqref="U1135:Y1135">
    <cfRule type="notContainsBlanks" priority="2876">
      <formula>LEN(TRIM(U1135))&gt;0</formula>
    </cfRule>
  </conditionalFormatting>
  <conditionalFormatting sqref="U1135:Y1135">
    <cfRule type="notContainsBlanks" dxfId="2787" priority="2875">
      <formula>LEN(TRIM(U1135))&gt;0</formula>
    </cfRule>
  </conditionalFormatting>
  <conditionalFormatting sqref="U1135:Y1135">
    <cfRule type="notContainsBlanks" dxfId="2786" priority="2874">
      <formula>LEN(TRIM(U1135))&gt;0</formula>
    </cfRule>
  </conditionalFormatting>
  <conditionalFormatting sqref="U1135:Y1135">
    <cfRule type="notContainsBlanks" dxfId="2785" priority="2873">
      <formula>LEN(TRIM(U1135))&gt;0</formula>
    </cfRule>
  </conditionalFormatting>
  <conditionalFormatting sqref="U1135:Y1135">
    <cfRule type="notContainsBlanks" dxfId="2784" priority="2872">
      <formula>LEN(TRIM(U1135))&gt;0</formula>
    </cfRule>
  </conditionalFormatting>
  <conditionalFormatting sqref="U1135:Y1135">
    <cfRule type="notContainsBlanks" dxfId="2783" priority="2871">
      <formula>LEN(TRIM(U1135))&gt;0</formula>
    </cfRule>
  </conditionalFormatting>
  <conditionalFormatting sqref="U1148:Y1148">
    <cfRule type="notContainsBlanks" dxfId="2782" priority="2870">
      <formula>LEN(TRIM(U1148))&gt;0</formula>
    </cfRule>
  </conditionalFormatting>
  <conditionalFormatting sqref="U1148:Y1148">
    <cfRule type="notContainsBlanks" dxfId="2781" priority="2869">
      <formula>LEN(TRIM(U1148))&gt;0</formula>
    </cfRule>
  </conditionalFormatting>
  <conditionalFormatting sqref="U1148:Y1148">
    <cfRule type="notContainsBlanks" dxfId="2780" priority="2868">
      <formula>LEN(TRIM(U1148))&gt;0</formula>
    </cfRule>
  </conditionalFormatting>
  <conditionalFormatting sqref="U1148:Y1148">
    <cfRule type="notContainsBlanks" dxfId="2779" priority="2867">
      <formula>LEN(TRIM(U1148))&gt;0</formula>
    </cfRule>
  </conditionalFormatting>
  <conditionalFormatting sqref="U1148:Y1148">
    <cfRule type="notContainsBlanks" dxfId="2778" priority="2866">
      <formula>LEN(TRIM(U1148))&gt;0</formula>
    </cfRule>
  </conditionalFormatting>
  <conditionalFormatting sqref="U1148:Y1148">
    <cfRule type="notContainsBlanks" dxfId="2777" priority="2865">
      <formula>LEN(TRIM(U1148))&gt;0</formula>
    </cfRule>
  </conditionalFormatting>
  <conditionalFormatting sqref="U1148:Y1148">
    <cfRule type="notContainsBlanks" dxfId="2776" priority="2864">
      <formula>LEN(TRIM(U1148))&gt;0</formula>
    </cfRule>
  </conditionalFormatting>
  <conditionalFormatting sqref="U1148:Y1148">
    <cfRule type="notContainsBlanks" dxfId="2775" priority="2863">
      <formula>LEN(TRIM(U1148))&gt;0</formula>
    </cfRule>
  </conditionalFormatting>
  <conditionalFormatting sqref="U1148:Y1148">
    <cfRule type="notContainsBlanks" dxfId="2774" priority="2862">
      <formula>LEN(TRIM(U1148))&gt;0</formula>
    </cfRule>
  </conditionalFormatting>
  <conditionalFormatting sqref="U1148:Y1148">
    <cfRule type="notContainsBlanks" dxfId="2773" priority="2860">
      <formula>LEN(TRIM(U1148))&gt;0</formula>
    </cfRule>
    <cfRule type="notContainsBlanks" dxfId="2772" priority="2861">
      <formula>LEN(TRIM(U1148))&gt;0</formula>
    </cfRule>
  </conditionalFormatting>
  <conditionalFormatting sqref="U1148:Y1148">
    <cfRule type="notContainsBlanks" dxfId="2771" priority="2859">
      <formula>LEN(TRIM(U1148))&gt;0</formula>
    </cfRule>
  </conditionalFormatting>
  <conditionalFormatting sqref="U1148:Y1148">
    <cfRule type="notContainsBlanks" dxfId="2770" priority="2858">
      <formula>LEN(TRIM(U1148))&gt;0</formula>
    </cfRule>
  </conditionalFormatting>
  <conditionalFormatting sqref="U1148:Y1148">
    <cfRule type="notContainsBlanks" dxfId="2769" priority="2857">
      <formula>LEN(TRIM(U1148))&gt;0</formula>
    </cfRule>
  </conditionalFormatting>
  <conditionalFormatting sqref="U1148:Y1148">
    <cfRule type="notContainsBlanks" dxfId="2768" priority="2856">
      <formula>LEN(TRIM(U1148))&gt;0</formula>
    </cfRule>
  </conditionalFormatting>
  <conditionalFormatting sqref="U1148:Y1148">
    <cfRule type="notContainsBlanks" dxfId="2767" priority="2855">
      <formula>LEN(TRIM(U1148))&gt;0</formula>
    </cfRule>
  </conditionalFormatting>
  <conditionalFormatting sqref="U1148:Y1148">
    <cfRule type="notContainsBlanks" dxfId="2766" priority="2854">
      <formula>LEN(TRIM(U1148))&gt;0</formula>
    </cfRule>
  </conditionalFormatting>
  <conditionalFormatting sqref="U1148:Y1148">
    <cfRule type="notContainsBlanks" dxfId="2765" priority="2853">
      <formula>LEN(TRIM(U1148))&gt;0</formula>
    </cfRule>
  </conditionalFormatting>
  <conditionalFormatting sqref="U1148:Y1148">
    <cfRule type="notContainsBlanks" dxfId="2764" priority="2852">
      <formula>LEN(TRIM(U1148))&gt;0</formula>
    </cfRule>
  </conditionalFormatting>
  <conditionalFormatting sqref="U1148:Y1148">
    <cfRule type="notContainsBlanks" dxfId="2763" priority="2851">
      <formula>LEN(TRIM(U1148))&gt;0</formula>
    </cfRule>
  </conditionalFormatting>
  <conditionalFormatting sqref="U1148:Y1148">
    <cfRule type="notContainsBlanks" priority="2850">
      <formula>LEN(TRIM(U1148))&gt;0</formula>
    </cfRule>
  </conditionalFormatting>
  <conditionalFormatting sqref="U1148:Y1148">
    <cfRule type="notContainsBlanks" dxfId="2762" priority="2849">
      <formula>LEN(TRIM(U1148))&gt;0</formula>
    </cfRule>
  </conditionalFormatting>
  <conditionalFormatting sqref="U1148:Y1148">
    <cfRule type="notContainsBlanks" dxfId="2761" priority="2848">
      <formula>LEN(TRIM(U1148))&gt;0</formula>
    </cfRule>
  </conditionalFormatting>
  <conditionalFormatting sqref="U1148:Y1148">
    <cfRule type="notContainsBlanks" dxfId="2760" priority="2847">
      <formula>LEN(TRIM(U1148))&gt;0</formula>
    </cfRule>
  </conditionalFormatting>
  <conditionalFormatting sqref="U1148:Y1148">
    <cfRule type="notContainsBlanks" dxfId="2759" priority="2846">
      <formula>LEN(TRIM(U1148))&gt;0</formula>
    </cfRule>
  </conditionalFormatting>
  <conditionalFormatting sqref="U1148:Y1148">
    <cfRule type="notContainsBlanks" dxfId="2758" priority="2845">
      <formula>LEN(TRIM(U1148))&gt;0</formula>
    </cfRule>
  </conditionalFormatting>
  <conditionalFormatting sqref="U1161:Y1161">
    <cfRule type="notContainsBlanks" dxfId="2757" priority="2844">
      <formula>LEN(TRIM(U1161))&gt;0</formula>
    </cfRule>
  </conditionalFormatting>
  <conditionalFormatting sqref="U1161:Y1161">
    <cfRule type="notContainsBlanks" dxfId="2756" priority="2843">
      <formula>LEN(TRIM(U1161))&gt;0</formula>
    </cfRule>
  </conditionalFormatting>
  <conditionalFormatting sqref="U1161:Y1161">
    <cfRule type="notContainsBlanks" dxfId="2755" priority="2842">
      <formula>LEN(TRIM(U1161))&gt;0</formula>
    </cfRule>
  </conditionalFormatting>
  <conditionalFormatting sqref="U1161:Y1161">
    <cfRule type="notContainsBlanks" dxfId="2754" priority="2841">
      <formula>LEN(TRIM(U1161))&gt;0</formula>
    </cfRule>
  </conditionalFormatting>
  <conditionalFormatting sqref="U1161:Y1161">
    <cfRule type="notContainsBlanks" dxfId="2753" priority="2840">
      <formula>LEN(TRIM(U1161))&gt;0</formula>
    </cfRule>
  </conditionalFormatting>
  <conditionalFormatting sqref="U1161:Y1161">
    <cfRule type="notContainsBlanks" dxfId="2752" priority="2839">
      <formula>LEN(TRIM(U1161))&gt;0</formula>
    </cfRule>
  </conditionalFormatting>
  <conditionalFormatting sqref="U1161:Y1161">
    <cfRule type="notContainsBlanks" dxfId="2751" priority="2838">
      <formula>LEN(TRIM(U1161))&gt;0</formula>
    </cfRule>
  </conditionalFormatting>
  <conditionalFormatting sqref="U1161:Y1161">
    <cfRule type="notContainsBlanks" dxfId="2750" priority="2837">
      <formula>LEN(TRIM(U1161))&gt;0</formula>
    </cfRule>
  </conditionalFormatting>
  <conditionalFormatting sqref="U1161:Y1161">
    <cfRule type="notContainsBlanks" dxfId="2749" priority="2836">
      <formula>LEN(TRIM(U1161))&gt;0</formula>
    </cfRule>
  </conditionalFormatting>
  <conditionalFormatting sqref="U1161:Y1161">
    <cfRule type="notContainsBlanks" dxfId="2748" priority="2834">
      <formula>LEN(TRIM(U1161))&gt;0</formula>
    </cfRule>
    <cfRule type="notContainsBlanks" dxfId="2747" priority="2835">
      <formula>LEN(TRIM(U1161))&gt;0</formula>
    </cfRule>
  </conditionalFormatting>
  <conditionalFormatting sqref="U1161:Y1161">
    <cfRule type="notContainsBlanks" dxfId="2746" priority="2833">
      <formula>LEN(TRIM(U1161))&gt;0</formula>
    </cfRule>
  </conditionalFormatting>
  <conditionalFormatting sqref="U1161:Y1161">
    <cfRule type="notContainsBlanks" dxfId="2745" priority="2832">
      <formula>LEN(TRIM(U1161))&gt;0</formula>
    </cfRule>
  </conditionalFormatting>
  <conditionalFormatting sqref="U1161:Y1161">
    <cfRule type="notContainsBlanks" dxfId="2744" priority="2831">
      <formula>LEN(TRIM(U1161))&gt;0</formula>
    </cfRule>
  </conditionalFormatting>
  <conditionalFormatting sqref="U1161:Y1161">
    <cfRule type="notContainsBlanks" dxfId="2743" priority="2830">
      <formula>LEN(TRIM(U1161))&gt;0</formula>
    </cfRule>
  </conditionalFormatting>
  <conditionalFormatting sqref="U1161:Y1161">
    <cfRule type="notContainsBlanks" dxfId="2742" priority="2829">
      <formula>LEN(TRIM(U1161))&gt;0</formula>
    </cfRule>
  </conditionalFormatting>
  <conditionalFormatting sqref="U1161:Y1161">
    <cfRule type="notContainsBlanks" dxfId="2741" priority="2828">
      <formula>LEN(TRIM(U1161))&gt;0</formula>
    </cfRule>
  </conditionalFormatting>
  <conditionalFormatting sqref="U1161:Y1161">
    <cfRule type="notContainsBlanks" dxfId="2740" priority="2827">
      <formula>LEN(TRIM(U1161))&gt;0</formula>
    </cfRule>
  </conditionalFormatting>
  <conditionalFormatting sqref="U1161:Y1161">
    <cfRule type="notContainsBlanks" dxfId="2739" priority="2826">
      <formula>LEN(TRIM(U1161))&gt;0</formula>
    </cfRule>
  </conditionalFormatting>
  <conditionalFormatting sqref="U1161:Y1161">
    <cfRule type="notContainsBlanks" dxfId="2738" priority="2825">
      <formula>LEN(TRIM(U1161))&gt;0</formula>
    </cfRule>
  </conditionalFormatting>
  <conditionalFormatting sqref="U1161:Y1161">
    <cfRule type="notContainsBlanks" priority="2824">
      <formula>LEN(TRIM(U1161))&gt;0</formula>
    </cfRule>
  </conditionalFormatting>
  <conditionalFormatting sqref="U1161:Y1161">
    <cfRule type="notContainsBlanks" dxfId="2737" priority="2823">
      <formula>LEN(TRIM(U1161))&gt;0</formula>
    </cfRule>
  </conditionalFormatting>
  <conditionalFormatting sqref="U1161:Y1161">
    <cfRule type="notContainsBlanks" dxfId="2736" priority="2822">
      <formula>LEN(TRIM(U1161))&gt;0</formula>
    </cfRule>
  </conditionalFormatting>
  <conditionalFormatting sqref="U1161:Y1161">
    <cfRule type="notContainsBlanks" dxfId="2735" priority="2821">
      <formula>LEN(TRIM(U1161))&gt;0</formula>
    </cfRule>
  </conditionalFormatting>
  <conditionalFormatting sqref="U1161:Y1161">
    <cfRule type="notContainsBlanks" dxfId="2734" priority="2820">
      <formula>LEN(TRIM(U1161))&gt;0</formula>
    </cfRule>
  </conditionalFormatting>
  <conditionalFormatting sqref="U1161:Y1161">
    <cfRule type="notContainsBlanks" dxfId="2733" priority="2819">
      <formula>LEN(TRIM(U1161))&gt;0</formula>
    </cfRule>
  </conditionalFormatting>
  <conditionalFormatting sqref="U1174:Y1174">
    <cfRule type="notContainsBlanks" dxfId="2732" priority="2818">
      <formula>LEN(TRIM(U1174))&gt;0</formula>
    </cfRule>
  </conditionalFormatting>
  <conditionalFormatting sqref="U1174:Y1174">
    <cfRule type="notContainsBlanks" dxfId="2731" priority="2817">
      <formula>LEN(TRIM(U1174))&gt;0</formula>
    </cfRule>
  </conditionalFormatting>
  <conditionalFormatting sqref="U1174:Y1174">
    <cfRule type="notContainsBlanks" dxfId="2730" priority="2816">
      <formula>LEN(TRIM(U1174))&gt;0</formula>
    </cfRule>
  </conditionalFormatting>
  <conditionalFormatting sqref="U1174:Y1174">
    <cfRule type="notContainsBlanks" dxfId="2729" priority="2815">
      <formula>LEN(TRIM(U1174))&gt;0</formula>
    </cfRule>
  </conditionalFormatting>
  <conditionalFormatting sqref="U1174:Y1174">
    <cfRule type="notContainsBlanks" dxfId="2728" priority="2814">
      <formula>LEN(TRIM(U1174))&gt;0</formula>
    </cfRule>
  </conditionalFormatting>
  <conditionalFormatting sqref="U1174:Y1174">
    <cfRule type="notContainsBlanks" dxfId="2727" priority="2813">
      <formula>LEN(TRIM(U1174))&gt;0</formula>
    </cfRule>
  </conditionalFormatting>
  <conditionalFormatting sqref="U1174:Y1174">
    <cfRule type="notContainsBlanks" dxfId="2726" priority="2812">
      <formula>LEN(TRIM(U1174))&gt;0</formula>
    </cfRule>
  </conditionalFormatting>
  <conditionalFormatting sqref="U1174:Y1174">
    <cfRule type="notContainsBlanks" dxfId="2725" priority="2811">
      <formula>LEN(TRIM(U1174))&gt;0</formula>
    </cfRule>
  </conditionalFormatting>
  <conditionalFormatting sqref="U1174:Y1174">
    <cfRule type="notContainsBlanks" dxfId="2724" priority="2810">
      <formula>LEN(TRIM(U1174))&gt;0</formula>
    </cfRule>
  </conditionalFormatting>
  <conditionalFormatting sqref="U1174:Y1174">
    <cfRule type="notContainsBlanks" dxfId="2723" priority="2808">
      <formula>LEN(TRIM(U1174))&gt;0</formula>
    </cfRule>
    <cfRule type="notContainsBlanks" dxfId="2722" priority="2809">
      <formula>LEN(TRIM(U1174))&gt;0</formula>
    </cfRule>
  </conditionalFormatting>
  <conditionalFormatting sqref="U1174:Y1174">
    <cfRule type="notContainsBlanks" dxfId="2721" priority="2807">
      <formula>LEN(TRIM(U1174))&gt;0</formula>
    </cfRule>
  </conditionalFormatting>
  <conditionalFormatting sqref="U1174:Y1174">
    <cfRule type="notContainsBlanks" dxfId="2720" priority="2806">
      <formula>LEN(TRIM(U1174))&gt;0</formula>
    </cfRule>
  </conditionalFormatting>
  <conditionalFormatting sqref="U1174:Y1174">
    <cfRule type="notContainsBlanks" dxfId="2719" priority="2805">
      <formula>LEN(TRIM(U1174))&gt;0</formula>
    </cfRule>
  </conditionalFormatting>
  <conditionalFormatting sqref="U1174:Y1174">
    <cfRule type="notContainsBlanks" dxfId="2718" priority="2804">
      <formula>LEN(TRIM(U1174))&gt;0</formula>
    </cfRule>
  </conditionalFormatting>
  <conditionalFormatting sqref="U1174:Y1174">
    <cfRule type="notContainsBlanks" dxfId="2717" priority="2803">
      <formula>LEN(TRIM(U1174))&gt;0</formula>
    </cfRule>
  </conditionalFormatting>
  <conditionalFormatting sqref="U1174:Y1174">
    <cfRule type="notContainsBlanks" dxfId="2716" priority="2802">
      <formula>LEN(TRIM(U1174))&gt;0</formula>
    </cfRule>
  </conditionalFormatting>
  <conditionalFormatting sqref="U1174:Y1174">
    <cfRule type="notContainsBlanks" dxfId="2715" priority="2801">
      <formula>LEN(TRIM(U1174))&gt;0</formula>
    </cfRule>
  </conditionalFormatting>
  <conditionalFormatting sqref="U1174:Y1174">
    <cfRule type="notContainsBlanks" dxfId="2714" priority="2800">
      <formula>LEN(TRIM(U1174))&gt;0</formula>
    </cfRule>
  </conditionalFormatting>
  <conditionalFormatting sqref="U1174:Y1174">
    <cfRule type="notContainsBlanks" dxfId="2713" priority="2799">
      <formula>LEN(TRIM(U1174))&gt;0</formula>
    </cfRule>
  </conditionalFormatting>
  <conditionalFormatting sqref="U1174:Y1174">
    <cfRule type="notContainsBlanks" priority="2798">
      <formula>LEN(TRIM(U1174))&gt;0</formula>
    </cfRule>
  </conditionalFormatting>
  <conditionalFormatting sqref="U1174:Y1174">
    <cfRule type="notContainsBlanks" dxfId="2712" priority="2797">
      <formula>LEN(TRIM(U1174))&gt;0</formula>
    </cfRule>
  </conditionalFormatting>
  <conditionalFormatting sqref="U1174:Y1174">
    <cfRule type="notContainsBlanks" dxfId="2711" priority="2796">
      <formula>LEN(TRIM(U1174))&gt;0</formula>
    </cfRule>
  </conditionalFormatting>
  <conditionalFormatting sqref="U1174:Y1174">
    <cfRule type="notContainsBlanks" dxfId="2710" priority="2795">
      <formula>LEN(TRIM(U1174))&gt;0</formula>
    </cfRule>
  </conditionalFormatting>
  <conditionalFormatting sqref="U1174:Y1174">
    <cfRule type="notContainsBlanks" dxfId="2709" priority="2794">
      <formula>LEN(TRIM(U1174))&gt;0</formula>
    </cfRule>
  </conditionalFormatting>
  <conditionalFormatting sqref="U1174:Y1174">
    <cfRule type="notContainsBlanks" dxfId="2708" priority="2793">
      <formula>LEN(TRIM(U1174))&gt;0</formula>
    </cfRule>
  </conditionalFormatting>
  <conditionalFormatting sqref="U1187:Y1187">
    <cfRule type="notContainsBlanks" dxfId="2707" priority="2792">
      <formula>LEN(TRIM(U1187))&gt;0</formula>
    </cfRule>
  </conditionalFormatting>
  <conditionalFormatting sqref="U1187:Y1187">
    <cfRule type="notContainsBlanks" dxfId="2706" priority="2791">
      <formula>LEN(TRIM(U1187))&gt;0</formula>
    </cfRule>
  </conditionalFormatting>
  <conditionalFormatting sqref="U1187:Y1187">
    <cfRule type="notContainsBlanks" dxfId="2705" priority="2790">
      <formula>LEN(TRIM(U1187))&gt;0</formula>
    </cfRule>
  </conditionalFormatting>
  <conditionalFormatting sqref="U1187:Y1187">
    <cfRule type="notContainsBlanks" dxfId="2704" priority="2789">
      <formula>LEN(TRIM(U1187))&gt;0</formula>
    </cfRule>
  </conditionalFormatting>
  <conditionalFormatting sqref="U1187:Y1187">
    <cfRule type="notContainsBlanks" dxfId="2703" priority="2788">
      <formula>LEN(TRIM(U1187))&gt;0</formula>
    </cfRule>
  </conditionalFormatting>
  <conditionalFormatting sqref="U1187:Y1187">
    <cfRule type="notContainsBlanks" dxfId="2702" priority="2787">
      <formula>LEN(TRIM(U1187))&gt;0</formula>
    </cfRule>
  </conditionalFormatting>
  <conditionalFormatting sqref="U1187:Y1187">
    <cfRule type="notContainsBlanks" dxfId="2701" priority="2786">
      <formula>LEN(TRIM(U1187))&gt;0</formula>
    </cfRule>
  </conditionalFormatting>
  <conditionalFormatting sqref="U1187:Y1187">
    <cfRule type="notContainsBlanks" dxfId="2700" priority="2785">
      <formula>LEN(TRIM(U1187))&gt;0</formula>
    </cfRule>
  </conditionalFormatting>
  <conditionalFormatting sqref="U1187:Y1187">
    <cfRule type="notContainsBlanks" dxfId="2699" priority="2784">
      <formula>LEN(TRIM(U1187))&gt;0</formula>
    </cfRule>
  </conditionalFormatting>
  <conditionalFormatting sqref="U1187:Y1187">
    <cfRule type="notContainsBlanks" dxfId="2698" priority="2782">
      <formula>LEN(TRIM(U1187))&gt;0</formula>
    </cfRule>
    <cfRule type="notContainsBlanks" dxfId="2697" priority="2783">
      <formula>LEN(TRIM(U1187))&gt;0</formula>
    </cfRule>
  </conditionalFormatting>
  <conditionalFormatting sqref="U1187:Y1187">
    <cfRule type="notContainsBlanks" dxfId="2696" priority="2781">
      <formula>LEN(TRIM(U1187))&gt;0</formula>
    </cfRule>
  </conditionalFormatting>
  <conditionalFormatting sqref="U1187:Y1187">
    <cfRule type="notContainsBlanks" dxfId="2695" priority="2780">
      <formula>LEN(TRIM(U1187))&gt;0</formula>
    </cfRule>
  </conditionalFormatting>
  <conditionalFormatting sqref="U1187:Y1187">
    <cfRule type="notContainsBlanks" dxfId="2694" priority="2779">
      <formula>LEN(TRIM(U1187))&gt;0</formula>
    </cfRule>
  </conditionalFormatting>
  <conditionalFormatting sqref="U1187:Y1187">
    <cfRule type="notContainsBlanks" dxfId="2693" priority="2778">
      <formula>LEN(TRIM(U1187))&gt;0</formula>
    </cfRule>
  </conditionalFormatting>
  <conditionalFormatting sqref="U1187:Y1187">
    <cfRule type="notContainsBlanks" dxfId="2692" priority="2777">
      <formula>LEN(TRIM(U1187))&gt;0</formula>
    </cfRule>
  </conditionalFormatting>
  <conditionalFormatting sqref="U1187:Y1187">
    <cfRule type="notContainsBlanks" dxfId="2691" priority="2776">
      <formula>LEN(TRIM(U1187))&gt;0</formula>
    </cfRule>
  </conditionalFormatting>
  <conditionalFormatting sqref="U1187:Y1187">
    <cfRule type="notContainsBlanks" dxfId="2690" priority="2775">
      <formula>LEN(TRIM(U1187))&gt;0</formula>
    </cfRule>
  </conditionalFormatting>
  <conditionalFormatting sqref="U1187:Y1187">
    <cfRule type="notContainsBlanks" dxfId="2689" priority="2774">
      <formula>LEN(TRIM(U1187))&gt;0</formula>
    </cfRule>
  </conditionalFormatting>
  <conditionalFormatting sqref="U1187:Y1187">
    <cfRule type="notContainsBlanks" dxfId="2688" priority="2773">
      <formula>LEN(TRIM(U1187))&gt;0</formula>
    </cfRule>
  </conditionalFormatting>
  <conditionalFormatting sqref="U1187:Y1187">
    <cfRule type="notContainsBlanks" priority="2772">
      <formula>LEN(TRIM(U1187))&gt;0</formula>
    </cfRule>
  </conditionalFormatting>
  <conditionalFormatting sqref="U1187:Y1187">
    <cfRule type="notContainsBlanks" dxfId="2687" priority="2771">
      <formula>LEN(TRIM(U1187))&gt;0</formula>
    </cfRule>
  </conditionalFormatting>
  <conditionalFormatting sqref="U1187:Y1187">
    <cfRule type="notContainsBlanks" dxfId="2686" priority="2770">
      <formula>LEN(TRIM(U1187))&gt;0</formula>
    </cfRule>
  </conditionalFormatting>
  <conditionalFormatting sqref="U1187:Y1187">
    <cfRule type="notContainsBlanks" dxfId="2685" priority="2769">
      <formula>LEN(TRIM(U1187))&gt;0</formula>
    </cfRule>
  </conditionalFormatting>
  <conditionalFormatting sqref="U1187:Y1187">
    <cfRule type="notContainsBlanks" dxfId="2684" priority="2768">
      <formula>LEN(TRIM(U1187))&gt;0</formula>
    </cfRule>
  </conditionalFormatting>
  <conditionalFormatting sqref="U1187:Y1187">
    <cfRule type="notContainsBlanks" dxfId="2683" priority="2767">
      <formula>LEN(TRIM(U1187))&gt;0</formula>
    </cfRule>
  </conditionalFormatting>
  <conditionalFormatting sqref="U1200:Y1200">
    <cfRule type="notContainsBlanks" dxfId="2682" priority="2766">
      <formula>LEN(TRIM(U1200))&gt;0</formula>
    </cfRule>
  </conditionalFormatting>
  <conditionalFormatting sqref="U1200:Y1200">
    <cfRule type="notContainsBlanks" dxfId="2681" priority="2765">
      <formula>LEN(TRIM(U1200))&gt;0</formula>
    </cfRule>
  </conditionalFormatting>
  <conditionalFormatting sqref="U1200:Y1200">
    <cfRule type="notContainsBlanks" dxfId="2680" priority="2764">
      <formula>LEN(TRIM(U1200))&gt;0</formula>
    </cfRule>
  </conditionalFormatting>
  <conditionalFormatting sqref="U1200:Y1200">
    <cfRule type="notContainsBlanks" dxfId="2679" priority="2763">
      <formula>LEN(TRIM(U1200))&gt;0</formula>
    </cfRule>
  </conditionalFormatting>
  <conditionalFormatting sqref="U1200:Y1200">
    <cfRule type="notContainsBlanks" dxfId="2678" priority="2762">
      <formula>LEN(TRIM(U1200))&gt;0</formula>
    </cfRule>
  </conditionalFormatting>
  <conditionalFormatting sqref="U1200:Y1200">
    <cfRule type="notContainsBlanks" dxfId="2677" priority="2761">
      <formula>LEN(TRIM(U1200))&gt;0</formula>
    </cfRule>
  </conditionalFormatting>
  <conditionalFormatting sqref="U1200:Y1200">
    <cfRule type="notContainsBlanks" dxfId="2676" priority="2760">
      <formula>LEN(TRIM(U1200))&gt;0</formula>
    </cfRule>
  </conditionalFormatting>
  <conditionalFormatting sqref="U1200:Y1200">
    <cfRule type="notContainsBlanks" dxfId="2675" priority="2759">
      <formula>LEN(TRIM(U1200))&gt;0</formula>
    </cfRule>
  </conditionalFormatting>
  <conditionalFormatting sqref="U1200:Y1200">
    <cfRule type="notContainsBlanks" dxfId="2674" priority="2758">
      <formula>LEN(TRIM(U1200))&gt;0</formula>
    </cfRule>
  </conditionalFormatting>
  <conditionalFormatting sqref="U1200:Y1200">
    <cfRule type="notContainsBlanks" dxfId="2673" priority="2756">
      <formula>LEN(TRIM(U1200))&gt;0</formula>
    </cfRule>
    <cfRule type="notContainsBlanks" dxfId="2672" priority="2757">
      <formula>LEN(TRIM(U1200))&gt;0</formula>
    </cfRule>
  </conditionalFormatting>
  <conditionalFormatting sqref="U1200:Y1200">
    <cfRule type="notContainsBlanks" dxfId="2671" priority="2755">
      <formula>LEN(TRIM(U1200))&gt;0</formula>
    </cfRule>
  </conditionalFormatting>
  <conditionalFormatting sqref="U1200:Y1200">
    <cfRule type="notContainsBlanks" dxfId="2670" priority="2754">
      <formula>LEN(TRIM(U1200))&gt;0</formula>
    </cfRule>
  </conditionalFormatting>
  <conditionalFormatting sqref="U1200:Y1200">
    <cfRule type="notContainsBlanks" dxfId="2669" priority="2753">
      <formula>LEN(TRIM(U1200))&gt;0</formula>
    </cfRule>
  </conditionalFormatting>
  <conditionalFormatting sqref="U1200:Y1200">
    <cfRule type="notContainsBlanks" dxfId="2668" priority="2752">
      <formula>LEN(TRIM(U1200))&gt;0</formula>
    </cfRule>
  </conditionalFormatting>
  <conditionalFormatting sqref="U1200:Y1200">
    <cfRule type="notContainsBlanks" dxfId="2667" priority="2751">
      <formula>LEN(TRIM(U1200))&gt;0</formula>
    </cfRule>
  </conditionalFormatting>
  <conditionalFormatting sqref="U1200:Y1200">
    <cfRule type="notContainsBlanks" dxfId="2666" priority="2750">
      <formula>LEN(TRIM(U1200))&gt;0</formula>
    </cfRule>
  </conditionalFormatting>
  <conditionalFormatting sqref="U1200:Y1200">
    <cfRule type="notContainsBlanks" dxfId="2665" priority="2749">
      <formula>LEN(TRIM(U1200))&gt;0</formula>
    </cfRule>
  </conditionalFormatting>
  <conditionalFormatting sqref="U1200:Y1200">
    <cfRule type="notContainsBlanks" dxfId="2664" priority="2748">
      <formula>LEN(TRIM(U1200))&gt;0</formula>
    </cfRule>
  </conditionalFormatting>
  <conditionalFormatting sqref="U1200:Y1200">
    <cfRule type="notContainsBlanks" dxfId="2663" priority="2747">
      <formula>LEN(TRIM(U1200))&gt;0</formula>
    </cfRule>
  </conditionalFormatting>
  <conditionalFormatting sqref="U1200:Y1200">
    <cfRule type="notContainsBlanks" priority="2746">
      <formula>LEN(TRIM(U1200))&gt;0</formula>
    </cfRule>
  </conditionalFormatting>
  <conditionalFormatting sqref="U1200:Y1200">
    <cfRule type="notContainsBlanks" dxfId="2662" priority="2745">
      <formula>LEN(TRIM(U1200))&gt;0</formula>
    </cfRule>
  </conditionalFormatting>
  <conditionalFormatting sqref="U1200:Y1200">
    <cfRule type="notContainsBlanks" dxfId="2661" priority="2744">
      <formula>LEN(TRIM(U1200))&gt;0</formula>
    </cfRule>
  </conditionalFormatting>
  <conditionalFormatting sqref="U1200:Y1200">
    <cfRule type="notContainsBlanks" dxfId="2660" priority="2743">
      <formula>LEN(TRIM(U1200))&gt;0</formula>
    </cfRule>
  </conditionalFormatting>
  <conditionalFormatting sqref="U1200:Y1200">
    <cfRule type="notContainsBlanks" dxfId="2659" priority="2742">
      <formula>LEN(TRIM(U1200))&gt;0</formula>
    </cfRule>
  </conditionalFormatting>
  <conditionalFormatting sqref="U1200:Y1200">
    <cfRule type="notContainsBlanks" dxfId="2658" priority="2741">
      <formula>LEN(TRIM(U1200))&gt;0</formula>
    </cfRule>
  </conditionalFormatting>
  <conditionalFormatting sqref="U1213:Y1213">
    <cfRule type="notContainsBlanks" dxfId="2657" priority="2740">
      <formula>LEN(TRIM(U1213))&gt;0</formula>
    </cfRule>
  </conditionalFormatting>
  <conditionalFormatting sqref="U1213:Y1213">
    <cfRule type="notContainsBlanks" dxfId="2656" priority="2739">
      <formula>LEN(TRIM(U1213))&gt;0</formula>
    </cfRule>
  </conditionalFormatting>
  <conditionalFormatting sqref="U1213:Y1213">
    <cfRule type="notContainsBlanks" dxfId="2655" priority="2738">
      <formula>LEN(TRIM(U1213))&gt;0</formula>
    </cfRule>
  </conditionalFormatting>
  <conditionalFormatting sqref="U1213:Y1213">
    <cfRule type="notContainsBlanks" dxfId="2654" priority="2737">
      <formula>LEN(TRIM(U1213))&gt;0</formula>
    </cfRule>
  </conditionalFormatting>
  <conditionalFormatting sqref="U1213:Y1213">
    <cfRule type="notContainsBlanks" dxfId="2653" priority="2736">
      <formula>LEN(TRIM(U1213))&gt;0</formula>
    </cfRule>
  </conditionalFormatting>
  <conditionalFormatting sqref="U1213:Y1213">
    <cfRule type="notContainsBlanks" dxfId="2652" priority="2735">
      <formula>LEN(TRIM(U1213))&gt;0</formula>
    </cfRule>
  </conditionalFormatting>
  <conditionalFormatting sqref="U1213:Y1213">
    <cfRule type="notContainsBlanks" dxfId="2651" priority="2734">
      <formula>LEN(TRIM(U1213))&gt;0</formula>
    </cfRule>
  </conditionalFormatting>
  <conditionalFormatting sqref="U1213:Y1213">
    <cfRule type="notContainsBlanks" dxfId="2650" priority="2733">
      <formula>LEN(TRIM(U1213))&gt;0</formula>
    </cfRule>
  </conditionalFormatting>
  <conditionalFormatting sqref="U1213:Y1213">
    <cfRule type="notContainsBlanks" dxfId="2649" priority="2732">
      <formula>LEN(TRIM(U1213))&gt;0</formula>
    </cfRule>
  </conditionalFormatting>
  <conditionalFormatting sqref="U1213:Y1213">
    <cfRule type="notContainsBlanks" dxfId="2648" priority="2730">
      <formula>LEN(TRIM(U1213))&gt;0</formula>
    </cfRule>
    <cfRule type="notContainsBlanks" dxfId="2647" priority="2731">
      <formula>LEN(TRIM(U1213))&gt;0</formula>
    </cfRule>
  </conditionalFormatting>
  <conditionalFormatting sqref="U1213:Y1213">
    <cfRule type="notContainsBlanks" dxfId="2646" priority="2729">
      <formula>LEN(TRIM(U1213))&gt;0</formula>
    </cfRule>
  </conditionalFormatting>
  <conditionalFormatting sqref="U1213:Y1213">
    <cfRule type="notContainsBlanks" dxfId="2645" priority="2728">
      <formula>LEN(TRIM(U1213))&gt;0</formula>
    </cfRule>
  </conditionalFormatting>
  <conditionalFormatting sqref="U1213:Y1213">
    <cfRule type="notContainsBlanks" dxfId="2644" priority="2727">
      <formula>LEN(TRIM(U1213))&gt;0</formula>
    </cfRule>
  </conditionalFormatting>
  <conditionalFormatting sqref="U1213:Y1213">
    <cfRule type="notContainsBlanks" dxfId="2643" priority="2726">
      <formula>LEN(TRIM(U1213))&gt;0</formula>
    </cfRule>
  </conditionalFormatting>
  <conditionalFormatting sqref="U1213:Y1213">
    <cfRule type="notContainsBlanks" dxfId="2642" priority="2725">
      <formula>LEN(TRIM(U1213))&gt;0</formula>
    </cfRule>
  </conditionalFormatting>
  <conditionalFormatting sqref="U1213:Y1213">
    <cfRule type="notContainsBlanks" dxfId="2641" priority="2724">
      <formula>LEN(TRIM(U1213))&gt;0</formula>
    </cfRule>
  </conditionalFormatting>
  <conditionalFormatting sqref="U1213:Y1213">
    <cfRule type="notContainsBlanks" dxfId="2640" priority="2723">
      <formula>LEN(TRIM(U1213))&gt;0</formula>
    </cfRule>
  </conditionalFormatting>
  <conditionalFormatting sqref="U1213:Y1213">
    <cfRule type="notContainsBlanks" dxfId="2639" priority="2722">
      <formula>LEN(TRIM(U1213))&gt;0</formula>
    </cfRule>
  </conditionalFormatting>
  <conditionalFormatting sqref="U1213:Y1213">
    <cfRule type="notContainsBlanks" dxfId="2638" priority="2721">
      <formula>LEN(TRIM(U1213))&gt;0</formula>
    </cfRule>
  </conditionalFormatting>
  <conditionalFormatting sqref="U1213:Y1213">
    <cfRule type="notContainsBlanks" priority="2720">
      <formula>LEN(TRIM(U1213))&gt;0</formula>
    </cfRule>
  </conditionalFormatting>
  <conditionalFormatting sqref="U1213:Y1213">
    <cfRule type="notContainsBlanks" dxfId="2637" priority="2719">
      <formula>LEN(TRIM(U1213))&gt;0</formula>
    </cfRule>
  </conditionalFormatting>
  <conditionalFormatting sqref="U1213:Y1213">
    <cfRule type="notContainsBlanks" dxfId="2636" priority="2718">
      <formula>LEN(TRIM(U1213))&gt;0</formula>
    </cfRule>
  </conditionalFormatting>
  <conditionalFormatting sqref="U1213:Y1213">
    <cfRule type="notContainsBlanks" dxfId="2635" priority="2717">
      <formula>LEN(TRIM(U1213))&gt;0</formula>
    </cfRule>
  </conditionalFormatting>
  <conditionalFormatting sqref="U1213:Y1213">
    <cfRule type="notContainsBlanks" dxfId="2634" priority="2716">
      <formula>LEN(TRIM(U1213))&gt;0</formula>
    </cfRule>
  </conditionalFormatting>
  <conditionalFormatting sqref="U1213:Y1213">
    <cfRule type="notContainsBlanks" dxfId="2633" priority="2715">
      <formula>LEN(TRIM(U1213))&gt;0</formula>
    </cfRule>
  </conditionalFormatting>
  <conditionalFormatting sqref="U1226:Y1226">
    <cfRule type="notContainsBlanks" dxfId="2632" priority="2714">
      <formula>LEN(TRIM(U1226))&gt;0</formula>
    </cfRule>
  </conditionalFormatting>
  <conditionalFormatting sqref="U1226:Y1226">
    <cfRule type="notContainsBlanks" dxfId="2631" priority="2713">
      <formula>LEN(TRIM(U1226))&gt;0</formula>
    </cfRule>
  </conditionalFormatting>
  <conditionalFormatting sqref="U1226:Y1226">
    <cfRule type="notContainsBlanks" dxfId="2630" priority="2712">
      <formula>LEN(TRIM(U1226))&gt;0</formula>
    </cfRule>
  </conditionalFormatting>
  <conditionalFormatting sqref="U1226:Y1226">
    <cfRule type="notContainsBlanks" dxfId="2629" priority="2711">
      <formula>LEN(TRIM(U1226))&gt;0</formula>
    </cfRule>
  </conditionalFormatting>
  <conditionalFormatting sqref="U1226:Y1226">
    <cfRule type="notContainsBlanks" dxfId="2628" priority="2710">
      <formula>LEN(TRIM(U1226))&gt;0</formula>
    </cfRule>
  </conditionalFormatting>
  <conditionalFormatting sqref="U1226:Y1226">
    <cfRule type="notContainsBlanks" dxfId="2627" priority="2709">
      <formula>LEN(TRIM(U1226))&gt;0</formula>
    </cfRule>
  </conditionalFormatting>
  <conditionalFormatting sqref="U1226:Y1226">
    <cfRule type="notContainsBlanks" dxfId="2626" priority="2708">
      <formula>LEN(TRIM(U1226))&gt;0</formula>
    </cfRule>
  </conditionalFormatting>
  <conditionalFormatting sqref="U1226:Y1226">
    <cfRule type="notContainsBlanks" dxfId="2625" priority="2707">
      <formula>LEN(TRIM(U1226))&gt;0</formula>
    </cfRule>
  </conditionalFormatting>
  <conditionalFormatting sqref="U1226:Y1226">
    <cfRule type="notContainsBlanks" dxfId="2624" priority="2706">
      <formula>LEN(TRIM(U1226))&gt;0</formula>
    </cfRule>
  </conditionalFormatting>
  <conditionalFormatting sqref="U1226:Y1226">
    <cfRule type="notContainsBlanks" dxfId="2623" priority="2704">
      <formula>LEN(TRIM(U1226))&gt;0</formula>
    </cfRule>
    <cfRule type="notContainsBlanks" dxfId="2622" priority="2705">
      <formula>LEN(TRIM(U1226))&gt;0</formula>
    </cfRule>
  </conditionalFormatting>
  <conditionalFormatting sqref="U1226:Y1226">
    <cfRule type="notContainsBlanks" dxfId="2621" priority="2703">
      <formula>LEN(TRIM(U1226))&gt;0</formula>
    </cfRule>
  </conditionalFormatting>
  <conditionalFormatting sqref="U1226:Y1226">
    <cfRule type="notContainsBlanks" dxfId="2620" priority="2702">
      <formula>LEN(TRIM(U1226))&gt;0</formula>
    </cfRule>
  </conditionalFormatting>
  <conditionalFormatting sqref="U1226:Y1226">
    <cfRule type="notContainsBlanks" dxfId="2619" priority="2701">
      <formula>LEN(TRIM(U1226))&gt;0</formula>
    </cfRule>
  </conditionalFormatting>
  <conditionalFormatting sqref="U1226:Y1226">
    <cfRule type="notContainsBlanks" dxfId="2618" priority="2700">
      <formula>LEN(TRIM(U1226))&gt;0</formula>
    </cfRule>
  </conditionalFormatting>
  <conditionalFormatting sqref="U1226:Y1226">
    <cfRule type="notContainsBlanks" dxfId="2617" priority="2699">
      <formula>LEN(TRIM(U1226))&gt;0</formula>
    </cfRule>
  </conditionalFormatting>
  <conditionalFormatting sqref="U1226:Y1226">
    <cfRule type="notContainsBlanks" dxfId="2616" priority="2698">
      <formula>LEN(TRIM(U1226))&gt;0</formula>
    </cfRule>
  </conditionalFormatting>
  <conditionalFormatting sqref="U1226:Y1226">
    <cfRule type="notContainsBlanks" dxfId="2615" priority="2697">
      <formula>LEN(TRIM(U1226))&gt;0</formula>
    </cfRule>
  </conditionalFormatting>
  <conditionalFormatting sqref="U1226:Y1226">
    <cfRule type="notContainsBlanks" dxfId="2614" priority="2696">
      <formula>LEN(TRIM(U1226))&gt;0</formula>
    </cfRule>
  </conditionalFormatting>
  <conditionalFormatting sqref="U1226:Y1226">
    <cfRule type="notContainsBlanks" dxfId="2613" priority="2695">
      <formula>LEN(TRIM(U1226))&gt;0</formula>
    </cfRule>
  </conditionalFormatting>
  <conditionalFormatting sqref="U1226:Y1226">
    <cfRule type="notContainsBlanks" priority="2694">
      <formula>LEN(TRIM(U1226))&gt;0</formula>
    </cfRule>
  </conditionalFormatting>
  <conditionalFormatting sqref="U1226:Y1226">
    <cfRule type="notContainsBlanks" dxfId="2612" priority="2693">
      <formula>LEN(TRIM(U1226))&gt;0</formula>
    </cfRule>
  </conditionalFormatting>
  <conditionalFormatting sqref="U1226:Y1226">
    <cfRule type="notContainsBlanks" dxfId="2611" priority="2692">
      <formula>LEN(TRIM(U1226))&gt;0</formula>
    </cfRule>
  </conditionalFormatting>
  <conditionalFormatting sqref="U1226:Y1226">
    <cfRule type="notContainsBlanks" dxfId="2610" priority="2691">
      <formula>LEN(TRIM(U1226))&gt;0</formula>
    </cfRule>
  </conditionalFormatting>
  <conditionalFormatting sqref="U1226:Y1226">
    <cfRule type="notContainsBlanks" dxfId="2609" priority="2690">
      <formula>LEN(TRIM(U1226))&gt;0</formula>
    </cfRule>
  </conditionalFormatting>
  <conditionalFormatting sqref="U1226:Y1226">
    <cfRule type="notContainsBlanks" dxfId="2608" priority="2689">
      <formula>LEN(TRIM(U1226))&gt;0</formula>
    </cfRule>
  </conditionalFormatting>
  <conditionalFormatting sqref="U1252:Y1252">
    <cfRule type="notContainsBlanks" dxfId="2607" priority="2688">
      <formula>LEN(TRIM(U1252))&gt;0</formula>
    </cfRule>
  </conditionalFormatting>
  <conditionalFormatting sqref="U1252:Y1252">
    <cfRule type="notContainsBlanks" dxfId="2606" priority="2687">
      <formula>LEN(TRIM(U1252))&gt;0</formula>
    </cfRule>
  </conditionalFormatting>
  <conditionalFormatting sqref="U1252:Y1252">
    <cfRule type="notContainsBlanks" dxfId="2605" priority="2686">
      <formula>LEN(TRIM(U1252))&gt;0</formula>
    </cfRule>
  </conditionalFormatting>
  <conditionalFormatting sqref="U1252:Y1252">
    <cfRule type="notContainsBlanks" dxfId="2604" priority="2685">
      <formula>LEN(TRIM(U1252))&gt;0</formula>
    </cfRule>
  </conditionalFormatting>
  <conditionalFormatting sqref="U1252:Y1252">
    <cfRule type="notContainsBlanks" dxfId="2603" priority="2684">
      <formula>LEN(TRIM(U1252))&gt;0</formula>
    </cfRule>
  </conditionalFormatting>
  <conditionalFormatting sqref="U1252:Y1252">
    <cfRule type="notContainsBlanks" dxfId="2602" priority="2683">
      <formula>LEN(TRIM(U1252))&gt;0</formula>
    </cfRule>
  </conditionalFormatting>
  <conditionalFormatting sqref="U1252:Y1252">
    <cfRule type="notContainsBlanks" dxfId="2601" priority="2682">
      <formula>LEN(TRIM(U1252))&gt;0</formula>
    </cfRule>
  </conditionalFormatting>
  <conditionalFormatting sqref="U1252:Y1252">
    <cfRule type="notContainsBlanks" dxfId="2600" priority="2681">
      <formula>LEN(TRIM(U1252))&gt;0</formula>
    </cfRule>
  </conditionalFormatting>
  <conditionalFormatting sqref="U1252:Y1252">
    <cfRule type="notContainsBlanks" dxfId="2599" priority="2680">
      <formula>LEN(TRIM(U1252))&gt;0</formula>
    </cfRule>
  </conditionalFormatting>
  <conditionalFormatting sqref="U1252:Y1252">
    <cfRule type="notContainsBlanks" dxfId="2598" priority="2678">
      <formula>LEN(TRIM(U1252))&gt;0</formula>
    </cfRule>
    <cfRule type="notContainsBlanks" dxfId="2597" priority="2679">
      <formula>LEN(TRIM(U1252))&gt;0</formula>
    </cfRule>
  </conditionalFormatting>
  <conditionalFormatting sqref="U1252:Y1252">
    <cfRule type="notContainsBlanks" dxfId="2596" priority="2677">
      <formula>LEN(TRIM(U1252))&gt;0</formula>
    </cfRule>
  </conditionalFormatting>
  <conditionalFormatting sqref="U1252:Y1252">
    <cfRule type="notContainsBlanks" dxfId="2595" priority="2676">
      <formula>LEN(TRIM(U1252))&gt;0</formula>
    </cfRule>
  </conditionalFormatting>
  <conditionalFormatting sqref="U1252:Y1252">
    <cfRule type="notContainsBlanks" dxfId="2594" priority="2675">
      <formula>LEN(TRIM(U1252))&gt;0</formula>
    </cfRule>
  </conditionalFormatting>
  <conditionalFormatting sqref="U1252:Y1252">
    <cfRule type="notContainsBlanks" dxfId="2593" priority="2674">
      <formula>LEN(TRIM(U1252))&gt;0</formula>
    </cfRule>
  </conditionalFormatting>
  <conditionalFormatting sqref="U1252:Y1252">
    <cfRule type="notContainsBlanks" dxfId="2592" priority="2673">
      <formula>LEN(TRIM(U1252))&gt;0</formula>
    </cfRule>
  </conditionalFormatting>
  <conditionalFormatting sqref="U1252:Y1252">
    <cfRule type="notContainsBlanks" dxfId="2591" priority="2672">
      <formula>LEN(TRIM(U1252))&gt;0</formula>
    </cfRule>
  </conditionalFormatting>
  <conditionalFormatting sqref="U1252:Y1252">
    <cfRule type="notContainsBlanks" dxfId="2590" priority="2671">
      <formula>LEN(TRIM(U1252))&gt;0</formula>
    </cfRule>
  </conditionalFormatting>
  <conditionalFormatting sqref="U1252:Y1252">
    <cfRule type="notContainsBlanks" dxfId="2589" priority="2670">
      <formula>LEN(TRIM(U1252))&gt;0</formula>
    </cfRule>
  </conditionalFormatting>
  <conditionalFormatting sqref="U1252:Y1252">
    <cfRule type="notContainsBlanks" dxfId="2588" priority="2669">
      <formula>LEN(TRIM(U1252))&gt;0</formula>
    </cfRule>
  </conditionalFormatting>
  <conditionalFormatting sqref="U1252:Y1252">
    <cfRule type="notContainsBlanks" priority="2668">
      <formula>LEN(TRIM(U1252))&gt;0</formula>
    </cfRule>
  </conditionalFormatting>
  <conditionalFormatting sqref="U1252:Y1252">
    <cfRule type="notContainsBlanks" dxfId="2587" priority="2667">
      <formula>LEN(TRIM(U1252))&gt;0</formula>
    </cfRule>
  </conditionalFormatting>
  <conditionalFormatting sqref="U1252:Y1252">
    <cfRule type="notContainsBlanks" dxfId="2586" priority="2666">
      <formula>LEN(TRIM(U1252))&gt;0</formula>
    </cfRule>
  </conditionalFormatting>
  <conditionalFormatting sqref="U1252:Y1252">
    <cfRule type="notContainsBlanks" dxfId="2585" priority="2665">
      <formula>LEN(TRIM(U1252))&gt;0</formula>
    </cfRule>
  </conditionalFormatting>
  <conditionalFormatting sqref="U1252:Y1252">
    <cfRule type="notContainsBlanks" dxfId="2584" priority="2664">
      <formula>LEN(TRIM(U1252))&gt;0</formula>
    </cfRule>
  </conditionalFormatting>
  <conditionalFormatting sqref="U1252:Y1252">
    <cfRule type="notContainsBlanks" dxfId="2583" priority="2663">
      <formula>LEN(TRIM(U1252))&gt;0</formula>
    </cfRule>
  </conditionalFormatting>
  <conditionalFormatting sqref="U1239:Y1239">
    <cfRule type="notContainsBlanks" dxfId="2582" priority="2662">
      <formula>LEN(TRIM(U1239))&gt;0</formula>
    </cfRule>
  </conditionalFormatting>
  <conditionalFormatting sqref="U1239:Y1239">
    <cfRule type="notContainsBlanks" dxfId="2581" priority="2661">
      <formula>LEN(TRIM(U1239))&gt;0</formula>
    </cfRule>
  </conditionalFormatting>
  <conditionalFormatting sqref="U1239:Y1239">
    <cfRule type="notContainsBlanks" dxfId="2580" priority="2660">
      <formula>LEN(TRIM(U1239))&gt;0</formula>
    </cfRule>
  </conditionalFormatting>
  <conditionalFormatting sqref="U1239:Y1239">
    <cfRule type="notContainsBlanks" dxfId="2579" priority="2659">
      <formula>LEN(TRIM(U1239))&gt;0</formula>
    </cfRule>
  </conditionalFormatting>
  <conditionalFormatting sqref="U1239:Y1239">
    <cfRule type="notContainsBlanks" dxfId="2578" priority="2658">
      <formula>LEN(TRIM(U1239))&gt;0</formula>
    </cfRule>
  </conditionalFormatting>
  <conditionalFormatting sqref="U1239:Y1239">
    <cfRule type="notContainsBlanks" dxfId="2577" priority="2657">
      <formula>LEN(TRIM(U1239))&gt;0</formula>
    </cfRule>
  </conditionalFormatting>
  <conditionalFormatting sqref="U1239:Y1239">
    <cfRule type="notContainsBlanks" dxfId="2576" priority="2656">
      <formula>LEN(TRIM(U1239))&gt;0</formula>
    </cfRule>
  </conditionalFormatting>
  <conditionalFormatting sqref="U1239:Y1239">
    <cfRule type="notContainsBlanks" dxfId="2575" priority="2655">
      <formula>LEN(TRIM(U1239))&gt;0</formula>
    </cfRule>
  </conditionalFormatting>
  <conditionalFormatting sqref="U1239:Y1239">
    <cfRule type="notContainsBlanks" dxfId="2574" priority="2654">
      <formula>LEN(TRIM(U1239))&gt;0</formula>
    </cfRule>
  </conditionalFormatting>
  <conditionalFormatting sqref="U1239:Y1239">
    <cfRule type="notContainsBlanks" dxfId="2573" priority="2652">
      <formula>LEN(TRIM(U1239))&gt;0</formula>
    </cfRule>
    <cfRule type="notContainsBlanks" dxfId="2572" priority="2653">
      <formula>LEN(TRIM(U1239))&gt;0</formula>
    </cfRule>
  </conditionalFormatting>
  <conditionalFormatting sqref="U1239:Y1239">
    <cfRule type="notContainsBlanks" dxfId="2571" priority="2651">
      <formula>LEN(TRIM(U1239))&gt;0</formula>
    </cfRule>
  </conditionalFormatting>
  <conditionalFormatting sqref="U1239:Y1239">
    <cfRule type="notContainsBlanks" dxfId="2570" priority="2650">
      <formula>LEN(TRIM(U1239))&gt;0</formula>
    </cfRule>
  </conditionalFormatting>
  <conditionalFormatting sqref="U1239:Y1239">
    <cfRule type="notContainsBlanks" dxfId="2569" priority="2649">
      <formula>LEN(TRIM(U1239))&gt;0</formula>
    </cfRule>
  </conditionalFormatting>
  <conditionalFormatting sqref="U1239:Y1239">
    <cfRule type="notContainsBlanks" dxfId="2568" priority="2648">
      <formula>LEN(TRIM(U1239))&gt;0</formula>
    </cfRule>
  </conditionalFormatting>
  <conditionalFormatting sqref="U1239:Y1239">
    <cfRule type="notContainsBlanks" dxfId="2567" priority="2647">
      <formula>LEN(TRIM(U1239))&gt;0</formula>
    </cfRule>
  </conditionalFormatting>
  <conditionalFormatting sqref="U1239:Y1239">
    <cfRule type="notContainsBlanks" dxfId="2566" priority="2646">
      <formula>LEN(TRIM(U1239))&gt;0</formula>
    </cfRule>
  </conditionalFormatting>
  <conditionalFormatting sqref="U1239:Y1239">
    <cfRule type="notContainsBlanks" dxfId="2565" priority="2645">
      <formula>LEN(TRIM(U1239))&gt;0</formula>
    </cfRule>
  </conditionalFormatting>
  <conditionalFormatting sqref="U1239:Y1239">
    <cfRule type="notContainsBlanks" dxfId="2564" priority="2644">
      <formula>LEN(TRIM(U1239))&gt;0</formula>
    </cfRule>
  </conditionalFormatting>
  <conditionalFormatting sqref="U1239:Y1239">
    <cfRule type="notContainsBlanks" dxfId="2563" priority="2643">
      <formula>LEN(TRIM(U1239))&gt;0</formula>
    </cfRule>
  </conditionalFormatting>
  <conditionalFormatting sqref="U1239:Y1239">
    <cfRule type="notContainsBlanks" priority="2642">
      <formula>LEN(TRIM(U1239))&gt;0</formula>
    </cfRule>
  </conditionalFormatting>
  <conditionalFormatting sqref="U1239:Y1239">
    <cfRule type="notContainsBlanks" dxfId="2562" priority="2641">
      <formula>LEN(TRIM(U1239))&gt;0</formula>
    </cfRule>
  </conditionalFormatting>
  <conditionalFormatting sqref="U1239:Y1239">
    <cfRule type="notContainsBlanks" dxfId="2561" priority="2640">
      <formula>LEN(TRIM(U1239))&gt;0</formula>
    </cfRule>
  </conditionalFormatting>
  <conditionalFormatting sqref="U1239:Y1239">
    <cfRule type="notContainsBlanks" dxfId="2560" priority="2639">
      <formula>LEN(TRIM(U1239))&gt;0</formula>
    </cfRule>
  </conditionalFormatting>
  <conditionalFormatting sqref="U1239:Y1239">
    <cfRule type="notContainsBlanks" dxfId="2559" priority="2638">
      <formula>LEN(TRIM(U1239))&gt;0</formula>
    </cfRule>
  </conditionalFormatting>
  <conditionalFormatting sqref="U1239:Y1239">
    <cfRule type="notContainsBlanks" dxfId="2558" priority="2637">
      <formula>LEN(TRIM(U1239))&gt;0</formula>
    </cfRule>
  </conditionalFormatting>
  <conditionalFormatting sqref="U1265:Y1265">
    <cfRule type="notContainsBlanks" dxfId="2557" priority="2636">
      <formula>LEN(TRIM(U1265))&gt;0</formula>
    </cfRule>
  </conditionalFormatting>
  <conditionalFormatting sqref="U1265:Y1265">
    <cfRule type="notContainsBlanks" dxfId="2556" priority="2635">
      <formula>LEN(TRIM(U1265))&gt;0</formula>
    </cfRule>
  </conditionalFormatting>
  <conditionalFormatting sqref="U1265:Y1265">
    <cfRule type="notContainsBlanks" dxfId="2555" priority="2634">
      <formula>LEN(TRIM(U1265))&gt;0</formula>
    </cfRule>
  </conditionalFormatting>
  <conditionalFormatting sqref="U1265:Y1265">
    <cfRule type="notContainsBlanks" dxfId="2554" priority="2633">
      <formula>LEN(TRIM(U1265))&gt;0</formula>
    </cfRule>
  </conditionalFormatting>
  <conditionalFormatting sqref="U1265:Y1265">
    <cfRule type="notContainsBlanks" dxfId="2553" priority="2632">
      <formula>LEN(TRIM(U1265))&gt;0</formula>
    </cfRule>
  </conditionalFormatting>
  <conditionalFormatting sqref="U1265:Y1265">
    <cfRule type="notContainsBlanks" dxfId="2552" priority="2631">
      <formula>LEN(TRIM(U1265))&gt;0</formula>
    </cfRule>
  </conditionalFormatting>
  <conditionalFormatting sqref="U1265:Y1265">
    <cfRule type="notContainsBlanks" dxfId="2551" priority="2630">
      <formula>LEN(TRIM(U1265))&gt;0</formula>
    </cfRule>
  </conditionalFormatting>
  <conditionalFormatting sqref="U1265:Y1265">
    <cfRule type="notContainsBlanks" dxfId="2550" priority="2629">
      <formula>LEN(TRIM(U1265))&gt;0</formula>
    </cfRule>
  </conditionalFormatting>
  <conditionalFormatting sqref="U1265:Y1265">
    <cfRule type="notContainsBlanks" dxfId="2549" priority="2628">
      <formula>LEN(TRIM(U1265))&gt;0</formula>
    </cfRule>
  </conditionalFormatting>
  <conditionalFormatting sqref="U1265:Y1265">
    <cfRule type="notContainsBlanks" dxfId="2548" priority="2626">
      <formula>LEN(TRIM(U1265))&gt;0</formula>
    </cfRule>
    <cfRule type="notContainsBlanks" dxfId="2547" priority="2627">
      <formula>LEN(TRIM(U1265))&gt;0</formula>
    </cfRule>
  </conditionalFormatting>
  <conditionalFormatting sqref="U1265:Y1265">
    <cfRule type="notContainsBlanks" dxfId="2546" priority="2625">
      <formula>LEN(TRIM(U1265))&gt;0</formula>
    </cfRule>
  </conditionalFormatting>
  <conditionalFormatting sqref="U1265:Y1265">
    <cfRule type="notContainsBlanks" dxfId="2545" priority="2624">
      <formula>LEN(TRIM(U1265))&gt;0</formula>
    </cfRule>
  </conditionalFormatting>
  <conditionalFormatting sqref="U1265:Y1265">
    <cfRule type="notContainsBlanks" dxfId="2544" priority="2623">
      <formula>LEN(TRIM(U1265))&gt;0</formula>
    </cfRule>
  </conditionalFormatting>
  <conditionalFormatting sqref="U1265:Y1265">
    <cfRule type="notContainsBlanks" dxfId="2543" priority="2622">
      <formula>LEN(TRIM(U1265))&gt;0</formula>
    </cfRule>
  </conditionalFormatting>
  <conditionalFormatting sqref="U1265:Y1265">
    <cfRule type="notContainsBlanks" dxfId="2542" priority="2621">
      <formula>LEN(TRIM(U1265))&gt;0</formula>
    </cfRule>
  </conditionalFormatting>
  <conditionalFormatting sqref="U1265:Y1265">
    <cfRule type="notContainsBlanks" dxfId="2541" priority="2620">
      <formula>LEN(TRIM(U1265))&gt;0</formula>
    </cfRule>
  </conditionalFormatting>
  <conditionalFormatting sqref="U1265:Y1265">
    <cfRule type="notContainsBlanks" dxfId="2540" priority="2619">
      <formula>LEN(TRIM(U1265))&gt;0</formula>
    </cfRule>
  </conditionalFormatting>
  <conditionalFormatting sqref="U1265:Y1265">
    <cfRule type="notContainsBlanks" dxfId="2539" priority="2618">
      <formula>LEN(TRIM(U1265))&gt;0</formula>
    </cfRule>
  </conditionalFormatting>
  <conditionalFormatting sqref="U1265:Y1265">
    <cfRule type="notContainsBlanks" dxfId="2538" priority="2617">
      <formula>LEN(TRIM(U1265))&gt;0</formula>
    </cfRule>
  </conditionalFormatting>
  <conditionalFormatting sqref="U1265:Y1265">
    <cfRule type="notContainsBlanks" priority="2616">
      <formula>LEN(TRIM(U1265))&gt;0</formula>
    </cfRule>
  </conditionalFormatting>
  <conditionalFormatting sqref="U1265:Y1265">
    <cfRule type="notContainsBlanks" dxfId="2537" priority="2615">
      <formula>LEN(TRIM(U1265))&gt;0</formula>
    </cfRule>
  </conditionalFormatting>
  <conditionalFormatting sqref="U1265:Y1265">
    <cfRule type="notContainsBlanks" dxfId="2536" priority="2614">
      <formula>LEN(TRIM(U1265))&gt;0</formula>
    </cfRule>
  </conditionalFormatting>
  <conditionalFormatting sqref="U1265:Y1265">
    <cfRule type="notContainsBlanks" dxfId="2535" priority="2613">
      <formula>LEN(TRIM(U1265))&gt;0</formula>
    </cfRule>
  </conditionalFormatting>
  <conditionalFormatting sqref="U1265:Y1265">
    <cfRule type="notContainsBlanks" dxfId="2534" priority="2612">
      <formula>LEN(TRIM(U1265))&gt;0</formula>
    </cfRule>
  </conditionalFormatting>
  <conditionalFormatting sqref="U1265:Y1265">
    <cfRule type="notContainsBlanks" dxfId="2533" priority="2611">
      <formula>LEN(TRIM(U1265))&gt;0</formula>
    </cfRule>
  </conditionalFormatting>
  <conditionalFormatting sqref="U1278:Y1278">
    <cfRule type="notContainsBlanks" dxfId="2532" priority="2610">
      <formula>LEN(TRIM(U1278))&gt;0</formula>
    </cfRule>
  </conditionalFormatting>
  <conditionalFormatting sqref="U1278:Y1278">
    <cfRule type="notContainsBlanks" dxfId="2531" priority="2609">
      <formula>LEN(TRIM(U1278))&gt;0</formula>
    </cfRule>
  </conditionalFormatting>
  <conditionalFormatting sqref="U1278:Y1278">
    <cfRule type="notContainsBlanks" dxfId="2530" priority="2608">
      <formula>LEN(TRIM(U1278))&gt;0</formula>
    </cfRule>
  </conditionalFormatting>
  <conditionalFormatting sqref="U1278:Y1278">
    <cfRule type="notContainsBlanks" dxfId="2529" priority="2607">
      <formula>LEN(TRIM(U1278))&gt;0</formula>
    </cfRule>
  </conditionalFormatting>
  <conditionalFormatting sqref="U1278:Y1278">
    <cfRule type="notContainsBlanks" dxfId="2528" priority="2606">
      <formula>LEN(TRIM(U1278))&gt;0</formula>
    </cfRule>
  </conditionalFormatting>
  <conditionalFormatting sqref="U1278:Y1278">
    <cfRule type="notContainsBlanks" dxfId="2527" priority="2605">
      <formula>LEN(TRIM(U1278))&gt;0</formula>
    </cfRule>
  </conditionalFormatting>
  <conditionalFormatting sqref="U1278:Y1278">
    <cfRule type="notContainsBlanks" dxfId="2526" priority="2604">
      <formula>LEN(TRIM(U1278))&gt;0</formula>
    </cfRule>
  </conditionalFormatting>
  <conditionalFormatting sqref="U1278:Y1278">
    <cfRule type="notContainsBlanks" dxfId="2525" priority="2603">
      <formula>LEN(TRIM(U1278))&gt;0</formula>
    </cfRule>
  </conditionalFormatting>
  <conditionalFormatting sqref="U1278:Y1278">
    <cfRule type="notContainsBlanks" dxfId="2524" priority="2602">
      <formula>LEN(TRIM(U1278))&gt;0</formula>
    </cfRule>
  </conditionalFormatting>
  <conditionalFormatting sqref="U1278:Y1278">
    <cfRule type="notContainsBlanks" dxfId="2523" priority="2600">
      <formula>LEN(TRIM(U1278))&gt;0</formula>
    </cfRule>
    <cfRule type="notContainsBlanks" dxfId="2522" priority="2601">
      <formula>LEN(TRIM(U1278))&gt;0</formula>
    </cfRule>
  </conditionalFormatting>
  <conditionalFormatting sqref="U1278:Y1278">
    <cfRule type="notContainsBlanks" dxfId="2521" priority="2599">
      <formula>LEN(TRIM(U1278))&gt;0</formula>
    </cfRule>
  </conditionalFormatting>
  <conditionalFormatting sqref="U1278:Y1278">
    <cfRule type="notContainsBlanks" dxfId="2520" priority="2598">
      <formula>LEN(TRIM(U1278))&gt;0</formula>
    </cfRule>
  </conditionalFormatting>
  <conditionalFormatting sqref="U1278:Y1278">
    <cfRule type="notContainsBlanks" dxfId="2519" priority="2597">
      <formula>LEN(TRIM(U1278))&gt;0</formula>
    </cfRule>
  </conditionalFormatting>
  <conditionalFormatting sqref="U1278:Y1278">
    <cfRule type="notContainsBlanks" dxfId="2518" priority="2596">
      <formula>LEN(TRIM(U1278))&gt;0</formula>
    </cfRule>
  </conditionalFormatting>
  <conditionalFormatting sqref="U1278:Y1278">
    <cfRule type="notContainsBlanks" dxfId="2517" priority="2595">
      <formula>LEN(TRIM(U1278))&gt;0</formula>
    </cfRule>
  </conditionalFormatting>
  <conditionalFormatting sqref="U1278:Y1278">
    <cfRule type="notContainsBlanks" dxfId="2516" priority="2594">
      <formula>LEN(TRIM(U1278))&gt;0</formula>
    </cfRule>
  </conditionalFormatting>
  <conditionalFormatting sqref="U1278:Y1278">
    <cfRule type="notContainsBlanks" dxfId="2515" priority="2593">
      <formula>LEN(TRIM(U1278))&gt;0</formula>
    </cfRule>
  </conditionalFormatting>
  <conditionalFormatting sqref="U1278:Y1278">
    <cfRule type="notContainsBlanks" dxfId="2514" priority="2592">
      <formula>LEN(TRIM(U1278))&gt;0</formula>
    </cfRule>
  </conditionalFormatting>
  <conditionalFormatting sqref="U1278:Y1278">
    <cfRule type="notContainsBlanks" dxfId="2513" priority="2591">
      <formula>LEN(TRIM(U1278))&gt;0</formula>
    </cfRule>
  </conditionalFormatting>
  <conditionalFormatting sqref="U1278:Y1278">
    <cfRule type="notContainsBlanks" priority="2590">
      <formula>LEN(TRIM(U1278))&gt;0</formula>
    </cfRule>
  </conditionalFormatting>
  <conditionalFormatting sqref="U1278:Y1278">
    <cfRule type="notContainsBlanks" dxfId="2512" priority="2589">
      <formula>LEN(TRIM(U1278))&gt;0</formula>
    </cfRule>
  </conditionalFormatting>
  <conditionalFormatting sqref="U1278:Y1278">
    <cfRule type="notContainsBlanks" dxfId="2511" priority="2588">
      <formula>LEN(TRIM(U1278))&gt;0</formula>
    </cfRule>
  </conditionalFormatting>
  <conditionalFormatting sqref="U1278:Y1278">
    <cfRule type="notContainsBlanks" dxfId="2510" priority="2587">
      <formula>LEN(TRIM(U1278))&gt;0</formula>
    </cfRule>
  </conditionalFormatting>
  <conditionalFormatting sqref="U1278:Y1278">
    <cfRule type="notContainsBlanks" dxfId="2509" priority="2586">
      <formula>LEN(TRIM(U1278))&gt;0</formula>
    </cfRule>
  </conditionalFormatting>
  <conditionalFormatting sqref="U1278:Y1278">
    <cfRule type="notContainsBlanks" dxfId="2508" priority="2585">
      <formula>LEN(TRIM(U1278))&gt;0</formula>
    </cfRule>
  </conditionalFormatting>
  <conditionalFormatting sqref="U1291:Y1291">
    <cfRule type="notContainsBlanks" dxfId="2507" priority="2584">
      <formula>LEN(TRIM(U1291))&gt;0</formula>
    </cfRule>
  </conditionalFormatting>
  <conditionalFormatting sqref="U1291:Y1291">
    <cfRule type="notContainsBlanks" dxfId="2506" priority="2583">
      <formula>LEN(TRIM(U1291))&gt;0</formula>
    </cfRule>
  </conditionalFormatting>
  <conditionalFormatting sqref="U1291:Y1291">
    <cfRule type="notContainsBlanks" dxfId="2505" priority="2582">
      <formula>LEN(TRIM(U1291))&gt;0</formula>
    </cfRule>
  </conditionalFormatting>
  <conditionalFormatting sqref="U1291:Y1291">
    <cfRule type="notContainsBlanks" dxfId="2504" priority="2581">
      <formula>LEN(TRIM(U1291))&gt;0</formula>
    </cfRule>
  </conditionalFormatting>
  <conditionalFormatting sqref="U1291:Y1291">
    <cfRule type="notContainsBlanks" dxfId="2503" priority="2580">
      <formula>LEN(TRIM(U1291))&gt;0</formula>
    </cfRule>
  </conditionalFormatting>
  <conditionalFormatting sqref="U1291:Y1291">
    <cfRule type="notContainsBlanks" dxfId="2502" priority="2579">
      <formula>LEN(TRIM(U1291))&gt;0</formula>
    </cfRule>
  </conditionalFormatting>
  <conditionalFormatting sqref="U1291:Y1291">
    <cfRule type="notContainsBlanks" dxfId="2501" priority="2578">
      <formula>LEN(TRIM(U1291))&gt;0</formula>
    </cfRule>
  </conditionalFormatting>
  <conditionalFormatting sqref="U1291:Y1291">
    <cfRule type="notContainsBlanks" dxfId="2500" priority="2577">
      <formula>LEN(TRIM(U1291))&gt;0</formula>
    </cfRule>
  </conditionalFormatting>
  <conditionalFormatting sqref="U1291:Y1291">
    <cfRule type="notContainsBlanks" dxfId="2499" priority="2576">
      <formula>LEN(TRIM(U1291))&gt;0</formula>
    </cfRule>
  </conditionalFormatting>
  <conditionalFormatting sqref="U1291:Y1291">
    <cfRule type="notContainsBlanks" dxfId="2498" priority="2574">
      <formula>LEN(TRIM(U1291))&gt;0</formula>
    </cfRule>
    <cfRule type="notContainsBlanks" dxfId="2497" priority="2575">
      <formula>LEN(TRIM(U1291))&gt;0</formula>
    </cfRule>
  </conditionalFormatting>
  <conditionalFormatting sqref="U1291:Y1291">
    <cfRule type="notContainsBlanks" dxfId="2496" priority="2573">
      <formula>LEN(TRIM(U1291))&gt;0</formula>
    </cfRule>
  </conditionalFormatting>
  <conditionalFormatting sqref="U1291:Y1291">
    <cfRule type="notContainsBlanks" dxfId="2495" priority="2572">
      <formula>LEN(TRIM(U1291))&gt;0</formula>
    </cfRule>
  </conditionalFormatting>
  <conditionalFormatting sqref="U1291:Y1291">
    <cfRule type="notContainsBlanks" dxfId="2494" priority="2571">
      <formula>LEN(TRIM(U1291))&gt;0</formula>
    </cfRule>
  </conditionalFormatting>
  <conditionalFormatting sqref="U1291:Y1291">
    <cfRule type="notContainsBlanks" dxfId="2493" priority="2570">
      <formula>LEN(TRIM(U1291))&gt;0</formula>
    </cfRule>
  </conditionalFormatting>
  <conditionalFormatting sqref="U1291:Y1291">
    <cfRule type="notContainsBlanks" dxfId="2492" priority="2569">
      <formula>LEN(TRIM(U1291))&gt;0</formula>
    </cfRule>
  </conditionalFormatting>
  <conditionalFormatting sqref="U1291:Y1291">
    <cfRule type="notContainsBlanks" dxfId="2491" priority="2568">
      <formula>LEN(TRIM(U1291))&gt;0</formula>
    </cfRule>
  </conditionalFormatting>
  <conditionalFormatting sqref="U1291:Y1291">
    <cfRule type="notContainsBlanks" dxfId="2490" priority="2567">
      <formula>LEN(TRIM(U1291))&gt;0</formula>
    </cfRule>
  </conditionalFormatting>
  <conditionalFormatting sqref="U1291:Y1291">
    <cfRule type="notContainsBlanks" dxfId="2489" priority="2566">
      <formula>LEN(TRIM(U1291))&gt;0</formula>
    </cfRule>
  </conditionalFormatting>
  <conditionalFormatting sqref="U1291:Y1291">
    <cfRule type="notContainsBlanks" dxfId="2488" priority="2565">
      <formula>LEN(TRIM(U1291))&gt;0</formula>
    </cfRule>
  </conditionalFormatting>
  <conditionalFormatting sqref="U1291:Y1291">
    <cfRule type="notContainsBlanks" priority="2564">
      <formula>LEN(TRIM(U1291))&gt;0</formula>
    </cfRule>
  </conditionalFormatting>
  <conditionalFormatting sqref="U1291:Y1291">
    <cfRule type="notContainsBlanks" dxfId="2487" priority="2563">
      <formula>LEN(TRIM(U1291))&gt;0</formula>
    </cfRule>
  </conditionalFormatting>
  <conditionalFormatting sqref="U1291:Y1291">
    <cfRule type="notContainsBlanks" dxfId="2486" priority="2562">
      <formula>LEN(TRIM(U1291))&gt;0</formula>
    </cfRule>
  </conditionalFormatting>
  <conditionalFormatting sqref="U1291:Y1291">
    <cfRule type="notContainsBlanks" dxfId="2485" priority="2561">
      <formula>LEN(TRIM(U1291))&gt;0</formula>
    </cfRule>
  </conditionalFormatting>
  <conditionalFormatting sqref="U1291:Y1291">
    <cfRule type="notContainsBlanks" dxfId="2484" priority="2560">
      <formula>LEN(TRIM(U1291))&gt;0</formula>
    </cfRule>
  </conditionalFormatting>
  <conditionalFormatting sqref="U1291:Y1291">
    <cfRule type="notContainsBlanks" dxfId="2483" priority="2559">
      <formula>LEN(TRIM(U1291))&gt;0</formula>
    </cfRule>
  </conditionalFormatting>
  <conditionalFormatting sqref="U1304:Y1304">
    <cfRule type="notContainsBlanks" dxfId="2482" priority="2558">
      <formula>LEN(TRIM(U1304))&gt;0</formula>
    </cfRule>
  </conditionalFormatting>
  <conditionalFormatting sqref="U1304:Y1304">
    <cfRule type="notContainsBlanks" dxfId="2481" priority="2557">
      <formula>LEN(TRIM(U1304))&gt;0</formula>
    </cfRule>
  </conditionalFormatting>
  <conditionalFormatting sqref="U1304:Y1304">
    <cfRule type="notContainsBlanks" dxfId="2480" priority="2556">
      <formula>LEN(TRIM(U1304))&gt;0</formula>
    </cfRule>
  </conditionalFormatting>
  <conditionalFormatting sqref="U1304:Y1304">
    <cfRule type="notContainsBlanks" dxfId="2479" priority="2555">
      <formula>LEN(TRIM(U1304))&gt;0</formula>
    </cfRule>
  </conditionalFormatting>
  <conditionalFormatting sqref="U1304:Y1304">
    <cfRule type="notContainsBlanks" dxfId="2478" priority="2554">
      <formula>LEN(TRIM(U1304))&gt;0</formula>
    </cfRule>
  </conditionalFormatting>
  <conditionalFormatting sqref="U1304:Y1304">
    <cfRule type="notContainsBlanks" dxfId="2477" priority="2553">
      <formula>LEN(TRIM(U1304))&gt;0</formula>
    </cfRule>
  </conditionalFormatting>
  <conditionalFormatting sqref="U1304:Y1304">
    <cfRule type="notContainsBlanks" dxfId="2476" priority="2552">
      <formula>LEN(TRIM(U1304))&gt;0</formula>
    </cfRule>
  </conditionalFormatting>
  <conditionalFormatting sqref="U1304:Y1304">
    <cfRule type="notContainsBlanks" dxfId="2475" priority="2551">
      <formula>LEN(TRIM(U1304))&gt;0</formula>
    </cfRule>
  </conditionalFormatting>
  <conditionalFormatting sqref="U1304:Y1304">
    <cfRule type="notContainsBlanks" dxfId="2474" priority="2550">
      <formula>LEN(TRIM(U1304))&gt;0</formula>
    </cfRule>
  </conditionalFormatting>
  <conditionalFormatting sqref="U1304:Y1304">
    <cfRule type="notContainsBlanks" dxfId="2473" priority="2548">
      <formula>LEN(TRIM(U1304))&gt;0</formula>
    </cfRule>
    <cfRule type="notContainsBlanks" dxfId="2472" priority="2549">
      <formula>LEN(TRIM(U1304))&gt;0</formula>
    </cfRule>
  </conditionalFormatting>
  <conditionalFormatting sqref="U1304:Y1304">
    <cfRule type="notContainsBlanks" dxfId="2471" priority="2547">
      <formula>LEN(TRIM(U1304))&gt;0</formula>
    </cfRule>
  </conditionalFormatting>
  <conditionalFormatting sqref="U1304:Y1304">
    <cfRule type="notContainsBlanks" dxfId="2470" priority="2546">
      <formula>LEN(TRIM(U1304))&gt;0</formula>
    </cfRule>
  </conditionalFormatting>
  <conditionalFormatting sqref="U1304:Y1304">
    <cfRule type="notContainsBlanks" dxfId="2469" priority="2545">
      <formula>LEN(TRIM(U1304))&gt;0</formula>
    </cfRule>
  </conditionalFormatting>
  <conditionalFormatting sqref="U1304:Y1304">
    <cfRule type="notContainsBlanks" dxfId="2468" priority="2544">
      <formula>LEN(TRIM(U1304))&gt;0</formula>
    </cfRule>
  </conditionalFormatting>
  <conditionalFormatting sqref="U1304:Y1304">
    <cfRule type="notContainsBlanks" dxfId="2467" priority="2543">
      <formula>LEN(TRIM(U1304))&gt;0</formula>
    </cfRule>
  </conditionalFormatting>
  <conditionalFormatting sqref="U1304:Y1304">
    <cfRule type="notContainsBlanks" dxfId="2466" priority="2542">
      <formula>LEN(TRIM(U1304))&gt;0</formula>
    </cfRule>
  </conditionalFormatting>
  <conditionalFormatting sqref="U1304:Y1304">
    <cfRule type="notContainsBlanks" dxfId="2465" priority="2541">
      <formula>LEN(TRIM(U1304))&gt;0</formula>
    </cfRule>
  </conditionalFormatting>
  <conditionalFormatting sqref="U1304:Y1304">
    <cfRule type="notContainsBlanks" dxfId="2464" priority="2540">
      <formula>LEN(TRIM(U1304))&gt;0</formula>
    </cfRule>
  </conditionalFormatting>
  <conditionalFormatting sqref="U1304:Y1304">
    <cfRule type="notContainsBlanks" dxfId="2463" priority="2539">
      <formula>LEN(TRIM(U1304))&gt;0</formula>
    </cfRule>
  </conditionalFormatting>
  <conditionalFormatting sqref="U1304:Y1304">
    <cfRule type="notContainsBlanks" priority="2538">
      <formula>LEN(TRIM(U1304))&gt;0</formula>
    </cfRule>
  </conditionalFormatting>
  <conditionalFormatting sqref="U1304:Y1304">
    <cfRule type="notContainsBlanks" dxfId="2462" priority="2537">
      <formula>LEN(TRIM(U1304))&gt;0</formula>
    </cfRule>
  </conditionalFormatting>
  <conditionalFormatting sqref="U1304:Y1304">
    <cfRule type="notContainsBlanks" dxfId="2461" priority="2536">
      <formula>LEN(TRIM(U1304))&gt;0</formula>
    </cfRule>
  </conditionalFormatting>
  <conditionalFormatting sqref="U1304:Y1304">
    <cfRule type="notContainsBlanks" dxfId="2460" priority="2535">
      <formula>LEN(TRIM(U1304))&gt;0</formula>
    </cfRule>
  </conditionalFormatting>
  <conditionalFormatting sqref="U1304:Y1304">
    <cfRule type="notContainsBlanks" dxfId="2459" priority="2534">
      <formula>LEN(TRIM(U1304))&gt;0</formula>
    </cfRule>
  </conditionalFormatting>
  <conditionalFormatting sqref="U1304:Y1304">
    <cfRule type="notContainsBlanks" dxfId="2458" priority="2533">
      <formula>LEN(TRIM(U1304))&gt;0</formula>
    </cfRule>
  </conditionalFormatting>
  <conditionalFormatting sqref="U1317:Y1317">
    <cfRule type="notContainsBlanks" dxfId="2457" priority="2532">
      <formula>LEN(TRIM(U1317))&gt;0</formula>
    </cfRule>
  </conditionalFormatting>
  <conditionalFormatting sqref="U1317:Y1317">
    <cfRule type="notContainsBlanks" dxfId="2456" priority="2531">
      <formula>LEN(TRIM(U1317))&gt;0</formula>
    </cfRule>
  </conditionalFormatting>
  <conditionalFormatting sqref="U1317:Y1317">
    <cfRule type="notContainsBlanks" dxfId="2455" priority="2530">
      <formula>LEN(TRIM(U1317))&gt;0</formula>
    </cfRule>
  </conditionalFormatting>
  <conditionalFormatting sqref="U1317:Y1317">
    <cfRule type="notContainsBlanks" dxfId="2454" priority="2529">
      <formula>LEN(TRIM(U1317))&gt;0</formula>
    </cfRule>
  </conditionalFormatting>
  <conditionalFormatting sqref="U1317:Y1317">
    <cfRule type="notContainsBlanks" dxfId="2453" priority="2528">
      <formula>LEN(TRIM(U1317))&gt;0</formula>
    </cfRule>
  </conditionalFormatting>
  <conditionalFormatting sqref="U1317:Y1317">
    <cfRule type="notContainsBlanks" dxfId="2452" priority="2527">
      <formula>LEN(TRIM(U1317))&gt;0</formula>
    </cfRule>
  </conditionalFormatting>
  <conditionalFormatting sqref="U1317:Y1317">
    <cfRule type="notContainsBlanks" dxfId="2451" priority="2526">
      <formula>LEN(TRIM(U1317))&gt;0</formula>
    </cfRule>
  </conditionalFormatting>
  <conditionalFormatting sqref="U1317:Y1317">
    <cfRule type="notContainsBlanks" dxfId="2450" priority="2525">
      <formula>LEN(TRIM(U1317))&gt;0</formula>
    </cfRule>
  </conditionalFormatting>
  <conditionalFormatting sqref="U1317:Y1317">
    <cfRule type="notContainsBlanks" dxfId="2449" priority="2524">
      <formula>LEN(TRIM(U1317))&gt;0</formula>
    </cfRule>
  </conditionalFormatting>
  <conditionalFormatting sqref="U1317:Y1317">
    <cfRule type="notContainsBlanks" dxfId="2448" priority="2522">
      <formula>LEN(TRIM(U1317))&gt;0</formula>
    </cfRule>
    <cfRule type="notContainsBlanks" dxfId="2447" priority="2523">
      <formula>LEN(TRIM(U1317))&gt;0</formula>
    </cfRule>
  </conditionalFormatting>
  <conditionalFormatting sqref="U1317:Y1317">
    <cfRule type="notContainsBlanks" dxfId="2446" priority="2521">
      <formula>LEN(TRIM(U1317))&gt;0</formula>
    </cfRule>
  </conditionalFormatting>
  <conditionalFormatting sqref="U1317:Y1317">
    <cfRule type="notContainsBlanks" dxfId="2445" priority="2520">
      <formula>LEN(TRIM(U1317))&gt;0</formula>
    </cfRule>
  </conditionalFormatting>
  <conditionalFormatting sqref="U1317:Y1317">
    <cfRule type="notContainsBlanks" dxfId="2444" priority="2519">
      <formula>LEN(TRIM(U1317))&gt;0</formula>
    </cfRule>
  </conditionalFormatting>
  <conditionalFormatting sqref="U1317:Y1317">
    <cfRule type="notContainsBlanks" dxfId="2443" priority="2518">
      <formula>LEN(TRIM(U1317))&gt;0</formula>
    </cfRule>
  </conditionalFormatting>
  <conditionalFormatting sqref="U1317:Y1317">
    <cfRule type="notContainsBlanks" dxfId="2442" priority="2517">
      <formula>LEN(TRIM(U1317))&gt;0</formula>
    </cfRule>
  </conditionalFormatting>
  <conditionalFormatting sqref="U1317:Y1317">
    <cfRule type="notContainsBlanks" dxfId="2441" priority="2516">
      <formula>LEN(TRIM(U1317))&gt;0</formula>
    </cfRule>
  </conditionalFormatting>
  <conditionalFormatting sqref="U1317:Y1317">
    <cfRule type="notContainsBlanks" dxfId="2440" priority="2515">
      <formula>LEN(TRIM(U1317))&gt;0</formula>
    </cfRule>
  </conditionalFormatting>
  <conditionalFormatting sqref="U1317:Y1317">
    <cfRule type="notContainsBlanks" dxfId="2439" priority="2514">
      <formula>LEN(TRIM(U1317))&gt;0</formula>
    </cfRule>
  </conditionalFormatting>
  <conditionalFormatting sqref="U1317:Y1317">
    <cfRule type="notContainsBlanks" dxfId="2438" priority="2513">
      <formula>LEN(TRIM(U1317))&gt;0</formula>
    </cfRule>
  </conditionalFormatting>
  <conditionalFormatting sqref="U1317:Y1317">
    <cfRule type="notContainsBlanks" priority="2512">
      <formula>LEN(TRIM(U1317))&gt;0</formula>
    </cfRule>
  </conditionalFormatting>
  <conditionalFormatting sqref="U1317:Y1317">
    <cfRule type="notContainsBlanks" dxfId="2437" priority="2511">
      <formula>LEN(TRIM(U1317))&gt;0</formula>
    </cfRule>
  </conditionalFormatting>
  <conditionalFormatting sqref="U1317:Y1317">
    <cfRule type="notContainsBlanks" dxfId="2436" priority="2510">
      <formula>LEN(TRIM(U1317))&gt;0</formula>
    </cfRule>
  </conditionalFormatting>
  <conditionalFormatting sqref="U1317:Y1317">
    <cfRule type="notContainsBlanks" dxfId="2435" priority="2509">
      <formula>LEN(TRIM(U1317))&gt;0</formula>
    </cfRule>
  </conditionalFormatting>
  <conditionalFormatting sqref="U1317:Y1317">
    <cfRule type="notContainsBlanks" dxfId="2434" priority="2508">
      <formula>LEN(TRIM(U1317))&gt;0</formula>
    </cfRule>
  </conditionalFormatting>
  <conditionalFormatting sqref="U1317:Y1317">
    <cfRule type="notContainsBlanks" dxfId="2433" priority="2507">
      <formula>LEN(TRIM(U1317))&gt;0</formula>
    </cfRule>
  </conditionalFormatting>
  <conditionalFormatting sqref="U1330:Y1330">
    <cfRule type="notContainsBlanks" dxfId="2432" priority="2506">
      <formula>LEN(TRIM(U1330))&gt;0</formula>
    </cfRule>
  </conditionalFormatting>
  <conditionalFormatting sqref="U1330:Y1330">
    <cfRule type="notContainsBlanks" dxfId="2431" priority="2505">
      <formula>LEN(TRIM(U1330))&gt;0</formula>
    </cfRule>
  </conditionalFormatting>
  <conditionalFormatting sqref="U1330:Y1330">
    <cfRule type="notContainsBlanks" dxfId="2430" priority="2504">
      <formula>LEN(TRIM(U1330))&gt;0</formula>
    </cfRule>
  </conditionalFormatting>
  <conditionalFormatting sqref="U1330:Y1330">
    <cfRule type="notContainsBlanks" dxfId="2429" priority="2503">
      <formula>LEN(TRIM(U1330))&gt;0</formula>
    </cfRule>
  </conditionalFormatting>
  <conditionalFormatting sqref="U1330:Y1330">
    <cfRule type="notContainsBlanks" dxfId="2428" priority="2502">
      <formula>LEN(TRIM(U1330))&gt;0</formula>
    </cfRule>
  </conditionalFormatting>
  <conditionalFormatting sqref="U1330:Y1330">
    <cfRule type="notContainsBlanks" dxfId="2427" priority="2501">
      <formula>LEN(TRIM(U1330))&gt;0</formula>
    </cfRule>
  </conditionalFormatting>
  <conditionalFormatting sqref="U1330:Y1330">
    <cfRule type="notContainsBlanks" dxfId="2426" priority="2500">
      <formula>LEN(TRIM(U1330))&gt;0</formula>
    </cfRule>
  </conditionalFormatting>
  <conditionalFormatting sqref="U1330:Y1330">
    <cfRule type="notContainsBlanks" dxfId="2425" priority="2499">
      <formula>LEN(TRIM(U1330))&gt;0</formula>
    </cfRule>
  </conditionalFormatting>
  <conditionalFormatting sqref="U1330:Y1330">
    <cfRule type="notContainsBlanks" dxfId="2424" priority="2498">
      <formula>LEN(TRIM(U1330))&gt;0</formula>
    </cfRule>
  </conditionalFormatting>
  <conditionalFormatting sqref="U1330:Y1330">
    <cfRule type="notContainsBlanks" dxfId="2423" priority="2496">
      <formula>LEN(TRIM(U1330))&gt;0</formula>
    </cfRule>
    <cfRule type="notContainsBlanks" dxfId="2422" priority="2497">
      <formula>LEN(TRIM(U1330))&gt;0</formula>
    </cfRule>
  </conditionalFormatting>
  <conditionalFormatting sqref="U1330:Y1330">
    <cfRule type="notContainsBlanks" dxfId="2421" priority="2495">
      <formula>LEN(TRIM(U1330))&gt;0</formula>
    </cfRule>
  </conditionalFormatting>
  <conditionalFormatting sqref="U1330:Y1330">
    <cfRule type="notContainsBlanks" dxfId="2420" priority="2494">
      <formula>LEN(TRIM(U1330))&gt;0</formula>
    </cfRule>
  </conditionalFormatting>
  <conditionalFormatting sqref="U1330:Y1330">
    <cfRule type="notContainsBlanks" dxfId="2419" priority="2493">
      <formula>LEN(TRIM(U1330))&gt;0</formula>
    </cfRule>
  </conditionalFormatting>
  <conditionalFormatting sqref="U1330:Y1330">
    <cfRule type="notContainsBlanks" dxfId="2418" priority="2492">
      <formula>LEN(TRIM(U1330))&gt;0</formula>
    </cfRule>
  </conditionalFormatting>
  <conditionalFormatting sqref="U1330:Y1330">
    <cfRule type="notContainsBlanks" dxfId="2417" priority="2491">
      <formula>LEN(TRIM(U1330))&gt;0</formula>
    </cfRule>
  </conditionalFormatting>
  <conditionalFormatting sqref="U1330:Y1330">
    <cfRule type="notContainsBlanks" dxfId="2416" priority="2490">
      <formula>LEN(TRIM(U1330))&gt;0</formula>
    </cfRule>
  </conditionalFormatting>
  <conditionalFormatting sqref="U1330:Y1330">
    <cfRule type="notContainsBlanks" dxfId="2415" priority="2489">
      <formula>LEN(TRIM(U1330))&gt;0</formula>
    </cfRule>
  </conditionalFormatting>
  <conditionalFormatting sqref="U1330:Y1330">
    <cfRule type="notContainsBlanks" dxfId="2414" priority="2488">
      <formula>LEN(TRIM(U1330))&gt;0</formula>
    </cfRule>
  </conditionalFormatting>
  <conditionalFormatting sqref="U1330:Y1330">
    <cfRule type="notContainsBlanks" dxfId="2413" priority="2487">
      <formula>LEN(TRIM(U1330))&gt;0</formula>
    </cfRule>
  </conditionalFormatting>
  <conditionalFormatting sqref="U1330:Y1330">
    <cfRule type="notContainsBlanks" priority="2486">
      <formula>LEN(TRIM(U1330))&gt;0</formula>
    </cfRule>
  </conditionalFormatting>
  <conditionalFormatting sqref="U1330:Y1330">
    <cfRule type="notContainsBlanks" dxfId="2412" priority="2485">
      <formula>LEN(TRIM(U1330))&gt;0</formula>
    </cfRule>
  </conditionalFormatting>
  <conditionalFormatting sqref="U1330:Y1330">
    <cfRule type="notContainsBlanks" dxfId="2411" priority="2484">
      <formula>LEN(TRIM(U1330))&gt;0</formula>
    </cfRule>
  </conditionalFormatting>
  <conditionalFormatting sqref="U1330:Y1330">
    <cfRule type="notContainsBlanks" dxfId="2410" priority="2483">
      <formula>LEN(TRIM(U1330))&gt;0</formula>
    </cfRule>
  </conditionalFormatting>
  <conditionalFormatting sqref="U1330:Y1330">
    <cfRule type="notContainsBlanks" dxfId="2409" priority="2482">
      <formula>LEN(TRIM(U1330))&gt;0</formula>
    </cfRule>
  </conditionalFormatting>
  <conditionalFormatting sqref="U1330:Y1330">
    <cfRule type="notContainsBlanks" dxfId="2408" priority="2481">
      <formula>LEN(TRIM(U1330))&gt;0</formula>
    </cfRule>
  </conditionalFormatting>
  <conditionalFormatting sqref="U431:Z433 U435:Z446 Z434 U448:Z459 Z447 U461:Z472 Z460 U474:Z485 Z473 U487:Z498 Z486 U500:Z511 Z499 U513:Z524 Z512 U526:Z537 Z525 U539:Z550 Z538 U552:Z563 Z551 U565:Z576 Z564 U578:Z589 Z577 U591:Z602 Z590 U604:Z615 Z603 U617:Z628 Z616 U630:Z641 Z629 U643:Z654 Z642 U656:Z667 Z655 U669:Z680 Z668 U682:Z693 Z681 U695:Z706 Z694 U708:Z719 Z707 U721:Z732 Z720 U734:Z745 Z733 U747:Z758 Z746 U760:Z771 Z759 U773:Z784 Z772 U786:Z797 Z785 U799:Z810 Z798 U812:Z823 Z811 U825:Z836 Z824 U838:Z849 Z837 U851:Z862 Z850 U864:Z875 Z863 U877:Z888 Z876 U890:Z901 Z889 U903:Z914 Z902 U916:Z927 Z915 U929:Z940 Z928 U942:Z953 Z941 U955:Z966 Z954 U968:Z979 Z967 U981:Z992 Z980 U994:Z1005 Z993 U1007:Z1018 Z1006 U1020:Z1031 Z1019 U1033:Z1044 Z1032 U1046:Z1057 Z1045 U1059:Z1070 Z1058 U1072:Z1083 Z1071 U1085:Z1096 Z1084 U1098:Z1109 Z1097 U1111:Z1122 Z1110 U1124:Z1135 Z1123 U1137:Z1148 Z1136 U1150:Z1161 Z1149 U1163:Z1174 Z1162 U1176:Z1187 Z1175 U1189:Z1200 Z1188 U1202:Z1213 Z1201 U1215:Z1226 Z1214 U1228:Z1239 Z1227 U1241:Z1252 Z1240 U1254:Z1265 Z1253 U1267:Z1278 Z1266 U1280:Z1291 Z1279 U1293:Z1304 Z1292 U1306:Z1317 Z1305 U1319:Z1330 Z1318 U1332:Z1339 Z1331">
    <cfRule type="notContainsBlanks" dxfId="2407" priority="2480">
      <formula>LEN(TRIM(U431))&gt;0</formula>
    </cfRule>
  </conditionalFormatting>
  <conditionalFormatting sqref="AB433:AF433">
    <cfRule type="notContainsBlanks" dxfId="2406" priority="2479">
      <formula>LEN(TRIM(AB433))&gt;0</formula>
    </cfRule>
  </conditionalFormatting>
  <conditionalFormatting sqref="AB433:AF433">
    <cfRule type="notContainsBlanks" dxfId="2405" priority="2478">
      <formula>LEN(TRIM(AB433))&gt;0</formula>
    </cfRule>
  </conditionalFormatting>
  <conditionalFormatting sqref="AB433:AF433">
    <cfRule type="notContainsBlanks" dxfId="2404" priority="2477">
      <formula>LEN(TRIM(AB433))&gt;0</formula>
    </cfRule>
  </conditionalFormatting>
  <conditionalFormatting sqref="AB433:AF433">
    <cfRule type="notContainsBlanks" dxfId="2403" priority="2476">
      <formula>LEN(TRIM(AB433))&gt;0</formula>
    </cfRule>
  </conditionalFormatting>
  <conditionalFormatting sqref="AB433:AF433">
    <cfRule type="notContainsBlanks" dxfId="2402" priority="2475">
      <formula>LEN(TRIM(AB433))&gt;0</formula>
    </cfRule>
  </conditionalFormatting>
  <conditionalFormatting sqref="AB433:AF433">
    <cfRule type="notContainsBlanks" dxfId="2401" priority="2474">
      <formula>LEN(TRIM(AB433))&gt;0</formula>
    </cfRule>
  </conditionalFormatting>
  <conditionalFormatting sqref="AB433:AF433">
    <cfRule type="notContainsBlanks" dxfId="2400" priority="2473">
      <formula>LEN(TRIM(AB433))&gt;0</formula>
    </cfRule>
  </conditionalFormatting>
  <conditionalFormatting sqref="AB433:AF433">
    <cfRule type="notContainsBlanks" dxfId="2399" priority="2472">
      <formula>LEN(TRIM(AB433))&gt;0</formula>
    </cfRule>
  </conditionalFormatting>
  <conditionalFormatting sqref="AB433:AF433">
    <cfRule type="notContainsBlanks" dxfId="2398" priority="2471">
      <formula>LEN(TRIM(AB433))&gt;0</formula>
    </cfRule>
  </conditionalFormatting>
  <conditionalFormatting sqref="AB433:AF433">
    <cfRule type="notContainsBlanks" dxfId="2397" priority="2469">
      <formula>LEN(TRIM(AB433))&gt;0</formula>
    </cfRule>
    <cfRule type="notContainsBlanks" dxfId="2396" priority="2470">
      <formula>LEN(TRIM(AB433))&gt;0</formula>
    </cfRule>
  </conditionalFormatting>
  <conditionalFormatting sqref="AB433:AF433">
    <cfRule type="notContainsBlanks" dxfId="2395" priority="2468">
      <formula>LEN(TRIM(AB433))&gt;0</formula>
    </cfRule>
  </conditionalFormatting>
  <conditionalFormatting sqref="AB433:AF433">
    <cfRule type="notContainsBlanks" dxfId="2394" priority="2467">
      <formula>LEN(TRIM(AB433))&gt;0</formula>
    </cfRule>
  </conditionalFormatting>
  <conditionalFormatting sqref="AB433:AF433">
    <cfRule type="notContainsBlanks" dxfId="2393" priority="2466">
      <formula>LEN(TRIM(AB433))&gt;0</formula>
    </cfRule>
  </conditionalFormatting>
  <conditionalFormatting sqref="AB433:AF433">
    <cfRule type="notContainsBlanks" dxfId="2392" priority="2465">
      <formula>LEN(TRIM(AB433))&gt;0</formula>
    </cfRule>
  </conditionalFormatting>
  <conditionalFormatting sqref="AB433:AF433">
    <cfRule type="notContainsBlanks" dxfId="2391" priority="2464">
      <formula>LEN(TRIM(AB433))&gt;0</formula>
    </cfRule>
  </conditionalFormatting>
  <conditionalFormatting sqref="AB433:AF433">
    <cfRule type="notContainsBlanks" dxfId="2390" priority="2463">
      <formula>LEN(TRIM(AB433))&gt;0</formula>
    </cfRule>
  </conditionalFormatting>
  <conditionalFormatting sqref="AB433:AF433">
    <cfRule type="notContainsBlanks" dxfId="2389" priority="2462">
      <formula>LEN(TRIM(AB433))&gt;0</formula>
    </cfRule>
  </conditionalFormatting>
  <conditionalFormatting sqref="AB433:AF433">
    <cfRule type="notContainsBlanks" dxfId="2388" priority="2461">
      <formula>LEN(TRIM(AB433))&gt;0</formula>
    </cfRule>
  </conditionalFormatting>
  <conditionalFormatting sqref="AB433:AF433">
    <cfRule type="notContainsBlanks" dxfId="2387" priority="2460">
      <formula>LEN(TRIM(AB433))&gt;0</formula>
    </cfRule>
  </conditionalFormatting>
  <conditionalFormatting sqref="AB433:AF433">
    <cfRule type="notContainsBlanks" priority="2459">
      <formula>LEN(TRIM(AB433))&gt;0</formula>
    </cfRule>
  </conditionalFormatting>
  <conditionalFormatting sqref="AB433:AF433">
    <cfRule type="notContainsBlanks" dxfId="2386" priority="2458">
      <formula>LEN(TRIM(AB433))&gt;0</formula>
    </cfRule>
  </conditionalFormatting>
  <conditionalFormatting sqref="AB433:AF433">
    <cfRule type="notContainsBlanks" dxfId="2385" priority="2457">
      <formula>LEN(TRIM(AB433))&gt;0</formula>
    </cfRule>
  </conditionalFormatting>
  <conditionalFormatting sqref="AB433:AF433">
    <cfRule type="notContainsBlanks" dxfId="2384" priority="2456">
      <formula>LEN(TRIM(AB433))&gt;0</formula>
    </cfRule>
  </conditionalFormatting>
  <conditionalFormatting sqref="AB433:AF433">
    <cfRule type="notContainsBlanks" dxfId="2383" priority="2455">
      <formula>LEN(TRIM(AB433))&gt;0</formula>
    </cfRule>
  </conditionalFormatting>
  <conditionalFormatting sqref="AB433:AF433">
    <cfRule type="notContainsBlanks" dxfId="2382" priority="2454">
      <formula>LEN(TRIM(AB433))&gt;0</formula>
    </cfRule>
  </conditionalFormatting>
  <conditionalFormatting sqref="AB446:AF446">
    <cfRule type="notContainsBlanks" dxfId="2381" priority="2453">
      <formula>LEN(TRIM(AB446))&gt;0</formula>
    </cfRule>
  </conditionalFormatting>
  <conditionalFormatting sqref="AB446:AF446">
    <cfRule type="notContainsBlanks" dxfId="2380" priority="2452">
      <formula>LEN(TRIM(AB446))&gt;0</formula>
    </cfRule>
  </conditionalFormatting>
  <conditionalFormatting sqref="AB446:AF446">
    <cfRule type="notContainsBlanks" dxfId="2379" priority="2451">
      <formula>LEN(TRIM(AB446))&gt;0</formula>
    </cfRule>
  </conditionalFormatting>
  <conditionalFormatting sqref="AB446:AF446">
    <cfRule type="notContainsBlanks" dxfId="2378" priority="2450">
      <formula>LEN(TRIM(AB446))&gt;0</formula>
    </cfRule>
  </conditionalFormatting>
  <conditionalFormatting sqref="AB446:AF446">
    <cfRule type="notContainsBlanks" dxfId="2377" priority="2449">
      <formula>LEN(TRIM(AB446))&gt;0</formula>
    </cfRule>
  </conditionalFormatting>
  <conditionalFormatting sqref="AB446:AF446">
    <cfRule type="notContainsBlanks" dxfId="2376" priority="2448">
      <formula>LEN(TRIM(AB446))&gt;0</formula>
    </cfRule>
  </conditionalFormatting>
  <conditionalFormatting sqref="AB446:AF446">
    <cfRule type="notContainsBlanks" dxfId="2375" priority="2447">
      <formula>LEN(TRIM(AB446))&gt;0</formula>
    </cfRule>
  </conditionalFormatting>
  <conditionalFormatting sqref="AB446:AF446">
    <cfRule type="notContainsBlanks" dxfId="2374" priority="2446">
      <formula>LEN(TRIM(AB446))&gt;0</formula>
    </cfRule>
  </conditionalFormatting>
  <conditionalFormatting sqref="AB446:AF446">
    <cfRule type="notContainsBlanks" dxfId="2373" priority="2445">
      <formula>LEN(TRIM(AB446))&gt;0</formula>
    </cfRule>
  </conditionalFormatting>
  <conditionalFormatting sqref="AB446:AF446">
    <cfRule type="notContainsBlanks" dxfId="2372" priority="2443">
      <formula>LEN(TRIM(AB446))&gt;0</formula>
    </cfRule>
    <cfRule type="notContainsBlanks" dxfId="2371" priority="2444">
      <formula>LEN(TRIM(AB446))&gt;0</formula>
    </cfRule>
  </conditionalFormatting>
  <conditionalFormatting sqref="AB446:AF446">
    <cfRule type="notContainsBlanks" dxfId="2370" priority="2442">
      <formula>LEN(TRIM(AB446))&gt;0</formula>
    </cfRule>
  </conditionalFormatting>
  <conditionalFormatting sqref="AB446:AF446">
    <cfRule type="notContainsBlanks" dxfId="2369" priority="2441">
      <formula>LEN(TRIM(AB446))&gt;0</formula>
    </cfRule>
  </conditionalFormatting>
  <conditionalFormatting sqref="AB446:AF446">
    <cfRule type="notContainsBlanks" dxfId="2368" priority="2440">
      <formula>LEN(TRIM(AB446))&gt;0</formula>
    </cfRule>
  </conditionalFormatting>
  <conditionalFormatting sqref="AB446:AF446">
    <cfRule type="notContainsBlanks" dxfId="2367" priority="2439">
      <formula>LEN(TRIM(AB446))&gt;0</formula>
    </cfRule>
  </conditionalFormatting>
  <conditionalFormatting sqref="AB446:AF446">
    <cfRule type="notContainsBlanks" dxfId="2366" priority="2438">
      <formula>LEN(TRIM(AB446))&gt;0</formula>
    </cfRule>
  </conditionalFormatting>
  <conditionalFormatting sqref="AB446:AF446">
    <cfRule type="notContainsBlanks" dxfId="2365" priority="2437">
      <formula>LEN(TRIM(AB446))&gt;0</formula>
    </cfRule>
  </conditionalFormatting>
  <conditionalFormatting sqref="AB446:AF446">
    <cfRule type="notContainsBlanks" dxfId="2364" priority="2436">
      <formula>LEN(TRIM(AB446))&gt;0</formula>
    </cfRule>
  </conditionalFormatting>
  <conditionalFormatting sqref="AB446:AF446">
    <cfRule type="notContainsBlanks" dxfId="2363" priority="2435">
      <formula>LEN(TRIM(AB446))&gt;0</formula>
    </cfRule>
  </conditionalFormatting>
  <conditionalFormatting sqref="AB446:AF446">
    <cfRule type="notContainsBlanks" dxfId="2362" priority="2434">
      <formula>LEN(TRIM(AB446))&gt;0</formula>
    </cfRule>
  </conditionalFormatting>
  <conditionalFormatting sqref="AB446:AF446">
    <cfRule type="notContainsBlanks" priority="2433">
      <formula>LEN(TRIM(AB446))&gt;0</formula>
    </cfRule>
  </conditionalFormatting>
  <conditionalFormatting sqref="AB446:AF446">
    <cfRule type="notContainsBlanks" dxfId="2361" priority="2432">
      <formula>LEN(TRIM(AB446))&gt;0</formula>
    </cfRule>
  </conditionalFormatting>
  <conditionalFormatting sqref="AB446:AF446">
    <cfRule type="notContainsBlanks" dxfId="2360" priority="2431">
      <formula>LEN(TRIM(AB446))&gt;0</formula>
    </cfRule>
  </conditionalFormatting>
  <conditionalFormatting sqref="AB446:AF446">
    <cfRule type="notContainsBlanks" dxfId="2359" priority="2430">
      <formula>LEN(TRIM(AB446))&gt;0</formula>
    </cfRule>
  </conditionalFormatting>
  <conditionalFormatting sqref="AB446:AF446">
    <cfRule type="notContainsBlanks" dxfId="2358" priority="2429">
      <formula>LEN(TRIM(AB446))&gt;0</formula>
    </cfRule>
  </conditionalFormatting>
  <conditionalFormatting sqref="AB446:AF446">
    <cfRule type="notContainsBlanks" dxfId="2357" priority="2428">
      <formula>LEN(TRIM(AB446))&gt;0</formula>
    </cfRule>
  </conditionalFormatting>
  <conditionalFormatting sqref="AB459:AF459">
    <cfRule type="notContainsBlanks" dxfId="2356" priority="2427">
      <formula>LEN(TRIM(AB459))&gt;0</formula>
    </cfRule>
  </conditionalFormatting>
  <conditionalFormatting sqref="AB459:AF459">
    <cfRule type="notContainsBlanks" dxfId="2355" priority="2426">
      <formula>LEN(TRIM(AB459))&gt;0</formula>
    </cfRule>
  </conditionalFormatting>
  <conditionalFormatting sqref="AB459:AF459">
    <cfRule type="notContainsBlanks" dxfId="2354" priority="2425">
      <formula>LEN(TRIM(AB459))&gt;0</formula>
    </cfRule>
  </conditionalFormatting>
  <conditionalFormatting sqref="AB459:AF459">
    <cfRule type="notContainsBlanks" dxfId="2353" priority="2424">
      <formula>LEN(TRIM(AB459))&gt;0</formula>
    </cfRule>
  </conditionalFormatting>
  <conditionalFormatting sqref="AB459:AF459">
    <cfRule type="notContainsBlanks" dxfId="2352" priority="2423">
      <formula>LEN(TRIM(AB459))&gt;0</formula>
    </cfRule>
  </conditionalFormatting>
  <conditionalFormatting sqref="AB459:AF459">
    <cfRule type="notContainsBlanks" dxfId="2351" priority="2422">
      <formula>LEN(TRIM(AB459))&gt;0</formula>
    </cfRule>
  </conditionalFormatting>
  <conditionalFormatting sqref="AB459:AF459">
    <cfRule type="notContainsBlanks" dxfId="2350" priority="2421">
      <formula>LEN(TRIM(AB459))&gt;0</formula>
    </cfRule>
  </conditionalFormatting>
  <conditionalFormatting sqref="AB459:AF459">
    <cfRule type="notContainsBlanks" dxfId="2349" priority="2420">
      <formula>LEN(TRIM(AB459))&gt;0</formula>
    </cfRule>
  </conditionalFormatting>
  <conditionalFormatting sqref="AB459:AF459">
    <cfRule type="notContainsBlanks" dxfId="2348" priority="2419">
      <formula>LEN(TRIM(AB459))&gt;0</formula>
    </cfRule>
  </conditionalFormatting>
  <conditionalFormatting sqref="AB459:AF459">
    <cfRule type="notContainsBlanks" dxfId="2347" priority="2417">
      <formula>LEN(TRIM(AB459))&gt;0</formula>
    </cfRule>
    <cfRule type="notContainsBlanks" dxfId="2346" priority="2418">
      <formula>LEN(TRIM(AB459))&gt;0</formula>
    </cfRule>
  </conditionalFormatting>
  <conditionalFormatting sqref="AB459:AF459">
    <cfRule type="notContainsBlanks" dxfId="2345" priority="2416">
      <formula>LEN(TRIM(AB459))&gt;0</formula>
    </cfRule>
  </conditionalFormatting>
  <conditionalFormatting sqref="AB459:AF459">
    <cfRule type="notContainsBlanks" dxfId="2344" priority="2415">
      <formula>LEN(TRIM(AB459))&gt;0</formula>
    </cfRule>
  </conditionalFormatting>
  <conditionalFormatting sqref="AB459:AF459">
    <cfRule type="notContainsBlanks" dxfId="2343" priority="2414">
      <formula>LEN(TRIM(AB459))&gt;0</formula>
    </cfRule>
  </conditionalFormatting>
  <conditionalFormatting sqref="AB459:AF459">
    <cfRule type="notContainsBlanks" dxfId="2342" priority="2413">
      <formula>LEN(TRIM(AB459))&gt;0</formula>
    </cfRule>
  </conditionalFormatting>
  <conditionalFormatting sqref="AB459:AF459">
    <cfRule type="notContainsBlanks" dxfId="2341" priority="2412">
      <formula>LEN(TRIM(AB459))&gt;0</formula>
    </cfRule>
  </conditionalFormatting>
  <conditionalFormatting sqref="AB459:AF459">
    <cfRule type="notContainsBlanks" dxfId="2340" priority="2411">
      <formula>LEN(TRIM(AB459))&gt;0</formula>
    </cfRule>
  </conditionalFormatting>
  <conditionalFormatting sqref="AB459:AF459">
    <cfRule type="notContainsBlanks" dxfId="2339" priority="2410">
      <formula>LEN(TRIM(AB459))&gt;0</formula>
    </cfRule>
  </conditionalFormatting>
  <conditionalFormatting sqref="AB459:AF459">
    <cfRule type="notContainsBlanks" dxfId="2338" priority="2409">
      <formula>LEN(TRIM(AB459))&gt;0</formula>
    </cfRule>
  </conditionalFormatting>
  <conditionalFormatting sqref="AB459:AF459">
    <cfRule type="notContainsBlanks" dxfId="2337" priority="2408">
      <formula>LEN(TRIM(AB459))&gt;0</formula>
    </cfRule>
  </conditionalFormatting>
  <conditionalFormatting sqref="AB459:AF459">
    <cfRule type="notContainsBlanks" priority="2407">
      <formula>LEN(TRIM(AB459))&gt;0</formula>
    </cfRule>
  </conditionalFormatting>
  <conditionalFormatting sqref="AB459:AF459">
    <cfRule type="notContainsBlanks" dxfId="2336" priority="2406">
      <formula>LEN(TRIM(AB459))&gt;0</formula>
    </cfRule>
  </conditionalFormatting>
  <conditionalFormatting sqref="AB459:AF459">
    <cfRule type="notContainsBlanks" dxfId="2335" priority="2405">
      <formula>LEN(TRIM(AB459))&gt;0</formula>
    </cfRule>
  </conditionalFormatting>
  <conditionalFormatting sqref="AB459:AF459">
    <cfRule type="notContainsBlanks" dxfId="2334" priority="2404">
      <formula>LEN(TRIM(AB459))&gt;0</formula>
    </cfRule>
  </conditionalFormatting>
  <conditionalFormatting sqref="AB459:AF459">
    <cfRule type="notContainsBlanks" dxfId="2333" priority="2403">
      <formula>LEN(TRIM(AB459))&gt;0</formula>
    </cfRule>
  </conditionalFormatting>
  <conditionalFormatting sqref="AB459:AF459">
    <cfRule type="notContainsBlanks" dxfId="2332" priority="2402">
      <formula>LEN(TRIM(AB459))&gt;0</formula>
    </cfRule>
  </conditionalFormatting>
  <conditionalFormatting sqref="AB472:AF472">
    <cfRule type="notContainsBlanks" dxfId="2331" priority="2401">
      <formula>LEN(TRIM(AB472))&gt;0</formula>
    </cfRule>
  </conditionalFormatting>
  <conditionalFormatting sqref="AB472:AF472">
    <cfRule type="notContainsBlanks" dxfId="2330" priority="2400">
      <formula>LEN(TRIM(AB472))&gt;0</formula>
    </cfRule>
  </conditionalFormatting>
  <conditionalFormatting sqref="AB472:AF472">
    <cfRule type="notContainsBlanks" dxfId="2329" priority="2399">
      <formula>LEN(TRIM(AB472))&gt;0</formula>
    </cfRule>
  </conditionalFormatting>
  <conditionalFormatting sqref="AB472:AF472">
    <cfRule type="notContainsBlanks" dxfId="2328" priority="2398">
      <formula>LEN(TRIM(AB472))&gt;0</formula>
    </cfRule>
  </conditionalFormatting>
  <conditionalFormatting sqref="AB472:AF472">
    <cfRule type="notContainsBlanks" dxfId="2327" priority="2397">
      <formula>LEN(TRIM(AB472))&gt;0</formula>
    </cfRule>
  </conditionalFormatting>
  <conditionalFormatting sqref="AB472:AF472">
    <cfRule type="notContainsBlanks" dxfId="2326" priority="2396">
      <formula>LEN(TRIM(AB472))&gt;0</formula>
    </cfRule>
  </conditionalFormatting>
  <conditionalFormatting sqref="AB472:AF472">
    <cfRule type="notContainsBlanks" dxfId="2325" priority="2395">
      <formula>LEN(TRIM(AB472))&gt;0</formula>
    </cfRule>
  </conditionalFormatting>
  <conditionalFormatting sqref="AB472:AF472">
    <cfRule type="notContainsBlanks" dxfId="2324" priority="2394">
      <formula>LEN(TRIM(AB472))&gt;0</formula>
    </cfRule>
  </conditionalFormatting>
  <conditionalFormatting sqref="AB472:AF472">
    <cfRule type="notContainsBlanks" dxfId="2323" priority="2393">
      <formula>LEN(TRIM(AB472))&gt;0</formula>
    </cfRule>
  </conditionalFormatting>
  <conditionalFormatting sqref="AB472:AF472">
    <cfRule type="notContainsBlanks" dxfId="2322" priority="2391">
      <formula>LEN(TRIM(AB472))&gt;0</formula>
    </cfRule>
    <cfRule type="notContainsBlanks" dxfId="2321" priority="2392">
      <formula>LEN(TRIM(AB472))&gt;0</formula>
    </cfRule>
  </conditionalFormatting>
  <conditionalFormatting sqref="AB472:AF472">
    <cfRule type="notContainsBlanks" dxfId="2320" priority="2390">
      <formula>LEN(TRIM(AB472))&gt;0</formula>
    </cfRule>
  </conditionalFormatting>
  <conditionalFormatting sqref="AB472:AF472">
    <cfRule type="notContainsBlanks" dxfId="2319" priority="2389">
      <formula>LEN(TRIM(AB472))&gt;0</formula>
    </cfRule>
  </conditionalFormatting>
  <conditionalFormatting sqref="AB472:AF472">
    <cfRule type="notContainsBlanks" dxfId="2318" priority="2388">
      <formula>LEN(TRIM(AB472))&gt;0</formula>
    </cfRule>
  </conditionalFormatting>
  <conditionalFormatting sqref="AB472:AF472">
    <cfRule type="notContainsBlanks" dxfId="2317" priority="2387">
      <formula>LEN(TRIM(AB472))&gt;0</formula>
    </cfRule>
  </conditionalFormatting>
  <conditionalFormatting sqref="AB472:AF472">
    <cfRule type="notContainsBlanks" dxfId="2316" priority="2386">
      <formula>LEN(TRIM(AB472))&gt;0</formula>
    </cfRule>
  </conditionalFormatting>
  <conditionalFormatting sqref="AB472:AF472">
    <cfRule type="notContainsBlanks" dxfId="2315" priority="2385">
      <formula>LEN(TRIM(AB472))&gt;0</formula>
    </cfRule>
  </conditionalFormatting>
  <conditionalFormatting sqref="AB472:AF472">
    <cfRule type="notContainsBlanks" dxfId="2314" priority="2384">
      <formula>LEN(TRIM(AB472))&gt;0</formula>
    </cfRule>
  </conditionalFormatting>
  <conditionalFormatting sqref="AB472:AF472">
    <cfRule type="notContainsBlanks" dxfId="2313" priority="2383">
      <formula>LEN(TRIM(AB472))&gt;0</formula>
    </cfRule>
  </conditionalFormatting>
  <conditionalFormatting sqref="AB472:AF472">
    <cfRule type="notContainsBlanks" dxfId="2312" priority="2382">
      <formula>LEN(TRIM(AB472))&gt;0</formula>
    </cfRule>
  </conditionalFormatting>
  <conditionalFormatting sqref="AB472:AF472">
    <cfRule type="notContainsBlanks" priority="2381">
      <formula>LEN(TRIM(AB472))&gt;0</formula>
    </cfRule>
  </conditionalFormatting>
  <conditionalFormatting sqref="AB472:AF472">
    <cfRule type="notContainsBlanks" dxfId="2311" priority="2380">
      <formula>LEN(TRIM(AB472))&gt;0</formula>
    </cfRule>
  </conditionalFormatting>
  <conditionalFormatting sqref="AB472:AF472">
    <cfRule type="notContainsBlanks" dxfId="2310" priority="2379">
      <formula>LEN(TRIM(AB472))&gt;0</formula>
    </cfRule>
  </conditionalFormatting>
  <conditionalFormatting sqref="AB472:AF472">
    <cfRule type="notContainsBlanks" dxfId="2309" priority="2378">
      <formula>LEN(TRIM(AB472))&gt;0</formula>
    </cfRule>
  </conditionalFormatting>
  <conditionalFormatting sqref="AB472:AF472">
    <cfRule type="notContainsBlanks" dxfId="2308" priority="2377">
      <formula>LEN(TRIM(AB472))&gt;0</formula>
    </cfRule>
  </conditionalFormatting>
  <conditionalFormatting sqref="AB472:AF472">
    <cfRule type="notContainsBlanks" dxfId="2307" priority="2376">
      <formula>LEN(TRIM(AB472))&gt;0</formula>
    </cfRule>
  </conditionalFormatting>
  <conditionalFormatting sqref="AB485:AF485">
    <cfRule type="notContainsBlanks" dxfId="2306" priority="2375">
      <formula>LEN(TRIM(AB485))&gt;0</formula>
    </cfRule>
  </conditionalFormatting>
  <conditionalFormatting sqref="AB485:AF485">
    <cfRule type="notContainsBlanks" dxfId="2305" priority="2374">
      <formula>LEN(TRIM(AB485))&gt;0</formula>
    </cfRule>
  </conditionalFormatting>
  <conditionalFormatting sqref="AB485:AF485">
    <cfRule type="notContainsBlanks" dxfId="2304" priority="2373">
      <formula>LEN(TRIM(AB485))&gt;0</formula>
    </cfRule>
  </conditionalFormatting>
  <conditionalFormatting sqref="AB485:AF485">
    <cfRule type="notContainsBlanks" dxfId="2303" priority="2372">
      <formula>LEN(TRIM(AB485))&gt;0</formula>
    </cfRule>
  </conditionalFormatting>
  <conditionalFormatting sqref="AB485:AF485">
    <cfRule type="notContainsBlanks" dxfId="2302" priority="2371">
      <formula>LEN(TRIM(AB485))&gt;0</formula>
    </cfRule>
  </conditionalFormatting>
  <conditionalFormatting sqref="AB485:AF485">
    <cfRule type="notContainsBlanks" dxfId="2301" priority="2370">
      <formula>LEN(TRIM(AB485))&gt;0</formula>
    </cfRule>
  </conditionalFormatting>
  <conditionalFormatting sqref="AB485:AF485">
    <cfRule type="notContainsBlanks" dxfId="2300" priority="2369">
      <formula>LEN(TRIM(AB485))&gt;0</formula>
    </cfRule>
  </conditionalFormatting>
  <conditionalFormatting sqref="AB485:AF485">
    <cfRule type="notContainsBlanks" dxfId="2299" priority="2368">
      <formula>LEN(TRIM(AB485))&gt;0</formula>
    </cfRule>
  </conditionalFormatting>
  <conditionalFormatting sqref="AB485:AF485">
    <cfRule type="notContainsBlanks" dxfId="2298" priority="2367">
      <formula>LEN(TRIM(AB485))&gt;0</formula>
    </cfRule>
  </conditionalFormatting>
  <conditionalFormatting sqref="AB485:AF485">
    <cfRule type="notContainsBlanks" dxfId="2297" priority="2365">
      <formula>LEN(TRIM(AB485))&gt;0</formula>
    </cfRule>
    <cfRule type="notContainsBlanks" dxfId="2296" priority="2366">
      <formula>LEN(TRIM(AB485))&gt;0</formula>
    </cfRule>
  </conditionalFormatting>
  <conditionalFormatting sqref="AB485:AF485">
    <cfRule type="notContainsBlanks" dxfId="2295" priority="2364">
      <formula>LEN(TRIM(AB485))&gt;0</formula>
    </cfRule>
  </conditionalFormatting>
  <conditionalFormatting sqref="AB485:AF485">
    <cfRule type="notContainsBlanks" dxfId="2294" priority="2363">
      <formula>LEN(TRIM(AB485))&gt;0</formula>
    </cfRule>
  </conditionalFormatting>
  <conditionalFormatting sqref="AB485:AF485">
    <cfRule type="notContainsBlanks" dxfId="2293" priority="2362">
      <formula>LEN(TRIM(AB485))&gt;0</formula>
    </cfRule>
  </conditionalFormatting>
  <conditionalFormatting sqref="AB485:AF485">
    <cfRule type="notContainsBlanks" dxfId="2292" priority="2361">
      <formula>LEN(TRIM(AB485))&gt;0</formula>
    </cfRule>
  </conditionalFormatting>
  <conditionalFormatting sqref="AB485:AF485">
    <cfRule type="notContainsBlanks" dxfId="2291" priority="2360">
      <formula>LEN(TRIM(AB485))&gt;0</formula>
    </cfRule>
  </conditionalFormatting>
  <conditionalFormatting sqref="AB485:AF485">
    <cfRule type="notContainsBlanks" dxfId="2290" priority="2359">
      <formula>LEN(TRIM(AB485))&gt;0</formula>
    </cfRule>
  </conditionalFormatting>
  <conditionalFormatting sqref="AB485:AF485">
    <cfRule type="notContainsBlanks" dxfId="2289" priority="2358">
      <formula>LEN(TRIM(AB485))&gt;0</formula>
    </cfRule>
  </conditionalFormatting>
  <conditionalFormatting sqref="AB485:AF485">
    <cfRule type="notContainsBlanks" dxfId="2288" priority="2357">
      <formula>LEN(TRIM(AB485))&gt;0</formula>
    </cfRule>
  </conditionalFormatting>
  <conditionalFormatting sqref="AB485:AF485">
    <cfRule type="notContainsBlanks" dxfId="2287" priority="2356">
      <formula>LEN(TRIM(AB485))&gt;0</formula>
    </cfRule>
  </conditionalFormatting>
  <conditionalFormatting sqref="AB485:AF485">
    <cfRule type="notContainsBlanks" priority="2355">
      <formula>LEN(TRIM(AB485))&gt;0</formula>
    </cfRule>
  </conditionalFormatting>
  <conditionalFormatting sqref="AB485:AF485">
    <cfRule type="notContainsBlanks" dxfId="2286" priority="2354">
      <formula>LEN(TRIM(AB485))&gt;0</formula>
    </cfRule>
  </conditionalFormatting>
  <conditionalFormatting sqref="AB485:AF485">
    <cfRule type="notContainsBlanks" dxfId="2285" priority="2353">
      <formula>LEN(TRIM(AB485))&gt;0</formula>
    </cfRule>
  </conditionalFormatting>
  <conditionalFormatting sqref="AB485:AF485">
    <cfRule type="notContainsBlanks" dxfId="2284" priority="2352">
      <formula>LEN(TRIM(AB485))&gt;0</formula>
    </cfRule>
  </conditionalFormatting>
  <conditionalFormatting sqref="AB485:AF485">
    <cfRule type="notContainsBlanks" dxfId="2283" priority="2351">
      <formula>LEN(TRIM(AB485))&gt;0</formula>
    </cfRule>
  </conditionalFormatting>
  <conditionalFormatting sqref="AB485:AF485">
    <cfRule type="notContainsBlanks" dxfId="2282" priority="2350">
      <formula>LEN(TRIM(AB485))&gt;0</formula>
    </cfRule>
  </conditionalFormatting>
  <conditionalFormatting sqref="AB498:AF498">
    <cfRule type="notContainsBlanks" dxfId="2281" priority="2349">
      <formula>LEN(TRIM(AB498))&gt;0</formula>
    </cfRule>
  </conditionalFormatting>
  <conditionalFormatting sqref="AB498:AF498">
    <cfRule type="notContainsBlanks" dxfId="2280" priority="2348">
      <formula>LEN(TRIM(AB498))&gt;0</formula>
    </cfRule>
  </conditionalFormatting>
  <conditionalFormatting sqref="AB498:AF498">
    <cfRule type="notContainsBlanks" dxfId="2279" priority="2347">
      <formula>LEN(TRIM(AB498))&gt;0</formula>
    </cfRule>
  </conditionalFormatting>
  <conditionalFormatting sqref="AB498:AF498">
    <cfRule type="notContainsBlanks" dxfId="2278" priority="2346">
      <formula>LEN(TRIM(AB498))&gt;0</formula>
    </cfRule>
  </conditionalFormatting>
  <conditionalFormatting sqref="AB498:AF498">
    <cfRule type="notContainsBlanks" dxfId="2277" priority="2345">
      <formula>LEN(TRIM(AB498))&gt;0</formula>
    </cfRule>
  </conditionalFormatting>
  <conditionalFormatting sqref="AB498:AF498">
    <cfRule type="notContainsBlanks" dxfId="2276" priority="2344">
      <formula>LEN(TRIM(AB498))&gt;0</formula>
    </cfRule>
  </conditionalFormatting>
  <conditionalFormatting sqref="AB498:AF498">
    <cfRule type="notContainsBlanks" dxfId="2275" priority="2343">
      <formula>LEN(TRIM(AB498))&gt;0</formula>
    </cfRule>
  </conditionalFormatting>
  <conditionalFormatting sqref="AB498:AF498">
    <cfRule type="notContainsBlanks" dxfId="2274" priority="2342">
      <formula>LEN(TRIM(AB498))&gt;0</formula>
    </cfRule>
  </conditionalFormatting>
  <conditionalFormatting sqref="AB498:AF498">
    <cfRule type="notContainsBlanks" dxfId="2273" priority="2341">
      <formula>LEN(TRIM(AB498))&gt;0</formula>
    </cfRule>
  </conditionalFormatting>
  <conditionalFormatting sqref="AB498:AF498">
    <cfRule type="notContainsBlanks" dxfId="2272" priority="2339">
      <formula>LEN(TRIM(AB498))&gt;0</formula>
    </cfRule>
    <cfRule type="notContainsBlanks" dxfId="2271" priority="2340">
      <formula>LEN(TRIM(AB498))&gt;0</formula>
    </cfRule>
  </conditionalFormatting>
  <conditionalFormatting sqref="AB498:AF498">
    <cfRule type="notContainsBlanks" dxfId="2270" priority="2338">
      <formula>LEN(TRIM(AB498))&gt;0</formula>
    </cfRule>
  </conditionalFormatting>
  <conditionalFormatting sqref="AB498:AF498">
    <cfRule type="notContainsBlanks" dxfId="2269" priority="2337">
      <formula>LEN(TRIM(AB498))&gt;0</formula>
    </cfRule>
  </conditionalFormatting>
  <conditionalFormatting sqref="AB498:AF498">
    <cfRule type="notContainsBlanks" dxfId="2268" priority="2336">
      <formula>LEN(TRIM(AB498))&gt;0</formula>
    </cfRule>
  </conditionalFormatting>
  <conditionalFormatting sqref="AB498:AF498">
    <cfRule type="notContainsBlanks" dxfId="2267" priority="2335">
      <formula>LEN(TRIM(AB498))&gt;0</formula>
    </cfRule>
  </conditionalFormatting>
  <conditionalFormatting sqref="AB498:AF498">
    <cfRule type="notContainsBlanks" dxfId="2266" priority="2334">
      <formula>LEN(TRIM(AB498))&gt;0</formula>
    </cfRule>
  </conditionalFormatting>
  <conditionalFormatting sqref="AB498:AF498">
    <cfRule type="notContainsBlanks" dxfId="2265" priority="2333">
      <formula>LEN(TRIM(AB498))&gt;0</formula>
    </cfRule>
  </conditionalFormatting>
  <conditionalFormatting sqref="AB498:AF498">
    <cfRule type="notContainsBlanks" dxfId="2264" priority="2332">
      <formula>LEN(TRIM(AB498))&gt;0</formula>
    </cfRule>
  </conditionalFormatting>
  <conditionalFormatting sqref="AB498:AF498">
    <cfRule type="notContainsBlanks" dxfId="2263" priority="2331">
      <formula>LEN(TRIM(AB498))&gt;0</formula>
    </cfRule>
  </conditionalFormatting>
  <conditionalFormatting sqref="AB498:AF498">
    <cfRule type="notContainsBlanks" dxfId="2262" priority="2330">
      <formula>LEN(TRIM(AB498))&gt;0</formula>
    </cfRule>
  </conditionalFormatting>
  <conditionalFormatting sqref="AB498:AF498">
    <cfRule type="notContainsBlanks" priority="2329">
      <formula>LEN(TRIM(AB498))&gt;0</formula>
    </cfRule>
  </conditionalFormatting>
  <conditionalFormatting sqref="AB498:AF498">
    <cfRule type="notContainsBlanks" dxfId="2261" priority="2328">
      <formula>LEN(TRIM(AB498))&gt;0</formula>
    </cfRule>
  </conditionalFormatting>
  <conditionalFormatting sqref="AB498:AF498">
    <cfRule type="notContainsBlanks" dxfId="2260" priority="2327">
      <formula>LEN(TRIM(AB498))&gt;0</formula>
    </cfRule>
  </conditionalFormatting>
  <conditionalFormatting sqref="AB498:AF498">
    <cfRule type="notContainsBlanks" dxfId="2259" priority="2326">
      <formula>LEN(TRIM(AB498))&gt;0</formula>
    </cfRule>
  </conditionalFormatting>
  <conditionalFormatting sqref="AB498:AF498">
    <cfRule type="notContainsBlanks" dxfId="2258" priority="2325">
      <formula>LEN(TRIM(AB498))&gt;0</formula>
    </cfRule>
  </conditionalFormatting>
  <conditionalFormatting sqref="AB498:AF498">
    <cfRule type="notContainsBlanks" dxfId="2257" priority="2324">
      <formula>LEN(TRIM(AB498))&gt;0</formula>
    </cfRule>
  </conditionalFormatting>
  <conditionalFormatting sqref="AB511:AF511">
    <cfRule type="notContainsBlanks" dxfId="2256" priority="2323">
      <formula>LEN(TRIM(AB511))&gt;0</formula>
    </cfRule>
  </conditionalFormatting>
  <conditionalFormatting sqref="AB511:AF511">
    <cfRule type="notContainsBlanks" dxfId="2255" priority="2322">
      <formula>LEN(TRIM(AB511))&gt;0</formula>
    </cfRule>
  </conditionalFormatting>
  <conditionalFormatting sqref="AB511:AF511">
    <cfRule type="notContainsBlanks" dxfId="2254" priority="2321">
      <formula>LEN(TRIM(AB511))&gt;0</formula>
    </cfRule>
  </conditionalFormatting>
  <conditionalFormatting sqref="AB511:AF511">
    <cfRule type="notContainsBlanks" dxfId="2253" priority="2320">
      <formula>LEN(TRIM(AB511))&gt;0</formula>
    </cfRule>
  </conditionalFormatting>
  <conditionalFormatting sqref="AB511:AF511">
    <cfRule type="notContainsBlanks" dxfId="2252" priority="2319">
      <formula>LEN(TRIM(AB511))&gt;0</formula>
    </cfRule>
  </conditionalFormatting>
  <conditionalFormatting sqref="AB511:AF511">
    <cfRule type="notContainsBlanks" dxfId="2251" priority="2318">
      <formula>LEN(TRIM(AB511))&gt;0</formula>
    </cfRule>
  </conditionalFormatting>
  <conditionalFormatting sqref="AB511:AF511">
    <cfRule type="notContainsBlanks" dxfId="2250" priority="2317">
      <formula>LEN(TRIM(AB511))&gt;0</formula>
    </cfRule>
  </conditionalFormatting>
  <conditionalFormatting sqref="AB511:AF511">
    <cfRule type="notContainsBlanks" dxfId="2249" priority="2316">
      <formula>LEN(TRIM(AB511))&gt;0</formula>
    </cfRule>
  </conditionalFormatting>
  <conditionalFormatting sqref="AB511:AF511">
    <cfRule type="notContainsBlanks" dxfId="2248" priority="2315">
      <formula>LEN(TRIM(AB511))&gt;0</formula>
    </cfRule>
  </conditionalFormatting>
  <conditionalFormatting sqref="AB511:AF511">
    <cfRule type="notContainsBlanks" dxfId="2247" priority="2313">
      <formula>LEN(TRIM(AB511))&gt;0</formula>
    </cfRule>
    <cfRule type="notContainsBlanks" dxfId="2246" priority="2314">
      <formula>LEN(TRIM(AB511))&gt;0</formula>
    </cfRule>
  </conditionalFormatting>
  <conditionalFormatting sqref="AB511:AF511">
    <cfRule type="notContainsBlanks" dxfId="2245" priority="2312">
      <formula>LEN(TRIM(AB511))&gt;0</formula>
    </cfRule>
  </conditionalFormatting>
  <conditionalFormatting sqref="AB511:AF511">
    <cfRule type="notContainsBlanks" dxfId="2244" priority="2311">
      <formula>LEN(TRIM(AB511))&gt;0</formula>
    </cfRule>
  </conditionalFormatting>
  <conditionalFormatting sqref="AB511:AF511">
    <cfRule type="notContainsBlanks" dxfId="2243" priority="2310">
      <formula>LEN(TRIM(AB511))&gt;0</formula>
    </cfRule>
  </conditionalFormatting>
  <conditionalFormatting sqref="AB511:AF511">
    <cfRule type="notContainsBlanks" dxfId="2242" priority="2309">
      <formula>LEN(TRIM(AB511))&gt;0</formula>
    </cfRule>
  </conditionalFormatting>
  <conditionalFormatting sqref="AB511:AF511">
    <cfRule type="notContainsBlanks" dxfId="2241" priority="2308">
      <formula>LEN(TRIM(AB511))&gt;0</formula>
    </cfRule>
  </conditionalFormatting>
  <conditionalFormatting sqref="AB511:AF511">
    <cfRule type="notContainsBlanks" dxfId="2240" priority="2307">
      <formula>LEN(TRIM(AB511))&gt;0</formula>
    </cfRule>
  </conditionalFormatting>
  <conditionalFormatting sqref="AB511:AF511">
    <cfRule type="notContainsBlanks" dxfId="2239" priority="2306">
      <formula>LEN(TRIM(AB511))&gt;0</formula>
    </cfRule>
  </conditionalFormatting>
  <conditionalFormatting sqref="AB511:AF511">
    <cfRule type="notContainsBlanks" dxfId="2238" priority="2305">
      <formula>LEN(TRIM(AB511))&gt;0</formula>
    </cfRule>
  </conditionalFormatting>
  <conditionalFormatting sqref="AB511:AF511">
    <cfRule type="notContainsBlanks" dxfId="2237" priority="2304">
      <formula>LEN(TRIM(AB511))&gt;0</formula>
    </cfRule>
  </conditionalFormatting>
  <conditionalFormatting sqref="AB511:AF511">
    <cfRule type="notContainsBlanks" priority="2303">
      <formula>LEN(TRIM(AB511))&gt;0</formula>
    </cfRule>
  </conditionalFormatting>
  <conditionalFormatting sqref="AB511:AF511">
    <cfRule type="notContainsBlanks" dxfId="2236" priority="2302">
      <formula>LEN(TRIM(AB511))&gt;0</formula>
    </cfRule>
  </conditionalFormatting>
  <conditionalFormatting sqref="AB511:AF511">
    <cfRule type="notContainsBlanks" dxfId="2235" priority="2301">
      <formula>LEN(TRIM(AB511))&gt;0</formula>
    </cfRule>
  </conditionalFormatting>
  <conditionalFormatting sqref="AB511:AF511">
    <cfRule type="notContainsBlanks" dxfId="2234" priority="2300">
      <formula>LEN(TRIM(AB511))&gt;0</formula>
    </cfRule>
  </conditionalFormatting>
  <conditionalFormatting sqref="AB511:AF511">
    <cfRule type="notContainsBlanks" dxfId="2233" priority="2299">
      <formula>LEN(TRIM(AB511))&gt;0</formula>
    </cfRule>
  </conditionalFormatting>
  <conditionalFormatting sqref="AB511:AF511">
    <cfRule type="notContainsBlanks" dxfId="2232" priority="2298">
      <formula>LEN(TRIM(AB511))&gt;0</formula>
    </cfRule>
  </conditionalFormatting>
  <conditionalFormatting sqref="AB524:AF524">
    <cfRule type="notContainsBlanks" dxfId="2231" priority="2297">
      <formula>LEN(TRIM(AB524))&gt;0</formula>
    </cfRule>
  </conditionalFormatting>
  <conditionalFormatting sqref="AB524:AF524">
    <cfRule type="notContainsBlanks" dxfId="2230" priority="2296">
      <formula>LEN(TRIM(AB524))&gt;0</formula>
    </cfRule>
  </conditionalFormatting>
  <conditionalFormatting sqref="AB524:AF524">
    <cfRule type="notContainsBlanks" dxfId="2229" priority="2295">
      <formula>LEN(TRIM(AB524))&gt;0</formula>
    </cfRule>
  </conditionalFormatting>
  <conditionalFormatting sqref="AB524:AF524">
    <cfRule type="notContainsBlanks" dxfId="2228" priority="2294">
      <formula>LEN(TRIM(AB524))&gt;0</formula>
    </cfRule>
  </conditionalFormatting>
  <conditionalFormatting sqref="AB524:AF524">
    <cfRule type="notContainsBlanks" dxfId="2227" priority="2293">
      <formula>LEN(TRIM(AB524))&gt;0</formula>
    </cfRule>
  </conditionalFormatting>
  <conditionalFormatting sqref="AB524:AF524">
    <cfRule type="notContainsBlanks" dxfId="2226" priority="2292">
      <formula>LEN(TRIM(AB524))&gt;0</formula>
    </cfRule>
  </conditionalFormatting>
  <conditionalFormatting sqref="AB524:AF524">
    <cfRule type="notContainsBlanks" dxfId="2225" priority="2291">
      <formula>LEN(TRIM(AB524))&gt;0</formula>
    </cfRule>
  </conditionalFormatting>
  <conditionalFormatting sqref="AB524:AF524">
    <cfRule type="notContainsBlanks" dxfId="2224" priority="2290">
      <formula>LEN(TRIM(AB524))&gt;0</formula>
    </cfRule>
  </conditionalFormatting>
  <conditionalFormatting sqref="AB524:AF524">
    <cfRule type="notContainsBlanks" dxfId="2223" priority="2289">
      <formula>LEN(TRIM(AB524))&gt;0</formula>
    </cfRule>
  </conditionalFormatting>
  <conditionalFormatting sqref="AB524:AF524">
    <cfRule type="notContainsBlanks" dxfId="2222" priority="2287">
      <formula>LEN(TRIM(AB524))&gt;0</formula>
    </cfRule>
    <cfRule type="notContainsBlanks" dxfId="2221" priority="2288">
      <formula>LEN(TRIM(AB524))&gt;0</formula>
    </cfRule>
  </conditionalFormatting>
  <conditionalFormatting sqref="AB524:AF524">
    <cfRule type="notContainsBlanks" dxfId="2220" priority="2286">
      <formula>LEN(TRIM(AB524))&gt;0</formula>
    </cfRule>
  </conditionalFormatting>
  <conditionalFormatting sqref="AB524:AF524">
    <cfRule type="notContainsBlanks" dxfId="2219" priority="2285">
      <formula>LEN(TRIM(AB524))&gt;0</formula>
    </cfRule>
  </conditionalFormatting>
  <conditionalFormatting sqref="AB524:AF524">
    <cfRule type="notContainsBlanks" dxfId="2218" priority="2284">
      <formula>LEN(TRIM(AB524))&gt;0</formula>
    </cfRule>
  </conditionalFormatting>
  <conditionalFormatting sqref="AB524:AF524">
    <cfRule type="notContainsBlanks" dxfId="2217" priority="2283">
      <formula>LEN(TRIM(AB524))&gt;0</formula>
    </cfRule>
  </conditionalFormatting>
  <conditionalFormatting sqref="AB524:AF524">
    <cfRule type="notContainsBlanks" dxfId="2216" priority="2282">
      <formula>LEN(TRIM(AB524))&gt;0</formula>
    </cfRule>
  </conditionalFormatting>
  <conditionalFormatting sqref="AB524:AF524">
    <cfRule type="notContainsBlanks" dxfId="2215" priority="2281">
      <formula>LEN(TRIM(AB524))&gt;0</formula>
    </cfRule>
  </conditionalFormatting>
  <conditionalFormatting sqref="AB524:AF524">
    <cfRule type="notContainsBlanks" dxfId="2214" priority="2280">
      <formula>LEN(TRIM(AB524))&gt;0</formula>
    </cfRule>
  </conditionalFormatting>
  <conditionalFormatting sqref="AB524:AF524">
    <cfRule type="notContainsBlanks" dxfId="2213" priority="2279">
      <formula>LEN(TRIM(AB524))&gt;0</formula>
    </cfRule>
  </conditionalFormatting>
  <conditionalFormatting sqref="AB524:AF524">
    <cfRule type="notContainsBlanks" dxfId="2212" priority="2278">
      <formula>LEN(TRIM(AB524))&gt;0</formula>
    </cfRule>
  </conditionalFormatting>
  <conditionalFormatting sqref="AB524:AF524">
    <cfRule type="notContainsBlanks" priority="2277">
      <formula>LEN(TRIM(AB524))&gt;0</formula>
    </cfRule>
  </conditionalFormatting>
  <conditionalFormatting sqref="AB524:AF524">
    <cfRule type="notContainsBlanks" dxfId="2211" priority="2276">
      <formula>LEN(TRIM(AB524))&gt;0</formula>
    </cfRule>
  </conditionalFormatting>
  <conditionalFormatting sqref="AB524:AF524">
    <cfRule type="notContainsBlanks" dxfId="2210" priority="2275">
      <formula>LEN(TRIM(AB524))&gt;0</formula>
    </cfRule>
  </conditionalFormatting>
  <conditionalFormatting sqref="AB524:AF524">
    <cfRule type="notContainsBlanks" dxfId="2209" priority="2274">
      <formula>LEN(TRIM(AB524))&gt;0</formula>
    </cfRule>
  </conditionalFormatting>
  <conditionalFormatting sqref="AB524:AF524">
    <cfRule type="notContainsBlanks" dxfId="2208" priority="2273">
      <formula>LEN(TRIM(AB524))&gt;0</formula>
    </cfRule>
  </conditionalFormatting>
  <conditionalFormatting sqref="AB524:AF524">
    <cfRule type="notContainsBlanks" dxfId="2207" priority="2272">
      <formula>LEN(TRIM(AB524))&gt;0</formula>
    </cfRule>
  </conditionalFormatting>
  <conditionalFormatting sqref="AB537:AF537">
    <cfRule type="notContainsBlanks" dxfId="2206" priority="2271">
      <formula>LEN(TRIM(AB537))&gt;0</formula>
    </cfRule>
  </conditionalFormatting>
  <conditionalFormatting sqref="AB537:AF537">
    <cfRule type="notContainsBlanks" dxfId="2205" priority="2270">
      <formula>LEN(TRIM(AB537))&gt;0</formula>
    </cfRule>
  </conditionalFormatting>
  <conditionalFormatting sqref="AB537:AF537">
    <cfRule type="notContainsBlanks" dxfId="2204" priority="2269">
      <formula>LEN(TRIM(AB537))&gt;0</formula>
    </cfRule>
  </conditionalFormatting>
  <conditionalFormatting sqref="AB537:AF537">
    <cfRule type="notContainsBlanks" dxfId="2203" priority="2268">
      <formula>LEN(TRIM(AB537))&gt;0</formula>
    </cfRule>
  </conditionalFormatting>
  <conditionalFormatting sqref="AB537:AF537">
    <cfRule type="notContainsBlanks" dxfId="2202" priority="2267">
      <formula>LEN(TRIM(AB537))&gt;0</formula>
    </cfRule>
  </conditionalFormatting>
  <conditionalFormatting sqref="AB537:AF537">
    <cfRule type="notContainsBlanks" dxfId="2201" priority="2266">
      <formula>LEN(TRIM(AB537))&gt;0</formula>
    </cfRule>
  </conditionalFormatting>
  <conditionalFormatting sqref="AB537:AF537">
    <cfRule type="notContainsBlanks" dxfId="2200" priority="2265">
      <formula>LEN(TRIM(AB537))&gt;0</formula>
    </cfRule>
  </conditionalFormatting>
  <conditionalFormatting sqref="AB537:AF537">
    <cfRule type="notContainsBlanks" dxfId="2199" priority="2264">
      <formula>LEN(TRIM(AB537))&gt;0</formula>
    </cfRule>
  </conditionalFormatting>
  <conditionalFormatting sqref="AB537:AF537">
    <cfRule type="notContainsBlanks" dxfId="2198" priority="2263">
      <formula>LEN(TRIM(AB537))&gt;0</formula>
    </cfRule>
  </conditionalFormatting>
  <conditionalFormatting sqref="AB537:AF537">
    <cfRule type="notContainsBlanks" dxfId="2197" priority="2261">
      <formula>LEN(TRIM(AB537))&gt;0</formula>
    </cfRule>
    <cfRule type="notContainsBlanks" dxfId="2196" priority="2262">
      <formula>LEN(TRIM(AB537))&gt;0</formula>
    </cfRule>
  </conditionalFormatting>
  <conditionalFormatting sqref="AB537:AF537">
    <cfRule type="notContainsBlanks" dxfId="2195" priority="2260">
      <formula>LEN(TRIM(AB537))&gt;0</formula>
    </cfRule>
  </conditionalFormatting>
  <conditionalFormatting sqref="AB537:AF537">
    <cfRule type="notContainsBlanks" dxfId="2194" priority="2259">
      <formula>LEN(TRIM(AB537))&gt;0</formula>
    </cfRule>
  </conditionalFormatting>
  <conditionalFormatting sqref="AB537:AF537">
    <cfRule type="notContainsBlanks" dxfId="2193" priority="2258">
      <formula>LEN(TRIM(AB537))&gt;0</formula>
    </cfRule>
  </conditionalFormatting>
  <conditionalFormatting sqref="AB537:AF537">
    <cfRule type="notContainsBlanks" dxfId="2192" priority="2257">
      <formula>LEN(TRIM(AB537))&gt;0</formula>
    </cfRule>
  </conditionalFormatting>
  <conditionalFormatting sqref="AB537:AF537">
    <cfRule type="notContainsBlanks" dxfId="2191" priority="2256">
      <formula>LEN(TRIM(AB537))&gt;0</formula>
    </cfRule>
  </conditionalFormatting>
  <conditionalFormatting sqref="AB537:AF537">
    <cfRule type="notContainsBlanks" dxfId="2190" priority="2255">
      <formula>LEN(TRIM(AB537))&gt;0</formula>
    </cfRule>
  </conditionalFormatting>
  <conditionalFormatting sqref="AB537:AF537">
    <cfRule type="notContainsBlanks" dxfId="2189" priority="2254">
      <formula>LEN(TRIM(AB537))&gt;0</formula>
    </cfRule>
  </conditionalFormatting>
  <conditionalFormatting sqref="AB537:AF537">
    <cfRule type="notContainsBlanks" dxfId="2188" priority="2253">
      <formula>LEN(TRIM(AB537))&gt;0</formula>
    </cfRule>
  </conditionalFormatting>
  <conditionalFormatting sqref="AB537:AF537">
    <cfRule type="notContainsBlanks" dxfId="2187" priority="2252">
      <formula>LEN(TRIM(AB537))&gt;0</formula>
    </cfRule>
  </conditionalFormatting>
  <conditionalFormatting sqref="AB537:AF537">
    <cfRule type="notContainsBlanks" priority="2251">
      <formula>LEN(TRIM(AB537))&gt;0</formula>
    </cfRule>
  </conditionalFormatting>
  <conditionalFormatting sqref="AB537:AF537">
    <cfRule type="notContainsBlanks" dxfId="2186" priority="2250">
      <formula>LEN(TRIM(AB537))&gt;0</formula>
    </cfRule>
  </conditionalFormatting>
  <conditionalFormatting sqref="AB537:AF537">
    <cfRule type="notContainsBlanks" dxfId="2185" priority="2249">
      <formula>LEN(TRIM(AB537))&gt;0</formula>
    </cfRule>
  </conditionalFormatting>
  <conditionalFormatting sqref="AB537:AF537">
    <cfRule type="notContainsBlanks" dxfId="2184" priority="2248">
      <formula>LEN(TRIM(AB537))&gt;0</formula>
    </cfRule>
  </conditionalFormatting>
  <conditionalFormatting sqref="AB537:AF537">
    <cfRule type="notContainsBlanks" dxfId="2183" priority="2247">
      <formula>LEN(TRIM(AB537))&gt;0</formula>
    </cfRule>
  </conditionalFormatting>
  <conditionalFormatting sqref="AB537:AF537">
    <cfRule type="notContainsBlanks" dxfId="2182" priority="2246">
      <formula>LEN(TRIM(AB537))&gt;0</formula>
    </cfRule>
  </conditionalFormatting>
  <conditionalFormatting sqref="AB550:AF550">
    <cfRule type="notContainsBlanks" dxfId="2181" priority="2245">
      <formula>LEN(TRIM(AB550))&gt;0</formula>
    </cfRule>
  </conditionalFormatting>
  <conditionalFormatting sqref="AB550:AF550">
    <cfRule type="notContainsBlanks" dxfId="2180" priority="2244">
      <formula>LEN(TRIM(AB550))&gt;0</formula>
    </cfRule>
  </conditionalFormatting>
  <conditionalFormatting sqref="AB550:AF550">
    <cfRule type="notContainsBlanks" dxfId="2179" priority="2243">
      <formula>LEN(TRIM(AB550))&gt;0</formula>
    </cfRule>
  </conditionalFormatting>
  <conditionalFormatting sqref="AB550:AF550">
    <cfRule type="notContainsBlanks" dxfId="2178" priority="2242">
      <formula>LEN(TRIM(AB550))&gt;0</formula>
    </cfRule>
  </conditionalFormatting>
  <conditionalFormatting sqref="AB550:AF550">
    <cfRule type="notContainsBlanks" dxfId="2177" priority="2241">
      <formula>LEN(TRIM(AB550))&gt;0</formula>
    </cfRule>
  </conditionalFormatting>
  <conditionalFormatting sqref="AB550:AF550">
    <cfRule type="notContainsBlanks" dxfId="2176" priority="2240">
      <formula>LEN(TRIM(AB550))&gt;0</formula>
    </cfRule>
  </conditionalFormatting>
  <conditionalFormatting sqref="AB550:AF550">
    <cfRule type="notContainsBlanks" dxfId="2175" priority="2239">
      <formula>LEN(TRIM(AB550))&gt;0</formula>
    </cfRule>
  </conditionalFormatting>
  <conditionalFormatting sqref="AB550:AF550">
    <cfRule type="notContainsBlanks" dxfId="2174" priority="2238">
      <formula>LEN(TRIM(AB550))&gt;0</formula>
    </cfRule>
  </conditionalFormatting>
  <conditionalFormatting sqref="AB550:AF550">
    <cfRule type="notContainsBlanks" dxfId="2173" priority="2237">
      <formula>LEN(TRIM(AB550))&gt;0</formula>
    </cfRule>
  </conditionalFormatting>
  <conditionalFormatting sqref="AB550:AF550">
    <cfRule type="notContainsBlanks" dxfId="2172" priority="2235">
      <formula>LEN(TRIM(AB550))&gt;0</formula>
    </cfRule>
    <cfRule type="notContainsBlanks" dxfId="2171" priority="2236">
      <formula>LEN(TRIM(AB550))&gt;0</formula>
    </cfRule>
  </conditionalFormatting>
  <conditionalFormatting sqref="AB550:AF550">
    <cfRule type="notContainsBlanks" dxfId="2170" priority="2234">
      <formula>LEN(TRIM(AB550))&gt;0</formula>
    </cfRule>
  </conditionalFormatting>
  <conditionalFormatting sqref="AB550:AF550">
    <cfRule type="notContainsBlanks" dxfId="2169" priority="2233">
      <formula>LEN(TRIM(AB550))&gt;0</formula>
    </cfRule>
  </conditionalFormatting>
  <conditionalFormatting sqref="AB550:AF550">
    <cfRule type="notContainsBlanks" dxfId="2168" priority="2232">
      <formula>LEN(TRIM(AB550))&gt;0</formula>
    </cfRule>
  </conditionalFormatting>
  <conditionalFormatting sqref="AB550:AF550">
    <cfRule type="notContainsBlanks" dxfId="2167" priority="2231">
      <formula>LEN(TRIM(AB550))&gt;0</formula>
    </cfRule>
  </conditionalFormatting>
  <conditionalFormatting sqref="AB550:AF550">
    <cfRule type="notContainsBlanks" dxfId="2166" priority="2230">
      <formula>LEN(TRIM(AB550))&gt;0</formula>
    </cfRule>
  </conditionalFormatting>
  <conditionalFormatting sqref="AB550:AF550">
    <cfRule type="notContainsBlanks" dxfId="2165" priority="2229">
      <formula>LEN(TRIM(AB550))&gt;0</formula>
    </cfRule>
  </conditionalFormatting>
  <conditionalFormatting sqref="AB550:AF550">
    <cfRule type="notContainsBlanks" dxfId="2164" priority="2228">
      <formula>LEN(TRIM(AB550))&gt;0</formula>
    </cfRule>
  </conditionalFormatting>
  <conditionalFormatting sqref="AB550:AF550">
    <cfRule type="notContainsBlanks" dxfId="2163" priority="2227">
      <formula>LEN(TRIM(AB550))&gt;0</formula>
    </cfRule>
  </conditionalFormatting>
  <conditionalFormatting sqref="AB550:AF550">
    <cfRule type="notContainsBlanks" dxfId="2162" priority="2226">
      <formula>LEN(TRIM(AB550))&gt;0</formula>
    </cfRule>
  </conditionalFormatting>
  <conditionalFormatting sqref="AB550:AF550">
    <cfRule type="notContainsBlanks" priority="2225">
      <formula>LEN(TRIM(AB550))&gt;0</formula>
    </cfRule>
  </conditionalFormatting>
  <conditionalFormatting sqref="AB550:AF550">
    <cfRule type="notContainsBlanks" dxfId="2161" priority="2224">
      <formula>LEN(TRIM(AB550))&gt;0</formula>
    </cfRule>
  </conditionalFormatting>
  <conditionalFormatting sqref="AB550:AF550">
    <cfRule type="notContainsBlanks" dxfId="2160" priority="2223">
      <formula>LEN(TRIM(AB550))&gt;0</formula>
    </cfRule>
  </conditionalFormatting>
  <conditionalFormatting sqref="AB550:AF550">
    <cfRule type="notContainsBlanks" dxfId="2159" priority="2222">
      <formula>LEN(TRIM(AB550))&gt;0</formula>
    </cfRule>
  </conditionalFormatting>
  <conditionalFormatting sqref="AB550:AF550">
    <cfRule type="notContainsBlanks" dxfId="2158" priority="2221">
      <formula>LEN(TRIM(AB550))&gt;0</formula>
    </cfRule>
  </conditionalFormatting>
  <conditionalFormatting sqref="AB550:AF550">
    <cfRule type="notContainsBlanks" dxfId="2157" priority="2220">
      <formula>LEN(TRIM(AB550))&gt;0</formula>
    </cfRule>
  </conditionalFormatting>
  <conditionalFormatting sqref="AB563:AF563">
    <cfRule type="notContainsBlanks" dxfId="2156" priority="2219">
      <formula>LEN(TRIM(AB563))&gt;0</formula>
    </cfRule>
  </conditionalFormatting>
  <conditionalFormatting sqref="AB563:AF563">
    <cfRule type="notContainsBlanks" dxfId="2155" priority="2218">
      <formula>LEN(TRIM(AB563))&gt;0</formula>
    </cfRule>
  </conditionalFormatting>
  <conditionalFormatting sqref="AB563:AF563">
    <cfRule type="notContainsBlanks" dxfId="2154" priority="2217">
      <formula>LEN(TRIM(AB563))&gt;0</formula>
    </cfRule>
  </conditionalFormatting>
  <conditionalFormatting sqref="AB563:AF563">
    <cfRule type="notContainsBlanks" dxfId="2153" priority="2216">
      <formula>LEN(TRIM(AB563))&gt;0</formula>
    </cfRule>
  </conditionalFormatting>
  <conditionalFormatting sqref="AB563:AF563">
    <cfRule type="notContainsBlanks" dxfId="2152" priority="2215">
      <formula>LEN(TRIM(AB563))&gt;0</formula>
    </cfRule>
  </conditionalFormatting>
  <conditionalFormatting sqref="AB563:AF563">
    <cfRule type="notContainsBlanks" dxfId="2151" priority="2214">
      <formula>LEN(TRIM(AB563))&gt;0</formula>
    </cfRule>
  </conditionalFormatting>
  <conditionalFormatting sqref="AB563:AF563">
    <cfRule type="notContainsBlanks" dxfId="2150" priority="2213">
      <formula>LEN(TRIM(AB563))&gt;0</formula>
    </cfRule>
  </conditionalFormatting>
  <conditionalFormatting sqref="AB563:AF563">
    <cfRule type="notContainsBlanks" dxfId="2149" priority="2212">
      <formula>LEN(TRIM(AB563))&gt;0</formula>
    </cfRule>
  </conditionalFormatting>
  <conditionalFormatting sqref="AB563:AF563">
    <cfRule type="notContainsBlanks" dxfId="2148" priority="2211">
      <formula>LEN(TRIM(AB563))&gt;0</formula>
    </cfRule>
  </conditionalFormatting>
  <conditionalFormatting sqref="AB563:AF563">
    <cfRule type="notContainsBlanks" dxfId="2147" priority="2209">
      <formula>LEN(TRIM(AB563))&gt;0</formula>
    </cfRule>
    <cfRule type="notContainsBlanks" dxfId="2146" priority="2210">
      <formula>LEN(TRIM(AB563))&gt;0</formula>
    </cfRule>
  </conditionalFormatting>
  <conditionalFormatting sqref="AB563:AF563">
    <cfRule type="notContainsBlanks" dxfId="2145" priority="2208">
      <formula>LEN(TRIM(AB563))&gt;0</formula>
    </cfRule>
  </conditionalFormatting>
  <conditionalFormatting sqref="AB563:AF563">
    <cfRule type="notContainsBlanks" dxfId="2144" priority="2207">
      <formula>LEN(TRIM(AB563))&gt;0</formula>
    </cfRule>
  </conditionalFormatting>
  <conditionalFormatting sqref="AB563:AF563">
    <cfRule type="notContainsBlanks" dxfId="2143" priority="2206">
      <formula>LEN(TRIM(AB563))&gt;0</formula>
    </cfRule>
  </conditionalFormatting>
  <conditionalFormatting sqref="AB563:AF563">
    <cfRule type="notContainsBlanks" dxfId="2142" priority="2205">
      <formula>LEN(TRIM(AB563))&gt;0</formula>
    </cfRule>
  </conditionalFormatting>
  <conditionalFormatting sqref="AB563:AF563">
    <cfRule type="notContainsBlanks" dxfId="2141" priority="2204">
      <formula>LEN(TRIM(AB563))&gt;0</formula>
    </cfRule>
  </conditionalFormatting>
  <conditionalFormatting sqref="AB563:AF563">
    <cfRule type="notContainsBlanks" dxfId="2140" priority="2203">
      <formula>LEN(TRIM(AB563))&gt;0</formula>
    </cfRule>
  </conditionalFormatting>
  <conditionalFormatting sqref="AB563:AF563">
    <cfRule type="notContainsBlanks" dxfId="2139" priority="2202">
      <formula>LEN(TRIM(AB563))&gt;0</formula>
    </cfRule>
  </conditionalFormatting>
  <conditionalFormatting sqref="AB563:AF563">
    <cfRule type="notContainsBlanks" dxfId="2138" priority="2201">
      <formula>LEN(TRIM(AB563))&gt;0</formula>
    </cfRule>
  </conditionalFormatting>
  <conditionalFormatting sqref="AB563:AF563">
    <cfRule type="notContainsBlanks" dxfId="2137" priority="2200">
      <formula>LEN(TRIM(AB563))&gt;0</formula>
    </cfRule>
  </conditionalFormatting>
  <conditionalFormatting sqref="AB563:AF563">
    <cfRule type="notContainsBlanks" priority="2199">
      <formula>LEN(TRIM(AB563))&gt;0</formula>
    </cfRule>
  </conditionalFormatting>
  <conditionalFormatting sqref="AB563:AF563">
    <cfRule type="notContainsBlanks" dxfId="2136" priority="2198">
      <formula>LEN(TRIM(AB563))&gt;0</formula>
    </cfRule>
  </conditionalFormatting>
  <conditionalFormatting sqref="AB563:AF563">
    <cfRule type="notContainsBlanks" dxfId="2135" priority="2197">
      <formula>LEN(TRIM(AB563))&gt;0</formula>
    </cfRule>
  </conditionalFormatting>
  <conditionalFormatting sqref="AB563:AF563">
    <cfRule type="notContainsBlanks" dxfId="2134" priority="2196">
      <formula>LEN(TRIM(AB563))&gt;0</formula>
    </cfRule>
  </conditionalFormatting>
  <conditionalFormatting sqref="AB563:AF563">
    <cfRule type="notContainsBlanks" dxfId="2133" priority="2195">
      <formula>LEN(TRIM(AB563))&gt;0</formula>
    </cfRule>
  </conditionalFormatting>
  <conditionalFormatting sqref="AB563:AF563">
    <cfRule type="notContainsBlanks" dxfId="2132" priority="2194">
      <formula>LEN(TRIM(AB563))&gt;0</formula>
    </cfRule>
  </conditionalFormatting>
  <conditionalFormatting sqref="AB576:AF576">
    <cfRule type="notContainsBlanks" dxfId="2131" priority="2193">
      <formula>LEN(TRIM(AB576))&gt;0</formula>
    </cfRule>
  </conditionalFormatting>
  <conditionalFormatting sqref="AB576:AF576">
    <cfRule type="notContainsBlanks" dxfId="2130" priority="2192">
      <formula>LEN(TRIM(AB576))&gt;0</formula>
    </cfRule>
  </conditionalFormatting>
  <conditionalFormatting sqref="AB576:AF576">
    <cfRule type="notContainsBlanks" dxfId="2129" priority="2191">
      <formula>LEN(TRIM(AB576))&gt;0</formula>
    </cfRule>
  </conditionalFormatting>
  <conditionalFormatting sqref="AB576:AF576">
    <cfRule type="notContainsBlanks" dxfId="2128" priority="2190">
      <formula>LEN(TRIM(AB576))&gt;0</formula>
    </cfRule>
  </conditionalFormatting>
  <conditionalFormatting sqref="AB576:AF576">
    <cfRule type="notContainsBlanks" dxfId="2127" priority="2189">
      <formula>LEN(TRIM(AB576))&gt;0</formula>
    </cfRule>
  </conditionalFormatting>
  <conditionalFormatting sqref="AB576:AF576">
    <cfRule type="notContainsBlanks" dxfId="2126" priority="2188">
      <formula>LEN(TRIM(AB576))&gt;0</formula>
    </cfRule>
  </conditionalFormatting>
  <conditionalFormatting sqref="AB576:AF576">
    <cfRule type="notContainsBlanks" dxfId="2125" priority="2187">
      <formula>LEN(TRIM(AB576))&gt;0</formula>
    </cfRule>
  </conditionalFormatting>
  <conditionalFormatting sqref="AB576:AF576">
    <cfRule type="notContainsBlanks" dxfId="2124" priority="2186">
      <formula>LEN(TRIM(AB576))&gt;0</formula>
    </cfRule>
  </conditionalFormatting>
  <conditionalFormatting sqref="AB576:AF576">
    <cfRule type="notContainsBlanks" dxfId="2123" priority="2185">
      <formula>LEN(TRIM(AB576))&gt;0</formula>
    </cfRule>
  </conditionalFormatting>
  <conditionalFormatting sqref="AB576:AF576">
    <cfRule type="notContainsBlanks" dxfId="2122" priority="2183">
      <formula>LEN(TRIM(AB576))&gt;0</formula>
    </cfRule>
    <cfRule type="notContainsBlanks" dxfId="2121" priority="2184">
      <formula>LEN(TRIM(AB576))&gt;0</formula>
    </cfRule>
  </conditionalFormatting>
  <conditionalFormatting sqref="AB576:AF576">
    <cfRule type="notContainsBlanks" dxfId="2120" priority="2182">
      <formula>LEN(TRIM(AB576))&gt;0</formula>
    </cfRule>
  </conditionalFormatting>
  <conditionalFormatting sqref="AB576:AF576">
    <cfRule type="notContainsBlanks" dxfId="2119" priority="2181">
      <formula>LEN(TRIM(AB576))&gt;0</formula>
    </cfRule>
  </conditionalFormatting>
  <conditionalFormatting sqref="AB576:AF576">
    <cfRule type="notContainsBlanks" dxfId="2118" priority="2180">
      <formula>LEN(TRIM(AB576))&gt;0</formula>
    </cfRule>
  </conditionalFormatting>
  <conditionalFormatting sqref="AB576:AF576">
    <cfRule type="notContainsBlanks" dxfId="2117" priority="2179">
      <formula>LEN(TRIM(AB576))&gt;0</formula>
    </cfRule>
  </conditionalFormatting>
  <conditionalFormatting sqref="AB576:AF576">
    <cfRule type="notContainsBlanks" dxfId="2116" priority="2178">
      <formula>LEN(TRIM(AB576))&gt;0</formula>
    </cfRule>
  </conditionalFormatting>
  <conditionalFormatting sqref="AB576:AF576">
    <cfRule type="notContainsBlanks" dxfId="2115" priority="2177">
      <formula>LEN(TRIM(AB576))&gt;0</formula>
    </cfRule>
  </conditionalFormatting>
  <conditionalFormatting sqref="AB576:AF576">
    <cfRule type="notContainsBlanks" dxfId="2114" priority="2176">
      <formula>LEN(TRIM(AB576))&gt;0</formula>
    </cfRule>
  </conditionalFormatting>
  <conditionalFormatting sqref="AB576:AF576">
    <cfRule type="notContainsBlanks" dxfId="2113" priority="2175">
      <formula>LEN(TRIM(AB576))&gt;0</formula>
    </cfRule>
  </conditionalFormatting>
  <conditionalFormatting sqref="AB576:AF576">
    <cfRule type="notContainsBlanks" dxfId="2112" priority="2174">
      <formula>LEN(TRIM(AB576))&gt;0</formula>
    </cfRule>
  </conditionalFormatting>
  <conditionalFormatting sqref="AB576:AF576">
    <cfRule type="notContainsBlanks" priority="2173">
      <formula>LEN(TRIM(AB576))&gt;0</formula>
    </cfRule>
  </conditionalFormatting>
  <conditionalFormatting sqref="AB576:AF576">
    <cfRule type="notContainsBlanks" dxfId="2111" priority="2172">
      <formula>LEN(TRIM(AB576))&gt;0</formula>
    </cfRule>
  </conditionalFormatting>
  <conditionalFormatting sqref="AB576:AF576">
    <cfRule type="notContainsBlanks" dxfId="2110" priority="2171">
      <formula>LEN(TRIM(AB576))&gt;0</formula>
    </cfRule>
  </conditionalFormatting>
  <conditionalFormatting sqref="AB576:AF576">
    <cfRule type="notContainsBlanks" dxfId="2109" priority="2170">
      <formula>LEN(TRIM(AB576))&gt;0</formula>
    </cfRule>
  </conditionalFormatting>
  <conditionalFormatting sqref="AB576:AF576">
    <cfRule type="notContainsBlanks" dxfId="2108" priority="2169">
      <formula>LEN(TRIM(AB576))&gt;0</formula>
    </cfRule>
  </conditionalFormatting>
  <conditionalFormatting sqref="AB576:AF576">
    <cfRule type="notContainsBlanks" dxfId="2107" priority="2168">
      <formula>LEN(TRIM(AB576))&gt;0</formula>
    </cfRule>
  </conditionalFormatting>
  <conditionalFormatting sqref="AB589:AF589">
    <cfRule type="notContainsBlanks" dxfId="2106" priority="2167">
      <formula>LEN(TRIM(AB589))&gt;0</formula>
    </cfRule>
  </conditionalFormatting>
  <conditionalFormatting sqref="AB589:AF589">
    <cfRule type="notContainsBlanks" dxfId="2105" priority="2166">
      <formula>LEN(TRIM(AB589))&gt;0</formula>
    </cfRule>
  </conditionalFormatting>
  <conditionalFormatting sqref="AB589:AF589">
    <cfRule type="notContainsBlanks" dxfId="2104" priority="2165">
      <formula>LEN(TRIM(AB589))&gt;0</formula>
    </cfRule>
  </conditionalFormatting>
  <conditionalFormatting sqref="AB589:AF589">
    <cfRule type="notContainsBlanks" dxfId="2103" priority="2164">
      <formula>LEN(TRIM(AB589))&gt;0</formula>
    </cfRule>
  </conditionalFormatting>
  <conditionalFormatting sqref="AB589:AF589">
    <cfRule type="notContainsBlanks" dxfId="2102" priority="2163">
      <formula>LEN(TRIM(AB589))&gt;0</formula>
    </cfRule>
  </conditionalFormatting>
  <conditionalFormatting sqref="AB589:AF589">
    <cfRule type="notContainsBlanks" dxfId="2101" priority="2162">
      <formula>LEN(TRIM(AB589))&gt;0</formula>
    </cfRule>
  </conditionalFormatting>
  <conditionalFormatting sqref="AB589:AF589">
    <cfRule type="notContainsBlanks" dxfId="2100" priority="2161">
      <formula>LEN(TRIM(AB589))&gt;0</formula>
    </cfRule>
  </conditionalFormatting>
  <conditionalFormatting sqref="AB589:AF589">
    <cfRule type="notContainsBlanks" dxfId="2099" priority="2160">
      <formula>LEN(TRIM(AB589))&gt;0</formula>
    </cfRule>
  </conditionalFormatting>
  <conditionalFormatting sqref="AB589:AF589">
    <cfRule type="notContainsBlanks" dxfId="2098" priority="2159">
      <formula>LEN(TRIM(AB589))&gt;0</formula>
    </cfRule>
  </conditionalFormatting>
  <conditionalFormatting sqref="AB589:AF589">
    <cfRule type="notContainsBlanks" dxfId="2097" priority="2157">
      <formula>LEN(TRIM(AB589))&gt;0</formula>
    </cfRule>
    <cfRule type="notContainsBlanks" dxfId="2096" priority="2158">
      <formula>LEN(TRIM(AB589))&gt;0</formula>
    </cfRule>
  </conditionalFormatting>
  <conditionalFormatting sqref="AB589:AF589">
    <cfRule type="notContainsBlanks" dxfId="2095" priority="2156">
      <formula>LEN(TRIM(AB589))&gt;0</formula>
    </cfRule>
  </conditionalFormatting>
  <conditionalFormatting sqref="AB589:AF589">
    <cfRule type="notContainsBlanks" dxfId="2094" priority="2155">
      <formula>LEN(TRIM(AB589))&gt;0</formula>
    </cfRule>
  </conditionalFormatting>
  <conditionalFormatting sqref="AB589:AF589">
    <cfRule type="notContainsBlanks" dxfId="2093" priority="2154">
      <formula>LEN(TRIM(AB589))&gt;0</formula>
    </cfRule>
  </conditionalFormatting>
  <conditionalFormatting sqref="AB589:AF589">
    <cfRule type="notContainsBlanks" dxfId="2092" priority="2153">
      <formula>LEN(TRIM(AB589))&gt;0</formula>
    </cfRule>
  </conditionalFormatting>
  <conditionalFormatting sqref="AB589:AF589">
    <cfRule type="notContainsBlanks" dxfId="2091" priority="2152">
      <formula>LEN(TRIM(AB589))&gt;0</formula>
    </cfRule>
  </conditionalFormatting>
  <conditionalFormatting sqref="AB589:AF589">
    <cfRule type="notContainsBlanks" dxfId="2090" priority="2151">
      <formula>LEN(TRIM(AB589))&gt;0</formula>
    </cfRule>
  </conditionalFormatting>
  <conditionalFormatting sqref="AB589:AF589">
    <cfRule type="notContainsBlanks" dxfId="2089" priority="2150">
      <formula>LEN(TRIM(AB589))&gt;0</formula>
    </cfRule>
  </conditionalFormatting>
  <conditionalFormatting sqref="AB589:AF589">
    <cfRule type="notContainsBlanks" dxfId="2088" priority="2149">
      <formula>LEN(TRIM(AB589))&gt;0</formula>
    </cfRule>
  </conditionalFormatting>
  <conditionalFormatting sqref="AB589:AF589">
    <cfRule type="notContainsBlanks" dxfId="2087" priority="2148">
      <formula>LEN(TRIM(AB589))&gt;0</formula>
    </cfRule>
  </conditionalFormatting>
  <conditionalFormatting sqref="AB589:AF589">
    <cfRule type="notContainsBlanks" priority="2147">
      <formula>LEN(TRIM(AB589))&gt;0</formula>
    </cfRule>
  </conditionalFormatting>
  <conditionalFormatting sqref="AB589:AF589">
    <cfRule type="notContainsBlanks" dxfId="2086" priority="2146">
      <formula>LEN(TRIM(AB589))&gt;0</formula>
    </cfRule>
  </conditionalFormatting>
  <conditionalFormatting sqref="AB589:AF589">
    <cfRule type="notContainsBlanks" dxfId="2085" priority="2145">
      <formula>LEN(TRIM(AB589))&gt;0</formula>
    </cfRule>
  </conditionalFormatting>
  <conditionalFormatting sqref="AB589:AF589">
    <cfRule type="notContainsBlanks" dxfId="2084" priority="2144">
      <formula>LEN(TRIM(AB589))&gt;0</formula>
    </cfRule>
  </conditionalFormatting>
  <conditionalFormatting sqref="AB589:AF589">
    <cfRule type="notContainsBlanks" dxfId="2083" priority="2143">
      <formula>LEN(TRIM(AB589))&gt;0</formula>
    </cfRule>
  </conditionalFormatting>
  <conditionalFormatting sqref="AB589:AF589">
    <cfRule type="notContainsBlanks" dxfId="2082" priority="2142">
      <formula>LEN(TRIM(AB589))&gt;0</formula>
    </cfRule>
  </conditionalFormatting>
  <conditionalFormatting sqref="AB602:AF602">
    <cfRule type="notContainsBlanks" dxfId="2081" priority="2141">
      <formula>LEN(TRIM(AB602))&gt;0</formula>
    </cfRule>
  </conditionalFormatting>
  <conditionalFormatting sqref="AB602:AF602">
    <cfRule type="notContainsBlanks" dxfId="2080" priority="2140">
      <formula>LEN(TRIM(AB602))&gt;0</formula>
    </cfRule>
  </conditionalFormatting>
  <conditionalFormatting sqref="AB602:AF602">
    <cfRule type="notContainsBlanks" dxfId="2079" priority="2139">
      <formula>LEN(TRIM(AB602))&gt;0</formula>
    </cfRule>
  </conditionalFormatting>
  <conditionalFormatting sqref="AB602:AF602">
    <cfRule type="notContainsBlanks" dxfId="2078" priority="2138">
      <formula>LEN(TRIM(AB602))&gt;0</formula>
    </cfRule>
  </conditionalFormatting>
  <conditionalFormatting sqref="AB602:AF602">
    <cfRule type="notContainsBlanks" dxfId="2077" priority="2137">
      <formula>LEN(TRIM(AB602))&gt;0</formula>
    </cfRule>
  </conditionalFormatting>
  <conditionalFormatting sqref="AB602:AF602">
    <cfRule type="notContainsBlanks" dxfId="2076" priority="2136">
      <formula>LEN(TRIM(AB602))&gt;0</formula>
    </cfRule>
  </conditionalFormatting>
  <conditionalFormatting sqref="AB602:AF602">
    <cfRule type="notContainsBlanks" dxfId="2075" priority="2135">
      <formula>LEN(TRIM(AB602))&gt;0</formula>
    </cfRule>
  </conditionalFormatting>
  <conditionalFormatting sqref="AB602:AF602">
    <cfRule type="notContainsBlanks" dxfId="2074" priority="2134">
      <formula>LEN(TRIM(AB602))&gt;0</formula>
    </cfRule>
  </conditionalFormatting>
  <conditionalFormatting sqref="AB602:AF602">
    <cfRule type="notContainsBlanks" dxfId="2073" priority="2133">
      <formula>LEN(TRIM(AB602))&gt;0</formula>
    </cfRule>
  </conditionalFormatting>
  <conditionalFormatting sqref="AB602:AF602">
    <cfRule type="notContainsBlanks" dxfId="2072" priority="2131">
      <formula>LEN(TRIM(AB602))&gt;0</formula>
    </cfRule>
    <cfRule type="notContainsBlanks" dxfId="2071" priority="2132">
      <formula>LEN(TRIM(AB602))&gt;0</formula>
    </cfRule>
  </conditionalFormatting>
  <conditionalFormatting sqref="AB602:AF602">
    <cfRule type="notContainsBlanks" dxfId="2070" priority="2130">
      <formula>LEN(TRIM(AB602))&gt;0</formula>
    </cfRule>
  </conditionalFormatting>
  <conditionalFormatting sqref="AB602:AF602">
    <cfRule type="notContainsBlanks" dxfId="2069" priority="2129">
      <formula>LEN(TRIM(AB602))&gt;0</formula>
    </cfRule>
  </conditionalFormatting>
  <conditionalFormatting sqref="AB602:AF602">
    <cfRule type="notContainsBlanks" dxfId="2068" priority="2128">
      <formula>LEN(TRIM(AB602))&gt;0</formula>
    </cfRule>
  </conditionalFormatting>
  <conditionalFormatting sqref="AB602:AF602">
    <cfRule type="notContainsBlanks" dxfId="2067" priority="2127">
      <formula>LEN(TRIM(AB602))&gt;0</formula>
    </cfRule>
  </conditionalFormatting>
  <conditionalFormatting sqref="AB602:AF602">
    <cfRule type="notContainsBlanks" dxfId="2066" priority="2126">
      <formula>LEN(TRIM(AB602))&gt;0</formula>
    </cfRule>
  </conditionalFormatting>
  <conditionalFormatting sqref="AB602:AF602">
    <cfRule type="notContainsBlanks" dxfId="2065" priority="2125">
      <formula>LEN(TRIM(AB602))&gt;0</formula>
    </cfRule>
  </conditionalFormatting>
  <conditionalFormatting sqref="AB602:AF602">
    <cfRule type="notContainsBlanks" dxfId="2064" priority="2124">
      <formula>LEN(TRIM(AB602))&gt;0</formula>
    </cfRule>
  </conditionalFormatting>
  <conditionalFormatting sqref="AB602:AF602">
    <cfRule type="notContainsBlanks" dxfId="2063" priority="2123">
      <formula>LEN(TRIM(AB602))&gt;0</formula>
    </cfRule>
  </conditionalFormatting>
  <conditionalFormatting sqref="AB602:AF602">
    <cfRule type="notContainsBlanks" dxfId="2062" priority="2122">
      <formula>LEN(TRIM(AB602))&gt;0</formula>
    </cfRule>
  </conditionalFormatting>
  <conditionalFormatting sqref="AB602:AF602">
    <cfRule type="notContainsBlanks" priority="2121">
      <formula>LEN(TRIM(AB602))&gt;0</formula>
    </cfRule>
  </conditionalFormatting>
  <conditionalFormatting sqref="AB602:AF602">
    <cfRule type="notContainsBlanks" dxfId="2061" priority="2120">
      <formula>LEN(TRIM(AB602))&gt;0</formula>
    </cfRule>
  </conditionalFormatting>
  <conditionalFormatting sqref="AB602:AF602">
    <cfRule type="notContainsBlanks" dxfId="2060" priority="2119">
      <formula>LEN(TRIM(AB602))&gt;0</formula>
    </cfRule>
  </conditionalFormatting>
  <conditionalFormatting sqref="AB602:AF602">
    <cfRule type="notContainsBlanks" dxfId="2059" priority="2118">
      <formula>LEN(TRIM(AB602))&gt;0</formula>
    </cfRule>
  </conditionalFormatting>
  <conditionalFormatting sqref="AB602:AF602">
    <cfRule type="notContainsBlanks" dxfId="2058" priority="2117">
      <formula>LEN(TRIM(AB602))&gt;0</formula>
    </cfRule>
  </conditionalFormatting>
  <conditionalFormatting sqref="AB602:AF602">
    <cfRule type="notContainsBlanks" dxfId="2057" priority="2116">
      <formula>LEN(TRIM(AB602))&gt;0</formula>
    </cfRule>
  </conditionalFormatting>
  <conditionalFormatting sqref="AB615:AF615">
    <cfRule type="notContainsBlanks" dxfId="2056" priority="2115">
      <formula>LEN(TRIM(AB615))&gt;0</formula>
    </cfRule>
  </conditionalFormatting>
  <conditionalFormatting sqref="AB615:AF615">
    <cfRule type="notContainsBlanks" dxfId="2055" priority="2114">
      <formula>LEN(TRIM(AB615))&gt;0</formula>
    </cfRule>
  </conditionalFormatting>
  <conditionalFormatting sqref="AB615:AF615">
    <cfRule type="notContainsBlanks" dxfId="2054" priority="2113">
      <formula>LEN(TRIM(AB615))&gt;0</formula>
    </cfRule>
  </conditionalFormatting>
  <conditionalFormatting sqref="AB615:AF615">
    <cfRule type="notContainsBlanks" dxfId="2053" priority="2112">
      <formula>LEN(TRIM(AB615))&gt;0</formula>
    </cfRule>
  </conditionalFormatting>
  <conditionalFormatting sqref="AB615:AF615">
    <cfRule type="notContainsBlanks" dxfId="2052" priority="2111">
      <formula>LEN(TRIM(AB615))&gt;0</formula>
    </cfRule>
  </conditionalFormatting>
  <conditionalFormatting sqref="AB615:AF615">
    <cfRule type="notContainsBlanks" dxfId="2051" priority="2110">
      <formula>LEN(TRIM(AB615))&gt;0</formula>
    </cfRule>
  </conditionalFormatting>
  <conditionalFormatting sqref="AB615:AF615">
    <cfRule type="notContainsBlanks" dxfId="2050" priority="2109">
      <formula>LEN(TRIM(AB615))&gt;0</formula>
    </cfRule>
  </conditionalFormatting>
  <conditionalFormatting sqref="AB615:AF615">
    <cfRule type="notContainsBlanks" dxfId="2049" priority="2108">
      <formula>LEN(TRIM(AB615))&gt;0</formula>
    </cfRule>
  </conditionalFormatting>
  <conditionalFormatting sqref="AB615:AF615">
    <cfRule type="notContainsBlanks" dxfId="2048" priority="2107">
      <formula>LEN(TRIM(AB615))&gt;0</formula>
    </cfRule>
  </conditionalFormatting>
  <conditionalFormatting sqref="AB615:AF615">
    <cfRule type="notContainsBlanks" dxfId="2047" priority="2105">
      <formula>LEN(TRIM(AB615))&gt;0</formula>
    </cfRule>
    <cfRule type="notContainsBlanks" dxfId="2046" priority="2106">
      <formula>LEN(TRIM(AB615))&gt;0</formula>
    </cfRule>
  </conditionalFormatting>
  <conditionalFormatting sqref="AB615:AF615">
    <cfRule type="notContainsBlanks" dxfId="2045" priority="2104">
      <formula>LEN(TRIM(AB615))&gt;0</formula>
    </cfRule>
  </conditionalFormatting>
  <conditionalFormatting sqref="AB615:AF615">
    <cfRule type="notContainsBlanks" dxfId="2044" priority="2103">
      <formula>LEN(TRIM(AB615))&gt;0</formula>
    </cfRule>
  </conditionalFormatting>
  <conditionalFormatting sqref="AB615:AF615">
    <cfRule type="notContainsBlanks" dxfId="2043" priority="2102">
      <formula>LEN(TRIM(AB615))&gt;0</formula>
    </cfRule>
  </conditionalFormatting>
  <conditionalFormatting sqref="AB615:AF615">
    <cfRule type="notContainsBlanks" dxfId="2042" priority="2101">
      <formula>LEN(TRIM(AB615))&gt;0</formula>
    </cfRule>
  </conditionalFormatting>
  <conditionalFormatting sqref="AB615:AF615">
    <cfRule type="notContainsBlanks" dxfId="2041" priority="2100">
      <formula>LEN(TRIM(AB615))&gt;0</formula>
    </cfRule>
  </conditionalFormatting>
  <conditionalFormatting sqref="AB615:AF615">
    <cfRule type="notContainsBlanks" dxfId="2040" priority="2099">
      <formula>LEN(TRIM(AB615))&gt;0</formula>
    </cfRule>
  </conditionalFormatting>
  <conditionalFormatting sqref="AB615:AF615">
    <cfRule type="notContainsBlanks" dxfId="2039" priority="2098">
      <formula>LEN(TRIM(AB615))&gt;0</formula>
    </cfRule>
  </conditionalFormatting>
  <conditionalFormatting sqref="AB615:AF615">
    <cfRule type="notContainsBlanks" dxfId="2038" priority="2097">
      <formula>LEN(TRIM(AB615))&gt;0</formula>
    </cfRule>
  </conditionalFormatting>
  <conditionalFormatting sqref="AB615:AF615">
    <cfRule type="notContainsBlanks" dxfId="2037" priority="2096">
      <formula>LEN(TRIM(AB615))&gt;0</formula>
    </cfRule>
  </conditionalFormatting>
  <conditionalFormatting sqref="AB615:AF615">
    <cfRule type="notContainsBlanks" priority="2095">
      <formula>LEN(TRIM(AB615))&gt;0</formula>
    </cfRule>
  </conditionalFormatting>
  <conditionalFormatting sqref="AB615:AF615">
    <cfRule type="notContainsBlanks" dxfId="2036" priority="2094">
      <formula>LEN(TRIM(AB615))&gt;0</formula>
    </cfRule>
  </conditionalFormatting>
  <conditionalFormatting sqref="AB615:AF615">
    <cfRule type="notContainsBlanks" dxfId="2035" priority="2093">
      <formula>LEN(TRIM(AB615))&gt;0</formula>
    </cfRule>
  </conditionalFormatting>
  <conditionalFormatting sqref="AB615:AF615">
    <cfRule type="notContainsBlanks" dxfId="2034" priority="2092">
      <formula>LEN(TRIM(AB615))&gt;0</formula>
    </cfRule>
  </conditionalFormatting>
  <conditionalFormatting sqref="AB615:AF615">
    <cfRule type="notContainsBlanks" dxfId="2033" priority="2091">
      <formula>LEN(TRIM(AB615))&gt;0</formula>
    </cfRule>
  </conditionalFormatting>
  <conditionalFormatting sqref="AB615:AF615">
    <cfRule type="notContainsBlanks" dxfId="2032" priority="2090">
      <formula>LEN(TRIM(AB615))&gt;0</formula>
    </cfRule>
  </conditionalFormatting>
  <conditionalFormatting sqref="AB628:AF628">
    <cfRule type="notContainsBlanks" dxfId="2031" priority="2089">
      <formula>LEN(TRIM(AB628))&gt;0</formula>
    </cfRule>
  </conditionalFormatting>
  <conditionalFormatting sqref="AB628:AF628">
    <cfRule type="notContainsBlanks" dxfId="2030" priority="2088">
      <formula>LEN(TRIM(AB628))&gt;0</formula>
    </cfRule>
  </conditionalFormatting>
  <conditionalFormatting sqref="AB628:AF628">
    <cfRule type="notContainsBlanks" dxfId="2029" priority="2087">
      <formula>LEN(TRIM(AB628))&gt;0</formula>
    </cfRule>
  </conditionalFormatting>
  <conditionalFormatting sqref="AB628:AF628">
    <cfRule type="notContainsBlanks" dxfId="2028" priority="2086">
      <formula>LEN(TRIM(AB628))&gt;0</formula>
    </cfRule>
  </conditionalFormatting>
  <conditionalFormatting sqref="AB628:AF628">
    <cfRule type="notContainsBlanks" dxfId="2027" priority="2085">
      <formula>LEN(TRIM(AB628))&gt;0</formula>
    </cfRule>
  </conditionalFormatting>
  <conditionalFormatting sqref="AB628:AF628">
    <cfRule type="notContainsBlanks" dxfId="2026" priority="2084">
      <formula>LEN(TRIM(AB628))&gt;0</formula>
    </cfRule>
  </conditionalFormatting>
  <conditionalFormatting sqref="AB628:AF628">
    <cfRule type="notContainsBlanks" dxfId="2025" priority="2083">
      <formula>LEN(TRIM(AB628))&gt;0</formula>
    </cfRule>
  </conditionalFormatting>
  <conditionalFormatting sqref="AB628:AF628">
    <cfRule type="notContainsBlanks" dxfId="2024" priority="2082">
      <formula>LEN(TRIM(AB628))&gt;0</formula>
    </cfRule>
  </conditionalFormatting>
  <conditionalFormatting sqref="AB628:AF628">
    <cfRule type="notContainsBlanks" dxfId="2023" priority="2081">
      <formula>LEN(TRIM(AB628))&gt;0</formula>
    </cfRule>
  </conditionalFormatting>
  <conditionalFormatting sqref="AB628:AF628">
    <cfRule type="notContainsBlanks" dxfId="2022" priority="2079">
      <formula>LEN(TRIM(AB628))&gt;0</formula>
    </cfRule>
    <cfRule type="notContainsBlanks" dxfId="2021" priority="2080">
      <formula>LEN(TRIM(AB628))&gt;0</formula>
    </cfRule>
  </conditionalFormatting>
  <conditionalFormatting sqref="AB628:AF628">
    <cfRule type="notContainsBlanks" dxfId="2020" priority="2078">
      <formula>LEN(TRIM(AB628))&gt;0</formula>
    </cfRule>
  </conditionalFormatting>
  <conditionalFormatting sqref="AB628:AF628">
    <cfRule type="notContainsBlanks" dxfId="2019" priority="2077">
      <formula>LEN(TRIM(AB628))&gt;0</formula>
    </cfRule>
  </conditionalFormatting>
  <conditionalFormatting sqref="AB628:AF628">
    <cfRule type="notContainsBlanks" dxfId="2018" priority="2076">
      <formula>LEN(TRIM(AB628))&gt;0</formula>
    </cfRule>
  </conditionalFormatting>
  <conditionalFormatting sqref="AB628:AF628">
    <cfRule type="notContainsBlanks" dxfId="2017" priority="2075">
      <formula>LEN(TRIM(AB628))&gt;0</formula>
    </cfRule>
  </conditionalFormatting>
  <conditionalFormatting sqref="AB628:AF628">
    <cfRule type="notContainsBlanks" dxfId="2016" priority="2074">
      <formula>LEN(TRIM(AB628))&gt;0</formula>
    </cfRule>
  </conditionalFormatting>
  <conditionalFormatting sqref="AB628:AF628">
    <cfRule type="notContainsBlanks" dxfId="2015" priority="2073">
      <formula>LEN(TRIM(AB628))&gt;0</formula>
    </cfRule>
  </conditionalFormatting>
  <conditionalFormatting sqref="AB628:AF628">
    <cfRule type="notContainsBlanks" dxfId="2014" priority="2072">
      <formula>LEN(TRIM(AB628))&gt;0</formula>
    </cfRule>
  </conditionalFormatting>
  <conditionalFormatting sqref="AB628:AF628">
    <cfRule type="notContainsBlanks" dxfId="2013" priority="2071">
      <formula>LEN(TRIM(AB628))&gt;0</formula>
    </cfRule>
  </conditionalFormatting>
  <conditionalFormatting sqref="AB628:AF628">
    <cfRule type="notContainsBlanks" dxfId="2012" priority="2070">
      <formula>LEN(TRIM(AB628))&gt;0</formula>
    </cfRule>
  </conditionalFormatting>
  <conditionalFormatting sqref="AB628:AF628">
    <cfRule type="notContainsBlanks" priority="2069">
      <formula>LEN(TRIM(AB628))&gt;0</formula>
    </cfRule>
  </conditionalFormatting>
  <conditionalFormatting sqref="AB628:AF628">
    <cfRule type="notContainsBlanks" dxfId="2011" priority="2068">
      <formula>LEN(TRIM(AB628))&gt;0</formula>
    </cfRule>
  </conditionalFormatting>
  <conditionalFormatting sqref="AB628:AF628">
    <cfRule type="notContainsBlanks" dxfId="2010" priority="2067">
      <formula>LEN(TRIM(AB628))&gt;0</formula>
    </cfRule>
  </conditionalFormatting>
  <conditionalFormatting sqref="AB628:AF628">
    <cfRule type="notContainsBlanks" dxfId="2009" priority="2066">
      <formula>LEN(TRIM(AB628))&gt;0</formula>
    </cfRule>
  </conditionalFormatting>
  <conditionalFormatting sqref="AB628:AF628">
    <cfRule type="notContainsBlanks" dxfId="2008" priority="2065">
      <formula>LEN(TRIM(AB628))&gt;0</formula>
    </cfRule>
  </conditionalFormatting>
  <conditionalFormatting sqref="AB628:AF628">
    <cfRule type="notContainsBlanks" dxfId="2007" priority="2064">
      <formula>LEN(TRIM(AB628))&gt;0</formula>
    </cfRule>
  </conditionalFormatting>
  <conditionalFormatting sqref="AB641:AF641">
    <cfRule type="notContainsBlanks" dxfId="2006" priority="2063">
      <formula>LEN(TRIM(AB641))&gt;0</formula>
    </cfRule>
  </conditionalFormatting>
  <conditionalFormatting sqref="AB641:AF641">
    <cfRule type="notContainsBlanks" dxfId="2005" priority="2062">
      <formula>LEN(TRIM(AB641))&gt;0</formula>
    </cfRule>
  </conditionalFormatting>
  <conditionalFormatting sqref="AB641:AF641">
    <cfRule type="notContainsBlanks" dxfId="2004" priority="2061">
      <formula>LEN(TRIM(AB641))&gt;0</formula>
    </cfRule>
  </conditionalFormatting>
  <conditionalFormatting sqref="AB641:AF641">
    <cfRule type="notContainsBlanks" dxfId="2003" priority="2060">
      <formula>LEN(TRIM(AB641))&gt;0</formula>
    </cfRule>
  </conditionalFormatting>
  <conditionalFormatting sqref="AB641:AF641">
    <cfRule type="notContainsBlanks" dxfId="2002" priority="2059">
      <formula>LEN(TRIM(AB641))&gt;0</formula>
    </cfRule>
  </conditionalFormatting>
  <conditionalFormatting sqref="AB641:AF641">
    <cfRule type="notContainsBlanks" dxfId="2001" priority="2058">
      <formula>LEN(TRIM(AB641))&gt;0</formula>
    </cfRule>
  </conditionalFormatting>
  <conditionalFormatting sqref="AB641:AF641">
    <cfRule type="notContainsBlanks" dxfId="2000" priority="2057">
      <formula>LEN(TRIM(AB641))&gt;0</formula>
    </cfRule>
  </conditionalFormatting>
  <conditionalFormatting sqref="AB641:AF641">
    <cfRule type="notContainsBlanks" dxfId="1999" priority="2056">
      <formula>LEN(TRIM(AB641))&gt;0</formula>
    </cfRule>
  </conditionalFormatting>
  <conditionalFormatting sqref="AB641:AF641">
    <cfRule type="notContainsBlanks" dxfId="1998" priority="2055">
      <formula>LEN(TRIM(AB641))&gt;0</formula>
    </cfRule>
  </conditionalFormatting>
  <conditionalFormatting sqref="AB641:AF641">
    <cfRule type="notContainsBlanks" dxfId="1997" priority="2053">
      <formula>LEN(TRIM(AB641))&gt;0</formula>
    </cfRule>
    <cfRule type="notContainsBlanks" dxfId="1996" priority="2054">
      <formula>LEN(TRIM(AB641))&gt;0</formula>
    </cfRule>
  </conditionalFormatting>
  <conditionalFormatting sqref="AB641:AF641">
    <cfRule type="notContainsBlanks" dxfId="1995" priority="2052">
      <formula>LEN(TRIM(AB641))&gt;0</formula>
    </cfRule>
  </conditionalFormatting>
  <conditionalFormatting sqref="AB641:AF641">
    <cfRule type="notContainsBlanks" dxfId="1994" priority="2051">
      <formula>LEN(TRIM(AB641))&gt;0</formula>
    </cfRule>
  </conditionalFormatting>
  <conditionalFormatting sqref="AB641:AF641">
    <cfRule type="notContainsBlanks" dxfId="1993" priority="2050">
      <formula>LEN(TRIM(AB641))&gt;0</formula>
    </cfRule>
  </conditionalFormatting>
  <conditionalFormatting sqref="AB641:AF641">
    <cfRule type="notContainsBlanks" dxfId="1992" priority="2049">
      <formula>LEN(TRIM(AB641))&gt;0</formula>
    </cfRule>
  </conditionalFormatting>
  <conditionalFormatting sqref="AB641:AF641">
    <cfRule type="notContainsBlanks" dxfId="1991" priority="2048">
      <formula>LEN(TRIM(AB641))&gt;0</formula>
    </cfRule>
  </conditionalFormatting>
  <conditionalFormatting sqref="AB641:AF641">
    <cfRule type="notContainsBlanks" dxfId="1990" priority="2047">
      <formula>LEN(TRIM(AB641))&gt;0</formula>
    </cfRule>
  </conditionalFormatting>
  <conditionalFormatting sqref="AB641:AF641">
    <cfRule type="notContainsBlanks" dxfId="1989" priority="2046">
      <formula>LEN(TRIM(AB641))&gt;0</formula>
    </cfRule>
  </conditionalFormatting>
  <conditionalFormatting sqref="AB641:AF641">
    <cfRule type="notContainsBlanks" dxfId="1988" priority="2045">
      <formula>LEN(TRIM(AB641))&gt;0</formula>
    </cfRule>
  </conditionalFormatting>
  <conditionalFormatting sqref="AB641:AF641">
    <cfRule type="notContainsBlanks" dxfId="1987" priority="2044">
      <formula>LEN(TRIM(AB641))&gt;0</formula>
    </cfRule>
  </conditionalFormatting>
  <conditionalFormatting sqref="AB641:AF641">
    <cfRule type="notContainsBlanks" priority="2043">
      <formula>LEN(TRIM(AB641))&gt;0</formula>
    </cfRule>
  </conditionalFormatting>
  <conditionalFormatting sqref="AB641:AF641">
    <cfRule type="notContainsBlanks" dxfId="1986" priority="2042">
      <formula>LEN(TRIM(AB641))&gt;0</formula>
    </cfRule>
  </conditionalFormatting>
  <conditionalFormatting sqref="AB641:AF641">
    <cfRule type="notContainsBlanks" dxfId="1985" priority="2041">
      <formula>LEN(TRIM(AB641))&gt;0</formula>
    </cfRule>
  </conditionalFormatting>
  <conditionalFormatting sqref="AB641:AF641">
    <cfRule type="notContainsBlanks" dxfId="1984" priority="2040">
      <formula>LEN(TRIM(AB641))&gt;0</formula>
    </cfRule>
  </conditionalFormatting>
  <conditionalFormatting sqref="AB641:AF641">
    <cfRule type="notContainsBlanks" dxfId="1983" priority="2039">
      <formula>LEN(TRIM(AB641))&gt;0</formula>
    </cfRule>
  </conditionalFormatting>
  <conditionalFormatting sqref="AB641:AF641">
    <cfRule type="notContainsBlanks" dxfId="1982" priority="2038">
      <formula>LEN(TRIM(AB641))&gt;0</formula>
    </cfRule>
  </conditionalFormatting>
  <conditionalFormatting sqref="AB654:AF654">
    <cfRule type="notContainsBlanks" dxfId="1981" priority="2037">
      <formula>LEN(TRIM(AB654))&gt;0</formula>
    </cfRule>
  </conditionalFormatting>
  <conditionalFormatting sqref="AB654:AF654">
    <cfRule type="notContainsBlanks" dxfId="1980" priority="2036">
      <formula>LEN(TRIM(AB654))&gt;0</formula>
    </cfRule>
  </conditionalFormatting>
  <conditionalFormatting sqref="AB654:AF654">
    <cfRule type="notContainsBlanks" dxfId="1979" priority="2035">
      <formula>LEN(TRIM(AB654))&gt;0</formula>
    </cfRule>
  </conditionalFormatting>
  <conditionalFormatting sqref="AB654:AF654">
    <cfRule type="notContainsBlanks" dxfId="1978" priority="2034">
      <formula>LEN(TRIM(AB654))&gt;0</formula>
    </cfRule>
  </conditionalFormatting>
  <conditionalFormatting sqref="AB654:AF654">
    <cfRule type="notContainsBlanks" dxfId="1977" priority="2033">
      <formula>LEN(TRIM(AB654))&gt;0</formula>
    </cfRule>
  </conditionalFormatting>
  <conditionalFormatting sqref="AB654:AF654">
    <cfRule type="notContainsBlanks" dxfId="1976" priority="2032">
      <formula>LEN(TRIM(AB654))&gt;0</formula>
    </cfRule>
  </conditionalFormatting>
  <conditionalFormatting sqref="AB654:AF654">
    <cfRule type="notContainsBlanks" dxfId="1975" priority="2031">
      <formula>LEN(TRIM(AB654))&gt;0</formula>
    </cfRule>
  </conditionalFormatting>
  <conditionalFormatting sqref="AB654:AF654">
    <cfRule type="notContainsBlanks" dxfId="1974" priority="2030">
      <formula>LEN(TRIM(AB654))&gt;0</formula>
    </cfRule>
  </conditionalFormatting>
  <conditionalFormatting sqref="AB654:AF654">
    <cfRule type="notContainsBlanks" dxfId="1973" priority="2029">
      <formula>LEN(TRIM(AB654))&gt;0</formula>
    </cfRule>
  </conditionalFormatting>
  <conditionalFormatting sqref="AB654:AF654">
    <cfRule type="notContainsBlanks" dxfId="1972" priority="2027">
      <formula>LEN(TRIM(AB654))&gt;0</formula>
    </cfRule>
    <cfRule type="notContainsBlanks" dxfId="1971" priority="2028">
      <formula>LEN(TRIM(AB654))&gt;0</formula>
    </cfRule>
  </conditionalFormatting>
  <conditionalFormatting sqref="AB654:AF654">
    <cfRule type="notContainsBlanks" dxfId="1970" priority="2026">
      <formula>LEN(TRIM(AB654))&gt;0</formula>
    </cfRule>
  </conditionalFormatting>
  <conditionalFormatting sqref="AB654:AF654">
    <cfRule type="notContainsBlanks" dxfId="1969" priority="2025">
      <formula>LEN(TRIM(AB654))&gt;0</formula>
    </cfRule>
  </conditionalFormatting>
  <conditionalFormatting sqref="AB654:AF654">
    <cfRule type="notContainsBlanks" dxfId="1968" priority="2024">
      <formula>LEN(TRIM(AB654))&gt;0</formula>
    </cfRule>
  </conditionalFormatting>
  <conditionalFormatting sqref="AB654:AF654">
    <cfRule type="notContainsBlanks" dxfId="1967" priority="2023">
      <formula>LEN(TRIM(AB654))&gt;0</formula>
    </cfRule>
  </conditionalFormatting>
  <conditionalFormatting sqref="AB654:AF654">
    <cfRule type="notContainsBlanks" dxfId="1966" priority="2022">
      <formula>LEN(TRIM(AB654))&gt;0</formula>
    </cfRule>
  </conditionalFormatting>
  <conditionalFormatting sqref="AB654:AF654">
    <cfRule type="notContainsBlanks" dxfId="1965" priority="2021">
      <formula>LEN(TRIM(AB654))&gt;0</formula>
    </cfRule>
  </conditionalFormatting>
  <conditionalFormatting sqref="AB654:AF654">
    <cfRule type="notContainsBlanks" dxfId="1964" priority="2020">
      <formula>LEN(TRIM(AB654))&gt;0</formula>
    </cfRule>
  </conditionalFormatting>
  <conditionalFormatting sqref="AB654:AF654">
    <cfRule type="notContainsBlanks" dxfId="1963" priority="2019">
      <formula>LEN(TRIM(AB654))&gt;0</formula>
    </cfRule>
  </conditionalFormatting>
  <conditionalFormatting sqref="AB654:AF654">
    <cfRule type="notContainsBlanks" dxfId="1962" priority="2018">
      <formula>LEN(TRIM(AB654))&gt;0</formula>
    </cfRule>
  </conditionalFormatting>
  <conditionalFormatting sqref="AB654:AF654">
    <cfRule type="notContainsBlanks" priority="2017">
      <formula>LEN(TRIM(AB654))&gt;0</formula>
    </cfRule>
  </conditionalFormatting>
  <conditionalFormatting sqref="AB654:AF654">
    <cfRule type="notContainsBlanks" dxfId="1961" priority="2016">
      <formula>LEN(TRIM(AB654))&gt;0</formula>
    </cfRule>
  </conditionalFormatting>
  <conditionalFormatting sqref="AB654:AF654">
    <cfRule type="notContainsBlanks" dxfId="1960" priority="2015">
      <formula>LEN(TRIM(AB654))&gt;0</formula>
    </cfRule>
  </conditionalFormatting>
  <conditionalFormatting sqref="AB654:AF654">
    <cfRule type="notContainsBlanks" dxfId="1959" priority="2014">
      <formula>LEN(TRIM(AB654))&gt;0</formula>
    </cfRule>
  </conditionalFormatting>
  <conditionalFormatting sqref="AB654:AF654">
    <cfRule type="notContainsBlanks" dxfId="1958" priority="2013">
      <formula>LEN(TRIM(AB654))&gt;0</formula>
    </cfRule>
  </conditionalFormatting>
  <conditionalFormatting sqref="AB654:AF654">
    <cfRule type="notContainsBlanks" dxfId="1957" priority="2012">
      <formula>LEN(TRIM(AB654))&gt;0</formula>
    </cfRule>
  </conditionalFormatting>
  <conditionalFormatting sqref="AB667:AF667">
    <cfRule type="notContainsBlanks" dxfId="1956" priority="2011">
      <formula>LEN(TRIM(AB667))&gt;0</formula>
    </cfRule>
  </conditionalFormatting>
  <conditionalFormatting sqref="AB667:AF667">
    <cfRule type="notContainsBlanks" dxfId="1955" priority="2010">
      <formula>LEN(TRIM(AB667))&gt;0</formula>
    </cfRule>
  </conditionalFormatting>
  <conditionalFormatting sqref="AB667:AF667">
    <cfRule type="notContainsBlanks" dxfId="1954" priority="2009">
      <formula>LEN(TRIM(AB667))&gt;0</formula>
    </cfRule>
  </conditionalFormatting>
  <conditionalFormatting sqref="AB667:AF667">
    <cfRule type="notContainsBlanks" dxfId="1953" priority="2008">
      <formula>LEN(TRIM(AB667))&gt;0</formula>
    </cfRule>
  </conditionalFormatting>
  <conditionalFormatting sqref="AB667:AF667">
    <cfRule type="notContainsBlanks" dxfId="1952" priority="2007">
      <formula>LEN(TRIM(AB667))&gt;0</formula>
    </cfRule>
  </conditionalFormatting>
  <conditionalFormatting sqref="AB667:AF667">
    <cfRule type="notContainsBlanks" dxfId="1951" priority="2006">
      <formula>LEN(TRIM(AB667))&gt;0</formula>
    </cfRule>
  </conditionalFormatting>
  <conditionalFormatting sqref="AB667:AF667">
    <cfRule type="notContainsBlanks" dxfId="1950" priority="2005">
      <formula>LEN(TRIM(AB667))&gt;0</formula>
    </cfRule>
  </conditionalFormatting>
  <conditionalFormatting sqref="AB667:AF667">
    <cfRule type="notContainsBlanks" dxfId="1949" priority="2004">
      <formula>LEN(TRIM(AB667))&gt;0</formula>
    </cfRule>
  </conditionalFormatting>
  <conditionalFormatting sqref="AB667:AF667">
    <cfRule type="notContainsBlanks" dxfId="1948" priority="2003">
      <formula>LEN(TRIM(AB667))&gt;0</formula>
    </cfRule>
  </conditionalFormatting>
  <conditionalFormatting sqref="AB667:AF667">
    <cfRule type="notContainsBlanks" dxfId="1947" priority="2001">
      <formula>LEN(TRIM(AB667))&gt;0</formula>
    </cfRule>
    <cfRule type="notContainsBlanks" dxfId="1946" priority="2002">
      <formula>LEN(TRIM(AB667))&gt;0</formula>
    </cfRule>
  </conditionalFormatting>
  <conditionalFormatting sqref="AB667:AF667">
    <cfRule type="notContainsBlanks" dxfId="1945" priority="2000">
      <formula>LEN(TRIM(AB667))&gt;0</formula>
    </cfRule>
  </conditionalFormatting>
  <conditionalFormatting sqref="AB667:AF667">
    <cfRule type="notContainsBlanks" dxfId="1944" priority="1999">
      <formula>LEN(TRIM(AB667))&gt;0</formula>
    </cfRule>
  </conditionalFormatting>
  <conditionalFormatting sqref="AB667:AF667">
    <cfRule type="notContainsBlanks" dxfId="1943" priority="1998">
      <formula>LEN(TRIM(AB667))&gt;0</formula>
    </cfRule>
  </conditionalFormatting>
  <conditionalFormatting sqref="AB667:AF667">
    <cfRule type="notContainsBlanks" dxfId="1942" priority="1997">
      <formula>LEN(TRIM(AB667))&gt;0</formula>
    </cfRule>
  </conditionalFormatting>
  <conditionalFormatting sqref="AB667:AF667">
    <cfRule type="notContainsBlanks" dxfId="1941" priority="1996">
      <formula>LEN(TRIM(AB667))&gt;0</formula>
    </cfRule>
  </conditionalFormatting>
  <conditionalFormatting sqref="AB667:AF667">
    <cfRule type="notContainsBlanks" dxfId="1940" priority="1995">
      <formula>LEN(TRIM(AB667))&gt;0</formula>
    </cfRule>
  </conditionalFormatting>
  <conditionalFormatting sqref="AB667:AF667">
    <cfRule type="notContainsBlanks" dxfId="1939" priority="1994">
      <formula>LEN(TRIM(AB667))&gt;0</formula>
    </cfRule>
  </conditionalFormatting>
  <conditionalFormatting sqref="AB667:AF667">
    <cfRule type="notContainsBlanks" dxfId="1938" priority="1993">
      <formula>LEN(TRIM(AB667))&gt;0</formula>
    </cfRule>
  </conditionalFormatting>
  <conditionalFormatting sqref="AB667:AF667">
    <cfRule type="notContainsBlanks" dxfId="1937" priority="1992">
      <formula>LEN(TRIM(AB667))&gt;0</formula>
    </cfRule>
  </conditionalFormatting>
  <conditionalFormatting sqref="AB667:AF667">
    <cfRule type="notContainsBlanks" priority="1991">
      <formula>LEN(TRIM(AB667))&gt;0</formula>
    </cfRule>
  </conditionalFormatting>
  <conditionalFormatting sqref="AB667:AF667">
    <cfRule type="notContainsBlanks" dxfId="1936" priority="1990">
      <formula>LEN(TRIM(AB667))&gt;0</formula>
    </cfRule>
  </conditionalFormatting>
  <conditionalFormatting sqref="AB667:AF667">
    <cfRule type="notContainsBlanks" dxfId="1935" priority="1989">
      <formula>LEN(TRIM(AB667))&gt;0</formula>
    </cfRule>
  </conditionalFormatting>
  <conditionalFormatting sqref="AB667:AF667">
    <cfRule type="notContainsBlanks" dxfId="1934" priority="1988">
      <formula>LEN(TRIM(AB667))&gt;0</formula>
    </cfRule>
  </conditionalFormatting>
  <conditionalFormatting sqref="AB667:AF667">
    <cfRule type="notContainsBlanks" dxfId="1933" priority="1987">
      <formula>LEN(TRIM(AB667))&gt;0</formula>
    </cfRule>
  </conditionalFormatting>
  <conditionalFormatting sqref="AB667:AF667">
    <cfRule type="notContainsBlanks" dxfId="1932" priority="1986">
      <formula>LEN(TRIM(AB667))&gt;0</formula>
    </cfRule>
  </conditionalFormatting>
  <conditionalFormatting sqref="AB680:AF680">
    <cfRule type="notContainsBlanks" dxfId="1931" priority="1985">
      <formula>LEN(TRIM(AB680))&gt;0</formula>
    </cfRule>
  </conditionalFormatting>
  <conditionalFormatting sqref="AB680:AF680">
    <cfRule type="notContainsBlanks" dxfId="1930" priority="1984">
      <formula>LEN(TRIM(AB680))&gt;0</formula>
    </cfRule>
  </conditionalFormatting>
  <conditionalFormatting sqref="AB680:AF680">
    <cfRule type="notContainsBlanks" dxfId="1929" priority="1983">
      <formula>LEN(TRIM(AB680))&gt;0</formula>
    </cfRule>
  </conditionalFormatting>
  <conditionalFormatting sqref="AB680:AF680">
    <cfRule type="notContainsBlanks" dxfId="1928" priority="1982">
      <formula>LEN(TRIM(AB680))&gt;0</formula>
    </cfRule>
  </conditionalFormatting>
  <conditionalFormatting sqref="AB680:AF680">
    <cfRule type="notContainsBlanks" dxfId="1927" priority="1981">
      <formula>LEN(TRIM(AB680))&gt;0</formula>
    </cfRule>
  </conditionalFormatting>
  <conditionalFormatting sqref="AB680:AF680">
    <cfRule type="notContainsBlanks" dxfId="1926" priority="1980">
      <formula>LEN(TRIM(AB680))&gt;0</formula>
    </cfRule>
  </conditionalFormatting>
  <conditionalFormatting sqref="AB680:AF680">
    <cfRule type="notContainsBlanks" dxfId="1925" priority="1979">
      <formula>LEN(TRIM(AB680))&gt;0</formula>
    </cfRule>
  </conditionalFormatting>
  <conditionalFormatting sqref="AB680:AF680">
    <cfRule type="notContainsBlanks" dxfId="1924" priority="1978">
      <formula>LEN(TRIM(AB680))&gt;0</formula>
    </cfRule>
  </conditionalFormatting>
  <conditionalFormatting sqref="AB680:AF680">
    <cfRule type="notContainsBlanks" dxfId="1923" priority="1977">
      <formula>LEN(TRIM(AB680))&gt;0</formula>
    </cfRule>
  </conditionalFormatting>
  <conditionalFormatting sqref="AB680:AF680">
    <cfRule type="notContainsBlanks" dxfId="1922" priority="1975">
      <formula>LEN(TRIM(AB680))&gt;0</formula>
    </cfRule>
    <cfRule type="notContainsBlanks" dxfId="1921" priority="1976">
      <formula>LEN(TRIM(AB680))&gt;0</formula>
    </cfRule>
  </conditionalFormatting>
  <conditionalFormatting sqref="AB680:AF680">
    <cfRule type="notContainsBlanks" dxfId="1920" priority="1974">
      <formula>LEN(TRIM(AB680))&gt;0</formula>
    </cfRule>
  </conditionalFormatting>
  <conditionalFormatting sqref="AB680:AF680">
    <cfRule type="notContainsBlanks" dxfId="1919" priority="1973">
      <formula>LEN(TRIM(AB680))&gt;0</formula>
    </cfRule>
  </conditionalFormatting>
  <conditionalFormatting sqref="AB680:AF680">
    <cfRule type="notContainsBlanks" dxfId="1918" priority="1972">
      <formula>LEN(TRIM(AB680))&gt;0</formula>
    </cfRule>
  </conditionalFormatting>
  <conditionalFormatting sqref="AB680:AF680">
    <cfRule type="notContainsBlanks" dxfId="1917" priority="1971">
      <formula>LEN(TRIM(AB680))&gt;0</formula>
    </cfRule>
  </conditionalFormatting>
  <conditionalFormatting sqref="AB680:AF680">
    <cfRule type="notContainsBlanks" dxfId="1916" priority="1970">
      <formula>LEN(TRIM(AB680))&gt;0</formula>
    </cfRule>
  </conditionalFormatting>
  <conditionalFormatting sqref="AB680:AF680">
    <cfRule type="notContainsBlanks" dxfId="1915" priority="1969">
      <formula>LEN(TRIM(AB680))&gt;0</formula>
    </cfRule>
  </conditionalFormatting>
  <conditionalFormatting sqref="AB680:AF680">
    <cfRule type="notContainsBlanks" dxfId="1914" priority="1968">
      <formula>LEN(TRIM(AB680))&gt;0</formula>
    </cfRule>
  </conditionalFormatting>
  <conditionalFormatting sqref="AB680:AF680">
    <cfRule type="notContainsBlanks" dxfId="1913" priority="1967">
      <formula>LEN(TRIM(AB680))&gt;0</formula>
    </cfRule>
  </conditionalFormatting>
  <conditionalFormatting sqref="AB680:AF680">
    <cfRule type="notContainsBlanks" dxfId="1912" priority="1966">
      <formula>LEN(TRIM(AB680))&gt;0</formula>
    </cfRule>
  </conditionalFormatting>
  <conditionalFormatting sqref="AB680:AF680">
    <cfRule type="notContainsBlanks" priority="1965">
      <formula>LEN(TRIM(AB680))&gt;0</formula>
    </cfRule>
  </conditionalFormatting>
  <conditionalFormatting sqref="AB680:AF680">
    <cfRule type="notContainsBlanks" dxfId="1911" priority="1964">
      <formula>LEN(TRIM(AB680))&gt;0</formula>
    </cfRule>
  </conditionalFormatting>
  <conditionalFormatting sqref="AB680:AF680">
    <cfRule type="notContainsBlanks" dxfId="1910" priority="1963">
      <formula>LEN(TRIM(AB680))&gt;0</formula>
    </cfRule>
  </conditionalFormatting>
  <conditionalFormatting sqref="AB680:AF680">
    <cfRule type="notContainsBlanks" dxfId="1909" priority="1962">
      <formula>LEN(TRIM(AB680))&gt;0</formula>
    </cfRule>
  </conditionalFormatting>
  <conditionalFormatting sqref="AB680:AF680">
    <cfRule type="notContainsBlanks" dxfId="1908" priority="1961">
      <formula>LEN(TRIM(AB680))&gt;0</formula>
    </cfRule>
  </conditionalFormatting>
  <conditionalFormatting sqref="AB680:AF680">
    <cfRule type="notContainsBlanks" dxfId="1907" priority="1960">
      <formula>LEN(TRIM(AB680))&gt;0</formula>
    </cfRule>
  </conditionalFormatting>
  <conditionalFormatting sqref="AB706:AF706">
    <cfRule type="notContainsBlanks" dxfId="1906" priority="1959">
      <formula>LEN(TRIM(AB706))&gt;0</formula>
    </cfRule>
  </conditionalFormatting>
  <conditionalFormatting sqref="AB706:AF706">
    <cfRule type="notContainsBlanks" dxfId="1905" priority="1958">
      <formula>LEN(TRIM(AB706))&gt;0</formula>
    </cfRule>
  </conditionalFormatting>
  <conditionalFormatting sqref="AB706:AF706">
    <cfRule type="notContainsBlanks" dxfId="1904" priority="1957">
      <formula>LEN(TRIM(AB706))&gt;0</formula>
    </cfRule>
  </conditionalFormatting>
  <conditionalFormatting sqref="AB706:AF706">
    <cfRule type="notContainsBlanks" dxfId="1903" priority="1956">
      <formula>LEN(TRIM(AB706))&gt;0</formula>
    </cfRule>
  </conditionalFormatting>
  <conditionalFormatting sqref="AB706:AF706">
    <cfRule type="notContainsBlanks" dxfId="1902" priority="1955">
      <formula>LEN(TRIM(AB706))&gt;0</formula>
    </cfRule>
  </conditionalFormatting>
  <conditionalFormatting sqref="AB706:AF706">
    <cfRule type="notContainsBlanks" dxfId="1901" priority="1954">
      <formula>LEN(TRIM(AB706))&gt;0</formula>
    </cfRule>
  </conditionalFormatting>
  <conditionalFormatting sqref="AB706:AF706">
    <cfRule type="notContainsBlanks" dxfId="1900" priority="1953">
      <formula>LEN(TRIM(AB706))&gt;0</formula>
    </cfRule>
  </conditionalFormatting>
  <conditionalFormatting sqref="AB706:AF706">
    <cfRule type="notContainsBlanks" dxfId="1899" priority="1952">
      <formula>LEN(TRIM(AB706))&gt;0</formula>
    </cfRule>
  </conditionalFormatting>
  <conditionalFormatting sqref="AB706:AF706">
    <cfRule type="notContainsBlanks" dxfId="1898" priority="1951">
      <formula>LEN(TRIM(AB706))&gt;0</formula>
    </cfRule>
  </conditionalFormatting>
  <conditionalFormatting sqref="AB706:AF706">
    <cfRule type="notContainsBlanks" dxfId="1897" priority="1949">
      <formula>LEN(TRIM(AB706))&gt;0</formula>
    </cfRule>
    <cfRule type="notContainsBlanks" dxfId="1896" priority="1950">
      <formula>LEN(TRIM(AB706))&gt;0</formula>
    </cfRule>
  </conditionalFormatting>
  <conditionalFormatting sqref="AB706:AF706">
    <cfRule type="notContainsBlanks" dxfId="1895" priority="1948">
      <formula>LEN(TRIM(AB706))&gt;0</formula>
    </cfRule>
  </conditionalFormatting>
  <conditionalFormatting sqref="AB706:AF706">
    <cfRule type="notContainsBlanks" dxfId="1894" priority="1947">
      <formula>LEN(TRIM(AB706))&gt;0</formula>
    </cfRule>
  </conditionalFormatting>
  <conditionalFormatting sqref="AB706:AF706">
    <cfRule type="notContainsBlanks" dxfId="1893" priority="1946">
      <formula>LEN(TRIM(AB706))&gt;0</formula>
    </cfRule>
  </conditionalFormatting>
  <conditionalFormatting sqref="AB706:AF706">
    <cfRule type="notContainsBlanks" dxfId="1892" priority="1945">
      <formula>LEN(TRIM(AB706))&gt;0</formula>
    </cfRule>
  </conditionalFormatting>
  <conditionalFormatting sqref="AB706:AF706">
    <cfRule type="notContainsBlanks" dxfId="1891" priority="1944">
      <formula>LEN(TRIM(AB706))&gt;0</formula>
    </cfRule>
  </conditionalFormatting>
  <conditionalFormatting sqref="AB706:AF706">
    <cfRule type="notContainsBlanks" dxfId="1890" priority="1943">
      <formula>LEN(TRIM(AB706))&gt;0</formula>
    </cfRule>
  </conditionalFormatting>
  <conditionalFormatting sqref="AB706:AF706">
    <cfRule type="notContainsBlanks" dxfId="1889" priority="1942">
      <formula>LEN(TRIM(AB706))&gt;0</formula>
    </cfRule>
  </conditionalFormatting>
  <conditionalFormatting sqref="AB706:AF706">
    <cfRule type="notContainsBlanks" dxfId="1888" priority="1941">
      <formula>LEN(TRIM(AB706))&gt;0</formula>
    </cfRule>
  </conditionalFormatting>
  <conditionalFormatting sqref="AB706:AF706">
    <cfRule type="notContainsBlanks" dxfId="1887" priority="1940">
      <formula>LEN(TRIM(AB706))&gt;0</formula>
    </cfRule>
  </conditionalFormatting>
  <conditionalFormatting sqref="AB706:AF706">
    <cfRule type="notContainsBlanks" priority="1939">
      <formula>LEN(TRIM(AB706))&gt;0</formula>
    </cfRule>
  </conditionalFormatting>
  <conditionalFormatting sqref="AB706:AF706">
    <cfRule type="notContainsBlanks" dxfId="1886" priority="1938">
      <formula>LEN(TRIM(AB706))&gt;0</formula>
    </cfRule>
  </conditionalFormatting>
  <conditionalFormatting sqref="AB706:AF706">
    <cfRule type="notContainsBlanks" dxfId="1885" priority="1937">
      <formula>LEN(TRIM(AB706))&gt;0</formula>
    </cfRule>
  </conditionalFormatting>
  <conditionalFormatting sqref="AB706:AF706">
    <cfRule type="notContainsBlanks" dxfId="1884" priority="1936">
      <formula>LEN(TRIM(AB706))&gt;0</formula>
    </cfRule>
  </conditionalFormatting>
  <conditionalFormatting sqref="AB706:AF706">
    <cfRule type="notContainsBlanks" dxfId="1883" priority="1935">
      <formula>LEN(TRIM(AB706))&gt;0</formula>
    </cfRule>
  </conditionalFormatting>
  <conditionalFormatting sqref="AB706:AF706">
    <cfRule type="notContainsBlanks" dxfId="1882" priority="1934">
      <formula>LEN(TRIM(AB706))&gt;0</formula>
    </cfRule>
  </conditionalFormatting>
  <conditionalFormatting sqref="AB719:AF719">
    <cfRule type="notContainsBlanks" dxfId="1881" priority="1933">
      <formula>LEN(TRIM(AB719))&gt;0</formula>
    </cfRule>
  </conditionalFormatting>
  <conditionalFormatting sqref="AB719:AF719">
    <cfRule type="notContainsBlanks" dxfId="1880" priority="1932">
      <formula>LEN(TRIM(AB719))&gt;0</formula>
    </cfRule>
  </conditionalFormatting>
  <conditionalFormatting sqref="AB719:AF719">
    <cfRule type="notContainsBlanks" dxfId="1879" priority="1931">
      <formula>LEN(TRIM(AB719))&gt;0</formula>
    </cfRule>
  </conditionalFormatting>
  <conditionalFormatting sqref="AB719:AF719">
    <cfRule type="notContainsBlanks" dxfId="1878" priority="1930">
      <formula>LEN(TRIM(AB719))&gt;0</formula>
    </cfRule>
  </conditionalFormatting>
  <conditionalFormatting sqref="AB719:AF719">
    <cfRule type="notContainsBlanks" dxfId="1877" priority="1929">
      <formula>LEN(TRIM(AB719))&gt;0</formula>
    </cfRule>
  </conditionalFormatting>
  <conditionalFormatting sqref="AB719:AF719">
    <cfRule type="notContainsBlanks" dxfId="1876" priority="1928">
      <formula>LEN(TRIM(AB719))&gt;0</formula>
    </cfRule>
  </conditionalFormatting>
  <conditionalFormatting sqref="AB719:AF719">
    <cfRule type="notContainsBlanks" dxfId="1875" priority="1927">
      <formula>LEN(TRIM(AB719))&gt;0</formula>
    </cfRule>
  </conditionalFormatting>
  <conditionalFormatting sqref="AB719:AF719">
    <cfRule type="notContainsBlanks" dxfId="1874" priority="1926">
      <formula>LEN(TRIM(AB719))&gt;0</formula>
    </cfRule>
  </conditionalFormatting>
  <conditionalFormatting sqref="AB719:AF719">
    <cfRule type="notContainsBlanks" dxfId="1873" priority="1925">
      <formula>LEN(TRIM(AB719))&gt;0</formula>
    </cfRule>
  </conditionalFormatting>
  <conditionalFormatting sqref="AB719:AF719">
    <cfRule type="notContainsBlanks" dxfId="1872" priority="1923">
      <formula>LEN(TRIM(AB719))&gt;0</formula>
    </cfRule>
    <cfRule type="notContainsBlanks" dxfId="1871" priority="1924">
      <formula>LEN(TRIM(AB719))&gt;0</formula>
    </cfRule>
  </conditionalFormatting>
  <conditionalFormatting sqref="AB719:AF719">
    <cfRule type="notContainsBlanks" dxfId="1870" priority="1922">
      <formula>LEN(TRIM(AB719))&gt;0</formula>
    </cfRule>
  </conditionalFormatting>
  <conditionalFormatting sqref="AB719:AF719">
    <cfRule type="notContainsBlanks" dxfId="1869" priority="1921">
      <formula>LEN(TRIM(AB719))&gt;0</formula>
    </cfRule>
  </conditionalFormatting>
  <conditionalFormatting sqref="AB719:AF719">
    <cfRule type="notContainsBlanks" dxfId="1868" priority="1920">
      <formula>LEN(TRIM(AB719))&gt;0</formula>
    </cfRule>
  </conditionalFormatting>
  <conditionalFormatting sqref="AB719:AF719">
    <cfRule type="notContainsBlanks" dxfId="1867" priority="1919">
      <formula>LEN(TRIM(AB719))&gt;0</formula>
    </cfRule>
  </conditionalFormatting>
  <conditionalFormatting sqref="AB719:AF719">
    <cfRule type="notContainsBlanks" dxfId="1866" priority="1918">
      <formula>LEN(TRIM(AB719))&gt;0</formula>
    </cfRule>
  </conditionalFormatting>
  <conditionalFormatting sqref="AB719:AF719">
    <cfRule type="notContainsBlanks" dxfId="1865" priority="1917">
      <formula>LEN(TRIM(AB719))&gt;0</formula>
    </cfRule>
  </conditionalFormatting>
  <conditionalFormatting sqref="AB719:AF719">
    <cfRule type="notContainsBlanks" dxfId="1864" priority="1916">
      <formula>LEN(TRIM(AB719))&gt;0</formula>
    </cfRule>
  </conditionalFormatting>
  <conditionalFormatting sqref="AB719:AF719">
    <cfRule type="notContainsBlanks" dxfId="1863" priority="1915">
      <formula>LEN(TRIM(AB719))&gt;0</formula>
    </cfRule>
  </conditionalFormatting>
  <conditionalFormatting sqref="AB719:AF719">
    <cfRule type="notContainsBlanks" dxfId="1862" priority="1914">
      <formula>LEN(TRIM(AB719))&gt;0</formula>
    </cfRule>
  </conditionalFormatting>
  <conditionalFormatting sqref="AB719:AF719">
    <cfRule type="notContainsBlanks" priority="1913">
      <formula>LEN(TRIM(AB719))&gt;0</formula>
    </cfRule>
  </conditionalFormatting>
  <conditionalFormatting sqref="AB719:AF719">
    <cfRule type="notContainsBlanks" dxfId="1861" priority="1912">
      <formula>LEN(TRIM(AB719))&gt;0</formula>
    </cfRule>
  </conditionalFormatting>
  <conditionalFormatting sqref="AB719:AF719">
    <cfRule type="notContainsBlanks" dxfId="1860" priority="1911">
      <formula>LEN(TRIM(AB719))&gt;0</formula>
    </cfRule>
  </conditionalFormatting>
  <conditionalFormatting sqref="AB719:AF719">
    <cfRule type="notContainsBlanks" dxfId="1859" priority="1910">
      <formula>LEN(TRIM(AB719))&gt;0</formula>
    </cfRule>
  </conditionalFormatting>
  <conditionalFormatting sqref="AB719:AF719">
    <cfRule type="notContainsBlanks" dxfId="1858" priority="1909">
      <formula>LEN(TRIM(AB719))&gt;0</formula>
    </cfRule>
  </conditionalFormatting>
  <conditionalFormatting sqref="AB719:AF719">
    <cfRule type="notContainsBlanks" dxfId="1857" priority="1908">
      <formula>LEN(TRIM(AB719))&gt;0</formula>
    </cfRule>
  </conditionalFormatting>
  <conditionalFormatting sqref="AB732:AF732">
    <cfRule type="notContainsBlanks" dxfId="1856" priority="1907">
      <formula>LEN(TRIM(AB732))&gt;0</formula>
    </cfRule>
  </conditionalFormatting>
  <conditionalFormatting sqref="AB732:AF732">
    <cfRule type="notContainsBlanks" dxfId="1855" priority="1906">
      <formula>LEN(TRIM(AB732))&gt;0</formula>
    </cfRule>
  </conditionalFormatting>
  <conditionalFormatting sqref="AB732:AF732">
    <cfRule type="notContainsBlanks" dxfId="1854" priority="1905">
      <formula>LEN(TRIM(AB732))&gt;0</formula>
    </cfRule>
  </conditionalFormatting>
  <conditionalFormatting sqref="AB732:AF732">
    <cfRule type="notContainsBlanks" dxfId="1853" priority="1904">
      <formula>LEN(TRIM(AB732))&gt;0</formula>
    </cfRule>
  </conditionalFormatting>
  <conditionalFormatting sqref="AB732:AF732">
    <cfRule type="notContainsBlanks" dxfId="1852" priority="1903">
      <formula>LEN(TRIM(AB732))&gt;0</formula>
    </cfRule>
  </conditionalFormatting>
  <conditionalFormatting sqref="AB732:AF732">
    <cfRule type="notContainsBlanks" dxfId="1851" priority="1902">
      <formula>LEN(TRIM(AB732))&gt;0</formula>
    </cfRule>
  </conditionalFormatting>
  <conditionalFormatting sqref="AB732:AF732">
    <cfRule type="notContainsBlanks" dxfId="1850" priority="1901">
      <formula>LEN(TRIM(AB732))&gt;0</formula>
    </cfRule>
  </conditionalFormatting>
  <conditionalFormatting sqref="AB732:AF732">
    <cfRule type="notContainsBlanks" dxfId="1849" priority="1900">
      <formula>LEN(TRIM(AB732))&gt;0</formula>
    </cfRule>
  </conditionalFormatting>
  <conditionalFormatting sqref="AB732:AF732">
    <cfRule type="notContainsBlanks" dxfId="1848" priority="1899">
      <formula>LEN(TRIM(AB732))&gt;0</formula>
    </cfRule>
  </conditionalFormatting>
  <conditionalFormatting sqref="AB732:AF732">
    <cfRule type="notContainsBlanks" dxfId="1847" priority="1897">
      <formula>LEN(TRIM(AB732))&gt;0</formula>
    </cfRule>
    <cfRule type="notContainsBlanks" dxfId="1846" priority="1898">
      <formula>LEN(TRIM(AB732))&gt;0</formula>
    </cfRule>
  </conditionalFormatting>
  <conditionalFormatting sqref="AB732:AF732">
    <cfRule type="notContainsBlanks" dxfId="1845" priority="1896">
      <formula>LEN(TRIM(AB732))&gt;0</formula>
    </cfRule>
  </conditionalFormatting>
  <conditionalFormatting sqref="AB732:AF732">
    <cfRule type="notContainsBlanks" dxfId="1844" priority="1895">
      <formula>LEN(TRIM(AB732))&gt;0</formula>
    </cfRule>
  </conditionalFormatting>
  <conditionalFormatting sqref="AB732:AF732">
    <cfRule type="notContainsBlanks" dxfId="1843" priority="1894">
      <formula>LEN(TRIM(AB732))&gt;0</formula>
    </cfRule>
  </conditionalFormatting>
  <conditionalFormatting sqref="AB732:AF732">
    <cfRule type="notContainsBlanks" dxfId="1842" priority="1893">
      <formula>LEN(TRIM(AB732))&gt;0</formula>
    </cfRule>
  </conditionalFormatting>
  <conditionalFormatting sqref="AB732:AF732">
    <cfRule type="notContainsBlanks" dxfId="1841" priority="1892">
      <formula>LEN(TRIM(AB732))&gt;0</formula>
    </cfRule>
  </conditionalFormatting>
  <conditionalFormatting sqref="AB732:AF732">
    <cfRule type="notContainsBlanks" dxfId="1840" priority="1891">
      <formula>LEN(TRIM(AB732))&gt;0</formula>
    </cfRule>
  </conditionalFormatting>
  <conditionalFormatting sqref="AB732:AF732">
    <cfRule type="notContainsBlanks" dxfId="1839" priority="1890">
      <formula>LEN(TRIM(AB732))&gt;0</formula>
    </cfRule>
  </conditionalFormatting>
  <conditionalFormatting sqref="AB732:AF732">
    <cfRule type="notContainsBlanks" dxfId="1838" priority="1889">
      <formula>LEN(TRIM(AB732))&gt;0</formula>
    </cfRule>
  </conditionalFormatting>
  <conditionalFormatting sqref="AB732:AF732">
    <cfRule type="notContainsBlanks" dxfId="1837" priority="1888">
      <formula>LEN(TRIM(AB732))&gt;0</formula>
    </cfRule>
  </conditionalFormatting>
  <conditionalFormatting sqref="AB732:AF732">
    <cfRule type="notContainsBlanks" priority="1887">
      <formula>LEN(TRIM(AB732))&gt;0</formula>
    </cfRule>
  </conditionalFormatting>
  <conditionalFormatting sqref="AB732:AF732">
    <cfRule type="notContainsBlanks" dxfId="1836" priority="1886">
      <formula>LEN(TRIM(AB732))&gt;0</formula>
    </cfRule>
  </conditionalFormatting>
  <conditionalFormatting sqref="AB732:AF732">
    <cfRule type="notContainsBlanks" dxfId="1835" priority="1885">
      <formula>LEN(TRIM(AB732))&gt;0</formula>
    </cfRule>
  </conditionalFormatting>
  <conditionalFormatting sqref="AB732:AF732">
    <cfRule type="notContainsBlanks" dxfId="1834" priority="1884">
      <formula>LEN(TRIM(AB732))&gt;0</formula>
    </cfRule>
  </conditionalFormatting>
  <conditionalFormatting sqref="AB732:AF732">
    <cfRule type="notContainsBlanks" dxfId="1833" priority="1883">
      <formula>LEN(TRIM(AB732))&gt;0</formula>
    </cfRule>
  </conditionalFormatting>
  <conditionalFormatting sqref="AB732:AF732">
    <cfRule type="notContainsBlanks" dxfId="1832" priority="1882">
      <formula>LEN(TRIM(AB732))&gt;0</formula>
    </cfRule>
  </conditionalFormatting>
  <conditionalFormatting sqref="AB745:AF745">
    <cfRule type="notContainsBlanks" dxfId="1831" priority="1881">
      <formula>LEN(TRIM(AB745))&gt;0</formula>
    </cfRule>
  </conditionalFormatting>
  <conditionalFormatting sqref="AB745:AF745">
    <cfRule type="notContainsBlanks" dxfId="1830" priority="1880">
      <formula>LEN(TRIM(AB745))&gt;0</formula>
    </cfRule>
  </conditionalFormatting>
  <conditionalFormatting sqref="AB745:AF745">
    <cfRule type="notContainsBlanks" dxfId="1829" priority="1879">
      <formula>LEN(TRIM(AB745))&gt;0</formula>
    </cfRule>
  </conditionalFormatting>
  <conditionalFormatting sqref="AB745:AF745">
    <cfRule type="notContainsBlanks" dxfId="1828" priority="1878">
      <formula>LEN(TRIM(AB745))&gt;0</formula>
    </cfRule>
  </conditionalFormatting>
  <conditionalFormatting sqref="AB745:AF745">
    <cfRule type="notContainsBlanks" dxfId="1827" priority="1877">
      <formula>LEN(TRIM(AB745))&gt;0</formula>
    </cfRule>
  </conditionalFormatting>
  <conditionalFormatting sqref="AB745:AF745">
    <cfRule type="notContainsBlanks" dxfId="1826" priority="1876">
      <formula>LEN(TRIM(AB745))&gt;0</formula>
    </cfRule>
  </conditionalFormatting>
  <conditionalFormatting sqref="AB745:AF745">
    <cfRule type="notContainsBlanks" dxfId="1825" priority="1875">
      <formula>LEN(TRIM(AB745))&gt;0</formula>
    </cfRule>
  </conditionalFormatting>
  <conditionalFormatting sqref="AB745:AF745">
    <cfRule type="notContainsBlanks" dxfId="1824" priority="1874">
      <formula>LEN(TRIM(AB745))&gt;0</formula>
    </cfRule>
  </conditionalFormatting>
  <conditionalFormatting sqref="AB745:AF745">
    <cfRule type="notContainsBlanks" dxfId="1823" priority="1873">
      <formula>LEN(TRIM(AB745))&gt;0</formula>
    </cfRule>
  </conditionalFormatting>
  <conditionalFormatting sqref="AB745:AF745">
    <cfRule type="notContainsBlanks" dxfId="1822" priority="1871">
      <formula>LEN(TRIM(AB745))&gt;0</formula>
    </cfRule>
    <cfRule type="notContainsBlanks" dxfId="1821" priority="1872">
      <formula>LEN(TRIM(AB745))&gt;0</formula>
    </cfRule>
  </conditionalFormatting>
  <conditionalFormatting sqref="AB745:AF745">
    <cfRule type="notContainsBlanks" dxfId="1820" priority="1870">
      <formula>LEN(TRIM(AB745))&gt;0</formula>
    </cfRule>
  </conditionalFormatting>
  <conditionalFormatting sqref="AB745:AF745">
    <cfRule type="notContainsBlanks" dxfId="1819" priority="1869">
      <formula>LEN(TRIM(AB745))&gt;0</formula>
    </cfRule>
  </conditionalFormatting>
  <conditionalFormatting sqref="AB745:AF745">
    <cfRule type="notContainsBlanks" dxfId="1818" priority="1868">
      <formula>LEN(TRIM(AB745))&gt;0</formula>
    </cfRule>
  </conditionalFormatting>
  <conditionalFormatting sqref="AB745:AF745">
    <cfRule type="notContainsBlanks" dxfId="1817" priority="1867">
      <formula>LEN(TRIM(AB745))&gt;0</formula>
    </cfRule>
  </conditionalFormatting>
  <conditionalFormatting sqref="AB745:AF745">
    <cfRule type="notContainsBlanks" dxfId="1816" priority="1866">
      <formula>LEN(TRIM(AB745))&gt;0</formula>
    </cfRule>
  </conditionalFormatting>
  <conditionalFormatting sqref="AB745:AF745">
    <cfRule type="notContainsBlanks" dxfId="1815" priority="1865">
      <formula>LEN(TRIM(AB745))&gt;0</formula>
    </cfRule>
  </conditionalFormatting>
  <conditionalFormatting sqref="AB745:AF745">
    <cfRule type="notContainsBlanks" dxfId="1814" priority="1864">
      <formula>LEN(TRIM(AB745))&gt;0</formula>
    </cfRule>
  </conditionalFormatting>
  <conditionalFormatting sqref="AB745:AF745">
    <cfRule type="notContainsBlanks" dxfId="1813" priority="1863">
      <formula>LEN(TRIM(AB745))&gt;0</formula>
    </cfRule>
  </conditionalFormatting>
  <conditionalFormatting sqref="AB745:AF745">
    <cfRule type="notContainsBlanks" dxfId="1812" priority="1862">
      <formula>LEN(TRIM(AB745))&gt;0</formula>
    </cfRule>
  </conditionalFormatting>
  <conditionalFormatting sqref="AB745:AF745">
    <cfRule type="notContainsBlanks" priority="1861">
      <formula>LEN(TRIM(AB745))&gt;0</formula>
    </cfRule>
  </conditionalFormatting>
  <conditionalFormatting sqref="AB745:AF745">
    <cfRule type="notContainsBlanks" dxfId="1811" priority="1860">
      <formula>LEN(TRIM(AB745))&gt;0</formula>
    </cfRule>
  </conditionalFormatting>
  <conditionalFormatting sqref="AB745:AF745">
    <cfRule type="notContainsBlanks" dxfId="1810" priority="1859">
      <formula>LEN(TRIM(AB745))&gt;0</formula>
    </cfRule>
  </conditionalFormatting>
  <conditionalFormatting sqref="AB745:AF745">
    <cfRule type="notContainsBlanks" dxfId="1809" priority="1858">
      <formula>LEN(TRIM(AB745))&gt;0</formula>
    </cfRule>
  </conditionalFormatting>
  <conditionalFormatting sqref="AB745:AF745">
    <cfRule type="notContainsBlanks" dxfId="1808" priority="1857">
      <formula>LEN(TRIM(AB745))&gt;0</formula>
    </cfRule>
  </conditionalFormatting>
  <conditionalFormatting sqref="AB745:AF745">
    <cfRule type="notContainsBlanks" dxfId="1807" priority="1856">
      <formula>LEN(TRIM(AB745))&gt;0</formula>
    </cfRule>
  </conditionalFormatting>
  <conditionalFormatting sqref="AB758:AF758">
    <cfRule type="notContainsBlanks" dxfId="1806" priority="1855">
      <formula>LEN(TRIM(AB758))&gt;0</formula>
    </cfRule>
  </conditionalFormatting>
  <conditionalFormatting sqref="AB758:AF758">
    <cfRule type="notContainsBlanks" dxfId="1805" priority="1854">
      <formula>LEN(TRIM(AB758))&gt;0</formula>
    </cfRule>
  </conditionalFormatting>
  <conditionalFormatting sqref="AB758:AF758">
    <cfRule type="notContainsBlanks" dxfId="1804" priority="1853">
      <formula>LEN(TRIM(AB758))&gt;0</formula>
    </cfRule>
  </conditionalFormatting>
  <conditionalFormatting sqref="AB758:AF758">
    <cfRule type="notContainsBlanks" dxfId="1803" priority="1852">
      <formula>LEN(TRIM(AB758))&gt;0</formula>
    </cfRule>
  </conditionalFormatting>
  <conditionalFormatting sqref="AB758:AF758">
    <cfRule type="notContainsBlanks" dxfId="1802" priority="1851">
      <formula>LEN(TRIM(AB758))&gt;0</formula>
    </cfRule>
  </conditionalFormatting>
  <conditionalFormatting sqref="AB758:AF758">
    <cfRule type="notContainsBlanks" dxfId="1801" priority="1850">
      <formula>LEN(TRIM(AB758))&gt;0</formula>
    </cfRule>
  </conditionalFormatting>
  <conditionalFormatting sqref="AB758:AF758">
    <cfRule type="notContainsBlanks" dxfId="1800" priority="1849">
      <formula>LEN(TRIM(AB758))&gt;0</formula>
    </cfRule>
  </conditionalFormatting>
  <conditionalFormatting sqref="AB758:AF758">
    <cfRule type="notContainsBlanks" dxfId="1799" priority="1848">
      <formula>LEN(TRIM(AB758))&gt;0</formula>
    </cfRule>
  </conditionalFormatting>
  <conditionalFormatting sqref="AB758:AF758">
    <cfRule type="notContainsBlanks" dxfId="1798" priority="1847">
      <formula>LEN(TRIM(AB758))&gt;0</formula>
    </cfRule>
  </conditionalFormatting>
  <conditionalFormatting sqref="AB758:AF758">
    <cfRule type="notContainsBlanks" dxfId="1797" priority="1845">
      <formula>LEN(TRIM(AB758))&gt;0</formula>
    </cfRule>
    <cfRule type="notContainsBlanks" dxfId="1796" priority="1846">
      <formula>LEN(TRIM(AB758))&gt;0</formula>
    </cfRule>
  </conditionalFormatting>
  <conditionalFormatting sqref="AB758:AF758">
    <cfRule type="notContainsBlanks" dxfId="1795" priority="1844">
      <formula>LEN(TRIM(AB758))&gt;0</formula>
    </cfRule>
  </conditionalFormatting>
  <conditionalFormatting sqref="AB758:AF758">
    <cfRule type="notContainsBlanks" dxfId="1794" priority="1843">
      <formula>LEN(TRIM(AB758))&gt;0</formula>
    </cfRule>
  </conditionalFormatting>
  <conditionalFormatting sqref="AB758:AF758">
    <cfRule type="notContainsBlanks" dxfId="1793" priority="1842">
      <formula>LEN(TRIM(AB758))&gt;0</formula>
    </cfRule>
  </conditionalFormatting>
  <conditionalFormatting sqref="AB758:AF758">
    <cfRule type="notContainsBlanks" dxfId="1792" priority="1841">
      <formula>LEN(TRIM(AB758))&gt;0</formula>
    </cfRule>
  </conditionalFormatting>
  <conditionalFormatting sqref="AB758:AF758">
    <cfRule type="notContainsBlanks" dxfId="1791" priority="1840">
      <formula>LEN(TRIM(AB758))&gt;0</formula>
    </cfRule>
  </conditionalFormatting>
  <conditionalFormatting sqref="AB758:AF758">
    <cfRule type="notContainsBlanks" dxfId="1790" priority="1839">
      <formula>LEN(TRIM(AB758))&gt;0</formula>
    </cfRule>
  </conditionalFormatting>
  <conditionalFormatting sqref="AB758:AF758">
    <cfRule type="notContainsBlanks" dxfId="1789" priority="1838">
      <formula>LEN(TRIM(AB758))&gt;0</formula>
    </cfRule>
  </conditionalFormatting>
  <conditionalFormatting sqref="AB758:AF758">
    <cfRule type="notContainsBlanks" dxfId="1788" priority="1837">
      <formula>LEN(TRIM(AB758))&gt;0</formula>
    </cfRule>
  </conditionalFormatting>
  <conditionalFormatting sqref="AB758:AF758">
    <cfRule type="notContainsBlanks" dxfId="1787" priority="1836">
      <formula>LEN(TRIM(AB758))&gt;0</formula>
    </cfRule>
  </conditionalFormatting>
  <conditionalFormatting sqref="AB758:AF758">
    <cfRule type="notContainsBlanks" priority="1835">
      <formula>LEN(TRIM(AB758))&gt;0</formula>
    </cfRule>
  </conditionalFormatting>
  <conditionalFormatting sqref="AB758:AF758">
    <cfRule type="notContainsBlanks" dxfId="1786" priority="1834">
      <formula>LEN(TRIM(AB758))&gt;0</formula>
    </cfRule>
  </conditionalFormatting>
  <conditionalFormatting sqref="AB758:AF758">
    <cfRule type="notContainsBlanks" dxfId="1785" priority="1833">
      <formula>LEN(TRIM(AB758))&gt;0</formula>
    </cfRule>
  </conditionalFormatting>
  <conditionalFormatting sqref="AB758:AF758">
    <cfRule type="notContainsBlanks" dxfId="1784" priority="1832">
      <formula>LEN(TRIM(AB758))&gt;0</formula>
    </cfRule>
  </conditionalFormatting>
  <conditionalFormatting sqref="AB758:AF758">
    <cfRule type="notContainsBlanks" dxfId="1783" priority="1831">
      <formula>LEN(TRIM(AB758))&gt;0</formula>
    </cfRule>
  </conditionalFormatting>
  <conditionalFormatting sqref="AB758:AF758">
    <cfRule type="notContainsBlanks" dxfId="1782" priority="1830">
      <formula>LEN(TRIM(AB758))&gt;0</formula>
    </cfRule>
  </conditionalFormatting>
  <conditionalFormatting sqref="AB771:AF771">
    <cfRule type="notContainsBlanks" dxfId="1781" priority="1829">
      <formula>LEN(TRIM(AB771))&gt;0</formula>
    </cfRule>
  </conditionalFormatting>
  <conditionalFormatting sqref="AB771:AF771">
    <cfRule type="notContainsBlanks" dxfId="1780" priority="1828">
      <formula>LEN(TRIM(AB771))&gt;0</formula>
    </cfRule>
  </conditionalFormatting>
  <conditionalFormatting sqref="AB771:AF771">
    <cfRule type="notContainsBlanks" dxfId="1779" priority="1827">
      <formula>LEN(TRIM(AB771))&gt;0</formula>
    </cfRule>
  </conditionalFormatting>
  <conditionalFormatting sqref="AB771:AF771">
    <cfRule type="notContainsBlanks" dxfId="1778" priority="1826">
      <formula>LEN(TRIM(AB771))&gt;0</formula>
    </cfRule>
  </conditionalFormatting>
  <conditionalFormatting sqref="AB771:AF771">
    <cfRule type="notContainsBlanks" dxfId="1777" priority="1825">
      <formula>LEN(TRIM(AB771))&gt;0</formula>
    </cfRule>
  </conditionalFormatting>
  <conditionalFormatting sqref="AB771:AF771">
    <cfRule type="notContainsBlanks" dxfId="1776" priority="1824">
      <formula>LEN(TRIM(AB771))&gt;0</formula>
    </cfRule>
  </conditionalFormatting>
  <conditionalFormatting sqref="AB771:AF771">
    <cfRule type="notContainsBlanks" dxfId="1775" priority="1823">
      <formula>LEN(TRIM(AB771))&gt;0</formula>
    </cfRule>
  </conditionalFormatting>
  <conditionalFormatting sqref="AB771:AF771">
    <cfRule type="notContainsBlanks" dxfId="1774" priority="1822">
      <formula>LEN(TRIM(AB771))&gt;0</formula>
    </cfRule>
  </conditionalFormatting>
  <conditionalFormatting sqref="AB771:AF771">
    <cfRule type="notContainsBlanks" dxfId="1773" priority="1821">
      <formula>LEN(TRIM(AB771))&gt;0</formula>
    </cfRule>
  </conditionalFormatting>
  <conditionalFormatting sqref="AB771:AF771">
    <cfRule type="notContainsBlanks" dxfId="1772" priority="1819">
      <formula>LEN(TRIM(AB771))&gt;0</formula>
    </cfRule>
    <cfRule type="notContainsBlanks" dxfId="1771" priority="1820">
      <formula>LEN(TRIM(AB771))&gt;0</formula>
    </cfRule>
  </conditionalFormatting>
  <conditionalFormatting sqref="AB771:AF771">
    <cfRule type="notContainsBlanks" dxfId="1770" priority="1818">
      <formula>LEN(TRIM(AB771))&gt;0</formula>
    </cfRule>
  </conditionalFormatting>
  <conditionalFormatting sqref="AB771:AF771">
    <cfRule type="notContainsBlanks" dxfId="1769" priority="1817">
      <formula>LEN(TRIM(AB771))&gt;0</formula>
    </cfRule>
  </conditionalFormatting>
  <conditionalFormatting sqref="AB771:AF771">
    <cfRule type="notContainsBlanks" dxfId="1768" priority="1816">
      <formula>LEN(TRIM(AB771))&gt;0</formula>
    </cfRule>
  </conditionalFormatting>
  <conditionalFormatting sqref="AB771:AF771">
    <cfRule type="notContainsBlanks" dxfId="1767" priority="1815">
      <formula>LEN(TRIM(AB771))&gt;0</formula>
    </cfRule>
  </conditionalFormatting>
  <conditionalFormatting sqref="AB771:AF771">
    <cfRule type="notContainsBlanks" dxfId="1766" priority="1814">
      <formula>LEN(TRIM(AB771))&gt;0</formula>
    </cfRule>
  </conditionalFormatting>
  <conditionalFormatting sqref="AB771:AF771">
    <cfRule type="notContainsBlanks" dxfId="1765" priority="1813">
      <formula>LEN(TRIM(AB771))&gt;0</formula>
    </cfRule>
  </conditionalFormatting>
  <conditionalFormatting sqref="AB771:AF771">
    <cfRule type="notContainsBlanks" dxfId="1764" priority="1812">
      <formula>LEN(TRIM(AB771))&gt;0</formula>
    </cfRule>
  </conditionalFormatting>
  <conditionalFormatting sqref="AB771:AF771">
    <cfRule type="notContainsBlanks" dxfId="1763" priority="1811">
      <formula>LEN(TRIM(AB771))&gt;0</formula>
    </cfRule>
  </conditionalFormatting>
  <conditionalFormatting sqref="AB771:AF771">
    <cfRule type="notContainsBlanks" dxfId="1762" priority="1810">
      <formula>LEN(TRIM(AB771))&gt;0</formula>
    </cfRule>
  </conditionalFormatting>
  <conditionalFormatting sqref="AB771:AF771">
    <cfRule type="notContainsBlanks" priority="1809">
      <formula>LEN(TRIM(AB771))&gt;0</formula>
    </cfRule>
  </conditionalFormatting>
  <conditionalFormatting sqref="AB771:AF771">
    <cfRule type="notContainsBlanks" dxfId="1761" priority="1808">
      <formula>LEN(TRIM(AB771))&gt;0</formula>
    </cfRule>
  </conditionalFormatting>
  <conditionalFormatting sqref="AB771:AF771">
    <cfRule type="notContainsBlanks" dxfId="1760" priority="1807">
      <formula>LEN(TRIM(AB771))&gt;0</formula>
    </cfRule>
  </conditionalFormatting>
  <conditionalFormatting sqref="AB771:AF771">
    <cfRule type="notContainsBlanks" dxfId="1759" priority="1806">
      <formula>LEN(TRIM(AB771))&gt;0</formula>
    </cfRule>
  </conditionalFormatting>
  <conditionalFormatting sqref="AB771:AF771">
    <cfRule type="notContainsBlanks" dxfId="1758" priority="1805">
      <formula>LEN(TRIM(AB771))&gt;0</formula>
    </cfRule>
  </conditionalFormatting>
  <conditionalFormatting sqref="AB771:AF771">
    <cfRule type="notContainsBlanks" dxfId="1757" priority="1804">
      <formula>LEN(TRIM(AB771))&gt;0</formula>
    </cfRule>
  </conditionalFormatting>
  <conditionalFormatting sqref="AB784:AF784">
    <cfRule type="notContainsBlanks" dxfId="1756" priority="1803">
      <formula>LEN(TRIM(AB784))&gt;0</formula>
    </cfRule>
  </conditionalFormatting>
  <conditionalFormatting sqref="AB784:AF784">
    <cfRule type="notContainsBlanks" dxfId="1755" priority="1802">
      <formula>LEN(TRIM(AB784))&gt;0</formula>
    </cfRule>
  </conditionalFormatting>
  <conditionalFormatting sqref="AB784:AF784">
    <cfRule type="notContainsBlanks" dxfId="1754" priority="1801">
      <formula>LEN(TRIM(AB784))&gt;0</formula>
    </cfRule>
  </conditionalFormatting>
  <conditionalFormatting sqref="AB784:AF784">
    <cfRule type="notContainsBlanks" dxfId="1753" priority="1800">
      <formula>LEN(TRIM(AB784))&gt;0</formula>
    </cfRule>
  </conditionalFormatting>
  <conditionalFormatting sqref="AB784:AF784">
    <cfRule type="notContainsBlanks" dxfId="1752" priority="1799">
      <formula>LEN(TRIM(AB784))&gt;0</formula>
    </cfRule>
  </conditionalFormatting>
  <conditionalFormatting sqref="AB784:AF784">
    <cfRule type="notContainsBlanks" dxfId="1751" priority="1798">
      <formula>LEN(TRIM(AB784))&gt;0</formula>
    </cfRule>
  </conditionalFormatting>
  <conditionalFormatting sqref="AB784:AF784">
    <cfRule type="notContainsBlanks" dxfId="1750" priority="1797">
      <formula>LEN(TRIM(AB784))&gt;0</formula>
    </cfRule>
  </conditionalFormatting>
  <conditionalFormatting sqref="AB784:AF784">
    <cfRule type="notContainsBlanks" dxfId="1749" priority="1796">
      <formula>LEN(TRIM(AB784))&gt;0</formula>
    </cfRule>
  </conditionalFormatting>
  <conditionalFormatting sqref="AB784:AF784">
    <cfRule type="notContainsBlanks" dxfId="1748" priority="1795">
      <formula>LEN(TRIM(AB784))&gt;0</formula>
    </cfRule>
  </conditionalFormatting>
  <conditionalFormatting sqref="AB784:AF784">
    <cfRule type="notContainsBlanks" dxfId="1747" priority="1793">
      <formula>LEN(TRIM(AB784))&gt;0</formula>
    </cfRule>
    <cfRule type="notContainsBlanks" dxfId="1746" priority="1794">
      <formula>LEN(TRIM(AB784))&gt;0</formula>
    </cfRule>
  </conditionalFormatting>
  <conditionalFormatting sqref="AB784:AF784">
    <cfRule type="notContainsBlanks" dxfId="1745" priority="1792">
      <formula>LEN(TRIM(AB784))&gt;0</formula>
    </cfRule>
  </conditionalFormatting>
  <conditionalFormatting sqref="AB784:AF784">
    <cfRule type="notContainsBlanks" dxfId="1744" priority="1791">
      <formula>LEN(TRIM(AB784))&gt;0</formula>
    </cfRule>
  </conditionalFormatting>
  <conditionalFormatting sqref="AB784:AF784">
    <cfRule type="notContainsBlanks" dxfId="1743" priority="1790">
      <formula>LEN(TRIM(AB784))&gt;0</formula>
    </cfRule>
  </conditionalFormatting>
  <conditionalFormatting sqref="AB784:AF784">
    <cfRule type="notContainsBlanks" dxfId="1742" priority="1789">
      <formula>LEN(TRIM(AB784))&gt;0</formula>
    </cfRule>
  </conditionalFormatting>
  <conditionalFormatting sqref="AB784:AF784">
    <cfRule type="notContainsBlanks" dxfId="1741" priority="1788">
      <formula>LEN(TRIM(AB784))&gt;0</formula>
    </cfRule>
  </conditionalFormatting>
  <conditionalFormatting sqref="AB784:AF784">
    <cfRule type="notContainsBlanks" dxfId="1740" priority="1787">
      <formula>LEN(TRIM(AB784))&gt;0</formula>
    </cfRule>
  </conditionalFormatting>
  <conditionalFormatting sqref="AB784:AF784">
    <cfRule type="notContainsBlanks" dxfId="1739" priority="1786">
      <formula>LEN(TRIM(AB784))&gt;0</formula>
    </cfRule>
  </conditionalFormatting>
  <conditionalFormatting sqref="AB784:AF784">
    <cfRule type="notContainsBlanks" dxfId="1738" priority="1785">
      <formula>LEN(TRIM(AB784))&gt;0</formula>
    </cfRule>
  </conditionalFormatting>
  <conditionalFormatting sqref="AB784:AF784">
    <cfRule type="notContainsBlanks" dxfId="1737" priority="1784">
      <formula>LEN(TRIM(AB784))&gt;0</formula>
    </cfRule>
  </conditionalFormatting>
  <conditionalFormatting sqref="AB784:AF784">
    <cfRule type="notContainsBlanks" priority="1783">
      <formula>LEN(TRIM(AB784))&gt;0</formula>
    </cfRule>
  </conditionalFormatting>
  <conditionalFormatting sqref="AB784:AF784">
    <cfRule type="notContainsBlanks" dxfId="1736" priority="1782">
      <formula>LEN(TRIM(AB784))&gt;0</formula>
    </cfRule>
  </conditionalFormatting>
  <conditionalFormatting sqref="AB784:AF784">
    <cfRule type="notContainsBlanks" dxfId="1735" priority="1781">
      <formula>LEN(TRIM(AB784))&gt;0</formula>
    </cfRule>
  </conditionalFormatting>
  <conditionalFormatting sqref="AB784:AF784">
    <cfRule type="notContainsBlanks" dxfId="1734" priority="1780">
      <formula>LEN(TRIM(AB784))&gt;0</formula>
    </cfRule>
  </conditionalFormatting>
  <conditionalFormatting sqref="AB784:AF784">
    <cfRule type="notContainsBlanks" dxfId="1733" priority="1779">
      <formula>LEN(TRIM(AB784))&gt;0</formula>
    </cfRule>
  </conditionalFormatting>
  <conditionalFormatting sqref="AB784:AF784">
    <cfRule type="notContainsBlanks" dxfId="1732" priority="1778">
      <formula>LEN(TRIM(AB784))&gt;0</formula>
    </cfRule>
  </conditionalFormatting>
  <conditionalFormatting sqref="AB797:AF797">
    <cfRule type="notContainsBlanks" dxfId="1731" priority="1777">
      <formula>LEN(TRIM(AB797))&gt;0</formula>
    </cfRule>
  </conditionalFormatting>
  <conditionalFormatting sqref="AB797:AF797">
    <cfRule type="notContainsBlanks" dxfId="1730" priority="1776">
      <formula>LEN(TRIM(AB797))&gt;0</formula>
    </cfRule>
  </conditionalFormatting>
  <conditionalFormatting sqref="AB797:AF797">
    <cfRule type="notContainsBlanks" dxfId="1729" priority="1775">
      <formula>LEN(TRIM(AB797))&gt;0</formula>
    </cfRule>
  </conditionalFormatting>
  <conditionalFormatting sqref="AB797:AF797">
    <cfRule type="notContainsBlanks" dxfId="1728" priority="1774">
      <formula>LEN(TRIM(AB797))&gt;0</formula>
    </cfRule>
  </conditionalFormatting>
  <conditionalFormatting sqref="AB797:AF797">
    <cfRule type="notContainsBlanks" dxfId="1727" priority="1773">
      <formula>LEN(TRIM(AB797))&gt;0</formula>
    </cfRule>
  </conditionalFormatting>
  <conditionalFormatting sqref="AB797:AF797">
    <cfRule type="notContainsBlanks" dxfId="1726" priority="1772">
      <formula>LEN(TRIM(AB797))&gt;0</formula>
    </cfRule>
  </conditionalFormatting>
  <conditionalFormatting sqref="AB797:AF797">
    <cfRule type="notContainsBlanks" dxfId="1725" priority="1771">
      <formula>LEN(TRIM(AB797))&gt;0</formula>
    </cfRule>
  </conditionalFormatting>
  <conditionalFormatting sqref="AB797:AF797">
    <cfRule type="notContainsBlanks" dxfId="1724" priority="1770">
      <formula>LEN(TRIM(AB797))&gt;0</formula>
    </cfRule>
  </conditionalFormatting>
  <conditionalFormatting sqref="AB797:AF797">
    <cfRule type="notContainsBlanks" dxfId="1723" priority="1769">
      <formula>LEN(TRIM(AB797))&gt;0</formula>
    </cfRule>
  </conditionalFormatting>
  <conditionalFormatting sqref="AB797:AF797">
    <cfRule type="notContainsBlanks" dxfId="1722" priority="1767">
      <formula>LEN(TRIM(AB797))&gt;0</formula>
    </cfRule>
    <cfRule type="notContainsBlanks" dxfId="1721" priority="1768">
      <formula>LEN(TRIM(AB797))&gt;0</formula>
    </cfRule>
  </conditionalFormatting>
  <conditionalFormatting sqref="AB797:AF797">
    <cfRule type="notContainsBlanks" dxfId="1720" priority="1766">
      <formula>LEN(TRIM(AB797))&gt;0</formula>
    </cfRule>
  </conditionalFormatting>
  <conditionalFormatting sqref="AB797:AF797">
    <cfRule type="notContainsBlanks" dxfId="1719" priority="1765">
      <formula>LEN(TRIM(AB797))&gt;0</formula>
    </cfRule>
  </conditionalFormatting>
  <conditionalFormatting sqref="AB797:AF797">
    <cfRule type="notContainsBlanks" dxfId="1718" priority="1764">
      <formula>LEN(TRIM(AB797))&gt;0</formula>
    </cfRule>
  </conditionalFormatting>
  <conditionalFormatting sqref="AB797:AF797">
    <cfRule type="notContainsBlanks" dxfId="1717" priority="1763">
      <formula>LEN(TRIM(AB797))&gt;0</formula>
    </cfRule>
  </conditionalFormatting>
  <conditionalFormatting sqref="AB797:AF797">
    <cfRule type="notContainsBlanks" dxfId="1716" priority="1762">
      <formula>LEN(TRIM(AB797))&gt;0</formula>
    </cfRule>
  </conditionalFormatting>
  <conditionalFormatting sqref="AB797:AF797">
    <cfRule type="notContainsBlanks" dxfId="1715" priority="1761">
      <formula>LEN(TRIM(AB797))&gt;0</formula>
    </cfRule>
  </conditionalFormatting>
  <conditionalFormatting sqref="AB797:AF797">
    <cfRule type="notContainsBlanks" dxfId="1714" priority="1760">
      <formula>LEN(TRIM(AB797))&gt;0</formula>
    </cfRule>
  </conditionalFormatting>
  <conditionalFormatting sqref="AB797:AF797">
    <cfRule type="notContainsBlanks" dxfId="1713" priority="1759">
      <formula>LEN(TRIM(AB797))&gt;0</formula>
    </cfRule>
  </conditionalFormatting>
  <conditionalFormatting sqref="AB797:AF797">
    <cfRule type="notContainsBlanks" dxfId="1712" priority="1758">
      <formula>LEN(TRIM(AB797))&gt;0</formula>
    </cfRule>
  </conditionalFormatting>
  <conditionalFormatting sqref="AB797:AF797">
    <cfRule type="notContainsBlanks" priority="1757">
      <formula>LEN(TRIM(AB797))&gt;0</formula>
    </cfRule>
  </conditionalFormatting>
  <conditionalFormatting sqref="AB797:AF797">
    <cfRule type="notContainsBlanks" dxfId="1711" priority="1756">
      <formula>LEN(TRIM(AB797))&gt;0</formula>
    </cfRule>
  </conditionalFormatting>
  <conditionalFormatting sqref="AB797:AF797">
    <cfRule type="notContainsBlanks" dxfId="1710" priority="1755">
      <formula>LEN(TRIM(AB797))&gt;0</formula>
    </cfRule>
  </conditionalFormatting>
  <conditionalFormatting sqref="AB797:AF797">
    <cfRule type="notContainsBlanks" dxfId="1709" priority="1754">
      <formula>LEN(TRIM(AB797))&gt;0</formula>
    </cfRule>
  </conditionalFormatting>
  <conditionalFormatting sqref="AB797:AF797">
    <cfRule type="notContainsBlanks" dxfId="1708" priority="1753">
      <formula>LEN(TRIM(AB797))&gt;0</formula>
    </cfRule>
  </conditionalFormatting>
  <conditionalFormatting sqref="AB797:AF797">
    <cfRule type="notContainsBlanks" dxfId="1707" priority="1752">
      <formula>LEN(TRIM(AB797))&gt;0</formula>
    </cfRule>
  </conditionalFormatting>
  <conditionalFormatting sqref="AB810:AF810">
    <cfRule type="notContainsBlanks" dxfId="1706" priority="1751">
      <formula>LEN(TRIM(AB810))&gt;0</formula>
    </cfRule>
  </conditionalFormatting>
  <conditionalFormatting sqref="AB810:AF810">
    <cfRule type="notContainsBlanks" dxfId="1705" priority="1750">
      <formula>LEN(TRIM(AB810))&gt;0</formula>
    </cfRule>
  </conditionalFormatting>
  <conditionalFormatting sqref="AB810:AF810">
    <cfRule type="notContainsBlanks" dxfId="1704" priority="1749">
      <formula>LEN(TRIM(AB810))&gt;0</formula>
    </cfRule>
  </conditionalFormatting>
  <conditionalFormatting sqref="AB810:AF810">
    <cfRule type="notContainsBlanks" dxfId="1703" priority="1748">
      <formula>LEN(TRIM(AB810))&gt;0</formula>
    </cfRule>
  </conditionalFormatting>
  <conditionalFormatting sqref="AB810:AF810">
    <cfRule type="notContainsBlanks" dxfId="1702" priority="1747">
      <formula>LEN(TRIM(AB810))&gt;0</formula>
    </cfRule>
  </conditionalFormatting>
  <conditionalFormatting sqref="AB810:AF810">
    <cfRule type="notContainsBlanks" dxfId="1701" priority="1746">
      <formula>LEN(TRIM(AB810))&gt;0</formula>
    </cfRule>
  </conditionalFormatting>
  <conditionalFormatting sqref="AB810:AF810">
    <cfRule type="notContainsBlanks" dxfId="1700" priority="1745">
      <formula>LEN(TRIM(AB810))&gt;0</formula>
    </cfRule>
  </conditionalFormatting>
  <conditionalFormatting sqref="AB810:AF810">
    <cfRule type="notContainsBlanks" dxfId="1699" priority="1744">
      <formula>LEN(TRIM(AB810))&gt;0</formula>
    </cfRule>
  </conditionalFormatting>
  <conditionalFormatting sqref="AB810:AF810">
    <cfRule type="notContainsBlanks" dxfId="1698" priority="1743">
      <formula>LEN(TRIM(AB810))&gt;0</formula>
    </cfRule>
  </conditionalFormatting>
  <conditionalFormatting sqref="AB810:AF810">
    <cfRule type="notContainsBlanks" dxfId="1697" priority="1741">
      <formula>LEN(TRIM(AB810))&gt;0</formula>
    </cfRule>
    <cfRule type="notContainsBlanks" dxfId="1696" priority="1742">
      <formula>LEN(TRIM(AB810))&gt;0</formula>
    </cfRule>
  </conditionalFormatting>
  <conditionalFormatting sqref="AB810:AF810">
    <cfRule type="notContainsBlanks" dxfId="1695" priority="1740">
      <formula>LEN(TRIM(AB810))&gt;0</formula>
    </cfRule>
  </conditionalFormatting>
  <conditionalFormatting sqref="AB810:AF810">
    <cfRule type="notContainsBlanks" dxfId="1694" priority="1739">
      <formula>LEN(TRIM(AB810))&gt;0</formula>
    </cfRule>
  </conditionalFormatting>
  <conditionalFormatting sqref="AB810:AF810">
    <cfRule type="notContainsBlanks" dxfId="1693" priority="1738">
      <formula>LEN(TRIM(AB810))&gt;0</formula>
    </cfRule>
  </conditionalFormatting>
  <conditionalFormatting sqref="AB810:AF810">
    <cfRule type="notContainsBlanks" dxfId="1692" priority="1737">
      <formula>LEN(TRIM(AB810))&gt;0</formula>
    </cfRule>
  </conditionalFormatting>
  <conditionalFormatting sqref="AB810:AF810">
    <cfRule type="notContainsBlanks" dxfId="1691" priority="1736">
      <formula>LEN(TRIM(AB810))&gt;0</formula>
    </cfRule>
  </conditionalFormatting>
  <conditionalFormatting sqref="AB810:AF810">
    <cfRule type="notContainsBlanks" dxfId="1690" priority="1735">
      <formula>LEN(TRIM(AB810))&gt;0</formula>
    </cfRule>
  </conditionalFormatting>
  <conditionalFormatting sqref="AB810:AF810">
    <cfRule type="notContainsBlanks" dxfId="1689" priority="1734">
      <formula>LEN(TRIM(AB810))&gt;0</formula>
    </cfRule>
  </conditionalFormatting>
  <conditionalFormatting sqref="AB810:AF810">
    <cfRule type="notContainsBlanks" dxfId="1688" priority="1733">
      <formula>LEN(TRIM(AB810))&gt;0</formula>
    </cfRule>
  </conditionalFormatting>
  <conditionalFormatting sqref="AB810:AF810">
    <cfRule type="notContainsBlanks" dxfId="1687" priority="1732">
      <formula>LEN(TRIM(AB810))&gt;0</formula>
    </cfRule>
  </conditionalFormatting>
  <conditionalFormatting sqref="AB810:AF810">
    <cfRule type="notContainsBlanks" priority="1731">
      <formula>LEN(TRIM(AB810))&gt;0</formula>
    </cfRule>
  </conditionalFormatting>
  <conditionalFormatting sqref="AB810:AF810">
    <cfRule type="notContainsBlanks" dxfId="1686" priority="1730">
      <formula>LEN(TRIM(AB810))&gt;0</formula>
    </cfRule>
  </conditionalFormatting>
  <conditionalFormatting sqref="AB810:AF810">
    <cfRule type="notContainsBlanks" dxfId="1685" priority="1729">
      <formula>LEN(TRIM(AB810))&gt;0</formula>
    </cfRule>
  </conditionalFormatting>
  <conditionalFormatting sqref="AB810:AF810">
    <cfRule type="notContainsBlanks" dxfId="1684" priority="1728">
      <formula>LEN(TRIM(AB810))&gt;0</formula>
    </cfRule>
  </conditionalFormatting>
  <conditionalFormatting sqref="AB810:AF810">
    <cfRule type="notContainsBlanks" dxfId="1683" priority="1727">
      <formula>LEN(TRIM(AB810))&gt;0</formula>
    </cfRule>
  </conditionalFormatting>
  <conditionalFormatting sqref="AB810:AF810">
    <cfRule type="notContainsBlanks" dxfId="1682" priority="1726">
      <formula>LEN(TRIM(AB810))&gt;0</formula>
    </cfRule>
  </conditionalFormatting>
  <conditionalFormatting sqref="AB823:AF823">
    <cfRule type="notContainsBlanks" dxfId="1681" priority="1725">
      <formula>LEN(TRIM(AB823))&gt;0</formula>
    </cfRule>
  </conditionalFormatting>
  <conditionalFormatting sqref="AB823:AF823">
    <cfRule type="notContainsBlanks" dxfId="1680" priority="1724">
      <formula>LEN(TRIM(AB823))&gt;0</formula>
    </cfRule>
  </conditionalFormatting>
  <conditionalFormatting sqref="AB823:AF823">
    <cfRule type="notContainsBlanks" dxfId="1679" priority="1723">
      <formula>LEN(TRIM(AB823))&gt;0</formula>
    </cfRule>
  </conditionalFormatting>
  <conditionalFormatting sqref="AB823:AF823">
    <cfRule type="notContainsBlanks" dxfId="1678" priority="1722">
      <formula>LEN(TRIM(AB823))&gt;0</formula>
    </cfRule>
  </conditionalFormatting>
  <conditionalFormatting sqref="AB823:AF823">
    <cfRule type="notContainsBlanks" dxfId="1677" priority="1721">
      <formula>LEN(TRIM(AB823))&gt;0</formula>
    </cfRule>
  </conditionalFormatting>
  <conditionalFormatting sqref="AB823:AF823">
    <cfRule type="notContainsBlanks" dxfId="1676" priority="1720">
      <formula>LEN(TRIM(AB823))&gt;0</formula>
    </cfRule>
  </conditionalFormatting>
  <conditionalFormatting sqref="AB823:AF823">
    <cfRule type="notContainsBlanks" dxfId="1675" priority="1719">
      <formula>LEN(TRIM(AB823))&gt;0</formula>
    </cfRule>
  </conditionalFormatting>
  <conditionalFormatting sqref="AB823:AF823">
    <cfRule type="notContainsBlanks" dxfId="1674" priority="1718">
      <formula>LEN(TRIM(AB823))&gt;0</formula>
    </cfRule>
  </conditionalFormatting>
  <conditionalFormatting sqref="AB823:AF823">
    <cfRule type="notContainsBlanks" dxfId="1673" priority="1717">
      <formula>LEN(TRIM(AB823))&gt;0</formula>
    </cfRule>
  </conditionalFormatting>
  <conditionalFormatting sqref="AB823:AF823">
    <cfRule type="notContainsBlanks" dxfId="1672" priority="1715">
      <formula>LEN(TRIM(AB823))&gt;0</formula>
    </cfRule>
    <cfRule type="notContainsBlanks" dxfId="1671" priority="1716">
      <formula>LEN(TRIM(AB823))&gt;0</formula>
    </cfRule>
  </conditionalFormatting>
  <conditionalFormatting sqref="AB823:AF823">
    <cfRule type="notContainsBlanks" dxfId="1670" priority="1714">
      <formula>LEN(TRIM(AB823))&gt;0</formula>
    </cfRule>
  </conditionalFormatting>
  <conditionalFormatting sqref="AB823:AF823">
    <cfRule type="notContainsBlanks" dxfId="1669" priority="1713">
      <formula>LEN(TRIM(AB823))&gt;0</formula>
    </cfRule>
  </conditionalFormatting>
  <conditionalFormatting sqref="AB823:AF823">
    <cfRule type="notContainsBlanks" dxfId="1668" priority="1712">
      <formula>LEN(TRIM(AB823))&gt;0</formula>
    </cfRule>
  </conditionalFormatting>
  <conditionalFormatting sqref="AB823:AF823">
    <cfRule type="notContainsBlanks" dxfId="1667" priority="1711">
      <formula>LEN(TRIM(AB823))&gt;0</formula>
    </cfRule>
  </conditionalFormatting>
  <conditionalFormatting sqref="AB823:AF823">
    <cfRule type="notContainsBlanks" dxfId="1666" priority="1710">
      <formula>LEN(TRIM(AB823))&gt;0</formula>
    </cfRule>
  </conditionalFormatting>
  <conditionalFormatting sqref="AB823:AF823">
    <cfRule type="notContainsBlanks" dxfId="1665" priority="1709">
      <formula>LEN(TRIM(AB823))&gt;0</formula>
    </cfRule>
  </conditionalFormatting>
  <conditionalFormatting sqref="AB823:AF823">
    <cfRule type="notContainsBlanks" dxfId="1664" priority="1708">
      <formula>LEN(TRIM(AB823))&gt;0</formula>
    </cfRule>
  </conditionalFormatting>
  <conditionalFormatting sqref="AB823:AF823">
    <cfRule type="notContainsBlanks" dxfId="1663" priority="1707">
      <formula>LEN(TRIM(AB823))&gt;0</formula>
    </cfRule>
  </conditionalFormatting>
  <conditionalFormatting sqref="AB823:AF823">
    <cfRule type="notContainsBlanks" dxfId="1662" priority="1706">
      <formula>LEN(TRIM(AB823))&gt;0</formula>
    </cfRule>
  </conditionalFormatting>
  <conditionalFormatting sqref="AB823:AF823">
    <cfRule type="notContainsBlanks" priority="1705">
      <formula>LEN(TRIM(AB823))&gt;0</formula>
    </cfRule>
  </conditionalFormatting>
  <conditionalFormatting sqref="AB823:AF823">
    <cfRule type="notContainsBlanks" dxfId="1661" priority="1704">
      <formula>LEN(TRIM(AB823))&gt;0</formula>
    </cfRule>
  </conditionalFormatting>
  <conditionalFormatting sqref="AB823:AF823">
    <cfRule type="notContainsBlanks" dxfId="1660" priority="1703">
      <formula>LEN(TRIM(AB823))&gt;0</formula>
    </cfRule>
  </conditionalFormatting>
  <conditionalFormatting sqref="AB823:AF823">
    <cfRule type="notContainsBlanks" dxfId="1659" priority="1702">
      <formula>LEN(TRIM(AB823))&gt;0</formula>
    </cfRule>
  </conditionalFormatting>
  <conditionalFormatting sqref="AB823:AF823">
    <cfRule type="notContainsBlanks" dxfId="1658" priority="1701">
      <formula>LEN(TRIM(AB823))&gt;0</formula>
    </cfRule>
  </conditionalFormatting>
  <conditionalFormatting sqref="AB823:AF823">
    <cfRule type="notContainsBlanks" dxfId="1657" priority="1700">
      <formula>LEN(TRIM(AB823))&gt;0</formula>
    </cfRule>
  </conditionalFormatting>
  <conditionalFormatting sqref="AB836:AF836">
    <cfRule type="notContainsBlanks" dxfId="1656" priority="1699">
      <formula>LEN(TRIM(AB836))&gt;0</formula>
    </cfRule>
  </conditionalFormatting>
  <conditionalFormatting sqref="AB836:AF836">
    <cfRule type="notContainsBlanks" dxfId="1655" priority="1698">
      <formula>LEN(TRIM(AB836))&gt;0</formula>
    </cfRule>
  </conditionalFormatting>
  <conditionalFormatting sqref="AB836:AF836">
    <cfRule type="notContainsBlanks" dxfId="1654" priority="1697">
      <formula>LEN(TRIM(AB836))&gt;0</formula>
    </cfRule>
  </conditionalFormatting>
  <conditionalFormatting sqref="AB836:AF836">
    <cfRule type="notContainsBlanks" dxfId="1653" priority="1696">
      <formula>LEN(TRIM(AB836))&gt;0</formula>
    </cfRule>
  </conditionalFormatting>
  <conditionalFormatting sqref="AB836:AF836">
    <cfRule type="notContainsBlanks" dxfId="1652" priority="1695">
      <formula>LEN(TRIM(AB836))&gt;0</formula>
    </cfRule>
  </conditionalFormatting>
  <conditionalFormatting sqref="AB836:AF836">
    <cfRule type="notContainsBlanks" dxfId="1651" priority="1694">
      <formula>LEN(TRIM(AB836))&gt;0</formula>
    </cfRule>
  </conditionalFormatting>
  <conditionalFormatting sqref="AB836:AF836">
    <cfRule type="notContainsBlanks" dxfId="1650" priority="1693">
      <formula>LEN(TRIM(AB836))&gt;0</formula>
    </cfRule>
  </conditionalFormatting>
  <conditionalFormatting sqref="AB836:AF836">
    <cfRule type="notContainsBlanks" dxfId="1649" priority="1692">
      <formula>LEN(TRIM(AB836))&gt;0</formula>
    </cfRule>
  </conditionalFormatting>
  <conditionalFormatting sqref="AB836:AF836">
    <cfRule type="notContainsBlanks" dxfId="1648" priority="1691">
      <formula>LEN(TRIM(AB836))&gt;0</formula>
    </cfRule>
  </conditionalFormatting>
  <conditionalFormatting sqref="AB836:AF836">
    <cfRule type="notContainsBlanks" dxfId="1647" priority="1689">
      <formula>LEN(TRIM(AB836))&gt;0</formula>
    </cfRule>
    <cfRule type="notContainsBlanks" dxfId="1646" priority="1690">
      <formula>LEN(TRIM(AB836))&gt;0</formula>
    </cfRule>
  </conditionalFormatting>
  <conditionalFormatting sqref="AB836:AF836">
    <cfRule type="notContainsBlanks" dxfId="1645" priority="1688">
      <formula>LEN(TRIM(AB836))&gt;0</formula>
    </cfRule>
  </conditionalFormatting>
  <conditionalFormatting sqref="AB836:AF836">
    <cfRule type="notContainsBlanks" dxfId="1644" priority="1687">
      <formula>LEN(TRIM(AB836))&gt;0</formula>
    </cfRule>
  </conditionalFormatting>
  <conditionalFormatting sqref="AB836:AF836">
    <cfRule type="notContainsBlanks" dxfId="1643" priority="1686">
      <formula>LEN(TRIM(AB836))&gt;0</formula>
    </cfRule>
  </conditionalFormatting>
  <conditionalFormatting sqref="AB836:AF836">
    <cfRule type="notContainsBlanks" dxfId="1642" priority="1685">
      <formula>LEN(TRIM(AB836))&gt;0</formula>
    </cfRule>
  </conditionalFormatting>
  <conditionalFormatting sqref="AB836:AF836">
    <cfRule type="notContainsBlanks" dxfId="1641" priority="1684">
      <formula>LEN(TRIM(AB836))&gt;0</formula>
    </cfRule>
  </conditionalFormatting>
  <conditionalFormatting sqref="AB836:AF836">
    <cfRule type="notContainsBlanks" dxfId="1640" priority="1683">
      <formula>LEN(TRIM(AB836))&gt;0</formula>
    </cfRule>
  </conditionalFormatting>
  <conditionalFormatting sqref="AB836:AF836">
    <cfRule type="notContainsBlanks" dxfId="1639" priority="1682">
      <formula>LEN(TRIM(AB836))&gt;0</formula>
    </cfRule>
  </conditionalFormatting>
  <conditionalFormatting sqref="AB836:AF836">
    <cfRule type="notContainsBlanks" dxfId="1638" priority="1681">
      <formula>LEN(TRIM(AB836))&gt;0</formula>
    </cfRule>
  </conditionalFormatting>
  <conditionalFormatting sqref="AB836:AF836">
    <cfRule type="notContainsBlanks" dxfId="1637" priority="1680">
      <formula>LEN(TRIM(AB836))&gt;0</formula>
    </cfRule>
  </conditionalFormatting>
  <conditionalFormatting sqref="AB836:AF836">
    <cfRule type="notContainsBlanks" priority="1679">
      <formula>LEN(TRIM(AB836))&gt;0</formula>
    </cfRule>
  </conditionalFormatting>
  <conditionalFormatting sqref="AB836:AF836">
    <cfRule type="notContainsBlanks" dxfId="1636" priority="1678">
      <formula>LEN(TRIM(AB836))&gt;0</formula>
    </cfRule>
  </conditionalFormatting>
  <conditionalFormatting sqref="AB836:AF836">
    <cfRule type="notContainsBlanks" dxfId="1635" priority="1677">
      <formula>LEN(TRIM(AB836))&gt;0</formula>
    </cfRule>
  </conditionalFormatting>
  <conditionalFormatting sqref="AB836:AF836">
    <cfRule type="notContainsBlanks" dxfId="1634" priority="1676">
      <formula>LEN(TRIM(AB836))&gt;0</formula>
    </cfRule>
  </conditionalFormatting>
  <conditionalFormatting sqref="AB836:AF836">
    <cfRule type="notContainsBlanks" dxfId="1633" priority="1675">
      <formula>LEN(TRIM(AB836))&gt;0</formula>
    </cfRule>
  </conditionalFormatting>
  <conditionalFormatting sqref="AB836:AF836">
    <cfRule type="notContainsBlanks" dxfId="1632" priority="1674">
      <formula>LEN(TRIM(AB836))&gt;0</formula>
    </cfRule>
  </conditionalFormatting>
  <conditionalFormatting sqref="AB849:AF849">
    <cfRule type="notContainsBlanks" dxfId="1631" priority="1673">
      <formula>LEN(TRIM(AB849))&gt;0</formula>
    </cfRule>
  </conditionalFormatting>
  <conditionalFormatting sqref="AB849:AF849">
    <cfRule type="notContainsBlanks" dxfId="1630" priority="1672">
      <formula>LEN(TRIM(AB849))&gt;0</formula>
    </cfRule>
  </conditionalFormatting>
  <conditionalFormatting sqref="AB849:AF849">
    <cfRule type="notContainsBlanks" dxfId="1629" priority="1671">
      <formula>LEN(TRIM(AB849))&gt;0</formula>
    </cfRule>
  </conditionalFormatting>
  <conditionalFormatting sqref="AB849:AF849">
    <cfRule type="notContainsBlanks" dxfId="1628" priority="1670">
      <formula>LEN(TRIM(AB849))&gt;0</formula>
    </cfRule>
  </conditionalFormatting>
  <conditionalFormatting sqref="AB849:AF849">
    <cfRule type="notContainsBlanks" dxfId="1627" priority="1669">
      <formula>LEN(TRIM(AB849))&gt;0</formula>
    </cfRule>
  </conditionalFormatting>
  <conditionalFormatting sqref="AB849:AF849">
    <cfRule type="notContainsBlanks" dxfId="1626" priority="1668">
      <formula>LEN(TRIM(AB849))&gt;0</formula>
    </cfRule>
  </conditionalFormatting>
  <conditionalFormatting sqref="AB849:AF849">
    <cfRule type="notContainsBlanks" dxfId="1625" priority="1667">
      <formula>LEN(TRIM(AB849))&gt;0</formula>
    </cfRule>
  </conditionalFormatting>
  <conditionalFormatting sqref="AB849:AF849">
    <cfRule type="notContainsBlanks" dxfId="1624" priority="1666">
      <formula>LEN(TRIM(AB849))&gt;0</formula>
    </cfRule>
  </conditionalFormatting>
  <conditionalFormatting sqref="AB849:AF849">
    <cfRule type="notContainsBlanks" dxfId="1623" priority="1665">
      <formula>LEN(TRIM(AB849))&gt;0</formula>
    </cfRule>
  </conditionalFormatting>
  <conditionalFormatting sqref="AB849:AF849">
    <cfRule type="notContainsBlanks" dxfId="1622" priority="1663">
      <formula>LEN(TRIM(AB849))&gt;0</formula>
    </cfRule>
    <cfRule type="notContainsBlanks" dxfId="1621" priority="1664">
      <formula>LEN(TRIM(AB849))&gt;0</formula>
    </cfRule>
  </conditionalFormatting>
  <conditionalFormatting sqref="AB849:AF849">
    <cfRule type="notContainsBlanks" dxfId="1620" priority="1662">
      <formula>LEN(TRIM(AB849))&gt;0</formula>
    </cfRule>
  </conditionalFormatting>
  <conditionalFormatting sqref="AB849:AF849">
    <cfRule type="notContainsBlanks" dxfId="1619" priority="1661">
      <formula>LEN(TRIM(AB849))&gt;0</formula>
    </cfRule>
  </conditionalFormatting>
  <conditionalFormatting sqref="AB849:AF849">
    <cfRule type="notContainsBlanks" dxfId="1618" priority="1660">
      <formula>LEN(TRIM(AB849))&gt;0</formula>
    </cfRule>
  </conditionalFormatting>
  <conditionalFormatting sqref="AB849:AF849">
    <cfRule type="notContainsBlanks" dxfId="1617" priority="1659">
      <formula>LEN(TRIM(AB849))&gt;0</formula>
    </cfRule>
  </conditionalFormatting>
  <conditionalFormatting sqref="AB849:AF849">
    <cfRule type="notContainsBlanks" dxfId="1616" priority="1658">
      <formula>LEN(TRIM(AB849))&gt;0</formula>
    </cfRule>
  </conditionalFormatting>
  <conditionalFormatting sqref="AB849:AF849">
    <cfRule type="notContainsBlanks" dxfId="1615" priority="1657">
      <formula>LEN(TRIM(AB849))&gt;0</formula>
    </cfRule>
  </conditionalFormatting>
  <conditionalFormatting sqref="AB849:AF849">
    <cfRule type="notContainsBlanks" dxfId="1614" priority="1656">
      <formula>LEN(TRIM(AB849))&gt;0</formula>
    </cfRule>
  </conditionalFormatting>
  <conditionalFormatting sqref="AB849:AF849">
    <cfRule type="notContainsBlanks" dxfId="1613" priority="1655">
      <formula>LEN(TRIM(AB849))&gt;0</formula>
    </cfRule>
  </conditionalFormatting>
  <conditionalFormatting sqref="AB849:AF849">
    <cfRule type="notContainsBlanks" dxfId="1612" priority="1654">
      <formula>LEN(TRIM(AB849))&gt;0</formula>
    </cfRule>
  </conditionalFormatting>
  <conditionalFormatting sqref="AB849:AF849">
    <cfRule type="notContainsBlanks" priority="1653">
      <formula>LEN(TRIM(AB849))&gt;0</formula>
    </cfRule>
  </conditionalFormatting>
  <conditionalFormatting sqref="AB849:AF849">
    <cfRule type="notContainsBlanks" dxfId="1611" priority="1652">
      <formula>LEN(TRIM(AB849))&gt;0</formula>
    </cfRule>
  </conditionalFormatting>
  <conditionalFormatting sqref="AB849:AF849">
    <cfRule type="notContainsBlanks" dxfId="1610" priority="1651">
      <formula>LEN(TRIM(AB849))&gt;0</formula>
    </cfRule>
  </conditionalFormatting>
  <conditionalFormatting sqref="AB849:AF849">
    <cfRule type="notContainsBlanks" dxfId="1609" priority="1650">
      <formula>LEN(TRIM(AB849))&gt;0</formula>
    </cfRule>
  </conditionalFormatting>
  <conditionalFormatting sqref="AB849:AF849">
    <cfRule type="notContainsBlanks" dxfId="1608" priority="1649">
      <formula>LEN(TRIM(AB849))&gt;0</formula>
    </cfRule>
  </conditionalFormatting>
  <conditionalFormatting sqref="AB849:AF849">
    <cfRule type="notContainsBlanks" dxfId="1607" priority="1648">
      <formula>LEN(TRIM(AB849))&gt;0</formula>
    </cfRule>
  </conditionalFormatting>
  <conditionalFormatting sqref="AB862:AF862">
    <cfRule type="notContainsBlanks" dxfId="1606" priority="1647">
      <formula>LEN(TRIM(AB862))&gt;0</formula>
    </cfRule>
  </conditionalFormatting>
  <conditionalFormatting sqref="AB862:AF862">
    <cfRule type="notContainsBlanks" dxfId="1605" priority="1646">
      <formula>LEN(TRIM(AB862))&gt;0</formula>
    </cfRule>
  </conditionalFormatting>
  <conditionalFormatting sqref="AB862:AF862">
    <cfRule type="notContainsBlanks" dxfId="1604" priority="1645">
      <formula>LEN(TRIM(AB862))&gt;0</formula>
    </cfRule>
  </conditionalFormatting>
  <conditionalFormatting sqref="AB862:AF862">
    <cfRule type="notContainsBlanks" dxfId="1603" priority="1644">
      <formula>LEN(TRIM(AB862))&gt;0</formula>
    </cfRule>
  </conditionalFormatting>
  <conditionalFormatting sqref="AB862:AF862">
    <cfRule type="notContainsBlanks" dxfId="1602" priority="1643">
      <formula>LEN(TRIM(AB862))&gt;0</formula>
    </cfRule>
  </conditionalFormatting>
  <conditionalFormatting sqref="AB862:AF862">
    <cfRule type="notContainsBlanks" dxfId="1601" priority="1642">
      <formula>LEN(TRIM(AB862))&gt;0</formula>
    </cfRule>
  </conditionalFormatting>
  <conditionalFormatting sqref="AB862:AF862">
    <cfRule type="notContainsBlanks" dxfId="1600" priority="1641">
      <formula>LEN(TRIM(AB862))&gt;0</formula>
    </cfRule>
  </conditionalFormatting>
  <conditionalFormatting sqref="AB862:AF862">
    <cfRule type="notContainsBlanks" dxfId="1599" priority="1640">
      <formula>LEN(TRIM(AB862))&gt;0</formula>
    </cfRule>
  </conditionalFormatting>
  <conditionalFormatting sqref="AB862:AF862">
    <cfRule type="notContainsBlanks" dxfId="1598" priority="1639">
      <formula>LEN(TRIM(AB862))&gt;0</formula>
    </cfRule>
  </conditionalFormatting>
  <conditionalFormatting sqref="AB862:AF862">
    <cfRule type="notContainsBlanks" dxfId="1597" priority="1637">
      <formula>LEN(TRIM(AB862))&gt;0</formula>
    </cfRule>
    <cfRule type="notContainsBlanks" dxfId="1596" priority="1638">
      <formula>LEN(TRIM(AB862))&gt;0</formula>
    </cfRule>
  </conditionalFormatting>
  <conditionalFormatting sqref="AB862:AF862">
    <cfRule type="notContainsBlanks" dxfId="1595" priority="1636">
      <formula>LEN(TRIM(AB862))&gt;0</formula>
    </cfRule>
  </conditionalFormatting>
  <conditionalFormatting sqref="AB862:AF862">
    <cfRule type="notContainsBlanks" dxfId="1594" priority="1635">
      <formula>LEN(TRIM(AB862))&gt;0</formula>
    </cfRule>
  </conditionalFormatting>
  <conditionalFormatting sqref="AB862:AF862">
    <cfRule type="notContainsBlanks" dxfId="1593" priority="1634">
      <formula>LEN(TRIM(AB862))&gt;0</formula>
    </cfRule>
  </conditionalFormatting>
  <conditionalFormatting sqref="AB862:AF862">
    <cfRule type="notContainsBlanks" dxfId="1592" priority="1633">
      <formula>LEN(TRIM(AB862))&gt;0</formula>
    </cfRule>
  </conditionalFormatting>
  <conditionalFormatting sqref="AB862:AF862">
    <cfRule type="notContainsBlanks" dxfId="1591" priority="1632">
      <formula>LEN(TRIM(AB862))&gt;0</formula>
    </cfRule>
  </conditionalFormatting>
  <conditionalFormatting sqref="AB862:AF862">
    <cfRule type="notContainsBlanks" dxfId="1590" priority="1631">
      <formula>LEN(TRIM(AB862))&gt;0</formula>
    </cfRule>
  </conditionalFormatting>
  <conditionalFormatting sqref="AB862:AF862">
    <cfRule type="notContainsBlanks" dxfId="1589" priority="1630">
      <formula>LEN(TRIM(AB862))&gt;0</formula>
    </cfRule>
  </conditionalFormatting>
  <conditionalFormatting sqref="AB862:AF862">
    <cfRule type="notContainsBlanks" dxfId="1588" priority="1629">
      <formula>LEN(TRIM(AB862))&gt;0</formula>
    </cfRule>
  </conditionalFormatting>
  <conditionalFormatting sqref="AB862:AF862">
    <cfRule type="notContainsBlanks" dxfId="1587" priority="1628">
      <formula>LEN(TRIM(AB862))&gt;0</formula>
    </cfRule>
  </conditionalFormatting>
  <conditionalFormatting sqref="AB862:AF862">
    <cfRule type="notContainsBlanks" priority="1627">
      <formula>LEN(TRIM(AB862))&gt;0</formula>
    </cfRule>
  </conditionalFormatting>
  <conditionalFormatting sqref="AB862:AF862">
    <cfRule type="notContainsBlanks" dxfId="1586" priority="1626">
      <formula>LEN(TRIM(AB862))&gt;0</formula>
    </cfRule>
  </conditionalFormatting>
  <conditionalFormatting sqref="AB862:AF862">
    <cfRule type="notContainsBlanks" dxfId="1585" priority="1625">
      <formula>LEN(TRIM(AB862))&gt;0</formula>
    </cfRule>
  </conditionalFormatting>
  <conditionalFormatting sqref="AB862:AF862">
    <cfRule type="notContainsBlanks" dxfId="1584" priority="1624">
      <formula>LEN(TRIM(AB862))&gt;0</formula>
    </cfRule>
  </conditionalFormatting>
  <conditionalFormatting sqref="AB862:AF862">
    <cfRule type="notContainsBlanks" dxfId="1583" priority="1623">
      <formula>LEN(TRIM(AB862))&gt;0</formula>
    </cfRule>
  </conditionalFormatting>
  <conditionalFormatting sqref="AB862:AF862">
    <cfRule type="notContainsBlanks" dxfId="1582" priority="1622">
      <formula>LEN(TRIM(AB862))&gt;0</formula>
    </cfRule>
  </conditionalFormatting>
  <conditionalFormatting sqref="AB875:AF875">
    <cfRule type="notContainsBlanks" dxfId="1581" priority="1621">
      <formula>LEN(TRIM(AB875))&gt;0</formula>
    </cfRule>
  </conditionalFormatting>
  <conditionalFormatting sqref="AB875:AF875">
    <cfRule type="notContainsBlanks" dxfId="1580" priority="1620">
      <formula>LEN(TRIM(AB875))&gt;0</formula>
    </cfRule>
  </conditionalFormatting>
  <conditionalFormatting sqref="AB875:AF875">
    <cfRule type="notContainsBlanks" dxfId="1579" priority="1619">
      <formula>LEN(TRIM(AB875))&gt;0</formula>
    </cfRule>
  </conditionalFormatting>
  <conditionalFormatting sqref="AB875:AF875">
    <cfRule type="notContainsBlanks" dxfId="1578" priority="1618">
      <formula>LEN(TRIM(AB875))&gt;0</formula>
    </cfRule>
  </conditionalFormatting>
  <conditionalFormatting sqref="AB875:AF875">
    <cfRule type="notContainsBlanks" dxfId="1577" priority="1617">
      <formula>LEN(TRIM(AB875))&gt;0</formula>
    </cfRule>
  </conditionalFormatting>
  <conditionalFormatting sqref="AB875:AF875">
    <cfRule type="notContainsBlanks" dxfId="1576" priority="1616">
      <formula>LEN(TRIM(AB875))&gt;0</formula>
    </cfRule>
  </conditionalFormatting>
  <conditionalFormatting sqref="AB875:AF875">
    <cfRule type="notContainsBlanks" dxfId="1575" priority="1615">
      <formula>LEN(TRIM(AB875))&gt;0</formula>
    </cfRule>
  </conditionalFormatting>
  <conditionalFormatting sqref="AB875:AF875">
    <cfRule type="notContainsBlanks" dxfId="1574" priority="1614">
      <formula>LEN(TRIM(AB875))&gt;0</formula>
    </cfRule>
  </conditionalFormatting>
  <conditionalFormatting sqref="AB875:AF875">
    <cfRule type="notContainsBlanks" dxfId="1573" priority="1613">
      <formula>LEN(TRIM(AB875))&gt;0</formula>
    </cfRule>
  </conditionalFormatting>
  <conditionalFormatting sqref="AB875:AF875">
    <cfRule type="notContainsBlanks" dxfId="1572" priority="1611">
      <formula>LEN(TRIM(AB875))&gt;0</formula>
    </cfRule>
    <cfRule type="notContainsBlanks" dxfId="1571" priority="1612">
      <formula>LEN(TRIM(AB875))&gt;0</formula>
    </cfRule>
  </conditionalFormatting>
  <conditionalFormatting sqref="AB875:AF875">
    <cfRule type="notContainsBlanks" dxfId="1570" priority="1610">
      <formula>LEN(TRIM(AB875))&gt;0</formula>
    </cfRule>
  </conditionalFormatting>
  <conditionalFormatting sqref="AB875:AF875">
    <cfRule type="notContainsBlanks" dxfId="1569" priority="1609">
      <formula>LEN(TRIM(AB875))&gt;0</formula>
    </cfRule>
  </conditionalFormatting>
  <conditionalFormatting sqref="AB875:AF875">
    <cfRule type="notContainsBlanks" dxfId="1568" priority="1608">
      <formula>LEN(TRIM(AB875))&gt;0</formula>
    </cfRule>
  </conditionalFormatting>
  <conditionalFormatting sqref="AB875:AF875">
    <cfRule type="notContainsBlanks" dxfId="1567" priority="1607">
      <formula>LEN(TRIM(AB875))&gt;0</formula>
    </cfRule>
  </conditionalFormatting>
  <conditionalFormatting sqref="AB875:AF875">
    <cfRule type="notContainsBlanks" dxfId="1566" priority="1606">
      <formula>LEN(TRIM(AB875))&gt;0</formula>
    </cfRule>
  </conditionalFormatting>
  <conditionalFormatting sqref="AB875:AF875">
    <cfRule type="notContainsBlanks" dxfId="1565" priority="1605">
      <formula>LEN(TRIM(AB875))&gt;0</formula>
    </cfRule>
  </conditionalFormatting>
  <conditionalFormatting sqref="AB875:AF875">
    <cfRule type="notContainsBlanks" dxfId="1564" priority="1604">
      <formula>LEN(TRIM(AB875))&gt;0</formula>
    </cfRule>
  </conditionalFormatting>
  <conditionalFormatting sqref="AB875:AF875">
    <cfRule type="notContainsBlanks" dxfId="1563" priority="1603">
      <formula>LEN(TRIM(AB875))&gt;0</formula>
    </cfRule>
  </conditionalFormatting>
  <conditionalFormatting sqref="AB875:AF875">
    <cfRule type="notContainsBlanks" dxfId="1562" priority="1602">
      <formula>LEN(TRIM(AB875))&gt;0</formula>
    </cfRule>
  </conditionalFormatting>
  <conditionalFormatting sqref="AB875:AF875">
    <cfRule type="notContainsBlanks" priority="1601">
      <formula>LEN(TRIM(AB875))&gt;0</formula>
    </cfRule>
  </conditionalFormatting>
  <conditionalFormatting sqref="AB875:AF875">
    <cfRule type="notContainsBlanks" dxfId="1561" priority="1600">
      <formula>LEN(TRIM(AB875))&gt;0</formula>
    </cfRule>
  </conditionalFormatting>
  <conditionalFormatting sqref="AB875:AF875">
    <cfRule type="notContainsBlanks" dxfId="1560" priority="1599">
      <formula>LEN(TRIM(AB875))&gt;0</formula>
    </cfRule>
  </conditionalFormatting>
  <conditionalFormatting sqref="AB875:AF875">
    <cfRule type="notContainsBlanks" dxfId="1559" priority="1598">
      <formula>LEN(TRIM(AB875))&gt;0</formula>
    </cfRule>
  </conditionalFormatting>
  <conditionalFormatting sqref="AB875:AF875">
    <cfRule type="notContainsBlanks" dxfId="1558" priority="1597">
      <formula>LEN(TRIM(AB875))&gt;0</formula>
    </cfRule>
  </conditionalFormatting>
  <conditionalFormatting sqref="AB875:AF875">
    <cfRule type="notContainsBlanks" dxfId="1557" priority="1596">
      <formula>LEN(TRIM(AB875))&gt;0</formula>
    </cfRule>
  </conditionalFormatting>
  <conditionalFormatting sqref="AB888:AF888">
    <cfRule type="notContainsBlanks" dxfId="1556" priority="1595">
      <formula>LEN(TRIM(AB888))&gt;0</formula>
    </cfRule>
  </conditionalFormatting>
  <conditionalFormatting sqref="AB888:AF888">
    <cfRule type="notContainsBlanks" dxfId="1555" priority="1594">
      <formula>LEN(TRIM(AB888))&gt;0</formula>
    </cfRule>
  </conditionalFormatting>
  <conditionalFormatting sqref="AB888:AF888">
    <cfRule type="notContainsBlanks" dxfId="1554" priority="1593">
      <formula>LEN(TRIM(AB888))&gt;0</formula>
    </cfRule>
  </conditionalFormatting>
  <conditionalFormatting sqref="AB888:AF888">
    <cfRule type="notContainsBlanks" dxfId="1553" priority="1592">
      <formula>LEN(TRIM(AB888))&gt;0</formula>
    </cfRule>
  </conditionalFormatting>
  <conditionalFormatting sqref="AB888:AF888">
    <cfRule type="notContainsBlanks" dxfId="1552" priority="1591">
      <formula>LEN(TRIM(AB888))&gt;0</formula>
    </cfRule>
  </conditionalFormatting>
  <conditionalFormatting sqref="AB888:AF888">
    <cfRule type="notContainsBlanks" dxfId="1551" priority="1590">
      <formula>LEN(TRIM(AB888))&gt;0</formula>
    </cfRule>
  </conditionalFormatting>
  <conditionalFormatting sqref="AB888:AF888">
    <cfRule type="notContainsBlanks" dxfId="1550" priority="1589">
      <formula>LEN(TRIM(AB888))&gt;0</formula>
    </cfRule>
  </conditionalFormatting>
  <conditionalFormatting sqref="AB888:AF888">
    <cfRule type="notContainsBlanks" dxfId="1549" priority="1588">
      <formula>LEN(TRIM(AB888))&gt;0</formula>
    </cfRule>
  </conditionalFormatting>
  <conditionalFormatting sqref="AB888:AF888">
    <cfRule type="notContainsBlanks" dxfId="1548" priority="1587">
      <formula>LEN(TRIM(AB888))&gt;0</formula>
    </cfRule>
  </conditionalFormatting>
  <conditionalFormatting sqref="AB888:AF888">
    <cfRule type="notContainsBlanks" dxfId="1547" priority="1585">
      <formula>LEN(TRIM(AB888))&gt;0</formula>
    </cfRule>
    <cfRule type="notContainsBlanks" dxfId="1546" priority="1586">
      <formula>LEN(TRIM(AB888))&gt;0</formula>
    </cfRule>
  </conditionalFormatting>
  <conditionalFormatting sqref="AB888:AF888">
    <cfRule type="notContainsBlanks" dxfId="1545" priority="1584">
      <formula>LEN(TRIM(AB888))&gt;0</formula>
    </cfRule>
  </conditionalFormatting>
  <conditionalFormatting sqref="AB888:AF888">
    <cfRule type="notContainsBlanks" dxfId="1544" priority="1583">
      <formula>LEN(TRIM(AB888))&gt;0</formula>
    </cfRule>
  </conditionalFormatting>
  <conditionalFormatting sqref="AB888:AF888">
    <cfRule type="notContainsBlanks" dxfId="1543" priority="1582">
      <formula>LEN(TRIM(AB888))&gt;0</formula>
    </cfRule>
  </conditionalFormatting>
  <conditionalFormatting sqref="AB888:AF888">
    <cfRule type="notContainsBlanks" dxfId="1542" priority="1581">
      <formula>LEN(TRIM(AB888))&gt;0</formula>
    </cfRule>
  </conditionalFormatting>
  <conditionalFormatting sqref="AB888:AF888">
    <cfRule type="notContainsBlanks" dxfId="1541" priority="1580">
      <formula>LEN(TRIM(AB888))&gt;0</formula>
    </cfRule>
  </conditionalFormatting>
  <conditionalFormatting sqref="AB888:AF888">
    <cfRule type="notContainsBlanks" dxfId="1540" priority="1579">
      <formula>LEN(TRIM(AB888))&gt;0</formula>
    </cfRule>
  </conditionalFormatting>
  <conditionalFormatting sqref="AB888:AF888">
    <cfRule type="notContainsBlanks" dxfId="1539" priority="1578">
      <formula>LEN(TRIM(AB888))&gt;0</formula>
    </cfRule>
  </conditionalFormatting>
  <conditionalFormatting sqref="AB888:AF888">
    <cfRule type="notContainsBlanks" dxfId="1538" priority="1577">
      <formula>LEN(TRIM(AB888))&gt;0</formula>
    </cfRule>
  </conditionalFormatting>
  <conditionalFormatting sqref="AB888:AF888">
    <cfRule type="notContainsBlanks" dxfId="1537" priority="1576">
      <formula>LEN(TRIM(AB888))&gt;0</formula>
    </cfRule>
  </conditionalFormatting>
  <conditionalFormatting sqref="AB888:AF888">
    <cfRule type="notContainsBlanks" priority="1575">
      <formula>LEN(TRIM(AB888))&gt;0</formula>
    </cfRule>
  </conditionalFormatting>
  <conditionalFormatting sqref="AB888:AF888">
    <cfRule type="notContainsBlanks" dxfId="1536" priority="1574">
      <formula>LEN(TRIM(AB888))&gt;0</formula>
    </cfRule>
  </conditionalFormatting>
  <conditionalFormatting sqref="AB888:AF888">
    <cfRule type="notContainsBlanks" dxfId="1535" priority="1573">
      <formula>LEN(TRIM(AB888))&gt;0</formula>
    </cfRule>
  </conditionalFormatting>
  <conditionalFormatting sqref="AB888:AF888">
    <cfRule type="notContainsBlanks" dxfId="1534" priority="1572">
      <formula>LEN(TRIM(AB888))&gt;0</formula>
    </cfRule>
  </conditionalFormatting>
  <conditionalFormatting sqref="AB888:AF888">
    <cfRule type="notContainsBlanks" dxfId="1533" priority="1571">
      <formula>LEN(TRIM(AB888))&gt;0</formula>
    </cfRule>
  </conditionalFormatting>
  <conditionalFormatting sqref="AB888:AF888">
    <cfRule type="notContainsBlanks" dxfId="1532" priority="1570">
      <formula>LEN(TRIM(AB888))&gt;0</formula>
    </cfRule>
  </conditionalFormatting>
  <conditionalFormatting sqref="AB901:AF901">
    <cfRule type="notContainsBlanks" dxfId="1531" priority="1569">
      <formula>LEN(TRIM(AB901))&gt;0</formula>
    </cfRule>
  </conditionalFormatting>
  <conditionalFormatting sqref="AB901:AF901">
    <cfRule type="notContainsBlanks" dxfId="1530" priority="1568">
      <formula>LEN(TRIM(AB901))&gt;0</formula>
    </cfRule>
  </conditionalFormatting>
  <conditionalFormatting sqref="AB901:AF901">
    <cfRule type="notContainsBlanks" dxfId="1529" priority="1567">
      <formula>LEN(TRIM(AB901))&gt;0</formula>
    </cfRule>
  </conditionalFormatting>
  <conditionalFormatting sqref="AB901:AF901">
    <cfRule type="notContainsBlanks" dxfId="1528" priority="1566">
      <formula>LEN(TRIM(AB901))&gt;0</formula>
    </cfRule>
  </conditionalFormatting>
  <conditionalFormatting sqref="AB901:AF901">
    <cfRule type="notContainsBlanks" dxfId="1527" priority="1565">
      <formula>LEN(TRIM(AB901))&gt;0</formula>
    </cfRule>
  </conditionalFormatting>
  <conditionalFormatting sqref="AB901:AF901">
    <cfRule type="notContainsBlanks" dxfId="1526" priority="1564">
      <formula>LEN(TRIM(AB901))&gt;0</formula>
    </cfRule>
  </conditionalFormatting>
  <conditionalFormatting sqref="AB901:AF901">
    <cfRule type="notContainsBlanks" dxfId="1525" priority="1563">
      <formula>LEN(TRIM(AB901))&gt;0</formula>
    </cfRule>
  </conditionalFormatting>
  <conditionalFormatting sqref="AB901:AF901">
    <cfRule type="notContainsBlanks" dxfId="1524" priority="1562">
      <formula>LEN(TRIM(AB901))&gt;0</formula>
    </cfRule>
  </conditionalFormatting>
  <conditionalFormatting sqref="AB901:AF901">
    <cfRule type="notContainsBlanks" dxfId="1523" priority="1561">
      <formula>LEN(TRIM(AB901))&gt;0</formula>
    </cfRule>
  </conditionalFormatting>
  <conditionalFormatting sqref="AB901:AF901">
    <cfRule type="notContainsBlanks" dxfId="1522" priority="1559">
      <formula>LEN(TRIM(AB901))&gt;0</formula>
    </cfRule>
    <cfRule type="notContainsBlanks" dxfId="1521" priority="1560">
      <formula>LEN(TRIM(AB901))&gt;0</formula>
    </cfRule>
  </conditionalFormatting>
  <conditionalFormatting sqref="AB901:AF901">
    <cfRule type="notContainsBlanks" dxfId="1520" priority="1558">
      <formula>LEN(TRIM(AB901))&gt;0</formula>
    </cfRule>
  </conditionalFormatting>
  <conditionalFormatting sqref="AB901:AF901">
    <cfRule type="notContainsBlanks" dxfId="1519" priority="1557">
      <formula>LEN(TRIM(AB901))&gt;0</formula>
    </cfRule>
  </conditionalFormatting>
  <conditionalFormatting sqref="AB901:AF901">
    <cfRule type="notContainsBlanks" dxfId="1518" priority="1556">
      <formula>LEN(TRIM(AB901))&gt;0</formula>
    </cfRule>
  </conditionalFormatting>
  <conditionalFormatting sqref="AB901:AF901">
    <cfRule type="notContainsBlanks" dxfId="1517" priority="1555">
      <formula>LEN(TRIM(AB901))&gt;0</formula>
    </cfRule>
  </conditionalFormatting>
  <conditionalFormatting sqref="AB901:AF901">
    <cfRule type="notContainsBlanks" dxfId="1516" priority="1554">
      <formula>LEN(TRIM(AB901))&gt;0</formula>
    </cfRule>
  </conditionalFormatting>
  <conditionalFormatting sqref="AB901:AF901">
    <cfRule type="notContainsBlanks" dxfId="1515" priority="1553">
      <formula>LEN(TRIM(AB901))&gt;0</formula>
    </cfRule>
  </conditionalFormatting>
  <conditionalFormatting sqref="AB901:AF901">
    <cfRule type="notContainsBlanks" dxfId="1514" priority="1552">
      <formula>LEN(TRIM(AB901))&gt;0</formula>
    </cfRule>
  </conditionalFormatting>
  <conditionalFormatting sqref="AB901:AF901">
    <cfRule type="notContainsBlanks" dxfId="1513" priority="1551">
      <formula>LEN(TRIM(AB901))&gt;0</formula>
    </cfRule>
  </conditionalFormatting>
  <conditionalFormatting sqref="AB901:AF901">
    <cfRule type="notContainsBlanks" dxfId="1512" priority="1550">
      <formula>LEN(TRIM(AB901))&gt;0</formula>
    </cfRule>
  </conditionalFormatting>
  <conditionalFormatting sqref="AB901:AF901">
    <cfRule type="notContainsBlanks" priority="1549">
      <formula>LEN(TRIM(AB901))&gt;0</formula>
    </cfRule>
  </conditionalFormatting>
  <conditionalFormatting sqref="AB901:AF901">
    <cfRule type="notContainsBlanks" dxfId="1511" priority="1548">
      <formula>LEN(TRIM(AB901))&gt;0</formula>
    </cfRule>
  </conditionalFormatting>
  <conditionalFormatting sqref="AB901:AF901">
    <cfRule type="notContainsBlanks" dxfId="1510" priority="1547">
      <formula>LEN(TRIM(AB901))&gt;0</formula>
    </cfRule>
  </conditionalFormatting>
  <conditionalFormatting sqref="AB901:AF901">
    <cfRule type="notContainsBlanks" dxfId="1509" priority="1546">
      <formula>LEN(TRIM(AB901))&gt;0</formula>
    </cfRule>
  </conditionalFormatting>
  <conditionalFormatting sqref="AB901:AF901">
    <cfRule type="notContainsBlanks" dxfId="1508" priority="1545">
      <formula>LEN(TRIM(AB901))&gt;0</formula>
    </cfRule>
  </conditionalFormatting>
  <conditionalFormatting sqref="AB901:AF901">
    <cfRule type="notContainsBlanks" dxfId="1507" priority="1544">
      <formula>LEN(TRIM(AB901))&gt;0</formula>
    </cfRule>
  </conditionalFormatting>
  <conditionalFormatting sqref="AB914:AF914">
    <cfRule type="notContainsBlanks" dxfId="1506" priority="1543">
      <formula>LEN(TRIM(AB914))&gt;0</formula>
    </cfRule>
  </conditionalFormatting>
  <conditionalFormatting sqref="AB914:AF914">
    <cfRule type="notContainsBlanks" dxfId="1505" priority="1542">
      <formula>LEN(TRIM(AB914))&gt;0</formula>
    </cfRule>
  </conditionalFormatting>
  <conditionalFormatting sqref="AB914:AF914">
    <cfRule type="notContainsBlanks" dxfId="1504" priority="1541">
      <formula>LEN(TRIM(AB914))&gt;0</formula>
    </cfRule>
  </conditionalFormatting>
  <conditionalFormatting sqref="AB914:AF914">
    <cfRule type="notContainsBlanks" dxfId="1503" priority="1540">
      <formula>LEN(TRIM(AB914))&gt;0</formula>
    </cfRule>
  </conditionalFormatting>
  <conditionalFormatting sqref="AB914:AF914">
    <cfRule type="notContainsBlanks" dxfId="1502" priority="1539">
      <formula>LEN(TRIM(AB914))&gt;0</formula>
    </cfRule>
  </conditionalFormatting>
  <conditionalFormatting sqref="AB914:AF914">
    <cfRule type="notContainsBlanks" dxfId="1501" priority="1538">
      <formula>LEN(TRIM(AB914))&gt;0</formula>
    </cfRule>
  </conditionalFormatting>
  <conditionalFormatting sqref="AB914:AF914">
    <cfRule type="notContainsBlanks" dxfId="1500" priority="1537">
      <formula>LEN(TRIM(AB914))&gt;0</formula>
    </cfRule>
  </conditionalFormatting>
  <conditionalFormatting sqref="AB914:AF914">
    <cfRule type="notContainsBlanks" dxfId="1499" priority="1536">
      <formula>LEN(TRIM(AB914))&gt;0</formula>
    </cfRule>
  </conditionalFormatting>
  <conditionalFormatting sqref="AB914:AF914">
    <cfRule type="notContainsBlanks" dxfId="1498" priority="1535">
      <formula>LEN(TRIM(AB914))&gt;0</formula>
    </cfRule>
  </conditionalFormatting>
  <conditionalFormatting sqref="AB914:AF914">
    <cfRule type="notContainsBlanks" dxfId="1497" priority="1533">
      <formula>LEN(TRIM(AB914))&gt;0</formula>
    </cfRule>
    <cfRule type="notContainsBlanks" dxfId="1496" priority="1534">
      <formula>LEN(TRIM(AB914))&gt;0</formula>
    </cfRule>
  </conditionalFormatting>
  <conditionalFormatting sqref="AB914:AF914">
    <cfRule type="notContainsBlanks" dxfId="1495" priority="1532">
      <formula>LEN(TRIM(AB914))&gt;0</formula>
    </cfRule>
  </conditionalFormatting>
  <conditionalFormatting sqref="AB914:AF914">
    <cfRule type="notContainsBlanks" dxfId="1494" priority="1531">
      <formula>LEN(TRIM(AB914))&gt;0</formula>
    </cfRule>
  </conditionalFormatting>
  <conditionalFormatting sqref="AB914:AF914">
    <cfRule type="notContainsBlanks" dxfId="1493" priority="1530">
      <formula>LEN(TRIM(AB914))&gt;0</formula>
    </cfRule>
  </conditionalFormatting>
  <conditionalFormatting sqref="AB914:AF914">
    <cfRule type="notContainsBlanks" dxfId="1492" priority="1529">
      <formula>LEN(TRIM(AB914))&gt;0</formula>
    </cfRule>
  </conditionalFormatting>
  <conditionalFormatting sqref="AB914:AF914">
    <cfRule type="notContainsBlanks" dxfId="1491" priority="1528">
      <formula>LEN(TRIM(AB914))&gt;0</formula>
    </cfRule>
  </conditionalFormatting>
  <conditionalFormatting sqref="AB914:AF914">
    <cfRule type="notContainsBlanks" dxfId="1490" priority="1527">
      <formula>LEN(TRIM(AB914))&gt;0</formula>
    </cfRule>
  </conditionalFormatting>
  <conditionalFormatting sqref="AB914:AF914">
    <cfRule type="notContainsBlanks" dxfId="1489" priority="1526">
      <formula>LEN(TRIM(AB914))&gt;0</formula>
    </cfRule>
  </conditionalFormatting>
  <conditionalFormatting sqref="AB914:AF914">
    <cfRule type="notContainsBlanks" dxfId="1488" priority="1525">
      <formula>LEN(TRIM(AB914))&gt;0</formula>
    </cfRule>
  </conditionalFormatting>
  <conditionalFormatting sqref="AB914:AF914">
    <cfRule type="notContainsBlanks" dxfId="1487" priority="1524">
      <formula>LEN(TRIM(AB914))&gt;0</formula>
    </cfRule>
  </conditionalFormatting>
  <conditionalFormatting sqref="AB914:AF914">
    <cfRule type="notContainsBlanks" priority="1523">
      <formula>LEN(TRIM(AB914))&gt;0</formula>
    </cfRule>
  </conditionalFormatting>
  <conditionalFormatting sqref="AB914:AF914">
    <cfRule type="notContainsBlanks" dxfId="1486" priority="1522">
      <formula>LEN(TRIM(AB914))&gt;0</formula>
    </cfRule>
  </conditionalFormatting>
  <conditionalFormatting sqref="AB914:AF914">
    <cfRule type="notContainsBlanks" dxfId="1485" priority="1521">
      <formula>LEN(TRIM(AB914))&gt;0</formula>
    </cfRule>
  </conditionalFormatting>
  <conditionalFormatting sqref="AB914:AF914">
    <cfRule type="notContainsBlanks" dxfId="1484" priority="1520">
      <formula>LEN(TRIM(AB914))&gt;0</formula>
    </cfRule>
  </conditionalFormatting>
  <conditionalFormatting sqref="AB914:AF914">
    <cfRule type="notContainsBlanks" dxfId="1483" priority="1519">
      <formula>LEN(TRIM(AB914))&gt;0</formula>
    </cfRule>
  </conditionalFormatting>
  <conditionalFormatting sqref="AB914:AF914">
    <cfRule type="notContainsBlanks" dxfId="1482" priority="1518">
      <formula>LEN(TRIM(AB914))&gt;0</formula>
    </cfRule>
  </conditionalFormatting>
  <conditionalFormatting sqref="AB927:AF927">
    <cfRule type="notContainsBlanks" dxfId="1481" priority="1517">
      <formula>LEN(TRIM(AB927))&gt;0</formula>
    </cfRule>
  </conditionalFormatting>
  <conditionalFormatting sqref="AB927:AF927">
    <cfRule type="notContainsBlanks" dxfId="1480" priority="1516">
      <formula>LEN(TRIM(AB927))&gt;0</formula>
    </cfRule>
  </conditionalFormatting>
  <conditionalFormatting sqref="AB927:AF927">
    <cfRule type="notContainsBlanks" dxfId="1479" priority="1515">
      <formula>LEN(TRIM(AB927))&gt;0</formula>
    </cfRule>
  </conditionalFormatting>
  <conditionalFormatting sqref="AB927:AF927">
    <cfRule type="notContainsBlanks" dxfId="1478" priority="1514">
      <formula>LEN(TRIM(AB927))&gt;0</formula>
    </cfRule>
  </conditionalFormatting>
  <conditionalFormatting sqref="AB927:AF927">
    <cfRule type="notContainsBlanks" dxfId="1477" priority="1513">
      <formula>LEN(TRIM(AB927))&gt;0</formula>
    </cfRule>
  </conditionalFormatting>
  <conditionalFormatting sqref="AB927:AF927">
    <cfRule type="notContainsBlanks" dxfId="1476" priority="1512">
      <formula>LEN(TRIM(AB927))&gt;0</formula>
    </cfRule>
  </conditionalFormatting>
  <conditionalFormatting sqref="AB927:AF927">
    <cfRule type="notContainsBlanks" dxfId="1475" priority="1511">
      <formula>LEN(TRIM(AB927))&gt;0</formula>
    </cfRule>
  </conditionalFormatting>
  <conditionalFormatting sqref="AB927:AF927">
    <cfRule type="notContainsBlanks" dxfId="1474" priority="1510">
      <formula>LEN(TRIM(AB927))&gt;0</formula>
    </cfRule>
  </conditionalFormatting>
  <conditionalFormatting sqref="AB927:AF927">
    <cfRule type="notContainsBlanks" dxfId="1473" priority="1509">
      <formula>LEN(TRIM(AB927))&gt;0</formula>
    </cfRule>
  </conditionalFormatting>
  <conditionalFormatting sqref="AB927:AF927">
    <cfRule type="notContainsBlanks" dxfId="1472" priority="1507">
      <formula>LEN(TRIM(AB927))&gt;0</formula>
    </cfRule>
    <cfRule type="notContainsBlanks" dxfId="1471" priority="1508">
      <formula>LEN(TRIM(AB927))&gt;0</formula>
    </cfRule>
  </conditionalFormatting>
  <conditionalFormatting sqref="AB927:AF927">
    <cfRule type="notContainsBlanks" dxfId="1470" priority="1506">
      <formula>LEN(TRIM(AB927))&gt;0</formula>
    </cfRule>
  </conditionalFormatting>
  <conditionalFormatting sqref="AB927:AF927">
    <cfRule type="notContainsBlanks" dxfId="1469" priority="1505">
      <formula>LEN(TRIM(AB927))&gt;0</formula>
    </cfRule>
  </conditionalFormatting>
  <conditionalFormatting sqref="AB927:AF927">
    <cfRule type="notContainsBlanks" dxfId="1468" priority="1504">
      <formula>LEN(TRIM(AB927))&gt;0</formula>
    </cfRule>
  </conditionalFormatting>
  <conditionalFormatting sqref="AB927:AF927">
    <cfRule type="notContainsBlanks" dxfId="1467" priority="1503">
      <formula>LEN(TRIM(AB927))&gt;0</formula>
    </cfRule>
  </conditionalFormatting>
  <conditionalFormatting sqref="AB927:AF927">
    <cfRule type="notContainsBlanks" dxfId="1466" priority="1502">
      <formula>LEN(TRIM(AB927))&gt;0</formula>
    </cfRule>
  </conditionalFormatting>
  <conditionalFormatting sqref="AB927:AF927">
    <cfRule type="notContainsBlanks" dxfId="1465" priority="1501">
      <formula>LEN(TRIM(AB927))&gt;0</formula>
    </cfRule>
  </conditionalFormatting>
  <conditionalFormatting sqref="AB927:AF927">
    <cfRule type="notContainsBlanks" dxfId="1464" priority="1500">
      <formula>LEN(TRIM(AB927))&gt;0</formula>
    </cfRule>
  </conditionalFormatting>
  <conditionalFormatting sqref="AB927:AF927">
    <cfRule type="notContainsBlanks" dxfId="1463" priority="1499">
      <formula>LEN(TRIM(AB927))&gt;0</formula>
    </cfRule>
  </conditionalFormatting>
  <conditionalFormatting sqref="AB927:AF927">
    <cfRule type="notContainsBlanks" dxfId="1462" priority="1498">
      <formula>LEN(TRIM(AB927))&gt;0</formula>
    </cfRule>
  </conditionalFormatting>
  <conditionalFormatting sqref="AB927:AF927">
    <cfRule type="notContainsBlanks" priority="1497">
      <formula>LEN(TRIM(AB927))&gt;0</formula>
    </cfRule>
  </conditionalFormatting>
  <conditionalFormatting sqref="AB927:AF927">
    <cfRule type="notContainsBlanks" dxfId="1461" priority="1496">
      <formula>LEN(TRIM(AB927))&gt;0</formula>
    </cfRule>
  </conditionalFormatting>
  <conditionalFormatting sqref="AB927:AF927">
    <cfRule type="notContainsBlanks" dxfId="1460" priority="1495">
      <formula>LEN(TRIM(AB927))&gt;0</formula>
    </cfRule>
  </conditionalFormatting>
  <conditionalFormatting sqref="AB927:AF927">
    <cfRule type="notContainsBlanks" dxfId="1459" priority="1494">
      <formula>LEN(TRIM(AB927))&gt;0</formula>
    </cfRule>
  </conditionalFormatting>
  <conditionalFormatting sqref="AB927:AF927">
    <cfRule type="notContainsBlanks" dxfId="1458" priority="1493">
      <formula>LEN(TRIM(AB927))&gt;0</formula>
    </cfRule>
  </conditionalFormatting>
  <conditionalFormatting sqref="AB927:AF927">
    <cfRule type="notContainsBlanks" dxfId="1457" priority="1492">
      <formula>LEN(TRIM(AB927))&gt;0</formula>
    </cfRule>
  </conditionalFormatting>
  <conditionalFormatting sqref="AB953:AF953">
    <cfRule type="notContainsBlanks" dxfId="1456" priority="1491">
      <formula>LEN(TRIM(AB953))&gt;0</formula>
    </cfRule>
  </conditionalFormatting>
  <conditionalFormatting sqref="AB953:AF953">
    <cfRule type="notContainsBlanks" dxfId="1455" priority="1490">
      <formula>LEN(TRIM(AB953))&gt;0</formula>
    </cfRule>
  </conditionalFormatting>
  <conditionalFormatting sqref="AB953:AF953">
    <cfRule type="notContainsBlanks" dxfId="1454" priority="1489">
      <formula>LEN(TRIM(AB953))&gt;0</formula>
    </cfRule>
  </conditionalFormatting>
  <conditionalFormatting sqref="AB953:AF953">
    <cfRule type="notContainsBlanks" dxfId="1453" priority="1488">
      <formula>LEN(TRIM(AB953))&gt;0</formula>
    </cfRule>
  </conditionalFormatting>
  <conditionalFormatting sqref="AB953:AF953">
    <cfRule type="notContainsBlanks" dxfId="1452" priority="1487">
      <formula>LEN(TRIM(AB953))&gt;0</formula>
    </cfRule>
  </conditionalFormatting>
  <conditionalFormatting sqref="AB953:AF953">
    <cfRule type="notContainsBlanks" dxfId="1451" priority="1486">
      <formula>LEN(TRIM(AB953))&gt;0</formula>
    </cfRule>
  </conditionalFormatting>
  <conditionalFormatting sqref="AB953:AF953">
    <cfRule type="notContainsBlanks" dxfId="1450" priority="1485">
      <formula>LEN(TRIM(AB953))&gt;0</formula>
    </cfRule>
  </conditionalFormatting>
  <conditionalFormatting sqref="AB953:AF953">
    <cfRule type="notContainsBlanks" dxfId="1449" priority="1484">
      <formula>LEN(TRIM(AB953))&gt;0</formula>
    </cfRule>
  </conditionalFormatting>
  <conditionalFormatting sqref="AB953:AF953">
    <cfRule type="notContainsBlanks" dxfId="1448" priority="1483">
      <formula>LEN(TRIM(AB953))&gt;0</formula>
    </cfRule>
  </conditionalFormatting>
  <conditionalFormatting sqref="AB953:AF953">
    <cfRule type="notContainsBlanks" dxfId="1447" priority="1481">
      <formula>LEN(TRIM(AB953))&gt;0</formula>
    </cfRule>
    <cfRule type="notContainsBlanks" dxfId="1446" priority="1482">
      <formula>LEN(TRIM(AB953))&gt;0</formula>
    </cfRule>
  </conditionalFormatting>
  <conditionalFormatting sqref="AB953:AF953">
    <cfRule type="notContainsBlanks" dxfId="1445" priority="1480">
      <formula>LEN(TRIM(AB953))&gt;0</formula>
    </cfRule>
  </conditionalFormatting>
  <conditionalFormatting sqref="AB953:AF953">
    <cfRule type="notContainsBlanks" dxfId="1444" priority="1479">
      <formula>LEN(TRIM(AB953))&gt;0</formula>
    </cfRule>
  </conditionalFormatting>
  <conditionalFormatting sqref="AB953:AF953">
    <cfRule type="notContainsBlanks" dxfId="1443" priority="1478">
      <formula>LEN(TRIM(AB953))&gt;0</formula>
    </cfRule>
  </conditionalFormatting>
  <conditionalFormatting sqref="AB953:AF953">
    <cfRule type="notContainsBlanks" dxfId="1442" priority="1477">
      <formula>LEN(TRIM(AB953))&gt;0</formula>
    </cfRule>
  </conditionalFormatting>
  <conditionalFormatting sqref="AB953:AF953">
    <cfRule type="notContainsBlanks" dxfId="1441" priority="1476">
      <formula>LEN(TRIM(AB953))&gt;0</formula>
    </cfRule>
  </conditionalFormatting>
  <conditionalFormatting sqref="AB953:AF953">
    <cfRule type="notContainsBlanks" dxfId="1440" priority="1475">
      <formula>LEN(TRIM(AB953))&gt;0</formula>
    </cfRule>
  </conditionalFormatting>
  <conditionalFormatting sqref="AB953:AF953">
    <cfRule type="notContainsBlanks" dxfId="1439" priority="1474">
      <formula>LEN(TRIM(AB953))&gt;0</formula>
    </cfRule>
  </conditionalFormatting>
  <conditionalFormatting sqref="AB953:AF953">
    <cfRule type="notContainsBlanks" dxfId="1438" priority="1473">
      <formula>LEN(TRIM(AB953))&gt;0</formula>
    </cfRule>
  </conditionalFormatting>
  <conditionalFormatting sqref="AB953:AF953">
    <cfRule type="notContainsBlanks" dxfId="1437" priority="1472">
      <formula>LEN(TRIM(AB953))&gt;0</formula>
    </cfRule>
  </conditionalFormatting>
  <conditionalFormatting sqref="AB953:AF953">
    <cfRule type="notContainsBlanks" priority="1471">
      <formula>LEN(TRIM(AB953))&gt;0</formula>
    </cfRule>
  </conditionalFormatting>
  <conditionalFormatting sqref="AB953:AF953">
    <cfRule type="notContainsBlanks" dxfId="1436" priority="1470">
      <formula>LEN(TRIM(AB953))&gt;0</formula>
    </cfRule>
  </conditionalFormatting>
  <conditionalFormatting sqref="AB953:AF953">
    <cfRule type="notContainsBlanks" dxfId="1435" priority="1469">
      <formula>LEN(TRIM(AB953))&gt;0</formula>
    </cfRule>
  </conditionalFormatting>
  <conditionalFormatting sqref="AB953:AF953">
    <cfRule type="notContainsBlanks" dxfId="1434" priority="1468">
      <formula>LEN(TRIM(AB953))&gt;0</formula>
    </cfRule>
  </conditionalFormatting>
  <conditionalFormatting sqref="AB953:AF953">
    <cfRule type="notContainsBlanks" dxfId="1433" priority="1467">
      <formula>LEN(TRIM(AB953))&gt;0</formula>
    </cfRule>
  </conditionalFormatting>
  <conditionalFormatting sqref="AB953:AF953">
    <cfRule type="notContainsBlanks" dxfId="1432" priority="1466">
      <formula>LEN(TRIM(AB953))&gt;0</formula>
    </cfRule>
  </conditionalFormatting>
  <conditionalFormatting sqref="AB966:AF966">
    <cfRule type="notContainsBlanks" dxfId="1431" priority="1465">
      <formula>LEN(TRIM(AB966))&gt;0</formula>
    </cfRule>
  </conditionalFormatting>
  <conditionalFormatting sqref="AB966:AF966">
    <cfRule type="notContainsBlanks" dxfId="1430" priority="1464">
      <formula>LEN(TRIM(AB966))&gt;0</formula>
    </cfRule>
  </conditionalFormatting>
  <conditionalFormatting sqref="AB966:AF966">
    <cfRule type="notContainsBlanks" dxfId="1429" priority="1463">
      <formula>LEN(TRIM(AB966))&gt;0</formula>
    </cfRule>
  </conditionalFormatting>
  <conditionalFormatting sqref="AB966:AF966">
    <cfRule type="notContainsBlanks" dxfId="1428" priority="1462">
      <formula>LEN(TRIM(AB966))&gt;0</formula>
    </cfRule>
  </conditionalFormatting>
  <conditionalFormatting sqref="AB966:AF966">
    <cfRule type="notContainsBlanks" dxfId="1427" priority="1461">
      <formula>LEN(TRIM(AB966))&gt;0</formula>
    </cfRule>
  </conditionalFormatting>
  <conditionalFormatting sqref="AB966:AF966">
    <cfRule type="notContainsBlanks" dxfId="1426" priority="1460">
      <formula>LEN(TRIM(AB966))&gt;0</formula>
    </cfRule>
  </conditionalFormatting>
  <conditionalFormatting sqref="AB966:AF966">
    <cfRule type="notContainsBlanks" dxfId="1425" priority="1459">
      <formula>LEN(TRIM(AB966))&gt;0</formula>
    </cfRule>
  </conditionalFormatting>
  <conditionalFormatting sqref="AB966:AF966">
    <cfRule type="notContainsBlanks" dxfId="1424" priority="1458">
      <formula>LEN(TRIM(AB966))&gt;0</formula>
    </cfRule>
  </conditionalFormatting>
  <conditionalFormatting sqref="AB966:AF966">
    <cfRule type="notContainsBlanks" dxfId="1423" priority="1457">
      <formula>LEN(TRIM(AB966))&gt;0</formula>
    </cfRule>
  </conditionalFormatting>
  <conditionalFormatting sqref="AB966:AF966">
    <cfRule type="notContainsBlanks" dxfId="1422" priority="1455">
      <formula>LEN(TRIM(AB966))&gt;0</formula>
    </cfRule>
    <cfRule type="notContainsBlanks" dxfId="1421" priority="1456">
      <formula>LEN(TRIM(AB966))&gt;0</formula>
    </cfRule>
  </conditionalFormatting>
  <conditionalFormatting sqref="AB966:AF966">
    <cfRule type="notContainsBlanks" dxfId="1420" priority="1454">
      <formula>LEN(TRIM(AB966))&gt;0</formula>
    </cfRule>
  </conditionalFormatting>
  <conditionalFormatting sqref="AB966:AF966">
    <cfRule type="notContainsBlanks" dxfId="1419" priority="1453">
      <formula>LEN(TRIM(AB966))&gt;0</formula>
    </cfRule>
  </conditionalFormatting>
  <conditionalFormatting sqref="AB966:AF966">
    <cfRule type="notContainsBlanks" dxfId="1418" priority="1452">
      <formula>LEN(TRIM(AB966))&gt;0</formula>
    </cfRule>
  </conditionalFormatting>
  <conditionalFormatting sqref="AB966:AF966">
    <cfRule type="notContainsBlanks" dxfId="1417" priority="1451">
      <formula>LEN(TRIM(AB966))&gt;0</formula>
    </cfRule>
  </conditionalFormatting>
  <conditionalFormatting sqref="AB966:AF966">
    <cfRule type="notContainsBlanks" dxfId="1416" priority="1450">
      <formula>LEN(TRIM(AB966))&gt;0</formula>
    </cfRule>
  </conditionalFormatting>
  <conditionalFormatting sqref="AB966:AF966">
    <cfRule type="notContainsBlanks" dxfId="1415" priority="1449">
      <formula>LEN(TRIM(AB966))&gt;0</formula>
    </cfRule>
  </conditionalFormatting>
  <conditionalFormatting sqref="AB966:AF966">
    <cfRule type="notContainsBlanks" dxfId="1414" priority="1448">
      <formula>LEN(TRIM(AB966))&gt;0</formula>
    </cfRule>
  </conditionalFormatting>
  <conditionalFormatting sqref="AB966:AF966">
    <cfRule type="notContainsBlanks" dxfId="1413" priority="1447">
      <formula>LEN(TRIM(AB966))&gt;0</formula>
    </cfRule>
  </conditionalFormatting>
  <conditionalFormatting sqref="AB966:AF966">
    <cfRule type="notContainsBlanks" dxfId="1412" priority="1446">
      <formula>LEN(TRIM(AB966))&gt;0</formula>
    </cfRule>
  </conditionalFormatting>
  <conditionalFormatting sqref="AB966:AF966">
    <cfRule type="notContainsBlanks" priority="1445">
      <formula>LEN(TRIM(AB966))&gt;0</formula>
    </cfRule>
  </conditionalFormatting>
  <conditionalFormatting sqref="AB966:AF966">
    <cfRule type="notContainsBlanks" dxfId="1411" priority="1444">
      <formula>LEN(TRIM(AB966))&gt;0</formula>
    </cfRule>
  </conditionalFormatting>
  <conditionalFormatting sqref="AB966:AF966">
    <cfRule type="notContainsBlanks" dxfId="1410" priority="1443">
      <formula>LEN(TRIM(AB966))&gt;0</formula>
    </cfRule>
  </conditionalFormatting>
  <conditionalFormatting sqref="AB966:AF966">
    <cfRule type="notContainsBlanks" dxfId="1409" priority="1442">
      <formula>LEN(TRIM(AB966))&gt;0</formula>
    </cfRule>
  </conditionalFormatting>
  <conditionalFormatting sqref="AB966:AF966">
    <cfRule type="notContainsBlanks" dxfId="1408" priority="1441">
      <formula>LEN(TRIM(AB966))&gt;0</formula>
    </cfRule>
  </conditionalFormatting>
  <conditionalFormatting sqref="AB966:AF966">
    <cfRule type="notContainsBlanks" dxfId="1407" priority="1440">
      <formula>LEN(TRIM(AB966))&gt;0</formula>
    </cfRule>
  </conditionalFormatting>
  <conditionalFormatting sqref="AB979:AF979">
    <cfRule type="notContainsBlanks" dxfId="1406" priority="1439">
      <formula>LEN(TRIM(AB979))&gt;0</formula>
    </cfRule>
  </conditionalFormatting>
  <conditionalFormatting sqref="AB979:AF979">
    <cfRule type="notContainsBlanks" dxfId="1405" priority="1438">
      <formula>LEN(TRIM(AB979))&gt;0</formula>
    </cfRule>
  </conditionalFormatting>
  <conditionalFormatting sqref="AB979:AF979">
    <cfRule type="notContainsBlanks" dxfId="1404" priority="1437">
      <formula>LEN(TRIM(AB979))&gt;0</formula>
    </cfRule>
  </conditionalFormatting>
  <conditionalFormatting sqref="AB979:AF979">
    <cfRule type="notContainsBlanks" dxfId="1403" priority="1436">
      <formula>LEN(TRIM(AB979))&gt;0</formula>
    </cfRule>
  </conditionalFormatting>
  <conditionalFormatting sqref="AB979:AF979">
    <cfRule type="notContainsBlanks" dxfId="1402" priority="1435">
      <formula>LEN(TRIM(AB979))&gt;0</formula>
    </cfRule>
  </conditionalFormatting>
  <conditionalFormatting sqref="AB979:AF979">
    <cfRule type="notContainsBlanks" dxfId="1401" priority="1434">
      <formula>LEN(TRIM(AB979))&gt;0</formula>
    </cfRule>
  </conditionalFormatting>
  <conditionalFormatting sqref="AB979:AF979">
    <cfRule type="notContainsBlanks" dxfId="1400" priority="1433">
      <formula>LEN(TRIM(AB979))&gt;0</formula>
    </cfRule>
  </conditionalFormatting>
  <conditionalFormatting sqref="AB979:AF979">
    <cfRule type="notContainsBlanks" dxfId="1399" priority="1432">
      <formula>LEN(TRIM(AB979))&gt;0</formula>
    </cfRule>
  </conditionalFormatting>
  <conditionalFormatting sqref="AB979:AF979">
    <cfRule type="notContainsBlanks" dxfId="1398" priority="1431">
      <formula>LEN(TRIM(AB979))&gt;0</formula>
    </cfRule>
  </conditionalFormatting>
  <conditionalFormatting sqref="AB979:AF979">
    <cfRule type="notContainsBlanks" dxfId="1397" priority="1429">
      <formula>LEN(TRIM(AB979))&gt;0</formula>
    </cfRule>
    <cfRule type="notContainsBlanks" dxfId="1396" priority="1430">
      <formula>LEN(TRIM(AB979))&gt;0</formula>
    </cfRule>
  </conditionalFormatting>
  <conditionalFormatting sqref="AB979:AF979">
    <cfRule type="notContainsBlanks" dxfId="1395" priority="1428">
      <formula>LEN(TRIM(AB979))&gt;0</formula>
    </cfRule>
  </conditionalFormatting>
  <conditionalFormatting sqref="AB979:AF979">
    <cfRule type="notContainsBlanks" dxfId="1394" priority="1427">
      <formula>LEN(TRIM(AB979))&gt;0</formula>
    </cfRule>
  </conditionalFormatting>
  <conditionalFormatting sqref="AB979:AF979">
    <cfRule type="notContainsBlanks" dxfId="1393" priority="1426">
      <formula>LEN(TRIM(AB979))&gt;0</formula>
    </cfRule>
  </conditionalFormatting>
  <conditionalFormatting sqref="AB979:AF979">
    <cfRule type="notContainsBlanks" dxfId="1392" priority="1425">
      <formula>LEN(TRIM(AB979))&gt;0</formula>
    </cfRule>
  </conditionalFormatting>
  <conditionalFormatting sqref="AB979:AF979">
    <cfRule type="notContainsBlanks" dxfId="1391" priority="1424">
      <formula>LEN(TRIM(AB979))&gt;0</formula>
    </cfRule>
  </conditionalFormatting>
  <conditionalFormatting sqref="AB979:AF979">
    <cfRule type="notContainsBlanks" dxfId="1390" priority="1423">
      <formula>LEN(TRIM(AB979))&gt;0</formula>
    </cfRule>
  </conditionalFormatting>
  <conditionalFormatting sqref="AB979:AF979">
    <cfRule type="notContainsBlanks" dxfId="1389" priority="1422">
      <formula>LEN(TRIM(AB979))&gt;0</formula>
    </cfRule>
  </conditionalFormatting>
  <conditionalFormatting sqref="AB979:AF979">
    <cfRule type="notContainsBlanks" dxfId="1388" priority="1421">
      <formula>LEN(TRIM(AB979))&gt;0</formula>
    </cfRule>
  </conditionalFormatting>
  <conditionalFormatting sqref="AB979:AF979">
    <cfRule type="notContainsBlanks" dxfId="1387" priority="1420">
      <formula>LEN(TRIM(AB979))&gt;0</formula>
    </cfRule>
  </conditionalFormatting>
  <conditionalFormatting sqref="AB979:AF979">
    <cfRule type="notContainsBlanks" priority="1419">
      <formula>LEN(TRIM(AB979))&gt;0</formula>
    </cfRule>
  </conditionalFormatting>
  <conditionalFormatting sqref="AB979:AF979">
    <cfRule type="notContainsBlanks" dxfId="1386" priority="1418">
      <formula>LEN(TRIM(AB979))&gt;0</formula>
    </cfRule>
  </conditionalFormatting>
  <conditionalFormatting sqref="AB979:AF979">
    <cfRule type="notContainsBlanks" dxfId="1385" priority="1417">
      <formula>LEN(TRIM(AB979))&gt;0</formula>
    </cfRule>
  </conditionalFormatting>
  <conditionalFormatting sqref="AB979:AF979">
    <cfRule type="notContainsBlanks" dxfId="1384" priority="1416">
      <formula>LEN(TRIM(AB979))&gt;0</formula>
    </cfRule>
  </conditionalFormatting>
  <conditionalFormatting sqref="AB979:AF979">
    <cfRule type="notContainsBlanks" dxfId="1383" priority="1415">
      <formula>LEN(TRIM(AB979))&gt;0</formula>
    </cfRule>
  </conditionalFormatting>
  <conditionalFormatting sqref="AB979:AF979">
    <cfRule type="notContainsBlanks" dxfId="1382" priority="1414">
      <formula>LEN(TRIM(AB979))&gt;0</formula>
    </cfRule>
  </conditionalFormatting>
  <conditionalFormatting sqref="AB992:AF992">
    <cfRule type="notContainsBlanks" dxfId="1381" priority="1413">
      <formula>LEN(TRIM(AB992))&gt;0</formula>
    </cfRule>
  </conditionalFormatting>
  <conditionalFormatting sqref="AB992:AF992">
    <cfRule type="notContainsBlanks" dxfId="1380" priority="1412">
      <formula>LEN(TRIM(AB992))&gt;0</formula>
    </cfRule>
  </conditionalFormatting>
  <conditionalFormatting sqref="AB992:AF992">
    <cfRule type="notContainsBlanks" dxfId="1379" priority="1411">
      <formula>LEN(TRIM(AB992))&gt;0</formula>
    </cfRule>
  </conditionalFormatting>
  <conditionalFormatting sqref="AB992:AF992">
    <cfRule type="notContainsBlanks" dxfId="1378" priority="1410">
      <formula>LEN(TRIM(AB992))&gt;0</formula>
    </cfRule>
  </conditionalFormatting>
  <conditionalFormatting sqref="AB992:AF992">
    <cfRule type="notContainsBlanks" dxfId="1377" priority="1409">
      <formula>LEN(TRIM(AB992))&gt;0</formula>
    </cfRule>
  </conditionalFormatting>
  <conditionalFormatting sqref="AB992:AF992">
    <cfRule type="notContainsBlanks" dxfId="1376" priority="1408">
      <formula>LEN(TRIM(AB992))&gt;0</formula>
    </cfRule>
  </conditionalFormatting>
  <conditionalFormatting sqref="AB992:AF992">
    <cfRule type="notContainsBlanks" dxfId="1375" priority="1407">
      <formula>LEN(TRIM(AB992))&gt;0</formula>
    </cfRule>
  </conditionalFormatting>
  <conditionalFormatting sqref="AB992:AF992">
    <cfRule type="notContainsBlanks" dxfId="1374" priority="1406">
      <formula>LEN(TRIM(AB992))&gt;0</formula>
    </cfRule>
  </conditionalFormatting>
  <conditionalFormatting sqref="AB992:AF992">
    <cfRule type="notContainsBlanks" dxfId="1373" priority="1405">
      <formula>LEN(TRIM(AB992))&gt;0</formula>
    </cfRule>
  </conditionalFormatting>
  <conditionalFormatting sqref="AB992:AF992">
    <cfRule type="notContainsBlanks" dxfId="1372" priority="1403">
      <formula>LEN(TRIM(AB992))&gt;0</formula>
    </cfRule>
    <cfRule type="notContainsBlanks" dxfId="1371" priority="1404">
      <formula>LEN(TRIM(AB992))&gt;0</formula>
    </cfRule>
  </conditionalFormatting>
  <conditionalFormatting sqref="AB992:AF992">
    <cfRule type="notContainsBlanks" dxfId="1370" priority="1402">
      <formula>LEN(TRIM(AB992))&gt;0</formula>
    </cfRule>
  </conditionalFormatting>
  <conditionalFormatting sqref="AB992:AF992">
    <cfRule type="notContainsBlanks" dxfId="1369" priority="1401">
      <formula>LEN(TRIM(AB992))&gt;0</formula>
    </cfRule>
  </conditionalFormatting>
  <conditionalFormatting sqref="AB992:AF992">
    <cfRule type="notContainsBlanks" dxfId="1368" priority="1400">
      <formula>LEN(TRIM(AB992))&gt;0</formula>
    </cfRule>
  </conditionalFormatting>
  <conditionalFormatting sqref="AB992:AF992">
    <cfRule type="notContainsBlanks" dxfId="1367" priority="1399">
      <formula>LEN(TRIM(AB992))&gt;0</formula>
    </cfRule>
  </conditionalFormatting>
  <conditionalFormatting sqref="AB992:AF992">
    <cfRule type="notContainsBlanks" dxfId="1366" priority="1398">
      <formula>LEN(TRIM(AB992))&gt;0</formula>
    </cfRule>
  </conditionalFormatting>
  <conditionalFormatting sqref="AB992:AF992">
    <cfRule type="notContainsBlanks" dxfId="1365" priority="1397">
      <formula>LEN(TRIM(AB992))&gt;0</formula>
    </cfRule>
  </conditionalFormatting>
  <conditionalFormatting sqref="AB992:AF992">
    <cfRule type="notContainsBlanks" dxfId="1364" priority="1396">
      <formula>LEN(TRIM(AB992))&gt;0</formula>
    </cfRule>
  </conditionalFormatting>
  <conditionalFormatting sqref="AB992:AF992">
    <cfRule type="notContainsBlanks" dxfId="1363" priority="1395">
      <formula>LEN(TRIM(AB992))&gt;0</formula>
    </cfRule>
  </conditionalFormatting>
  <conditionalFormatting sqref="AB992:AF992">
    <cfRule type="notContainsBlanks" dxfId="1362" priority="1394">
      <formula>LEN(TRIM(AB992))&gt;0</formula>
    </cfRule>
  </conditionalFormatting>
  <conditionalFormatting sqref="AB992:AF992">
    <cfRule type="notContainsBlanks" priority="1393">
      <formula>LEN(TRIM(AB992))&gt;0</formula>
    </cfRule>
  </conditionalFormatting>
  <conditionalFormatting sqref="AB992:AF992">
    <cfRule type="notContainsBlanks" dxfId="1361" priority="1392">
      <formula>LEN(TRIM(AB992))&gt;0</formula>
    </cfRule>
  </conditionalFormatting>
  <conditionalFormatting sqref="AB992:AF992">
    <cfRule type="notContainsBlanks" dxfId="1360" priority="1391">
      <formula>LEN(TRIM(AB992))&gt;0</formula>
    </cfRule>
  </conditionalFormatting>
  <conditionalFormatting sqref="AB992:AF992">
    <cfRule type="notContainsBlanks" dxfId="1359" priority="1390">
      <formula>LEN(TRIM(AB992))&gt;0</formula>
    </cfRule>
  </conditionalFormatting>
  <conditionalFormatting sqref="AB992:AF992">
    <cfRule type="notContainsBlanks" dxfId="1358" priority="1389">
      <formula>LEN(TRIM(AB992))&gt;0</formula>
    </cfRule>
  </conditionalFormatting>
  <conditionalFormatting sqref="AB992:AF992">
    <cfRule type="notContainsBlanks" dxfId="1357" priority="1388">
      <formula>LEN(TRIM(AB992))&gt;0</formula>
    </cfRule>
  </conditionalFormatting>
  <conditionalFormatting sqref="AB1005:AF1005">
    <cfRule type="notContainsBlanks" dxfId="1356" priority="1387">
      <formula>LEN(TRIM(AB1005))&gt;0</formula>
    </cfRule>
  </conditionalFormatting>
  <conditionalFormatting sqref="AB1005:AF1005">
    <cfRule type="notContainsBlanks" dxfId="1355" priority="1386">
      <formula>LEN(TRIM(AB1005))&gt;0</formula>
    </cfRule>
  </conditionalFormatting>
  <conditionalFormatting sqref="AB1005:AF1005">
    <cfRule type="notContainsBlanks" dxfId="1354" priority="1385">
      <formula>LEN(TRIM(AB1005))&gt;0</formula>
    </cfRule>
  </conditionalFormatting>
  <conditionalFormatting sqref="AB1005:AF1005">
    <cfRule type="notContainsBlanks" dxfId="1353" priority="1384">
      <formula>LEN(TRIM(AB1005))&gt;0</formula>
    </cfRule>
  </conditionalFormatting>
  <conditionalFormatting sqref="AB1005:AF1005">
    <cfRule type="notContainsBlanks" dxfId="1352" priority="1383">
      <formula>LEN(TRIM(AB1005))&gt;0</formula>
    </cfRule>
  </conditionalFormatting>
  <conditionalFormatting sqref="AB1005:AF1005">
    <cfRule type="notContainsBlanks" dxfId="1351" priority="1382">
      <formula>LEN(TRIM(AB1005))&gt;0</formula>
    </cfRule>
  </conditionalFormatting>
  <conditionalFormatting sqref="AB1005:AF1005">
    <cfRule type="notContainsBlanks" dxfId="1350" priority="1381">
      <formula>LEN(TRIM(AB1005))&gt;0</formula>
    </cfRule>
  </conditionalFormatting>
  <conditionalFormatting sqref="AB1005:AF1005">
    <cfRule type="notContainsBlanks" dxfId="1349" priority="1380">
      <formula>LEN(TRIM(AB1005))&gt;0</formula>
    </cfRule>
  </conditionalFormatting>
  <conditionalFormatting sqref="AB1005:AF1005">
    <cfRule type="notContainsBlanks" dxfId="1348" priority="1379">
      <formula>LEN(TRIM(AB1005))&gt;0</formula>
    </cfRule>
  </conditionalFormatting>
  <conditionalFormatting sqref="AB1005:AF1005">
    <cfRule type="notContainsBlanks" dxfId="1347" priority="1377">
      <formula>LEN(TRIM(AB1005))&gt;0</formula>
    </cfRule>
    <cfRule type="notContainsBlanks" dxfId="1346" priority="1378">
      <formula>LEN(TRIM(AB1005))&gt;0</formula>
    </cfRule>
  </conditionalFormatting>
  <conditionalFormatting sqref="AB1005:AF1005">
    <cfRule type="notContainsBlanks" dxfId="1345" priority="1376">
      <formula>LEN(TRIM(AB1005))&gt;0</formula>
    </cfRule>
  </conditionalFormatting>
  <conditionalFormatting sqref="AB1005:AF1005">
    <cfRule type="notContainsBlanks" dxfId="1344" priority="1375">
      <formula>LEN(TRIM(AB1005))&gt;0</formula>
    </cfRule>
  </conditionalFormatting>
  <conditionalFormatting sqref="AB1005:AF1005">
    <cfRule type="notContainsBlanks" dxfId="1343" priority="1374">
      <formula>LEN(TRIM(AB1005))&gt;0</formula>
    </cfRule>
  </conditionalFormatting>
  <conditionalFormatting sqref="AB1005:AF1005">
    <cfRule type="notContainsBlanks" dxfId="1342" priority="1373">
      <formula>LEN(TRIM(AB1005))&gt;0</formula>
    </cfRule>
  </conditionalFormatting>
  <conditionalFormatting sqref="AB1005:AF1005">
    <cfRule type="notContainsBlanks" dxfId="1341" priority="1372">
      <formula>LEN(TRIM(AB1005))&gt;0</formula>
    </cfRule>
  </conditionalFormatting>
  <conditionalFormatting sqref="AB1005:AF1005">
    <cfRule type="notContainsBlanks" dxfId="1340" priority="1371">
      <formula>LEN(TRIM(AB1005))&gt;0</formula>
    </cfRule>
  </conditionalFormatting>
  <conditionalFormatting sqref="AB1005:AF1005">
    <cfRule type="notContainsBlanks" dxfId="1339" priority="1370">
      <formula>LEN(TRIM(AB1005))&gt;0</formula>
    </cfRule>
  </conditionalFormatting>
  <conditionalFormatting sqref="AB1005:AF1005">
    <cfRule type="notContainsBlanks" dxfId="1338" priority="1369">
      <formula>LEN(TRIM(AB1005))&gt;0</formula>
    </cfRule>
  </conditionalFormatting>
  <conditionalFormatting sqref="AB1005:AF1005">
    <cfRule type="notContainsBlanks" dxfId="1337" priority="1368">
      <formula>LEN(TRIM(AB1005))&gt;0</formula>
    </cfRule>
  </conditionalFormatting>
  <conditionalFormatting sqref="AB1005:AF1005">
    <cfRule type="notContainsBlanks" priority="1367">
      <formula>LEN(TRIM(AB1005))&gt;0</formula>
    </cfRule>
  </conditionalFormatting>
  <conditionalFormatting sqref="AB1005:AF1005">
    <cfRule type="notContainsBlanks" dxfId="1336" priority="1366">
      <formula>LEN(TRIM(AB1005))&gt;0</formula>
    </cfRule>
  </conditionalFormatting>
  <conditionalFormatting sqref="AB1005:AF1005">
    <cfRule type="notContainsBlanks" dxfId="1335" priority="1365">
      <formula>LEN(TRIM(AB1005))&gt;0</formula>
    </cfRule>
  </conditionalFormatting>
  <conditionalFormatting sqref="AB1005:AF1005">
    <cfRule type="notContainsBlanks" dxfId="1334" priority="1364">
      <formula>LEN(TRIM(AB1005))&gt;0</formula>
    </cfRule>
  </conditionalFormatting>
  <conditionalFormatting sqref="AB1005:AF1005">
    <cfRule type="notContainsBlanks" dxfId="1333" priority="1363">
      <formula>LEN(TRIM(AB1005))&gt;0</formula>
    </cfRule>
  </conditionalFormatting>
  <conditionalFormatting sqref="AB1005:AF1005">
    <cfRule type="notContainsBlanks" dxfId="1332" priority="1362">
      <formula>LEN(TRIM(AB1005))&gt;0</formula>
    </cfRule>
  </conditionalFormatting>
  <conditionalFormatting sqref="AB1031:AF1031">
    <cfRule type="notContainsBlanks" dxfId="1331" priority="1361">
      <formula>LEN(TRIM(AB1031))&gt;0</formula>
    </cfRule>
  </conditionalFormatting>
  <conditionalFormatting sqref="AB1031:AF1031">
    <cfRule type="notContainsBlanks" dxfId="1330" priority="1360">
      <formula>LEN(TRIM(AB1031))&gt;0</formula>
    </cfRule>
  </conditionalFormatting>
  <conditionalFormatting sqref="AB1031:AF1031">
    <cfRule type="notContainsBlanks" dxfId="1329" priority="1359">
      <formula>LEN(TRIM(AB1031))&gt;0</formula>
    </cfRule>
  </conditionalFormatting>
  <conditionalFormatting sqref="AB1031:AF1031">
    <cfRule type="notContainsBlanks" dxfId="1328" priority="1358">
      <formula>LEN(TRIM(AB1031))&gt;0</formula>
    </cfRule>
  </conditionalFormatting>
  <conditionalFormatting sqref="AB1031:AF1031">
    <cfRule type="notContainsBlanks" dxfId="1327" priority="1357">
      <formula>LEN(TRIM(AB1031))&gt;0</formula>
    </cfRule>
  </conditionalFormatting>
  <conditionalFormatting sqref="AB1031:AF1031">
    <cfRule type="notContainsBlanks" dxfId="1326" priority="1356">
      <formula>LEN(TRIM(AB1031))&gt;0</formula>
    </cfRule>
  </conditionalFormatting>
  <conditionalFormatting sqref="AB1031:AF1031">
    <cfRule type="notContainsBlanks" dxfId="1325" priority="1355">
      <formula>LEN(TRIM(AB1031))&gt;0</formula>
    </cfRule>
  </conditionalFormatting>
  <conditionalFormatting sqref="AB1031:AF1031">
    <cfRule type="notContainsBlanks" dxfId="1324" priority="1354">
      <formula>LEN(TRIM(AB1031))&gt;0</formula>
    </cfRule>
  </conditionalFormatting>
  <conditionalFormatting sqref="AB1031:AF1031">
    <cfRule type="notContainsBlanks" dxfId="1323" priority="1353">
      <formula>LEN(TRIM(AB1031))&gt;0</formula>
    </cfRule>
  </conditionalFormatting>
  <conditionalFormatting sqref="AB1031:AF1031">
    <cfRule type="notContainsBlanks" dxfId="1322" priority="1351">
      <formula>LEN(TRIM(AB1031))&gt;0</formula>
    </cfRule>
    <cfRule type="notContainsBlanks" dxfId="1321" priority="1352">
      <formula>LEN(TRIM(AB1031))&gt;0</formula>
    </cfRule>
  </conditionalFormatting>
  <conditionalFormatting sqref="AB1031:AF1031">
    <cfRule type="notContainsBlanks" dxfId="1320" priority="1350">
      <formula>LEN(TRIM(AB1031))&gt;0</formula>
    </cfRule>
  </conditionalFormatting>
  <conditionalFormatting sqref="AB1031:AF1031">
    <cfRule type="notContainsBlanks" dxfId="1319" priority="1349">
      <formula>LEN(TRIM(AB1031))&gt;0</formula>
    </cfRule>
  </conditionalFormatting>
  <conditionalFormatting sqref="AB1031:AF1031">
    <cfRule type="notContainsBlanks" dxfId="1318" priority="1348">
      <formula>LEN(TRIM(AB1031))&gt;0</formula>
    </cfRule>
  </conditionalFormatting>
  <conditionalFormatting sqref="AB1031:AF1031">
    <cfRule type="notContainsBlanks" dxfId="1317" priority="1347">
      <formula>LEN(TRIM(AB1031))&gt;0</formula>
    </cfRule>
  </conditionalFormatting>
  <conditionalFormatting sqref="AB1031:AF1031">
    <cfRule type="notContainsBlanks" dxfId="1316" priority="1346">
      <formula>LEN(TRIM(AB1031))&gt;0</formula>
    </cfRule>
  </conditionalFormatting>
  <conditionalFormatting sqref="AB1031:AF1031">
    <cfRule type="notContainsBlanks" dxfId="1315" priority="1345">
      <formula>LEN(TRIM(AB1031))&gt;0</formula>
    </cfRule>
  </conditionalFormatting>
  <conditionalFormatting sqref="AB1031:AF1031">
    <cfRule type="notContainsBlanks" dxfId="1314" priority="1344">
      <formula>LEN(TRIM(AB1031))&gt;0</formula>
    </cfRule>
  </conditionalFormatting>
  <conditionalFormatting sqref="AB1031:AF1031">
    <cfRule type="notContainsBlanks" dxfId="1313" priority="1343">
      <formula>LEN(TRIM(AB1031))&gt;0</formula>
    </cfRule>
  </conditionalFormatting>
  <conditionalFormatting sqref="AB1031:AF1031">
    <cfRule type="notContainsBlanks" dxfId="1312" priority="1342">
      <formula>LEN(TRIM(AB1031))&gt;0</formula>
    </cfRule>
  </conditionalFormatting>
  <conditionalFormatting sqref="AB1031:AF1031">
    <cfRule type="notContainsBlanks" priority="1341">
      <formula>LEN(TRIM(AB1031))&gt;0</formula>
    </cfRule>
  </conditionalFormatting>
  <conditionalFormatting sqref="AB1031:AF1031">
    <cfRule type="notContainsBlanks" dxfId="1311" priority="1340">
      <formula>LEN(TRIM(AB1031))&gt;0</formula>
    </cfRule>
  </conditionalFormatting>
  <conditionalFormatting sqref="AB1031:AF1031">
    <cfRule type="notContainsBlanks" dxfId="1310" priority="1339">
      <formula>LEN(TRIM(AB1031))&gt;0</formula>
    </cfRule>
  </conditionalFormatting>
  <conditionalFormatting sqref="AB1031:AF1031">
    <cfRule type="notContainsBlanks" dxfId="1309" priority="1338">
      <formula>LEN(TRIM(AB1031))&gt;0</formula>
    </cfRule>
  </conditionalFormatting>
  <conditionalFormatting sqref="AB1031:AF1031">
    <cfRule type="notContainsBlanks" dxfId="1308" priority="1337">
      <formula>LEN(TRIM(AB1031))&gt;0</formula>
    </cfRule>
  </conditionalFormatting>
  <conditionalFormatting sqref="AB1031:AF1031">
    <cfRule type="notContainsBlanks" dxfId="1307" priority="1336">
      <formula>LEN(TRIM(AB1031))&gt;0</formula>
    </cfRule>
  </conditionalFormatting>
  <conditionalFormatting sqref="AB1018:AF1018">
    <cfRule type="notContainsBlanks" dxfId="1306" priority="1335">
      <formula>LEN(TRIM(AB1018))&gt;0</formula>
    </cfRule>
  </conditionalFormatting>
  <conditionalFormatting sqref="AB1018:AF1018">
    <cfRule type="notContainsBlanks" dxfId="1305" priority="1334">
      <formula>LEN(TRIM(AB1018))&gt;0</formula>
    </cfRule>
  </conditionalFormatting>
  <conditionalFormatting sqref="AB1018:AF1018">
    <cfRule type="notContainsBlanks" dxfId="1304" priority="1333">
      <formula>LEN(TRIM(AB1018))&gt;0</formula>
    </cfRule>
  </conditionalFormatting>
  <conditionalFormatting sqref="AB1018:AF1018">
    <cfRule type="notContainsBlanks" dxfId="1303" priority="1332">
      <formula>LEN(TRIM(AB1018))&gt;0</formula>
    </cfRule>
  </conditionalFormatting>
  <conditionalFormatting sqref="AB1018:AF1018">
    <cfRule type="notContainsBlanks" dxfId="1302" priority="1331">
      <formula>LEN(TRIM(AB1018))&gt;0</formula>
    </cfRule>
  </conditionalFormatting>
  <conditionalFormatting sqref="AB1018:AF1018">
    <cfRule type="notContainsBlanks" dxfId="1301" priority="1330">
      <formula>LEN(TRIM(AB1018))&gt;0</formula>
    </cfRule>
  </conditionalFormatting>
  <conditionalFormatting sqref="AB1018:AF1018">
    <cfRule type="notContainsBlanks" dxfId="1300" priority="1329">
      <formula>LEN(TRIM(AB1018))&gt;0</formula>
    </cfRule>
  </conditionalFormatting>
  <conditionalFormatting sqref="AB1018:AF1018">
    <cfRule type="notContainsBlanks" dxfId="1299" priority="1328">
      <formula>LEN(TRIM(AB1018))&gt;0</formula>
    </cfRule>
  </conditionalFormatting>
  <conditionalFormatting sqref="AB1018:AF1018">
    <cfRule type="notContainsBlanks" dxfId="1298" priority="1327">
      <formula>LEN(TRIM(AB1018))&gt;0</formula>
    </cfRule>
  </conditionalFormatting>
  <conditionalFormatting sqref="AB1018:AF1018">
    <cfRule type="notContainsBlanks" dxfId="1297" priority="1325">
      <formula>LEN(TRIM(AB1018))&gt;0</formula>
    </cfRule>
    <cfRule type="notContainsBlanks" dxfId="1296" priority="1326">
      <formula>LEN(TRIM(AB1018))&gt;0</formula>
    </cfRule>
  </conditionalFormatting>
  <conditionalFormatting sqref="AB1018:AF1018">
    <cfRule type="notContainsBlanks" dxfId="1295" priority="1324">
      <formula>LEN(TRIM(AB1018))&gt;0</formula>
    </cfRule>
  </conditionalFormatting>
  <conditionalFormatting sqref="AB1018:AF1018">
    <cfRule type="notContainsBlanks" dxfId="1294" priority="1323">
      <formula>LEN(TRIM(AB1018))&gt;0</formula>
    </cfRule>
  </conditionalFormatting>
  <conditionalFormatting sqref="AB1018:AF1018">
    <cfRule type="notContainsBlanks" dxfId="1293" priority="1322">
      <formula>LEN(TRIM(AB1018))&gt;0</formula>
    </cfRule>
  </conditionalFormatting>
  <conditionalFormatting sqref="AB1018:AF1018">
    <cfRule type="notContainsBlanks" dxfId="1292" priority="1321">
      <formula>LEN(TRIM(AB1018))&gt;0</formula>
    </cfRule>
  </conditionalFormatting>
  <conditionalFormatting sqref="AB1018:AF1018">
    <cfRule type="notContainsBlanks" dxfId="1291" priority="1320">
      <formula>LEN(TRIM(AB1018))&gt;0</formula>
    </cfRule>
  </conditionalFormatting>
  <conditionalFormatting sqref="AB1018:AF1018">
    <cfRule type="notContainsBlanks" dxfId="1290" priority="1319">
      <formula>LEN(TRIM(AB1018))&gt;0</formula>
    </cfRule>
  </conditionalFormatting>
  <conditionalFormatting sqref="AB1018:AF1018">
    <cfRule type="notContainsBlanks" dxfId="1289" priority="1318">
      <formula>LEN(TRIM(AB1018))&gt;0</formula>
    </cfRule>
  </conditionalFormatting>
  <conditionalFormatting sqref="AB1018:AF1018">
    <cfRule type="notContainsBlanks" dxfId="1288" priority="1317">
      <formula>LEN(TRIM(AB1018))&gt;0</formula>
    </cfRule>
  </conditionalFormatting>
  <conditionalFormatting sqref="AB1018:AF1018">
    <cfRule type="notContainsBlanks" dxfId="1287" priority="1316">
      <formula>LEN(TRIM(AB1018))&gt;0</formula>
    </cfRule>
  </conditionalFormatting>
  <conditionalFormatting sqref="AB1018:AF1018">
    <cfRule type="notContainsBlanks" priority="1315">
      <formula>LEN(TRIM(AB1018))&gt;0</formula>
    </cfRule>
  </conditionalFormatting>
  <conditionalFormatting sqref="AB1018:AF1018">
    <cfRule type="notContainsBlanks" dxfId="1286" priority="1314">
      <formula>LEN(TRIM(AB1018))&gt;0</formula>
    </cfRule>
  </conditionalFormatting>
  <conditionalFormatting sqref="AB1018:AF1018">
    <cfRule type="notContainsBlanks" dxfId="1285" priority="1313">
      <formula>LEN(TRIM(AB1018))&gt;0</formula>
    </cfRule>
  </conditionalFormatting>
  <conditionalFormatting sqref="AB1018:AF1018">
    <cfRule type="notContainsBlanks" dxfId="1284" priority="1312">
      <formula>LEN(TRIM(AB1018))&gt;0</formula>
    </cfRule>
  </conditionalFormatting>
  <conditionalFormatting sqref="AB1018:AF1018">
    <cfRule type="notContainsBlanks" dxfId="1283" priority="1311">
      <formula>LEN(TRIM(AB1018))&gt;0</formula>
    </cfRule>
  </conditionalFormatting>
  <conditionalFormatting sqref="AB1018:AF1018">
    <cfRule type="notContainsBlanks" dxfId="1282" priority="1310">
      <formula>LEN(TRIM(AB1018))&gt;0</formula>
    </cfRule>
  </conditionalFormatting>
  <conditionalFormatting sqref="AB1044:AF1044">
    <cfRule type="notContainsBlanks" dxfId="1281" priority="1309">
      <formula>LEN(TRIM(AB1044))&gt;0</formula>
    </cfRule>
  </conditionalFormatting>
  <conditionalFormatting sqref="AB1044:AF1044">
    <cfRule type="notContainsBlanks" dxfId="1280" priority="1308">
      <formula>LEN(TRIM(AB1044))&gt;0</formula>
    </cfRule>
  </conditionalFormatting>
  <conditionalFormatting sqref="AB1044:AF1044">
    <cfRule type="notContainsBlanks" dxfId="1279" priority="1307">
      <formula>LEN(TRIM(AB1044))&gt;0</formula>
    </cfRule>
  </conditionalFormatting>
  <conditionalFormatting sqref="AB1044:AF1044">
    <cfRule type="notContainsBlanks" dxfId="1278" priority="1306">
      <formula>LEN(TRIM(AB1044))&gt;0</formula>
    </cfRule>
  </conditionalFormatting>
  <conditionalFormatting sqref="AB1044:AF1044">
    <cfRule type="notContainsBlanks" dxfId="1277" priority="1305">
      <formula>LEN(TRIM(AB1044))&gt;0</formula>
    </cfRule>
  </conditionalFormatting>
  <conditionalFormatting sqref="AB1044:AF1044">
    <cfRule type="notContainsBlanks" dxfId="1276" priority="1304">
      <formula>LEN(TRIM(AB1044))&gt;0</formula>
    </cfRule>
  </conditionalFormatting>
  <conditionalFormatting sqref="AB1044:AF1044">
    <cfRule type="notContainsBlanks" dxfId="1275" priority="1303">
      <formula>LEN(TRIM(AB1044))&gt;0</formula>
    </cfRule>
  </conditionalFormatting>
  <conditionalFormatting sqref="AB1044:AF1044">
    <cfRule type="notContainsBlanks" dxfId="1274" priority="1302">
      <formula>LEN(TRIM(AB1044))&gt;0</formula>
    </cfRule>
  </conditionalFormatting>
  <conditionalFormatting sqref="AB1044:AF1044">
    <cfRule type="notContainsBlanks" dxfId="1273" priority="1301">
      <formula>LEN(TRIM(AB1044))&gt;0</formula>
    </cfRule>
  </conditionalFormatting>
  <conditionalFormatting sqref="AB1044:AF1044">
    <cfRule type="notContainsBlanks" dxfId="1272" priority="1299">
      <formula>LEN(TRIM(AB1044))&gt;0</formula>
    </cfRule>
    <cfRule type="notContainsBlanks" dxfId="1271" priority="1300">
      <formula>LEN(TRIM(AB1044))&gt;0</formula>
    </cfRule>
  </conditionalFormatting>
  <conditionalFormatting sqref="AB1044:AF1044">
    <cfRule type="notContainsBlanks" dxfId="1270" priority="1298">
      <formula>LEN(TRIM(AB1044))&gt;0</formula>
    </cfRule>
  </conditionalFormatting>
  <conditionalFormatting sqref="AB1044:AF1044">
    <cfRule type="notContainsBlanks" dxfId="1269" priority="1297">
      <formula>LEN(TRIM(AB1044))&gt;0</formula>
    </cfRule>
  </conditionalFormatting>
  <conditionalFormatting sqref="AB1044:AF1044">
    <cfRule type="notContainsBlanks" dxfId="1268" priority="1296">
      <formula>LEN(TRIM(AB1044))&gt;0</formula>
    </cfRule>
  </conditionalFormatting>
  <conditionalFormatting sqref="AB1044:AF1044">
    <cfRule type="notContainsBlanks" dxfId="1267" priority="1295">
      <formula>LEN(TRIM(AB1044))&gt;0</formula>
    </cfRule>
  </conditionalFormatting>
  <conditionalFormatting sqref="AB1044:AF1044">
    <cfRule type="notContainsBlanks" dxfId="1266" priority="1294">
      <formula>LEN(TRIM(AB1044))&gt;0</formula>
    </cfRule>
  </conditionalFormatting>
  <conditionalFormatting sqref="AB1044:AF1044">
    <cfRule type="notContainsBlanks" dxfId="1265" priority="1293">
      <formula>LEN(TRIM(AB1044))&gt;0</formula>
    </cfRule>
  </conditionalFormatting>
  <conditionalFormatting sqref="AB1044:AF1044">
    <cfRule type="notContainsBlanks" dxfId="1264" priority="1292">
      <formula>LEN(TRIM(AB1044))&gt;0</formula>
    </cfRule>
  </conditionalFormatting>
  <conditionalFormatting sqref="AB1044:AF1044">
    <cfRule type="notContainsBlanks" dxfId="1263" priority="1291">
      <formula>LEN(TRIM(AB1044))&gt;0</formula>
    </cfRule>
  </conditionalFormatting>
  <conditionalFormatting sqref="AB1044:AF1044">
    <cfRule type="notContainsBlanks" dxfId="1262" priority="1290">
      <formula>LEN(TRIM(AB1044))&gt;0</formula>
    </cfRule>
  </conditionalFormatting>
  <conditionalFormatting sqref="AB1044:AF1044">
    <cfRule type="notContainsBlanks" priority="1289">
      <formula>LEN(TRIM(AB1044))&gt;0</formula>
    </cfRule>
  </conditionalFormatting>
  <conditionalFormatting sqref="AB1044:AF1044">
    <cfRule type="notContainsBlanks" dxfId="1261" priority="1288">
      <formula>LEN(TRIM(AB1044))&gt;0</formula>
    </cfRule>
  </conditionalFormatting>
  <conditionalFormatting sqref="AB1044:AF1044">
    <cfRule type="notContainsBlanks" dxfId="1260" priority="1287">
      <formula>LEN(TRIM(AB1044))&gt;0</formula>
    </cfRule>
  </conditionalFormatting>
  <conditionalFormatting sqref="AB1044:AF1044">
    <cfRule type="notContainsBlanks" dxfId="1259" priority="1286">
      <formula>LEN(TRIM(AB1044))&gt;0</formula>
    </cfRule>
  </conditionalFormatting>
  <conditionalFormatting sqref="AB1044:AF1044">
    <cfRule type="notContainsBlanks" dxfId="1258" priority="1285">
      <formula>LEN(TRIM(AB1044))&gt;0</formula>
    </cfRule>
  </conditionalFormatting>
  <conditionalFormatting sqref="AB1044:AF1044">
    <cfRule type="notContainsBlanks" dxfId="1257" priority="1284">
      <formula>LEN(TRIM(AB1044))&gt;0</formula>
    </cfRule>
  </conditionalFormatting>
  <conditionalFormatting sqref="AB1057:AF1057">
    <cfRule type="notContainsBlanks" dxfId="1256" priority="1283">
      <formula>LEN(TRIM(AB1057))&gt;0</formula>
    </cfRule>
  </conditionalFormatting>
  <conditionalFormatting sqref="AB1057:AF1057">
    <cfRule type="notContainsBlanks" dxfId="1255" priority="1282">
      <formula>LEN(TRIM(AB1057))&gt;0</formula>
    </cfRule>
  </conditionalFormatting>
  <conditionalFormatting sqref="AB1057:AF1057">
    <cfRule type="notContainsBlanks" dxfId="1254" priority="1281">
      <formula>LEN(TRIM(AB1057))&gt;0</formula>
    </cfRule>
  </conditionalFormatting>
  <conditionalFormatting sqref="AB1057:AF1057">
    <cfRule type="notContainsBlanks" dxfId="1253" priority="1280">
      <formula>LEN(TRIM(AB1057))&gt;0</formula>
    </cfRule>
  </conditionalFormatting>
  <conditionalFormatting sqref="AB1057:AF1057">
    <cfRule type="notContainsBlanks" dxfId="1252" priority="1279">
      <formula>LEN(TRIM(AB1057))&gt;0</formula>
    </cfRule>
  </conditionalFormatting>
  <conditionalFormatting sqref="AB1057:AF1057">
    <cfRule type="notContainsBlanks" dxfId="1251" priority="1278">
      <formula>LEN(TRIM(AB1057))&gt;0</formula>
    </cfRule>
  </conditionalFormatting>
  <conditionalFormatting sqref="AB1057:AF1057">
    <cfRule type="notContainsBlanks" dxfId="1250" priority="1277">
      <formula>LEN(TRIM(AB1057))&gt;0</formula>
    </cfRule>
  </conditionalFormatting>
  <conditionalFormatting sqref="AB1057:AF1057">
    <cfRule type="notContainsBlanks" dxfId="1249" priority="1276">
      <formula>LEN(TRIM(AB1057))&gt;0</formula>
    </cfRule>
  </conditionalFormatting>
  <conditionalFormatting sqref="AB1057:AF1057">
    <cfRule type="notContainsBlanks" dxfId="1248" priority="1275">
      <formula>LEN(TRIM(AB1057))&gt;0</formula>
    </cfRule>
  </conditionalFormatting>
  <conditionalFormatting sqref="AB1057:AF1057">
    <cfRule type="notContainsBlanks" dxfId="1247" priority="1273">
      <formula>LEN(TRIM(AB1057))&gt;0</formula>
    </cfRule>
    <cfRule type="notContainsBlanks" dxfId="1246" priority="1274">
      <formula>LEN(TRIM(AB1057))&gt;0</formula>
    </cfRule>
  </conditionalFormatting>
  <conditionalFormatting sqref="AB1057:AF1057">
    <cfRule type="notContainsBlanks" dxfId="1245" priority="1272">
      <formula>LEN(TRIM(AB1057))&gt;0</formula>
    </cfRule>
  </conditionalFormatting>
  <conditionalFormatting sqref="AB1057:AF1057">
    <cfRule type="notContainsBlanks" dxfId="1244" priority="1271">
      <formula>LEN(TRIM(AB1057))&gt;0</formula>
    </cfRule>
  </conditionalFormatting>
  <conditionalFormatting sqref="AB1057:AF1057">
    <cfRule type="notContainsBlanks" dxfId="1243" priority="1270">
      <formula>LEN(TRIM(AB1057))&gt;0</formula>
    </cfRule>
  </conditionalFormatting>
  <conditionalFormatting sqref="AB1057:AF1057">
    <cfRule type="notContainsBlanks" dxfId="1242" priority="1269">
      <formula>LEN(TRIM(AB1057))&gt;0</formula>
    </cfRule>
  </conditionalFormatting>
  <conditionalFormatting sqref="AB1057:AF1057">
    <cfRule type="notContainsBlanks" dxfId="1241" priority="1268">
      <formula>LEN(TRIM(AB1057))&gt;0</formula>
    </cfRule>
  </conditionalFormatting>
  <conditionalFormatting sqref="AB1057:AF1057">
    <cfRule type="notContainsBlanks" dxfId="1240" priority="1267">
      <formula>LEN(TRIM(AB1057))&gt;0</formula>
    </cfRule>
  </conditionalFormatting>
  <conditionalFormatting sqref="AB1057:AF1057">
    <cfRule type="notContainsBlanks" dxfId="1239" priority="1266">
      <formula>LEN(TRIM(AB1057))&gt;0</formula>
    </cfRule>
  </conditionalFormatting>
  <conditionalFormatting sqref="AB1057:AF1057">
    <cfRule type="notContainsBlanks" dxfId="1238" priority="1265">
      <formula>LEN(TRIM(AB1057))&gt;0</formula>
    </cfRule>
  </conditionalFormatting>
  <conditionalFormatting sqref="AB1057:AF1057">
    <cfRule type="notContainsBlanks" dxfId="1237" priority="1264">
      <formula>LEN(TRIM(AB1057))&gt;0</formula>
    </cfRule>
  </conditionalFormatting>
  <conditionalFormatting sqref="AB1057:AF1057">
    <cfRule type="notContainsBlanks" priority="1263">
      <formula>LEN(TRIM(AB1057))&gt;0</formula>
    </cfRule>
  </conditionalFormatting>
  <conditionalFormatting sqref="AB1057:AF1057">
    <cfRule type="notContainsBlanks" dxfId="1236" priority="1262">
      <formula>LEN(TRIM(AB1057))&gt;0</formula>
    </cfRule>
  </conditionalFormatting>
  <conditionalFormatting sqref="AB1057:AF1057">
    <cfRule type="notContainsBlanks" dxfId="1235" priority="1261">
      <formula>LEN(TRIM(AB1057))&gt;0</formula>
    </cfRule>
  </conditionalFormatting>
  <conditionalFormatting sqref="AB1057:AF1057">
    <cfRule type="notContainsBlanks" dxfId="1234" priority="1260">
      <formula>LEN(TRIM(AB1057))&gt;0</formula>
    </cfRule>
  </conditionalFormatting>
  <conditionalFormatting sqref="AB1057:AF1057">
    <cfRule type="notContainsBlanks" dxfId="1233" priority="1259">
      <formula>LEN(TRIM(AB1057))&gt;0</formula>
    </cfRule>
  </conditionalFormatting>
  <conditionalFormatting sqref="AB1057:AF1057">
    <cfRule type="notContainsBlanks" dxfId="1232" priority="1258">
      <formula>LEN(TRIM(AB1057))&gt;0</formula>
    </cfRule>
  </conditionalFormatting>
  <conditionalFormatting sqref="AB1070:AF1070">
    <cfRule type="notContainsBlanks" dxfId="1231" priority="1257">
      <formula>LEN(TRIM(AB1070))&gt;0</formula>
    </cfRule>
  </conditionalFormatting>
  <conditionalFormatting sqref="AB1070:AF1070">
    <cfRule type="notContainsBlanks" dxfId="1230" priority="1256">
      <formula>LEN(TRIM(AB1070))&gt;0</formula>
    </cfRule>
  </conditionalFormatting>
  <conditionalFormatting sqref="AB1070:AF1070">
    <cfRule type="notContainsBlanks" dxfId="1229" priority="1255">
      <formula>LEN(TRIM(AB1070))&gt;0</formula>
    </cfRule>
  </conditionalFormatting>
  <conditionalFormatting sqref="AB1070:AF1070">
    <cfRule type="notContainsBlanks" dxfId="1228" priority="1254">
      <formula>LEN(TRIM(AB1070))&gt;0</formula>
    </cfRule>
  </conditionalFormatting>
  <conditionalFormatting sqref="AB1070:AF1070">
    <cfRule type="notContainsBlanks" dxfId="1227" priority="1253">
      <formula>LEN(TRIM(AB1070))&gt;0</formula>
    </cfRule>
  </conditionalFormatting>
  <conditionalFormatting sqref="AB1070:AF1070">
    <cfRule type="notContainsBlanks" dxfId="1226" priority="1252">
      <formula>LEN(TRIM(AB1070))&gt;0</formula>
    </cfRule>
  </conditionalFormatting>
  <conditionalFormatting sqref="AB1070:AF1070">
    <cfRule type="notContainsBlanks" dxfId="1225" priority="1251">
      <formula>LEN(TRIM(AB1070))&gt;0</formula>
    </cfRule>
  </conditionalFormatting>
  <conditionalFormatting sqref="AB1070:AF1070">
    <cfRule type="notContainsBlanks" dxfId="1224" priority="1250">
      <formula>LEN(TRIM(AB1070))&gt;0</formula>
    </cfRule>
  </conditionalFormatting>
  <conditionalFormatting sqref="AB1070:AF1070">
    <cfRule type="notContainsBlanks" dxfId="1223" priority="1249">
      <formula>LEN(TRIM(AB1070))&gt;0</formula>
    </cfRule>
  </conditionalFormatting>
  <conditionalFormatting sqref="AB1070:AF1070">
    <cfRule type="notContainsBlanks" dxfId="1222" priority="1247">
      <formula>LEN(TRIM(AB1070))&gt;0</formula>
    </cfRule>
    <cfRule type="notContainsBlanks" dxfId="1221" priority="1248">
      <formula>LEN(TRIM(AB1070))&gt;0</formula>
    </cfRule>
  </conditionalFormatting>
  <conditionalFormatting sqref="AB1070:AF1070">
    <cfRule type="notContainsBlanks" dxfId="1220" priority="1246">
      <formula>LEN(TRIM(AB1070))&gt;0</formula>
    </cfRule>
  </conditionalFormatting>
  <conditionalFormatting sqref="AB1070:AF1070">
    <cfRule type="notContainsBlanks" dxfId="1219" priority="1245">
      <formula>LEN(TRIM(AB1070))&gt;0</formula>
    </cfRule>
  </conditionalFormatting>
  <conditionalFormatting sqref="AB1070:AF1070">
    <cfRule type="notContainsBlanks" dxfId="1218" priority="1244">
      <formula>LEN(TRIM(AB1070))&gt;0</formula>
    </cfRule>
  </conditionalFormatting>
  <conditionalFormatting sqref="AB1070:AF1070">
    <cfRule type="notContainsBlanks" dxfId="1217" priority="1243">
      <formula>LEN(TRIM(AB1070))&gt;0</formula>
    </cfRule>
  </conditionalFormatting>
  <conditionalFormatting sqref="AB1070:AF1070">
    <cfRule type="notContainsBlanks" dxfId="1216" priority="1242">
      <formula>LEN(TRIM(AB1070))&gt;0</formula>
    </cfRule>
  </conditionalFormatting>
  <conditionalFormatting sqref="AB1070:AF1070">
    <cfRule type="notContainsBlanks" dxfId="1215" priority="1241">
      <formula>LEN(TRIM(AB1070))&gt;0</formula>
    </cfRule>
  </conditionalFormatting>
  <conditionalFormatting sqref="AB1070:AF1070">
    <cfRule type="notContainsBlanks" dxfId="1214" priority="1240">
      <formula>LEN(TRIM(AB1070))&gt;0</formula>
    </cfRule>
  </conditionalFormatting>
  <conditionalFormatting sqref="AB1070:AF1070">
    <cfRule type="notContainsBlanks" dxfId="1213" priority="1239">
      <formula>LEN(TRIM(AB1070))&gt;0</formula>
    </cfRule>
  </conditionalFormatting>
  <conditionalFormatting sqref="AB1070:AF1070">
    <cfRule type="notContainsBlanks" dxfId="1212" priority="1238">
      <formula>LEN(TRIM(AB1070))&gt;0</formula>
    </cfRule>
  </conditionalFormatting>
  <conditionalFormatting sqref="AB1070:AF1070">
    <cfRule type="notContainsBlanks" priority="1237">
      <formula>LEN(TRIM(AB1070))&gt;0</formula>
    </cfRule>
  </conditionalFormatting>
  <conditionalFormatting sqref="AB1070:AF1070">
    <cfRule type="notContainsBlanks" dxfId="1211" priority="1236">
      <formula>LEN(TRIM(AB1070))&gt;0</formula>
    </cfRule>
  </conditionalFormatting>
  <conditionalFormatting sqref="AB1070:AF1070">
    <cfRule type="notContainsBlanks" dxfId="1210" priority="1235">
      <formula>LEN(TRIM(AB1070))&gt;0</formula>
    </cfRule>
  </conditionalFormatting>
  <conditionalFormatting sqref="AB1070:AF1070">
    <cfRule type="notContainsBlanks" dxfId="1209" priority="1234">
      <formula>LEN(TRIM(AB1070))&gt;0</formula>
    </cfRule>
  </conditionalFormatting>
  <conditionalFormatting sqref="AB1070:AF1070">
    <cfRule type="notContainsBlanks" dxfId="1208" priority="1233">
      <formula>LEN(TRIM(AB1070))&gt;0</formula>
    </cfRule>
  </conditionalFormatting>
  <conditionalFormatting sqref="AB1070:AF1070">
    <cfRule type="notContainsBlanks" dxfId="1207" priority="1232">
      <formula>LEN(TRIM(AB1070))&gt;0</formula>
    </cfRule>
  </conditionalFormatting>
  <conditionalFormatting sqref="AB1083:AF1083">
    <cfRule type="notContainsBlanks" dxfId="1206" priority="1231">
      <formula>LEN(TRIM(AB1083))&gt;0</formula>
    </cfRule>
  </conditionalFormatting>
  <conditionalFormatting sqref="AB1083:AF1083">
    <cfRule type="notContainsBlanks" dxfId="1205" priority="1230">
      <formula>LEN(TRIM(AB1083))&gt;0</formula>
    </cfRule>
  </conditionalFormatting>
  <conditionalFormatting sqref="AB1083:AF1083">
    <cfRule type="notContainsBlanks" dxfId="1204" priority="1229">
      <formula>LEN(TRIM(AB1083))&gt;0</formula>
    </cfRule>
  </conditionalFormatting>
  <conditionalFormatting sqref="AB1083:AF1083">
    <cfRule type="notContainsBlanks" dxfId="1203" priority="1228">
      <formula>LEN(TRIM(AB1083))&gt;0</formula>
    </cfRule>
  </conditionalFormatting>
  <conditionalFormatting sqref="AB1083:AF1083">
    <cfRule type="notContainsBlanks" dxfId="1202" priority="1227">
      <formula>LEN(TRIM(AB1083))&gt;0</formula>
    </cfRule>
  </conditionalFormatting>
  <conditionalFormatting sqref="AB1083:AF1083">
    <cfRule type="notContainsBlanks" dxfId="1201" priority="1226">
      <formula>LEN(TRIM(AB1083))&gt;0</formula>
    </cfRule>
  </conditionalFormatting>
  <conditionalFormatting sqref="AB1083:AF1083">
    <cfRule type="notContainsBlanks" dxfId="1200" priority="1225">
      <formula>LEN(TRIM(AB1083))&gt;0</formula>
    </cfRule>
  </conditionalFormatting>
  <conditionalFormatting sqref="AB1083:AF1083">
    <cfRule type="notContainsBlanks" dxfId="1199" priority="1224">
      <formula>LEN(TRIM(AB1083))&gt;0</formula>
    </cfRule>
  </conditionalFormatting>
  <conditionalFormatting sqref="AB1083:AF1083">
    <cfRule type="notContainsBlanks" dxfId="1198" priority="1223">
      <formula>LEN(TRIM(AB1083))&gt;0</formula>
    </cfRule>
  </conditionalFormatting>
  <conditionalFormatting sqref="AB1083:AF1083">
    <cfRule type="notContainsBlanks" dxfId="1197" priority="1221">
      <formula>LEN(TRIM(AB1083))&gt;0</formula>
    </cfRule>
    <cfRule type="notContainsBlanks" dxfId="1196" priority="1222">
      <formula>LEN(TRIM(AB1083))&gt;0</formula>
    </cfRule>
  </conditionalFormatting>
  <conditionalFormatting sqref="AB1083:AF1083">
    <cfRule type="notContainsBlanks" dxfId="1195" priority="1220">
      <formula>LEN(TRIM(AB1083))&gt;0</formula>
    </cfRule>
  </conditionalFormatting>
  <conditionalFormatting sqref="AB1083:AF1083">
    <cfRule type="notContainsBlanks" dxfId="1194" priority="1219">
      <formula>LEN(TRIM(AB1083))&gt;0</formula>
    </cfRule>
  </conditionalFormatting>
  <conditionalFormatting sqref="AB1083:AF1083">
    <cfRule type="notContainsBlanks" dxfId="1193" priority="1218">
      <formula>LEN(TRIM(AB1083))&gt;0</formula>
    </cfRule>
  </conditionalFormatting>
  <conditionalFormatting sqref="AB1083:AF1083">
    <cfRule type="notContainsBlanks" dxfId="1192" priority="1217">
      <formula>LEN(TRIM(AB1083))&gt;0</formula>
    </cfRule>
  </conditionalFormatting>
  <conditionalFormatting sqref="AB1083:AF1083">
    <cfRule type="notContainsBlanks" dxfId="1191" priority="1216">
      <formula>LEN(TRIM(AB1083))&gt;0</formula>
    </cfRule>
  </conditionalFormatting>
  <conditionalFormatting sqref="AB1083:AF1083">
    <cfRule type="notContainsBlanks" dxfId="1190" priority="1215">
      <formula>LEN(TRIM(AB1083))&gt;0</formula>
    </cfRule>
  </conditionalFormatting>
  <conditionalFormatting sqref="AB1083:AF1083">
    <cfRule type="notContainsBlanks" dxfId="1189" priority="1214">
      <formula>LEN(TRIM(AB1083))&gt;0</formula>
    </cfRule>
  </conditionalFormatting>
  <conditionalFormatting sqref="AB1083:AF1083">
    <cfRule type="notContainsBlanks" dxfId="1188" priority="1213">
      <formula>LEN(TRIM(AB1083))&gt;0</formula>
    </cfRule>
  </conditionalFormatting>
  <conditionalFormatting sqref="AB1083:AF1083">
    <cfRule type="notContainsBlanks" dxfId="1187" priority="1212">
      <formula>LEN(TRIM(AB1083))&gt;0</formula>
    </cfRule>
  </conditionalFormatting>
  <conditionalFormatting sqref="AB1083:AF1083">
    <cfRule type="notContainsBlanks" priority="1211">
      <formula>LEN(TRIM(AB1083))&gt;0</formula>
    </cfRule>
  </conditionalFormatting>
  <conditionalFormatting sqref="AB1083:AF1083">
    <cfRule type="notContainsBlanks" dxfId="1186" priority="1210">
      <formula>LEN(TRIM(AB1083))&gt;0</formula>
    </cfRule>
  </conditionalFormatting>
  <conditionalFormatting sqref="AB1083:AF1083">
    <cfRule type="notContainsBlanks" dxfId="1185" priority="1209">
      <formula>LEN(TRIM(AB1083))&gt;0</formula>
    </cfRule>
  </conditionalFormatting>
  <conditionalFormatting sqref="AB1083:AF1083">
    <cfRule type="notContainsBlanks" dxfId="1184" priority="1208">
      <formula>LEN(TRIM(AB1083))&gt;0</formula>
    </cfRule>
  </conditionalFormatting>
  <conditionalFormatting sqref="AB1083:AF1083">
    <cfRule type="notContainsBlanks" dxfId="1183" priority="1207">
      <formula>LEN(TRIM(AB1083))&gt;0</formula>
    </cfRule>
  </conditionalFormatting>
  <conditionalFormatting sqref="AB1083:AF1083">
    <cfRule type="notContainsBlanks" dxfId="1182" priority="1206">
      <formula>LEN(TRIM(AB1083))&gt;0</formula>
    </cfRule>
  </conditionalFormatting>
  <conditionalFormatting sqref="AB1096:AF1096">
    <cfRule type="notContainsBlanks" dxfId="1181" priority="1205">
      <formula>LEN(TRIM(AB1096))&gt;0</formula>
    </cfRule>
  </conditionalFormatting>
  <conditionalFormatting sqref="AB1096:AF1096">
    <cfRule type="notContainsBlanks" dxfId="1180" priority="1204">
      <formula>LEN(TRIM(AB1096))&gt;0</formula>
    </cfRule>
  </conditionalFormatting>
  <conditionalFormatting sqref="AB1096:AF1096">
    <cfRule type="notContainsBlanks" dxfId="1179" priority="1203">
      <formula>LEN(TRIM(AB1096))&gt;0</formula>
    </cfRule>
  </conditionalFormatting>
  <conditionalFormatting sqref="AB1096:AF1096">
    <cfRule type="notContainsBlanks" dxfId="1178" priority="1202">
      <formula>LEN(TRIM(AB1096))&gt;0</formula>
    </cfRule>
  </conditionalFormatting>
  <conditionalFormatting sqref="AB1096:AF1096">
    <cfRule type="notContainsBlanks" dxfId="1177" priority="1201">
      <formula>LEN(TRIM(AB1096))&gt;0</formula>
    </cfRule>
  </conditionalFormatting>
  <conditionalFormatting sqref="AB1096:AF1096">
    <cfRule type="notContainsBlanks" dxfId="1176" priority="1200">
      <formula>LEN(TRIM(AB1096))&gt;0</formula>
    </cfRule>
  </conditionalFormatting>
  <conditionalFormatting sqref="AB1096:AF1096">
    <cfRule type="notContainsBlanks" dxfId="1175" priority="1199">
      <formula>LEN(TRIM(AB1096))&gt;0</formula>
    </cfRule>
  </conditionalFormatting>
  <conditionalFormatting sqref="AB1096:AF1096">
    <cfRule type="notContainsBlanks" dxfId="1174" priority="1198">
      <formula>LEN(TRIM(AB1096))&gt;0</formula>
    </cfRule>
  </conditionalFormatting>
  <conditionalFormatting sqref="AB1096:AF1096">
    <cfRule type="notContainsBlanks" dxfId="1173" priority="1197">
      <formula>LEN(TRIM(AB1096))&gt;0</formula>
    </cfRule>
  </conditionalFormatting>
  <conditionalFormatting sqref="AB1096:AF1096">
    <cfRule type="notContainsBlanks" dxfId="1172" priority="1195">
      <formula>LEN(TRIM(AB1096))&gt;0</formula>
    </cfRule>
    <cfRule type="notContainsBlanks" dxfId="1171" priority="1196">
      <formula>LEN(TRIM(AB1096))&gt;0</formula>
    </cfRule>
  </conditionalFormatting>
  <conditionalFormatting sqref="AB1096:AF1096">
    <cfRule type="notContainsBlanks" dxfId="1170" priority="1194">
      <formula>LEN(TRIM(AB1096))&gt;0</formula>
    </cfRule>
  </conditionalFormatting>
  <conditionalFormatting sqref="AB1096:AF1096">
    <cfRule type="notContainsBlanks" dxfId="1169" priority="1193">
      <formula>LEN(TRIM(AB1096))&gt;0</formula>
    </cfRule>
  </conditionalFormatting>
  <conditionalFormatting sqref="AB1096:AF1096">
    <cfRule type="notContainsBlanks" dxfId="1168" priority="1192">
      <formula>LEN(TRIM(AB1096))&gt;0</formula>
    </cfRule>
  </conditionalFormatting>
  <conditionalFormatting sqref="AB1096:AF1096">
    <cfRule type="notContainsBlanks" dxfId="1167" priority="1191">
      <formula>LEN(TRIM(AB1096))&gt;0</formula>
    </cfRule>
  </conditionalFormatting>
  <conditionalFormatting sqref="AB1096:AF1096">
    <cfRule type="notContainsBlanks" dxfId="1166" priority="1190">
      <formula>LEN(TRIM(AB1096))&gt;0</formula>
    </cfRule>
  </conditionalFormatting>
  <conditionalFormatting sqref="AB1096:AF1096">
    <cfRule type="notContainsBlanks" dxfId="1165" priority="1189">
      <formula>LEN(TRIM(AB1096))&gt;0</formula>
    </cfRule>
  </conditionalFormatting>
  <conditionalFormatting sqref="AB1096:AF1096">
    <cfRule type="notContainsBlanks" dxfId="1164" priority="1188">
      <formula>LEN(TRIM(AB1096))&gt;0</formula>
    </cfRule>
  </conditionalFormatting>
  <conditionalFormatting sqref="AB1096:AF1096">
    <cfRule type="notContainsBlanks" dxfId="1163" priority="1187">
      <formula>LEN(TRIM(AB1096))&gt;0</formula>
    </cfRule>
  </conditionalFormatting>
  <conditionalFormatting sqref="AB1096:AF1096">
    <cfRule type="notContainsBlanks" dxfId="1162" priority="1186">
      <formula>LEN(TRIM(AB1096))&gt;0</formula>
    </cfRule>
  </conditionalFormatting>
  <conditionalFormatting sqref="AB1096:AF1096">
    <cfRule type="notContainsBlanks" priority="1185">
      <formula>LEN(TRIM(AB1096))&gt;0</formula>
    </cfRule>
  </conditionalFormatting>
  <conditionalFormatting sqref="AB1096:AF1096">
    <cfRule type="notContainsBlanks" dxfId="1161" priority="1184">
      <formula>LEN(TRIM(AB1096))&gt;0</formula>
    </cfRule>
  </conditionalFormatting>
  <conditionalFormatting sqref="AB1096:AF1096">
    <cfRule type="notContainsBlanks" dxfId="1160" priority="1183">
      <formula>LEN(TRIM(AB1096))&gt;0</formula>
    </cfRule>
  </conditionalFormatting>
  <conditionalFormatting sqref="AB1096:AF1096">
    <cfRule type="notContainsBlanks" dxfId="1159" priority="1182">
      <formula>LEN(TRIM(AB1096))&gt;0</formula>
    </cfRule>
  </conditionalFormatting>
  <conditionalFormatting sqref="AB1096:AF1096">
    <cfRule type="notContainsBlanks" dxfId="1158" priority="1181">
      <formula>LEN(TRIM(AB1096))&gt;0</formula>
    </cfRule>
  </conditionalFormatting>
  <conditionalFormatting sqref="AB1096:AF1096">
    <cfRule type="notContainsBlanks" dxfId="1157" priority="1180">
      <formula>LEN(TRIM(AB1096))&gt;0</formula>
    </cfRule>
  </conditionalFormatting>
  <conditionalFormatting sqref="AB1109:AF1109">
    <cfRule type="notContainsBlanks" dxfId="1156" priority="1179">
      <formula>LEN(TRIM(AB1109))&gt;0</formula>
    </cfRule>
  </conditionalFormatting>
  <conditionalFormatting sqref="AB1109:AF1109">
    <cfRule type="notContainsBlanks" dxfId="1155" priority="1178">
      <formula>LEN(TRIM(AB1109))&gt;0</formula>
    </cfRule>
  </conditionalFormatting>
  <conditionalFormatting sqref="AB1109:AF1109">
    <cfRule type="notContainsBlanks" dxfId="1154" priority="1177">
      <formula>LEN(TRIM(AB1109))&gt;0</formula>
    </cfRule>
  </conditionalFormatting>
  <conditionalFormatting sqref="AB1109:AF1109">
    <cfRule type="notContainsBlanks" dxfId="1153" priority="1176">
      <formula>LEN(TRIM(AB1109))&gt;0</formula>
    </cfRule>
  </conditionalFormatting>
  <conditionalFormatting sqref="AB1109:AF1109">
    <cfRule type="notContainsBlanks" dxfId="1152" priority="1175">
      <formula>LEN(TRIM(AB1109))&gt;0</formula>
    </cfRule>
  </conditionalFormatting>
  <conditionalFormatting sqref="AB1109:AF1109">
    <cfRule type="notContainsBlanks" dxfId="1151" priority="1174">
      <formula>LEN(TRIM(AB1109))&gt;0</formula>
    </cfRule>
  </conditionalFormatting>
  <conditionalFormatting sqref="AB1109:AF1109">
    <cfRule type="notContainsBlanks" dxfId="1150" priority="1173">
      <formula>LEN(TRIM(AB1109))&gt;0</formula>
    </cfRule>
  </conditionalFormatting>
  <conditionalFormatting sqref="AB1109:AF1109">
    <cfRule type="notContainsBlanks" dxfId="1149" priority="1172">
      <formula>LEN(TRIM(AB1109))&gt;0</formula>
    </cfRule>
  </conditionalFormatting>
  <conditionalFormatting sqref="AB1109:AF1109">
    <cfRule type="notContainsBlanks" dxfId="1148" priority="1171">
      <formula>LEN(TRIM(AB1109))&gt;0</formula>
    </cfRule>
  </conditionalFormatting>
  <conditionalFormatting sqref="AB1109:AF1109">
    <cfRule type="notContainsBlanks" dxfId="1147" priority="1169">
      <formula>LEN(TRIM(AB1109))&gt;0</formula>
    </cfRule>
    <cfRule type="notContainsBlanks" dxfId="1146" priority="1170">
      <formula>LEN(TRIM(AB1109))&gt;0</formula>
    </cfRule>
  </conditionalFormatting>
  <conditionalFormatting sqref="AB1109:AF1109">
    <cfRule type="notContainsBlanks" dxfId="1145" priority="1168">
      <formula>LEN(TRIM(AB1109))&gt;0</formula>
    </cfRule>
  </conditionalFormatting>
  <conditionalFormatting sqref="AB1109:AF1109">
    <cfRule type="notContainsBlanks" dxfId="1144" priority="1167">
      <formula>LEN(TRIM(AB1109))&gt;0</formula>
    </cfRule>
  </conditionalFormatting>
  <conditionalFormatting sqref="AB1109:AF1109">
    <cfRule type="notContainsBlanks" dxfId="1143" priority="1166">
      <formula>LEN(TRIM(AB1109))&gt;0</formula>
    </cfRule>
  </conditionalFormatting>
  <conditionalFormatting sqref="AB1109:AF1109">
    <cfRule type="notContainsBlanks" dxfId="1142" priority="1165">
      <formula>LEN(TRIM(AB1109))&gt;0</formula>
    </cfRule>
  </conditionalFormatting>
  <conditionalFormatting sqref="AB1109:AF1109">
    <cfRule type="notContainsBlanks" dxfId="1141" priority="1164">
      <formula>LEN(TRIM(AB1109))&gt;0</formula>
    </cfRule>
  </conditionalFormatting>
  <conditionalFormatting sqref="AB1109:AF1109">
    <cfRule type="notContainsBlanks" dxfId="1140" priority="1163">
      <formula>LEN(TRIM(AB1109))&gt;0</formula>
    </cfRule>
  </conditionalFormatting>
  <conditionalFormatting sqref="AB1109:AF1109">
    <cfRule type="notContainsBlanks" dxfId="1139" priority="1162">
      <formula>LEN(TRIM(AB1109))&gt;0</formula>
    </cfRule>
  </conditionalFormatting>
  <conditionalFormatting sqref="AB1109:AF1109">
    <cfRule type="notContainsBlanks" dxfId="1138" priority="1161">
      <formula>LEN(TRIM(AB1109))&gt;0</formula>
    </cfRule>
  </conditionalFormatting>
  <conditionalFormatting sqref="AB1109:AF1109">
    <cfRule type="notContainsBlanks" dxfId="1137" priority="1160">
      <formula>LEN(TRIM(AB1109))&gt;0</formula>
    </cfRule>
  </conditionalFormatting>
  <conditionalFormatting sqref="AB1109:AF1109">
    <cfRule type="notContainsBlanks" priority="1159">
      <formula>LEN(TRIM(AB1109))&gt;0</formula>
    </cfRule>
  </conditionalFormatting>
  <conditionalFormatting sqref="AB1109:AF1109">
    <cfRule type="notContainsBlanks" dxfId="1136" priority="1158">
      <formula>LEN(TRIM(AB1109))&gt;0</formula>
    </cfRule>
  </conditionalFormatting>
  <conditionalFormatting sqref="AB1109:AF1109">
    <cfRule type="notContainsBlanks" dxfId="1135" priority="1157">
      <formula>LEN(TRIM(AB1109))&gt;0</formula>
    </cfRule>
  </conditionalFormatting>
  <conditionalFormatting sqref="AB1109:AF1109">
    <cfRule type="notContainsBlanks" dxfId="1134" priority="1156">
      <formula>LEN(TRIM(AB1109))&gt;0</formula>
    </cfRule>
  </conditionalFormatting>
  <conditionalFormatting sqref="AB1109:AF1109">
    <cfRule type="notContainsBlanks" dxfId="1133" priority="1155">
      <formula>LEN(TRIM(AB1109))&gt;0</formula>
    </cfRule>
  </conditionalFormatting>
  <conditionalFormatting sqref="AB1109:AF1109">
    <cfRule type="notContainsBlanks" dxfId="1132" priority="1154">
      <formula>LEN(TRIM(AB1109))&gt;0</formula>
    </cfRule>
  </conditionalFormatting>
  <conditionalFormatting sqref="AB1122:AF1122">
    <cfRule type="notContainsBlanks" dxfId="1131" priority="1153">
      <formula>LEN(TRIM(AB1122))&gt;0</formula>
    </cfRule>
  </conditionalFormatting>
  <conditionalFormatting sqref="AB1122:AF1122">
    <cfRule type="notContainsBlanks" dxfId="1130" priority="1152">
      <formula>LEN(TRIM(AB1122))&gt;0</formula>
    </cfRule>
  </conditionalFormatting>
  <conditionalFormatting sqref="AB1122:AF1122">
    <cfRule type="notContainsBlanks" dxfId="1129" priority="1151">
      <formula>LEN(TRIM(AB1122))&gt;0</formula>
    </cfRule>
  </conditionalFormatting>
  <conditionalFormatting sqref="AB1122:AF1122">
    <cfRule type="notContainsBlanks" dxfId="1128" priority="1150">
      <formula>LEN(TRIM(AB1122))&gt;0</formula>
    </cfRule>
  </conditionalFormatting>
  <conditionalFormatting sqref="AB1122:AF1122">
    <cfRule type="notContainsBlanks" dxfId="1127" priority="1149">
      <formula>LEN(TRIM(AB1122))&gt;0</formula>
    </cfRule>
  </conditionalFormatting>
  <conditionalFormatting sqref="AB1122:AF1122">
    <cfRule type="notContainsBlanks" dxfId="1126" priority="1148">
      <formula>LEN(TRIM(AB1122))&gt;0</formula>
    </cfRule>
  </conditionalFormatting>
  <conditionalFormatting sqref="AB1122:AF1122">
    <cfRule type="notContainsBlanks" dxfId="1125" priority="1147">
      <formula>LEN(TRIM(AB1122))&gt;0</formula>
    </cfRule>
  </conditionalFormatting>
  <conditionalFormatting sqref="AB1122:AF1122">
    <cfRule type="notContainsBlanks" dxfId="1124" priority="1146">
      <formula>LEN(TRIM(AB1122))&gt;0</formula>
    </cfRule>
  </conditionalFormatting>
  <conditionalFormatting sqref="AB1122:AF1122">
    <cfRule type="notContainsBlanks" dxfId="1123" priority="1145">
      <formula>LEN(TRIM(AB1122))&gt;0</formula>
    </cfRule>
  </conditionalFormatting>
  <conditionalFormatting sqref="AB1122:AF1122">
    <cfRule type="notContainsBlanks" dxfId="1122" priority="1143">
      <formula>LEN(TRIM(AB1122))&gt;0</formula>
    </cfRule>
    <cfRule type="notContainsBlanks" dxfId="1121" priority="1144">
      <formula>LEN(TRIM(AB1122))&gt;0</formula>
    </cfRule>
  </conditionalFormatting>
  <conditionalFormatting sqref="AB1122:AF1122">
    <cfRule type="notContainsBlanks" dxfId="1120" priority="1142">
      <formula>LEN(TRIM(AB1122))&gt;0</formula>
    </cfRule>
  </conditionalFormatting>
  <conditionalFormatting sqref="AB1122:AF1122">
    <cfRule type="notContainsBlanks" dxfId="1119" priority="1141">
      <formula>LEN(TRIM(AB1122))&gt;0</formula>
    </cfRule>
  </conditionalFormatting>
  <conditionalFormatting sqref="AB1122:AF1122">
    <cfRule type="notContainsBlanks" dxfId="1118" priority="1140">
      <formula>LEN(TRIM(AB1122))&gt;0</formula>
    </cfRule>
  </conditionalFormatting>
  <conditionalFormatting sqref="AB1122:AF1122">
    <cfRule type="notContainsBlanks" dxfId="1117" priority="1139">
      <formula>LEN(TRIM(AB1122))&gt;0</formula>
    </cfRule>
  </conditionalFormatting>
  <conditionalFormatting sqref="AB1122:AF1122">
    <cfRule type="notContainsBlanks" dxfId="1116" priority="1138">
      <formula>LEN(TRIM(AB1122))&gt;0</formula>
    </cfRule>
  </conditionalFormatting>
  <conditionalFormatting sqref="AB1122:AF1122">
    <cfRule type="notContainsBlanks" dxfId="1115" priority="1137">
      <formula>LEN(TRIM(AB1122))&gt;0</formula>
    </cfRule>
  </conditionalFormatting>
  <conditionalFormatting sqref="AB1122:AF1122">
    <cfRule type="notContainsBlanks" dxfId="1114" priority="1136">
      <formula>LEN(TRIM(AB1122))&gt;0</formula>
    </cfRule>
  </conditionalFormatting>
  <conditionalFormatting sqref="AB1122:AF1122">
    <cfRule type="notContainsBlanks" dxfId="1113" priority="1135">
      <formula>LEN(TRIM(AB1122))&gt;0</formula>
    </cfRule>
  </conditionalFormatting>
  <conditionalFormatting sqref="AB1122:AF1122">
    <cfRule type="notContainsBlanks" dxfId="1112" priority="1134">
      <formula>LEN(TRIM(AB1122))&gt;0</formula>
    </cfRule>
  </conditionalFormatting>
  <conditionalFormatting sqref="AB1122:AF1122">
    <cfRule type="notContainsBlanks" priority="1133">
      <formula>LEN(TRIM(AB1122))&gt;0</formula>
    </cfRule>
  </conditionalFormatting>
  <conditionalFormatting sqref="AB1122:AF1122">
    <cfRule type="notContainsBlanks" dxfId="1111" priority="1132">
      <formula>LEN(TRIM(AB1122))&gt;0</formula>
    </cfRule>
  </conditionalFormatting>
  <conditionalFormatting sqref="AB1122:AF1122">
    <cfRule type="notContainsBlanks" dxfId="1110" priority="1131">
      <formula>LEN(TRIM(AB1122))&gt;0</formula>
    </cfRule>
  </conditionalFormatting>
  <conditionalFormatting sqref="AB1122:AF1122">
    <cfRule type="notContainsBlanks" dxfId="1109" priority="1130">
      <formula>LEN(TRIM(AB1122))&gt;0</formula>
    </cfRule>
  </conditionalFormatting>
  <conditionalFormatting sqref="AB1122:AF1122">
    <cfRule type="notContainsBlanks" dxfId="1108" priority="1129">
      <formula>LEN(TRIM(AB1122))&gt;0</formula>
    </cfRule>
  </conditionalFormatting>
  <conditionalFormatting sqref="AB1122:AF1122">
    <cfRule type="notContainsBlanks" dxfId="1107" priority="1128">
      <formula>LEN(TRIM(AB1122))&gt;0</formula>
    </cfRule>
  </conditionalFormatting>
  <conditionalFormatting sqref="AB1135:AF1135">
    <cfRule type="notContainsBlanks" dxfId="1106" priority="1127">
      <formula>LEN(TRIM(AB1135))&gt;0</formula>
    </cfRule>
  </conditionalFormatting>
  <conditionalFormatting sqref="AB1135:AF1135">
    <cfRule type="notContainsBlanks" dxfId="1105" priority="1126">
      <formula>LEN(TRIM(AB1135))&gt;0</formula>
    </cfRule>
  </conditionalFormatting>
  <conditionalFormatting sqref="AB1135:AF1135">
    <cfRule type="notContainsBlanks" dxfId="1104" priority="1125">
      <formula>LEN(TRIM(AB1135))&gt;0</formula>
    </cfRule>
  </conditionalFormatting>
  <conditionalFormatting sqref="AB1135:AF1135">
    <cfRule type="notContainsBlanks" dxfId="1103" priority="1124">
      <formula>LEN(TRIM(AB1135))&gt;0</formula>
    </cfRule>
  </conditionalFormatting>
  <conditionalFormatting sqref="AB1135:AF1135">
    <cfRule type="notContainsBlanks" dxfId="1102" priority="1123">
      <formula>LEN(TRIM(AB1135))&gt;0</formula>
    </cfRule>
  </conditionalFormatting>
  <conditionalFormatting sqref="AB1135:AF1135">
    <cfRule type="notContainsBlanks" dxfId="1101" priority="1122">
      <formula>LEN(TRIM(AB1135))&gt;0</formula>
    </cfRule>
  </conditionalFormatting>
  <conditionalFormatting sqref="AB1135:AF1135">
    <cfRule type="notContainsBlanks" dxfId="1100" priority="1121">
      <formula>LEN(TRIM(AB1135))&gt;0</formula>
    </cfRule>
  </conditionalFormatting>
  <conditionalFormatting sqref="AB1135:AF1135">
    <cfRule type="notContainsBlanks" dxfId="1099" priority="1120">
      <formula>LEN(TRIM(AB1135))&gt;0</formula>
    </cfRule>
  </conditionalFormatting>
  <conditionalFormatting sqref="AB1135:AF1135">
    <cfRule type="notContainsBlanks" dxfId="1098" priority="1119">
      <formula>LEN(TRIM(AB1135))&gt;0</formula>
    </cfRule>
  </conditionalFormatting>
  <conditionalFormatting sqref="AB1135:AF1135">
    <cfRule type="notContainsBlanks" dxfId="1097" priority="1117">
      <formula>LEN(TRIM(AB1135))&gt;0</formula>
    </cfRule>
    <cfRule type="notContainsBlanks" dxfId="1096" priority="1118">
      <formula>LEN(TRIM(AB1135))&gt;0</formula>
    </cfRule>
  </conditionalFormatting>
  <conditionalFormatting sqref="AB1135:AF1135">
    <cfRule type="notContainsBlanks" dxfId="1095" priority="1116">
      <formula>LEN(TRIM(AB1135))&gt;0</formula>
    </cfRule>
  </conditionalFormatting>
  <conditionalFormatting sqref="AB1135:AF1135">
    <cfRule type="notContainsBlanks" dxfId="1094" priority="1115">
      <formula>LEN(TRIM(AB1135))&gt;0</formula>
    </cfRule>
  </conditionalFormatting>
  <conditionalFormatting sqref="AB1135:AF1135">
    <cfRule type="notContainsBlanks" dxfId="1093" priority="1114">
      <formula>LEN(TRIM(AB1135))&gt;0</formula>
    </cfRule>
  </conditionalFormatting>
  <conditionalFormatting sqref="AB1135:AF1135">
    <cfRule type="notContainsBlanks" dxfId="1092" priority="1113">
      <formula>LEN(TRIM(AB1135))&gt;0</formula>
    </cfRule>
  </conditionalFormatting>
  <conditionalFormatting sqref="AB1135:AF1135">
    <cfRule type="notContainsBlanks" dxfId="1091" priority="1112">
      <formula>LEN(TRIM(AB1135))&gt;0</formula>
    </cfRule>
  </conditionalFormatting>
  <conditionalFormatting sqref="AB1135:AF1135">
    <cfRule type="notContainsBlanks" dxfId="1090" priority="1111">
      <formula>LEN(TRIM(AB1135))&gt;0</formula>
    </cfRule>
  </conditionalFormatting>
  <conditionalFormatting sqref="AB1135:AF1135">
    <cfRule type="notContainsBlanks" dxfId="1089" priority="1110">
      <formula>LEN(TRIM(AB1135))&gt;0</formula>
    </cfRule>
  </conditionalFormatting>
  <conditionalFormatting sqref="AB1135:AF1135">
    <cfRule type="notContainsBlanks" dxfId="1088" priority="1109">
      <formula>LEN(TRIM(AB1135))&gt;0</formula>
    </cfRule>
  </conditionalFormatting>
  <conditionalFormatting sqref="AB1135:AF1135">
    <cfRule type="notContainsBlanks" dxfId="1087" priority="1108">
      <formula>LEN(TRIM(AB1135))&gt;0</formula>
    </cfRule>
  </conditionalFormatting>
  <conditionalFormatting sqref="AB1135:AF1135">
    <cfRule type="notContainsBlanks" priority="1107">
      <formula>LEN(TRIM(AB1135))&gt;0</formula>
    </cfRule>
  </conditionalFormatting>
  <conditionalFormatting sqref="AB1135:AF1135">
    <cfRule type="notContainsBlanks" dxfId="1086" priority="1106">
      <formula>LEN(TRIM(AB1135))&gt;0</formula>
    </cfRule>
  </conditionalFormatting>
  <conditionalFormatting sqref="AB1135:AF1135">
    <cfRule type="notContainsBlanks" dxfId="1085" priority="1105">
      <formula>LEN(TRIM(AB1135))&gt;0</formula>
    </cfRule>
  </conditionalFormatting>
  <conditionalFormatting sqref="AB1135:AF1135">
    <cfRule type="notContainsBlanks" dxfId="1084" priority="1104">
      <formula>LEN(TRIM(AB1135))&gt;0</formula>
    </cfRule>
  </conditionalFormatting>
  <conditionalFormatting sqref="AB1135:AF1135">
    <cfRule type="notContainsBlanks" dxfId="1083" priority="1103">
      <formula>LEN(TRIM(AB1135))&gt;0</formula>
    </cfRule>
  </conditionalFormatting>
  <conditionalFormatting sqref="AB1135:AF1135">
    <cfRule type="notContainsBlanks" dxfId="1082" priority="1102">
      <formula>LEN(TRIM(AB1135))&gt;0</formula>
    </cfRule>
  </conditionalFormatting>
  <conditionalFormatting sqref="AB1148:AF1148">
    <cfRule type="notContainsBlanks" dxfId="1081" priority="1101">
      <formula>LEN(TRIM(AB1148))&gt;0</formula>
    </cfRule>
  </conditionalFormatting>
  <conditionalFormatting sqref="AB1148:AF1148">
    <cfRule type="notContainsBlanks" dxfId="1080" priority="1100">
      <formula>LEN(TRIM(AB1148))&gt;0</formula>
    </cfRule>
  </conditionalFormatting>
  <conditionalFormatting sqref="AB1148:AF1148">
    <cfRule type="notContainsBlanks" dxfId="1079" priority="1099">
      <formula>LEN(TRIM(AB1148))&gt;0</formula>
    </cfRule>
  </conditionalFormatting>
  <conditionalFormatting sqref="AB1148:AF1148">
    <cfRule type="notContainsBlanks" dxfId="1078" priority="1098">
      <formula>LEN(TRIM(AB1148))&gt;0</formula>
    </cfRule>
  </conditionalFormatting>
  <conditionalFormatting sqref="AB1148:AF1148">
    <cfRule type="notContainsBlanks" dxfId="1077" priority="1097">
      <formula>LEN(TRIM(AB1148))&gt;0</formula>
    </cfRule>
  </conditionalFormatting>
  <conditionalFormatting sqref="AB1148:AF1148">
    <cfRule type="notContainsBlanks" dxfId="1076" priority="1096">
      <formula>LEN(TRIM(AB1148))&gt;0</formula>
    </cfRule>
  </conditionalFormatting>
  <conditionalFormatting sqref="AB1148:AF1148">
    <cfRule type="notContainsBlanks" dxfId="1075" priority="1095">
      <formula>LEN(TRIM(AB1148))&gt;0</formula>
    </cfRule>
  </conditionalFormatting>
  <conditionalFormatting sqref="AB1148:AF1148">
    <cfRule type="notContainsBlanks" dxfId="1074" priority="1094">
      <formula>LEN(TRIM(AB1148))&gt;0</formula>
    </cfRule>
  </conditionalFormatting>
  <conditionalFormatting sqref="AB1148:AF1148">
    <cfRule type="notContainsBlanks" dxfId="1073" priority="1093">
      <formula>LEN(TRIM(AB1148))&gt;0</formula>
    </cfRule>
  </conditionalFormatting>
  <conditionalFormatting sqref="AB1148:AF1148">
    <cfRule type="notContainsBlanks" dxfId="1072" priority="1091">
      <formula>LEN(TRIM(AB1148))&gt;0</formula>
    </cfRule>
    <cfRule type="notContainsBlanks" dxfId="1071" priority="1092">
      <formula>LEN(TRIM(AB1148))&gt;0</formula>
    </cfRule>
  </conditionalFormatting>
  <conditionalFormatting sqref="AB1148:AF1148">
    <cfRule type="notContainsBlanks" dxfId="1070" priority="1090">
      <formula>LEN(TRIM(AB1148))&gt;0</formula>
    </cfRule>
  </conditionalFormatting>
  <conditionalFormatting sqref="AB1148:AF1148">
    <cfRule type="notContainsBlanks" dxfId="1069" priority="1089">
      <formula>LEN(TRIM(AB1148))&gt;0</formula>
    </cfRule>
  </conditionalFormatting>
  <conditionalFormatting sqref="AB1148:AF1148">
    <cfRule type="notContainsBlanks" dxfId="1068" priority="1088">
      <formula>LEN(TRIM(AB1148))&gt;0</formula>
    </cfRule>
  </conditionalFormatting>
  <conditionalFormatting sqref="AB1148:AF1148">
    <cfRule type="notContainsBlanks" dxfId="1067" priority="1087">
      <formula>LEN(TRIM(AB1148))&gt;0</formula>
    </cfRule>
  </conditionalFormatting>
  <conditionalFormatting sqref="AB1148:AF1148">
    <cfRule type="notContainsBlanks" dxfId="1066" priority="1086">
      <formula>LEN(TRIM(AB1148))&gt;0</formula>
    </cfRule>
  </conditionalFormatting>
  <conditionalFormatting sqref="AB1148:AF1148">
    <cfRule type="notContainsBlanks" dxfId="1065" priority="1085">
      <formula>LEN(TRIM(AB1148))&gt;0</formula>
    </cfRule>
  </conditionalFormatting>
  <conditionalFormatting sqref="AB1148:AF1148">
    <cfRule type="notContainsBlanks" dxfId="1064" priority="1084">
      <formula>LEN(TRIM(AB1148))&gt;0</formula>
    </cfRule>
  </conditionalFormatting>
  <conditionalFormatting sqref="AB1148:AF1148">
    <cfRule type="notContainsBlanks" dxfId="1063" priority="1083">
      <formula>LEN(TRIM(AB1148))&gt;0</formula>
    </cfRule>
  </conditionalFormatting>
  <conditionalFormatting sqref="AB1148:AF1148">
    <cfRule type="notContainsBlanks" dxfId="1062" priority="1082">
      <formula>LEN(TRIM(AB1148))&gt;0</formula>
    </cfRule>
  </conditionalFormatting>
  <conditionalFormatting sqref="AB1148:AF1148">
    <cfRule type="notContainsBlanks" priority="1081">
      <formula>LEN(TRIM(AB1148))&gt;0</formula>
    </cfRule>
  </conditionalFormatting>
  <conditionalFormatting sqref="AB1148:AF1148">
    <cfRule type="notContainsBlanks" dxfId="1061" priority="1080">
      <formula>LEN(TRIM(AB1148))&gt;0</formula>
    </cfRule>
  </conditionalFormatting>
  <conditionalFormatting sqref="AB1148:AF1148">
    <cfRule type="notContainsBlanks" dxfId="1060" priority="1079">
      <formula>LEN(TRIM(AB1148))&gt;0</formula>
    </cfRule>
  </conditionalFormatting>
  <conditionalFormatting sqref="AB1148:AF1148">
    <cfRule type="notContainsBlanks" dxfId="1059" priority="1078">
      <formula>LEN(TRIM(AB1148))&gt;0</formula>
    </cfRule>
  </conditionalFormatting>
  <conditionalFormatting sqref="AB1148:AF1148">
    <cfRule type="notContainsBlanks" dxfId="1058" priority="1077">
      <formula>LEN(TRIM(AB1148))&gt;0</formula>
    </cfRule>
  </conditionalFormatting>
  <conditionalFormatting sqref="AB1148:AF1148">
    <cfRule type="notContainsBlanks" dxfId="1057" priority="1076">
      <formula>LEN(TRIM(AB1148))&gt;0</formula>
    </cfRule>
  </conditionalFormatting>
  <conditionalFormatting sqref="AB1161:AF1161">
    <cfRule type="notContainsBlanks" dxfId="1056" priority="1075">
      <formula>LEN(TRIM(AB1161))&gt;0</formula>
    </cfRule>
  </conditionalFormatting>
  <conditionalFormatting sqref="AB1161:AF1161">
    <cfRule type="notContainsBlanks" dxfId="1055" priority="1074">
      <formula>LEN(TRIM(AB1161))&gt;0</formula>
    </cfRule>
  </conditionalFormatting>
  <conditionalFormatting sqref="AB1161:AF1161">
    <cfRule type="notContainsBlanks" dxfId="1054" priority="1073">
      <formula>LEN(TRIM(AB1161))&gt;0</formula>
    </cfRule>
  </conditionalFormatting>
  <conditionalFormatting sqref="AB1161:AF1161">
    <cfRule type="notContainsBlanks" dxfId="1053" priority="1072">
      <formula>LEN(TRIM(AB1161))&gt;0</formula>
    </cfRule>
  </conditionalFormatting>
  <conditionalFormatting sqref="AB1161:AF1161">
    <cfRule type="notContainsBlanks" dxfId="1052" priority="1071">
      <formula>LEN(TRIM(AB1161))&gt;0</formula>
    </cfRule>
  </conditionalFormatting>
  <conditionalFormatting sqref="AB1161:AF1161">
    <cfRule type="notContainsBlanks" dxfId="1051" priority="1070">
      <formula>LEN(TRIM(AB1161))&gt;0</formula>
    </cfRule>
  </conditionalFormatting>
  <conditionalFormatting sqref="AB1161:AF1161">
    <cfRule type="notContainsBlanks" dxfId="1050" priority="1069">
      <formula>LEN(TRIM(AB1161))&gt;0</formula>
    </cfRule>
  </conditionalFormatting>
  <conditionalFormatting sqref="AB1161:AF1161">
    <cfRule type="notContainsBlanks" dxfId="1049" priority="1068">
      <formula>LEN(TRIM(AB1161))&gt;0</formula>
    </cfRule>
  </conditionalFormatting>
  <conditionalFormatting sqref="AB1161:AF1161">
    <cfRule type="notContainsBlanks" dxfId="1048" priority="1067">
      <formula>LEN(TRIM(AB1161))&gt;0</formula>
    </cfRule>
  </conditionalFormatting>
  <conditionalFormatting sqref="AB1161:AF1161">
    <cfRule type="notContainsBlanks" dxfId="1047" priority="1065">
      <formula>LEN(TRIM(AB1161))&gt;0</formula>
    </cfRule>
    <cfRule type="notContainsBlanks" dxfId="1046" priority="1066">
      <formula>LEN(TRIM(AB1161))&gt;0</formula>
    </cfRule>
  </conditionalFormatting>
  <conditionalFormatting sqref="AB1161:AF1161">
    <cfRule type="notContainsBlanks" dxfId="1045" priority="1064">
      <formula>LEN(TRIM(AB1161))&gt;0</formula>
    </cfRule>
  </conditionalFormatting>
  <conditionalFormatting sqref="AB1161:AF1161">
    <cfRule type="notContainsBlanks" dxfId="1044" priority="1063">
      <formula>LEN(TRIM(AB1161))&gt;0</formula>
    </cfRule>
  </conditionalFormatting>
  <conditionalFormatting sqref="AB1161:AF1161">
    <cfRule type="notContainsBlanks" dxfId="1043" priority="1062">
      <formula>LEN(TRIM(AB1161))&gt;0</formula>
    </cfRule>
  </conditionalFormatting>
  <conditionalFormatting sqref="AB1161:AF1161">
    <cfRule type="notContainsBlanks" dxfId="1042" priority="1061">
      <formula>LEN(TRIM(AB1161))&gt;0</formula>
    </cfRule>
  </conditionalFormatting>
  <conditionalFormatting sqref="AB1161:AF1161">
    <cfRule type="notContainsBlanks" dxfId="1041" priority="1060">
      <formula>LEN(TRIM(AB1161))&gt;0</formula>
    </cfRule>
  </conditionalFormatting>
  <conditionalFormatting sqref="AB1161:AF1161">
    <cfRule type="notContainsBlanks" dxfId="1040" priority="1059">
      <formula>LEN(TRIM(AB1161))&gt;0</formula>
    </cfRule>
  </conditionalFormatting>
  <conditionalFormatting sqref="AB1161:AF1161">
    <cfRule type="notContainsBlanks" dxfId="1039" priority="1058">
      <formula>LEN(TRIM(AB1161))&gt;0</formula>
    </cfRule>
  </conditionalFormatting>
  <conditionalFormatting sqref="AB1161:AF1161">
    <cfRule type="notContainsBlanks" dxfId="1038" priority="1057">
      <formula>LEN(TRIM(AB1161))&gt;0</formula>
    </cfRule>
  </conditionalFormatting>
  <conditionalFormatting sqref="AB1161:AF1161">
    <cfRule type="notContainsBlanks" dxfId="1037" priority="1056">
      <formula>LEN(TRIM(AB1161))&gt;0</formula>
    </cfRule>
  </conditionalFormatting>
  <conditionalFormatting sqref="AB1161:AF1161">
    <cfRule type="notContainsBlanks" priority="1055">
      <formula>LEN(TRIM(AB1161))&gt;0</formula>
    </cfRule>
  </conditionalFormatting>
  <conditionalFormatting sqref="AB1161:AF1161">
    <cfRule type="notContainsBlanks" dxfId="1036" priority="1054">
      <formula>LEN(TRIM(AB1161))&gt;0</formula>
    </cfRule>
  </conditionalFormatting>
  <conditionalFormatting sqref="AB1161:AF1161">
    <cfRule type="notContainsBlanks" dxfId="1035" priority="1053">
      <formula>LEN(TRIM(AB1161))&gt;0</formula>
    </cfRule>
  </conditionalFormatting>
  <conditionalFormatting sqref="AB1161:AF1161">
    <cfRule type="notContainsBlanks" dxfId="1034" priority="1052">
      <formula>LEN(TRIM(AB1161))&gt;0</formula>
    </cfRule>
  </conditionalFormatting>
  <conditionalFormatting sqref="AB1161:AF1161">
    <cfRule type="notContainsBlanks" dxfId="1033" priority="1051">
      <formula>LEN(TRIM(AB1161))&gt;0</formula>
    </cfRule>
  </conditionalFormatting>
  <conditionalFormatting sqref="AB1161:AF1161">
    <cfRule type="notContainsBlanks" dxfId="1032" priority="1050">
      <formula>LEN(TRIM(AB1161))&gt;0</formula>
    </cfRule>
  </conditionalFormatting>
  <conditionalFormatting sqref="AB1174:AF1174">
    <cfRule type="notContainsBlanks" dxfId="1031" priority="1049">
      <formula>LEN(TRIM(AB1174))&gt;0</formula>
    </cfRule>
  </conditionalFormatting>
  <conditionalFormatting sqref="AB1174:AF1174">
    <cfRule type="notContainsBlanks" dxfId="1030" priority="1048">
      <formula>LEN(TRIM(AB1174))&gt;0</formula>
    </cfRule>
  </conditionalFormatting>
  <conditionalFormatting sqref="AB1174:AF1174">
    <cfRule type="notContainsBlanks" dxfId="1029" priority="1047">
      <formula>LEN(TRIM(AB1174))&gt;0</formula>
    </cfRule>
  </conditionalFormatting>
  <conditionalFormatting sqref="AB1174:AF1174">
    <cfRule type="notContainsBlanks" dxfId="1028" priority="1046">
      <formula>LEN(TRIM(AB1174))&gt;0</formula>
    </cfRule>
  </conditionalFormatting>
  <conditionalFormatting sqref="AB1174:AF1174">
    <cfRule type="notContainsBlanks" dxfId="1027" priority="1045">
      <formula>LEN(TRIM(AB1174))&gt;0</formula>
    </cfRule>
  </conditionalFormatting>
  <conditionalFormatting sqref="AB1174:AF1174">
    <cfRule type="notContainsBlanks" dxfId="1026" priority="1044">
      <formula>LEN(TRIM(AB1174))&gt;0</formula>
    </cfRule>
  </conditionalFormatting>
  <conditionalFormatting sqref="AB1174:AF1174">
    <cfRule type="notContainsBlanks" dxfId="1025" priority="1043">
      <formula>LEN(TRIM(AB1174))&gt;0</formula>
    </cfRule>
  </conditionalFormatting>
  <conditionalFormatting sqref="AB1174:AF1174">
    <cfRule type="notContainsBlanks" dxfId="1024" priority="1042">
      <formula>LEN(TRIM(AB1174))&gt;0</formula>
    </cfRule>
  </conditionalFormatting>
  <conditionalFormatting sqref="AB1174:AF1174">
    <cfRule type="notContainsBlanks" dxfId="1023" priority="1041">
      <formula>LEN(TRIM(AB1174))&gt;0</formula>
    </cfRule>
  </conditionalFormatting>
  <conditionalFormatting sqref="AB1174:AF1174">
    <cfRule type="notContainsBlanks" dxfId="1022" priority="1039">
      <formula>LEN(TRIM(AB1174))&gt;0</formula>
    </cfRule>
    <cfRule type="notContainsBlanks" dxfId="1021" priority="1040">
      <formula>LEN(TRIM(AB1174))&gt;0</formula>
    </cfRule>
  </conditionalFormatting>
  <conditionalFormatting sqref="AB1174:AF1174">
    <cfRule type="notContainsBlanks" dxfId="1020" priority="1038">
      <formula>LEN(TRIM(AB1174))&gt;0</formula>
    </cfRule>
  </conditionalFormatting>
  <conditionalFormatting sqref="AB1174:AF1174">
    <cfRule type="notContainsBlanks" dxfId="1019" priority="1037">
      <formula>LEN(TRIM(AB1174))&gt;0</formula>
    </cfRule>
  </conditionalFormatting>
  <conditionalFormatting sqref="AB1174:AF1174">
    <cfRule type="notContainsBlanks" dxfId="1018" priority="1036">
      <formula>LEN(TRIM(AB1174))&gt;0</formula>
    </cfRule>
  </conditionalFormatting>
  <conditionalFormatting sqref="AB1174:AF1174">
    <cfRule type="notContainsBlanks" dxfId="1017" priority="1035">
      <formula>LEN(TRIM(AB1174))&gt;0</formula>
    </cfRule>
  </conditionalFormatting>
  <conditionalFormatting sqref="AB1174:AF1174">
    <cfRule type="notContainsBlanks" dxfId="1016" priority="1034">
      <formula>LEN(TRIM(AB1174))&gt;0</formula>
    </cfRule>
  </conditionalFormatting>
  <conditionalFormatting sqref="AB1174:AF1174">
    <cfRule type="notContainsBlanks" dxfId="1015" priority="1033">
      <formula>LEN(TRIM(AB1174))&gt;0</formula>
    </cfRule>
  </conditionalFormatting>
  <conditionalFormatting sqref="AB1174:AF1174">
    <cfRule type="notContainsBlanks" dxfId="1014" priority="1032">
      <formula>LEN(TRIM(AB1174))&gt;0</formula>
    </cfRule>
  </conditionalFormatting>
  <conditionalFormatting sqref="AB1174:AF1174">
    <cfRule type="notContainsBlanks" dxfId="1013" priority="1031">
      <formula>LEN(TRIM(AB1174))&gt;0</formula>
    </cfRule>
  </conditionalFormatting>
  <conditionalFormatting sqref="AB1174:AF1174">
    <cfRule type="notContainsBlanks" dxfId="1012" priority="1030">
      <formula>LEN(TRIM(AB1174))&gt;0</formula>
    </cfRule>
  </conditionalFormatting>
  <conditionalFormatting sqref="AB1174:AF1174">
    <cfRule type="notContainsBlanks" priority="1029">
      <formula>LEN(TRIM(AB1174))&gt;0</formula>
    </cfRule>
  </conditionalFormatting>
  <conditionalFormatting sqref="AB1174:AF1174">
    <cfRule type="notContainsBlanks" dxfId="1011" priority="1028">
      <formula>LEN(TRIM(AB1174))&gt;0</formula>
    </cfRule>
  </conditionalFormatting>
  <conditionalFormatting sqref="AB1174:AF1174">
    <cfRule type="notContainsBlanks" dxfId="1010" priority="1027">
      <formula>LEN(TRIM(AB1174))&gt;0</formula>
    </cfRule>
  </conditionalFormatting>
  <conditionalFormatting sqref="AB1174:AF1174">
    <cfRule type="notContainsBlanks" dxfId="1009" priority="1026">
      <formula>LEN(TRIM(AB1174))&gt;0</formula>
    </cfRule>
  </conditionalFormatting>
  <conditionalFormatting sqref="AB1174:AF1174">
    <cfRule type="notContainsBlanks" dxfId="1008" priority="1025">
      <formula>LEN(TRIM(AB1174))&gt;0</formula>
    </cfRule>
  </conditionalFormatting>
  <conditionalFormatting sqref="AB1174:AF1174">
    <cfRule type="notContainsBlanks" dxfId="1007" priority="1024">
      <formula>LEN(TRIM(AB1174))&gt;0</formula>
    </cfRule>
  </conditionalFormatting>
  <conditionalFormatting sqref="AB1187:AF1187">
    <cfRule type="notContainsBlanks" dxfId="1006" priority="1023">
      <formula>LEN(TRIM(AB1187))&gt;0</formula>
    </cfRule>
  </conditionalFormatting>
  <conditionalFormatting sqref="AB1187:AF1187">
    <cfRule type="notContainsBlanks" dxfId="1005" priority="1022">
      <formula>LEN(TRIM(AB1187))&gt;0</formula>
    </cfRule>
  </conditionalFormatting>
  <conditionalFormatting sqref="AB1187:AF1187">
    <cfRule type="notContainsBlanks" dxfId="1004" priority="1021">
      <formula>LEN(TRIM(AB1187))&gt;0</formula>
    </cfRule>
  </conditionalFormatting>
  <conditionalFormatting sqref="AB1187:AF1187">
    <cfRule type="notContainsBlanks" dxfId="1003" priority="1020">
      <formula>LEN(TRIM(AB1187))&gt;0</formula>
    </cfRule>
  </conditionalFormatting>
  <conditionalFormatting sqref="AB1187:AF1187">
    <cfRule type="notContainsBlanks" dxfId="1002" priority="1019">
      <formula>LEN(TRIM(AB1187))&gt;0</formula>
    </cfRule>
  </conditionalFormatting>
  <conditionalFormatting sqref="AB1187:AF1187">
    <cfRule type="notContainsBlanks" dxfId="1001" priority="1018">
      <formula>LEN(TRIM(AB1187))&gt;0</formula>
    </cfRule>
  </conditionalFormatting>
  <conditionalFormatting sqref="AB1187:AF1187">
    <cfRule type="notContainsBlanks" dxfId="1000" priority="1017">
      <formula>LEN(TRIM(AB1187))&gt;0</formula>
    </cfRule>
  </conditionalFormatting>
  <conditionalFormatting sqref="AB1187:AF1187">
    <cfRule type="notContainsBlanks" dxfId="999" priority="1016">
      <formula>LEN(TRIM(AB1187))&gt;0</formula>
    </cfRule>
  </conditionalFormatting>
  <conditionalFormatting sqref="AB1187:AF1187">
    <cfRule type="notContainsBlanks" dxfId="998" priority="1015">
      <formula>LEN(TRIM(AB1187))&gt;0</formula>
    </cfRule>
  </conditionalFormatting>
  <conditionalFormatting sqref="AB1187:AF1187">
    <cfRule type="notContainsBlanks" dxfId="997" priority="1013">
      <formula>LEN(TRIM(AB1187))&gt;0</formula>
    </cfRule>
    <cfRule type="notContainsBlanks" dxfId="996" priority="1014">
      <formula>LEN(TRIM(AB1187))&gt;0</formula>
    </cfRule>
  </conditionalFormatting>
  <conditionalFormatting sqref="AB1187:AF1187">
    <cfRule type="notContainsBlanks" dxfId="995" priority="1012">
      <formula>LEN(TRIM(AB1187))&gt;0</formula>
    </cfRule>
  </conditionalFormatting>
  <conditionalFormatting sqref="AB1187:AF1187">
    <cfRule type="notContainsBlanks" dxfId="994" priority="1011">
      <formula>LEN(TRIM(AB1187))&gt;0</formula>
    </cfRule>
  </conditionalFormatting>
  <conditionalFormatting sqref="AB1187:AF1187">
    <cfRule type="notContainsBlanks" dxfId="993" priority="1010">
      <formula>LEN(TRIM(AB1187))&gt;0</formula>
    </cfRule>
  </conditionalFormatting>
  <conditionalFormatting sqref="AB1187:AF1187">
    <cfRule type="notContainsBlanks" dxfId="992" priority="1009">
      <formula>LEN(TRIM(AB1187))&gt;0</formula>
    </cfRule>
  </conditionalFormatting>
  <conditionalFormatting sqref="AB1187:AF1187">
    <cfRule type="notContainsBlanks" dxfId="991" priority="1008">
      <formula>LEN(TRIM(AB1187))&gt;0</formula>
    </cfRule>
  </conditionalFormatting>
  <conditionalFormatting sqref="AB1187:AF1187">
    <cfRule type="notContainsBlanks" dxfId="990" priority="1007">
      <formula>LEN(TRIM(AB1187))&gt;0</formula>
    </cfRule>
  </conditionalFormatting>
  <conditionalFormatting sqref="AB1187:AF1187">
    <cfRule type="notContainsBlanks" dxfId="989" priority="1006">
      <formula>LEN(TRIM(AB1187))&gt;0</formula>
    </cfRule>
  </conditionalFormatting>
  <conditionalFormatting sqref="AB1187:AF1187">
    <cfRule type="notContainsBlanks" dxfId="988" priority="1005">
      <formula>LEN(TRIM(AB1187))&gt;0</formula>
    </cfRule>
  </conditionalFormatting>
  <conditionalFormatting sqref="AB1187:AF1187">
    <cfRule type="notContainsBlanks" dxfId="987" priority="1004">
      <formula>LEN(TRIM(AB1187))&gt;0</formula>
    </cfRule>
  </conditionalFormatting>
  <conditionalFormatting sqref="AB1187:AF1187">
    <cfRule type="notContainsBlanks" priority="1003">
      <formula>LEN(TRIM(AB1187))&gt;0</formula>
    </cfRule>
  </conditionalFormatting>
  <conditionalFormatting sqref="AB1187:AF1187">
    <cfRule type="notContainsBlanks" dxfId="986" priority="1002">
      <formula>LEN(TRIM(AB1187))&gt;0</formula>
    </cfRule>
  </conditionalFormatting>
  <conditionalFormatting sqref="AB1187:AF1187">
    <cfRule type="notContainsBlanks" dxfId="985" priority="1001">
      <formula>LEN(TRIM(AB1187))&gt;0</formula>
    </cfRule>
  </conditionalFormatting>
  <conditionalFormatting sqref="AB1187:AF1187">
    <cfRule type="notContainsBlanks" dxfId="984" priority="1000">
      <formula>LEN(TRIM(AB1187))&gt;0</formula>
    </cfRule>
  </conditionalFormatting>
  <conditionalFormatting sqref="AB1187:AF1187">
    <cfRule type="notContainsBlanks" dxfId="983" priority="999">
      <formula>LEN(TRIM(AB1187))&gt;0</formula>
    </cfRule>
  </conditionalFormatting>
  <conditionalFormatting sqref="AB1187:AF1187">
    <cfRule type="notContainsBlanks" dxfId="982" priority="998">
      <formula>LEN(TRIM(AB1187))&gt;0</formula>
    </cfRule>
  </conditionalFormatting>
  <conditionalFormatting sqref="AB1200:AF1200">
    <cfRule type="notContainsBlanks" dxfId="981" priority="997">
      <formula>LEN(TRIM(AB1200))&gt;0</formula>
    </cfRule>
  </conditionalFormatting>
  <conditionalFormatting sqref="AB1200:AF1200">
    <cfRule type="notContainsBlanks" dxfId="980" priority="996">
      <formula>LEN(TRIM(AB1200))&gt;0</formula>
    </cfRule>
  </conditionalFormatting>
  <conditionalFormatting sqref="AB1200:AF1200">
    <cfRule type="notContainsBlanks" dxfId="979" priority="995">
      <formula>LEN(TRIM(AB1200))&gt;0</formula>
    </cfRule>
  </conditionalFormatting>
  <conditionalFormatting sqref="AB1200:AF1200">
    <cfRule type="notContainsBlanks" dxfId="978" priority="994">
      <formula>LEN(TRIM(AB1200))&gt;0</formula>
    </cfRule>
  </conditionalFormatting>
  <conditionalFormatting sqref="AB1200:AF1200">
    <cfRule type="notContainsBlanks" dxfId="977" priority="993">
      <formula>LEN(TRIM(AB1200))&gt;0</formula>
    </cfRule>
  </conditionalFormatting>
  <conditionalFormatting sqref="AB1200:AF1200">
    <cfRule type="notContainsBlanks" dxfId="976" priority="992">
      <formula>LEN(TRIM(AB1200))&gt;0</formula>
    </cfRule>
  </conditionalFormatting>
  <conditionalFormatting sqref="AB1200:AF1200">
    <cfRule type="notContainsBlanks" dxfId="975" priority="991">
      <formula>LEN(TRIM(AB1200))&gt;0</formula>
    </cfRule>
  </conditionalFormatting>
  <conditionalFormatting sqref="AB1200:AF1200">
    <cfRule type="notContainsBlanks" dxfId="974" priority="990">
      <formula>LEN(TRIM(AB1200))&gt;0</formula>
    </cfRule>
  </conditionalFormatting>
  <conditionalFormatting sqref="AB1200:AF1200">
    <cfRule type="notContainsBlanks" dxfId="973" priority="989">
      <formula>LEN(TRIM(AB1200))&gt;0</formula>
    </cfRule>
  </conditionalFormatting>
  <conditionalFormatting sqref="AB1200:AF1200">
    <cfRule type="notContainsBlanks" dxfId="972" priority="987">
      <formula>LEN(TRIM(AB1200))&gt;0</formula>
    </cfRule>
    <cfRule type="notContainsBlanks" dxfId="971" priority="988">
      <formula>LEN(TRIM(AB1200))&gt;0</formula>
    </cfRule>
  </conditionalFormatting>
  <conditionalFormatting sqref="AB1200:AF1200">
    <cfRule type="notContainsBlanks" dxfId="970" priority="986">
      <formula>LEN(TRIM(AB1200))&gt;0</formula>
    </cfRule>
  </conditionalFormatting>
  <conditionalFormatting sqref="AB1200:AF1200">
    <cfRule type="notContainsBlanks" dxfId="969" priority="985">
      <formula>LEN(TRIM(AB1200))&gt;0</formula>
    </cfRule>
  </conditionalFormatting>
  <conditionalFormatting sqref="AB1200:AF1200">
    <cfRule type="notContainsBlanks" dxfId="968" priority="984">
      <formula>LEN(TRIM(AB1200))&gt;0</formula>
    </cfRule>
  </conditionalFormatting>
  <conditionalFormatting sqref="AB1200:AF1200">
    <cfRule type="notContainsBlanks" dxfId="967" priority="983">
      <formula>LEN(TRIM(AB1200))&gt;0</formula>
    </cfRule>
  </conditionalFormatting>
  <conditionalFormatting sqref="AB1200:AF1200">
    <cfRule type="notContainsBlanks" dxfId="966" priority="982">
      <formula>LEN(TRIM(AB1200))&gt;0</formula>
    </cfRule>
  </conditionalFormatting>
  <conditionalFormatting sqref="AB1200:AF1200">
    <cfRule type="notContainsBlanks" dxfId="965" priority="981">
      <formula>LEN(TRIM(AB1200))&gt;0</formula>
    </cfRule>
  </conditionalFormatting>
  <conditionalFormatting sqref="AB1200:AF1200">
    <cfRule type="notContainsBlanks" dxfId="964" priority="980">
      <formula>LEN(TRIM(AB1200))&gt;0</formula>
    </cfRule>
  </conditionalFormatting>
  <conditionalFormatting sqref="AB1200:AF1200">
    <cfRule type="notContainsBlanks" dxfId="963" priority="979">
      <formula>LEN(TRIM(AB1200))&gt;0</formula>
    </cfRule>
  </conditionalFormatting>
  <conditionalFormatting sqref="AB1200:AF1200">
    <cfRule type="notContainsBlanks" dxfId="962" priority="978">
      <formula>LEN(TRIM(AB1200))&gt;0</formula>
    </cfRule>
  </conditionalFormatting>
  <conditionalFormatting sqref="AB1200:AF1200">
    <cfRule type="notContainsBlanks" priority="977">
      <formula>LEN(TRIM(AB1200))&gt;0</formula>
    </cfRule>
  </conditionalFormatting>
  <conditionalFormatting sqref="AB1200:AF1200">
    <cfRule type="notContainsBlanks" dxfId="961" priority="976">
      <formula>LEN(TRIM(AB1200))&gt;0</formula>
    </cfRule>
  </conditionalFormatting>
  <conditionalFormatting sqref="AB1200:AF1200">
    <cfRule type="notContainsBlanks" dxfId="960" priority="975">
      <formula>LEN(TRIM(AB1200))&gt;0</formula>
    </cfRule>
  </conditionalFormatting>
  <conditionalFormatting sqref="AB1200:AF1200">
    <cfRule type="notContainsBlanks" dxfId="959" priority="974">
      <formula>LEN(TRIM(AB1200))&gt;0</formula>
    </cfRule>
  </conditionalFormatting>
  <conditionalFormatting sqref="AB1200:AF1200">
    <cfRule type="notContainsBlanks" dxfId="958" priority="973">
      <formula>LEN(TRIM(AB1200))&gt;0</formula>
    </cfRule>
  </conditionalFormatting>
  <conditionalFormatting sqref="AB1200:AF1200">
    <cfRule type="notContainsBlanks" dxfId="957" priority="972">
      <formula>LEN(TRIM(AB1200))&gt;0</formula>
    </cfRule>
  </conditionalFormatting>
  <conditionalFormatting sqref="AB1213:AF1213">
    <cfRule type="notContainsBlanks" dxfId="956" priority="971">
      <formula>LEN(TRIM(AB1213))&gt;0</formula>
    </cfRule>
  </conditionalFormatting>
  <conditionalFormatting sqref="AB1213:AF1213">
    <cfRule type="notContainsBlanks" dxfId="955" priority="970">
      <formula>LEN(TRIM(AB1213))&gt;0</formula>
    </cfRule>
  </conditionalFormatting>
  <conditionalFormatting sqref="AB1213:AF1213">
    <cfRule type="notContainsBlanks" dxfId="954" priority="969">
      <formula>LEN(TRIM(AB1213))&gt;0</formula>
    </cfRule>
  </conditionalFormatting>
  <conditionalFormatting sqref="AB1213:AF1213">
    <cfRule type="notContainsBlanks" dxfId="953" priority="968">
      <formula>LEN(TRIM(AB1213))&gt;0</formula>
    </cfRule>
  </conditionalFormatting>
  <conditionalFormatting sqref="AB1213:AF1213">
    <cfRule type="notContainsBlanks" dxfId="952" priority="967">
      <formula>LEN(TRIM(AB1213))&gt;0</formula>
    </cfRule>
  </conditionalFormatting>
  <conditionalFormatting sqref="AB1213:AF1213">
    <cfRule type="notContainsBlanks" dxfId="951" priority="966">
      <formula>LEN(TRIM(AB1213))&gt;0</formula>
    </cfRule>
  </conditionalFormatting>
  <conditionalFormatting sqref="AB1213:AF1213">
    <cfRule type="notContainsBlanks" dxfId="950" priority="965">
      <formula>LEN(TRIM(AB1213))&gt;0</formula>
    </cfRule>
  </conditionalFormatting>
  <conditionalFormatting sqref="AB1213:AF1213">
    <cfRule type="notContainsBlanks" dxfId="949" priority="964">
      <formula>LEN(TRIM(AB1213))&gt;0</formula>
    </cfRule>
  </conditionalFormatting>
  <conditionalFormatting sqref="AB1213:AF1213">
    <cfRule type="notContainsBlanks" dxfId="948" priority="963">
      <formula>LEN(TRIM(AB1213))&gt;0</formula>
    </cfRule>
  </conditionalFormatting>
  <conditionalFormatting sqref="AB1213:AF1213">
    <cfRule type="notContainsBlanks" dxfId="947" priority="961">
      <formula>LEN(TRIM(AB1213))&gt;0</formula>
    </cfRule>
    <cfRule type="notContainsBlanks" dxfId="946" priority="962">
      <formula>LEN(TRIM(AB1213))&gt;0</formula>
    </cfRule>
  </conditionalFormatting>
  <conditionalFormatting sqref="AB1213:AF1213">
    <cfRule type="notContainsBlanks" dxfId="945" priority="960">
      <formula>LEN(TRIM(AB1213))&gt;0</formula>
    </cfRule>
  </conditionalFormatting>
  <conditionalFormatting sqref="AB1213:AF1213">
    <cfRule type="notContainsBlanks" dxfId="944" priority="959">
      <formula>LEN(TRIM(AB1213))&gt;0</formula>
    </cfRule>
  </conditionalFormatting>
  <conditionalFormatting sqref="AB1213:AF1213">
    <cfRule type="notContainsBlanks" dxfId="943" priority="958">
      <formula>LEN(TRIM(AB1213))&gt;0</formula>
    </cfRule>
  </conditionalFormatting>
  <conditionalFormatting sqref="AB1213:AF1213">
    <cfRule type="notContainsBlanks" dxfId="942" priority="957">
      <formula>LEN(TRIM(AB1213))&gt;0</formula>
    </cfRule>
  </conditionalFormatting>
  <conditionalFormatting sqref="AB1213:AF1213">
    <cfRule type="notContainsBlanks" dxfId="941" priority="956">
      <formula>LEN(TRIM(AB1213))&gt;0</formula>
    </cfRule>
  </conditionalFormatting>
  <conditionalFormatting sqref="AB1213:AF1213">
    <cfRule type="notContainsBlanks" dxfId="940" priority="955">
      <formula>LEN(TRIM(AB1213))&gt;0</formula>
    </cfRule>
  </conditionalFormatting>
  <conditionalFormatting sqref="AB1213:AF1213">
    <cfRule type="notContainsBlanks" dxfId="939" priority="954">
      <formula>LEN(TRIM(AB1213))&gt;0</formula>
    </cfRule>
  </conditionalFormatting>
  <conditionalFormatting sqref="AB1213:AF1213">
    <cfRule type="notContainsBlanks" dxfId="938" priority="953">
      <formula>LEN(TRIM(AB1213))&gt;0</formula>
    </cfRule>
  </conditionalFormatting>
  <conditionalFormatting sqref="AB1213:AF1213">
    <cfRule type="notContainsBlanks" dxfId="937" priority="952">
      <formula>LEN(TRIM(AB1213))&gt;0</formula>
    </cfRule>
  </conditionalFormatting>
  <conditionalFormatting sqref="AB1213:AF1213">
    <cfRule type="notContainsBlanks" priority="951">
      <formula>LEN(TRIM(AB1213))&gt;0</formula>
    </cfRule>
  </conditionalFormatting>
  <conditionalFormatting sqref="AB1213:AF1213">
    <cfRule type="notContainsBlanks" dxfId="936" priority="950">
      <formula>LEN(TRIM(AB1213))&gt;0</formula>
    </cfRule>
  </conditionalFormatting>
  <conditionalFormatting sqref="AB1213:AF1213">
    <cfRule type="notContainsBlanks" dxfId="935" priority="949">
      <formula>LEN(TRIM(AB1213))&gt;0</formula>
    </cfRule>
  </conditionalFormatting>
  <conditionalFormatting sqref="AB1213:AF1213">
    <cfRule type="notContainsBlanks" dxfId="934" priority="948">
      <formula>LEN(TRIM(AB1213))&gt;0</formula>
    </cfRule>
  </conditionalFormatting>
  <conditionalFormatting sqref="AB1213:AF1213">
    <cfRule type="notContainsBlanks" dxfId="933" priority="947">
      <formula>LEN(TRIM(AB1213))&gt;0</formula>
    </cfRule>
  </conditionalFormatting>
  <conditionalFormatting sqref="AB1213:AF1213">
    <cfRule type="notContainsBlanks" dxfId="932" priority="946">
      <formula>LEN(TRIM(AB1213))&gt;0</formula>
    </cfRule>
  </conditionalFormatting>
  <conditionalFormatting sqref="AB1226:AF1226">
    <cfRule type="notContainsBlanks" dxfId="931" priority="945">
      <formula>LEN(TRIM(AB1226))&gt;0</formula>
    </cfRule>
  </conditionalFormatting>
  <conditionalFormatting sqref="AB1226:AF1226">
    <cfRule type="notContainsBlanks" dxfId="930" priority="944">
      <formula>LEN(TRIM(AB1226))&gt;0</formula>
    </cfRule>
  </conditionalFormatting>
  <conditionalFormatting sqref="AB1226:AF1226">
    <cfRule type="notContainsBlanks" dxfId="929" priority="943">
      <formula>LEN(TRIM(AB1226))&gt;0</formula>
    </cfRule>
  </conditionalFormatting>
  <conditionalFormatting sqref="AB1226:AF1226">
    <cfRule type="notContainsBlanks" dxfId="928" priority="942">
      <formula>LEN(TRIM(AB1226))&gt;0</formula>
    </cfRule>
  </conditionalFormatting>
  <conditionalFormatting sqref="AB1226:AF1226">
    <cfRule type="notContainsBlanks" dxfId="927" priority="941">
      <formula>LEN(TRIM(AB1226))&gt;0</formula>
    </cfRule>
  </conditionalFormatting>
  <conditionalFormatting sqref="AB1226:AF1226">
    <cfRule type="notContainsBlanks" dxfId="926" priority="940">
      <formula>LEN(TRIM(AB1226))&gt;0</formula>
    </cfRule>
  </conditionalFormatting>
  <conditionalFormatting sqref="AB1226:AF1226">
    <cfRule type="notContainsBlanks" dxfId="925" priority="939">
      <formula>LEN(TRIM(AB1226))&gt;0</formula>
    </cfRule>
  </conditionalFormatting>
  <conditionalFormatting sqref="AB1226:AF1226">
    <cfRule type="notContainsBlanks" dxfId="924" priority="938">
      <formula>LEN(TRIM(AB1226))&gt;0</formula>
    </cfRule>
  </conditionalFormatting>
  <conditionalFormatting sqref="AB1226:AF1226">
    <cfRule type="notContainsBlanks" dxfId="923" priority="937">
      <formula>LEN(TRIM(AB1226))&gt;0</formula>
    </cfRule>
  </conditionalFormatting>
  <conditionalFormatting sqref="AB1226:AF1226">
    <cfRule type="notContainsBlanks" dxfId="922" priority="935">
      <formula>LEN(TRIM(AB1226))&gt;0</formula>
    </cfRule>
    <cfRule type="notContainsBlanks" dxfId="921" priority="936">
      <formula>LEN(TRIM(AB1226))&gt;0</formula>
    </cfRule>
  </conditionalFormatting>
  <conditionalFormatting sqref="AB1226:AF1226">
    <cfRule type="notContainsBlanks" dxfId="920" priority="934">
      <formula>LEN(TRIM(AB1226))&gt;0</formula>
    </cfRule>
  </conditionalFormatting>
  <conditionalFormatting sqref="AB1226:AF1226">
    <cfRule type="notContainsBlanks" dxfId="919" priority="933">
      <formula>LEN(TRIM(AB1226))&gt;0</formula>
    </cfRule>
  </conditionalFormatting>
  <conditionalFormatting sqref="AB1226:AF1226">
    <cfRule type="notContainsBlanks" dxfId="918" priority="932">
      <formula>LEN(TRIM(AB1226))&gt;0</formula>
    </cfRule>
  </conditionalFormatting>
  <conditionalFormatting sqref="AB1226:AF1226">
    <cfRule type="notContainsBlanks" dxfId="917" priority="931">
      <formula>LEN(TRIM(AB1226))&gt;0</formula>
    </cfRule>
  </conditionalFormatting>
  <conditionalFormatting sqref="AB1226:AF1226">
    <cfRule type="notContainsBlanks" dxfId="916" priority="930">
      <formula>LEN(TRIM(AB1226))&gt;0</formula>
    </cfRule>
  </conditionalFormatting>
  <conditionalFormatting sqref="AB1226:AF1226">
    <cfRule type="notContainsBlanks" dxfId="915" priority="929">
      <formula>LEN(TRIM(AB1226))&gt;0</formula>
    </cfRule>
  </conditionalFormatting>
  <conditionalFormatting sqref="AB1226:AF1226">
    <cfRule type="notContainsBlanks" dxfId="914" priority="928">
      <formula>LEN(TRIM(AB1226))&gt;0</formula>
    </cfRule>
  </conditionalFormatting>
  <conditionalFormatting sqref="AB1226:AF1226">
    <cfRule type="notContainsBlanks" dxfId="913" priority="927">
      <formula>LEN(TRIM(AB1226))&gt;0</formula>
    </cfRule>
  </conditionalFormatting>
  <conditionalFormatting sqref="AB1226:AF1226">
    <cfRule type="notContainsBlanks" dxfId="912" priority="926">
      <formula>LEN(TRIM(AB1226))&gt;0</formula>
    </cfRule>
  </conditionalFormatting>
  <conditionalFormatting sqref="AB1226:AF1226">
    <cfRule type="notContainsBlanks" priority="925">
      <formula>LEN(TRIM(AB1226))&gt;0</formula>
    </cfRule>
  </conditionalFormatting>
  <conditionalFormatting sqref="AB1226:AF1226">
    <cfRule type="notContainsBlanks" dxfId="911" priority="924">
      <formula>LEN(TRIM(AB1226))&gt;0</formula>
    </cfRule>
  </conditionalFormatting>
  <conditionalFormatting sqref="AB1226:AF1226">
    <cfRule type="notContainsBlanks" dxfId="910" priority="923">
      <formula>LEN(TRIM(AB1226))&gt;0</formula>
    </cfRule>
  </conditionalFormatting>
  <conditionalFormatting sqref="AB1226:AF1226">
    <cfRule type="notContainsBlanks" dxfId="909" priority="922">
      <formula>LEN(TRIM(AB1226))&gt;0</formula>
    </cfRule>
  </conditionalFormatting>
  <conditionalFormatting sqref="AB1226:AF1226">
    <cfRule type="notContainsBlanks" dxfId="908" priority="921">
      <formula>LEN(TRIM(AB1226))&gt;0</formula>
    </cfRule>
  </conditionalFormatting>
  <conditionalFormatting sqref="AB1226:AF1226">
    <cfRule type="notContainsBlanks" dxfId="907" priority="920">
      <formula>LEN(TRIM(AB1226))&gt;0</formula>
    </cfRule>
  </conditionalFormatting>
  <conditionalFormatting sqref="AB1239:AF1239">
    <cfRule type="notContainsBlanks" dxfId="906" priority="919">
      <formula>LEN(TRIM(AB1239))&gt;0</formula>
    </cfRule>
  </conditionalFormatting>
  <conditionalFormatting sqref="AB1239:AF1239">
    <cfRule type="notContainsBlanks" dxfId="905" priority="918">
      <formula>LEN(TRIM(AB1239))&gt;0</formula>
    </cfRule>
  </conditionalFormatting>
  <conditionalFormatting sqref="AB1239:AF1239">
    <cfRule type="notContainsBlanks" dxfId="904" priority="917">
      <formula>LEN(TRIM(AB1239))&gt;0</formula>
    </cfRule>
  </conditionalFormatting>
  <conditionalFormatting sqref="AB1239:AF1239">
    <cfRule type="notContainsBlanks" dxfId="903" priority="916">
      <formula>LEN(TRIM(AB1239))&gt;0</formula>
    </cfRule>
  </conditionalFormatting>
  <conditionalFormatting sqref="AB1239:AF1239">
    <cfRule type="notContainsBlanks" dxfId="902" priority="915">
      <formula>LEN(TRIM(AB1239))&gt;0</formula>
    </cfRule>
  </conditionalFormatting>
  <conditionalFormatting sqref="AB1239:AF1239">
    <cfRule type="notContainsBlanks" dxfId="901" priority="914">
      <formula>LEN(TRIM(AB1239))&gt;0</formula>
    </cfRule>
  </conditionalFormatting>
  <conditionalFormatting sqref="AB1239:AF1239">
    <cfRule type="notContainsBlanks" dxfId="900" priority="913">
      <formula>LEN(TRIM(AB1239))&gt;0</formula>
    </cfRule>
  </conditionalFormatting>
  <conditionalFormatting sqref="AB1239:AF1239">
    <cfRule type="notContainsBlanks" dxfId="899" priority="912">
      <formula>LEN(TRIM(AB1239))&gt;0</formula>
    </cfRule>
  </conditionalFormatting>
  <conditionalFormatting sqref="AB1239:AF1239">
    <cfRule type="notContainsBlanks" dxfId="898" priority="911">
      <formula>LEN(TRIM(AB1239))&gt;0</formula>
    </cfRule>
  </conditionalFormatting>
  <conditionalFormatting sqref="AB1239:AF1239">
    <cfRule type="notContainsBlanks" dxfId="897" priority="909">
      <formula>LEN(TRIM(AB1239))&gt;0</formula>
    </cfRule>
    <cfRule type="notContainsBlanks" dxfId="896" priority="910">
      <formula>LEN(TRIM(AB1239))&gt;0</formula>
    </cfRule>
  </conditionalFormatting>
  <conditionalFormatting sqref="AB1239:AF1239">
    <cfRule type="notContainsBlanks" dxfId="895" priority="908">
      <formula>LEN(TRIM(AB1239))&gt;0</formula>
    </cfRule>
  </conditionalFormatting>
  <conditionalFormatting sqref="AB1239:AF1239">
    <cfRule type="notContainsBlanks" dxfId="894" priority="907">
      <formula>LEN(TRIM(AB1239))&gt;0</formula>
    </cfRule>
  </conditionalFormatting>
  <conditionalFormatting sqref="AB1239:AF1239">
    <cfRule type="notContainsBlanks" dxfId="893" priority="906">
      <formula>LEN(TRIM(AB1239))&gt;0</formula>
    </cfRule>
  </conditionalFormatting>
  <conditionalFormatting sqref="AB1239:AF1239">
    <cfRule type="notContainsBlanks" dxfId="892" priority="905">
      <formula>LEN(TRIM(AB1239))&gt;0</formula>
    </cfRule>
  </conditionalFormatting>
  <conditionalFormatting sqref="AB1239:AF1239">
    <cfRule type="notContainsBlanks" dxfId="891" priority="904">
      <formula>LEN(TRIM(AB1239))&gt;0</formula>
    </cfRule>
  </conditionalFormatting>
  <conditionalFormatting sqref="AB1239:AF1239">
    <cfRule type="notContainsBlanks" dxfId="890" priority="903">
      <formula>LEN(TRIM(AB1239))&gt;0</formula>
    </cfRule>
  </conditionalFormatting>
  <conditionalFormatting sqref="AB1239:AF1239">
    <cfRule type="notContainsBlanks" dxfId="889" priority="902">
      <formula>LEN(TRIM(AB1239))&gt;0</formula>
    </cfRule>
  </conditionalFormatting>
  <conditionalFormatting sqref="AB1239:AF1239">
    <cfRule type="notContainsBlanks" dxfId="888" priority="901">
      <formula>LEN(TRIM(AB1239))&gt;0</formula>
    </cfRule>
  </conditionalFormatting>
  <conditionalFormatting sqref="AB1239:AF1239">
    <cfRule type="notContainsBlanks" dxfId="887" priority="900">
      <formula>LEN(TRIM(AB1239))&gt;0</formula>
    </cfRule>
  </conditionalFormatting>
  <conditionalFormatting sqref="AB1239:AF1239">
    <cfRule type="notContainsBlanks" priority="899">
      <formula>LEN(TRIM(AB1239))&gt;0</formula>
    </cfRule>
  </conditionalFormatting>
  <conditionalFormatting sqref="AB1239:AF1239">
    <cfRule type="notContainsBlanks" dxfId="886" priority="898">
      <formula>LEN(TRIM(AB1239))&gt;0</formula>
    </cfRule>
  </conditionalFormatting>
  <conditionalFormatting sqref="AB1239:AF1239">
    <cfRule type="notContainsBlanks" dxfId="885" priority="897">
      <formula>LEN(TRIM(AB1239))&gt;0</formula>
    </cfRule>
  </conditionalFormatting>
  <conditionalFormatting sqref="AB1239:AF1239">
    <cfRule type="notContainsBlanks" dxfId="884" priority="896">
      <formula>LEN(TRIM(AB1239))&gt;0</formula>
    </cfRule>
  </conditionalFormatting>
  <conditionalFormatting sqref="AB1239:AF1239">
    <cfRule type="notContainsBlanks" dxfId="883" priority="895">
      <formula>LEN(TRIM(AB1239))&gt;0</formula>
    </cfRule>
  </conditionalFormatting>
  <conditionalFormatting sqref="AB1239:AF1239">
    <cfRule type="notContainsBlanks" dxfId="882" priority="894">
      <formula>LEN(TRIM(AB1239))&gt;0</formula>
    </cfRule>
  </conditionalFormatting>
  <conditionalFormatting sqref="AB1252:AF1252">
    <cfRule type="notContainsBlanks" dxfId="881" priority="893">
      <formula>LEN(TRIM(AB1252))&gt;0</formula>
    </cfRule>
  </conditionalFormatting>
  <conditionalFormatting sqref="AB1252:AF1252">
    <cfRule type="notContainsBlanks" dxfId="880" priority="892">
      <formula>LEN(TRIM(AB1252))&gt;0</formula>
    </cfRule>
  </conditionalFormatting>
  <conditionalFormatting sqref="AB1252:AF1252">
    <cfRule type="notContainsBlanks" dxfId="879" priority="891">
      <formula>LEN(TRIM(AB1252))&gt;0</formula>
    </cfRule>
  </conditionalFormatting>
  <conditionalFormatting sqref="AB1252:AF1252">
    <cfRule type="notContainsBlanks" dxfId="878" priority="890">
      <formula>LEN(TRIM(AB1252))&gt;0</formula>
    </cfRule>
  </conditionalFormatting>
  <conditionalFormatting sqref="AB1252:AF1252">
    <cfRule type="notContainsBlanks" dxfId="877" priority="889">
      <formula>LEN(TRIM(AB1252))&gt;0</formula>
    </cfRule>
  </conditionalFormatting>
  <conditionalFormatting sqref="AB1252:AF1252">
    <cfRule type="notContainsBlanks" dxfId="876" priority="888">
      <formula>LEN(TRIM(AB1252))&gt;0</formula>
    </cfRule>
  </conditionalFormatting>
  <conditionalFormatting sqref="AB1252:AF1252">
    <cfRule type="notContainsBlanks" dxfId="875" priority="887">
      <formula>LEN(TRIM(AB1252))&gt;0</formula>
    </cfRule>
  </conditionalFormatting>
  <conditionalFormatting sqref="AB1252:AF1252">
    <cfRule type="notContainsBlanks" dxfId="874" priority="886">
      <formula>LEN(TRIM(AB1252))&gt;0</formula>
    </cfRule>
  </conditionalFormatting>
  <conditionalFormatting sqref="AB1252:AF1252">
    <cfRule type="notContainsBlanks" dxfId="873" priority="885">
      <formula>LEN(TRIM(AB1252))&gt;0</formula>
    </cfRule>
  </conditionalFormatting>
  <conditionalFormatting sqref="AB1252:AF1252">
    <cfRule type="notContainsBlanks" dxfId="872" priority="883">
      <formula>LEN(TRIM(AB1252))&gt;0</formula>
    </cfRule>
    <cfRule type="notContainsBlanks" dxfId="871" priority="884">
      <formula>LEN(TRIM(AB1252))&gt;0</formula>
    </cfRule>
  </conditionalFormatting>
  <conditionalFormatting sqref="AB1252:AF1252">
    <cfRule type="notContainsBlanks" dxfId="870" priority="882">
      <formula>LEN(TRIM(AB1252))&gt;0</formula>
    </cfRule>
  </conditionalFormatting>
  <conditionalFormatting sqref="AB1252:AF1252">
    <cfRule type="notContainsBlanks" dxfId="869" priority="881">
      <formula>LEN(TRIM(AB1252))&gt;0</formula>
    </cfRule>
  </conditionalFormatting>
  <conditionalFormatting sqref="AB1252:AF1252">
    <cfRule type="notContainsBlanks" dxfId="868" priority="880">
      <formula>LEN(TRIM(AB1252))&gt;0</formula>
    </cfRule>
  </conditionalFormatting>
  <conditionalFormatting sqref="AB1252:AF1252">
    <cfRule type="notContainsBlanks" dxfId="867" priority="879">
      <formula>LEN(TRIM(AB1252))&gt;0</formula>
    </cfRule>
  </conditionalFormatting>
  <conditionalFormatting sqref="AB1252:AF1252">
    <cfRule type="notContainsBlanks" dxfId="866" priority="878">
      <formula>LEN(TRIM(AB1252))&gt;0</formula>
    </cfRule>
  </conditionalFormatting>
  <conditionalFormatting sqref="AB1252:AF1252">
    <cfRule type="notContainsBlanks" dxfId="865" priority="877">
      <formula>LEN(TRIM(AB1252))&gt;0</formula>
    </cfRule>
  </conditionalFormatting>
  <conditionalFormatting sqref="AB1252:AF1252">
    <cfRule type="notContainsBlanks" dxfId="864" priority="876">
      <formula>LEN(TRIM(AB1252))&gt;0</formula>
    </cfRule>
  </conditionalFormatting>
  <conditionalFormatting sqref="AB1252:AF1252">
    <cfRule type="notContainsBlanks" dxfId="863" priority="875">
      <formula>LEN(TRIM(AB1252))&gt;0</formula>
    </cfRule>
  </conditionalFormatting>
  <conditionalFormatting sqref="AB1252:AF1252">
    <cfRule type="notContainsBlanks" dxfId="862" priority="874">
      <formula>LEN(TRIM(AB1252))&gt;0</formula>
    </cfRule>
  </conditionalFormatting>
  <conditionalFormatting sqref="AB1252:AF1252">
    <cfRule type="notContainsBlanks" priority="873">
      <formula>LEN(TRIM(AB1252))&gt;0</formula>
    </cfRule>
  </conditionalFormatting>
  <conditionalFormatting sqref="AB1252:AF1252">
    <cfRule type="notContainsBlanks" dxfId="861" priority="872">
      <formula>LEN(TRIM(AB1252))&gt;0</formula>
    </cfRule>
  </conditionalFormatting>
  <conditionalFormatting sqref="AB1252:AF1252">
    <cfRule type="notContainsBlanks" dxfId="860" priority="871">
      <formula>LEN(TRIM(AB1252))&gt;0</formula>
    </cfRule>
  </conditionalFormatting>
  <conditionalFormatting sqref="AB1252:AF1252">
    <cfRule type="notContainsBlanks" dxfId="859" priority="870">
      <formula>LEN(TRIM(AB1252))&gt;0</formula>
    </cfRule>
  </conditionalFormatting>
  <conditionalFormatting sqref="AB1252:AF1252">
    <cfRule type="notContainsBlanks" dxfId="858" priority="869">
      <formula>LEN(TRIM(AB1252))&gt;0</formula>
    </cfRule>
  </conditionalFormatting>
  <conditionalFormatting sqref="AB1252:AF1252">
    <cfRule type="notContainsBlanks" dxfId="857" priority="868">
      <formula>LEN(TRIM(AB1252))&gt;0</formula>
    </cfRule>
  </conditionalFormatting>
  <conditionalFormatting sqref="AB1265:AF1265">
    <cfRule type="notContainsBlanks" dxfId="856" priority="867">
      <formula>LEN(TRIM(AB1265))&gt;0</formula>
    </cfRule>
  </conditionalFormatting>
  <conditionalFormatting sqref="AB1265:AF1265">
    <cfRule type="notContainsBlanks" dxfId="855" priority="866">
      <formula>LEN(TRIM(AB1265))&gt;0</formula>
    </cfRule>
  </conditionalFormatting>
  <conditionalFormatting sqref="AB1265:AF1265">
    <cfRule type="notContainsBlanks" dxfId="854" priority="865">
      <formula>LEN(TRIM(AB1265))&gt;0</formula>
    </cfRule>
  </conditionalFormatting>
  <conditionalFormatting sqref="AB1265:AF1265">
    <cfRule type="notContainsBlanks" dxfId="853" priority="864">
      <formula>LEN(TRIM(AB1265))&gt;0</formula>
    </cfRule>
  </conditionalFormatting>
  <conditionalFormatting sqref="AB1265:AF1265">
    <cfRule type="notContainsBlanks" dxfId="852" priority="863">
      <formula>LEN(TRIM(AB1265))&gt;0</formula>
    </cfRule>
  </conditionalFormatting>
  <conditionalFormatting sqref="AB1265:AF1265">
    <cfRule type="notContainsBlanks" dxfId="851" priority="862">
      <formula>LEN(TRIM(AB1265))&gt;0</formula>
    </cfRule>
  </conditionalFormatting>
  <conditionalFormatting sqref="AB1265:AF1265">
    <cfRule type="notContainsBlanks" dxfId="850" priority="861">
      <formula>LEN(TRIM(AB1265))&gt;0</formula>
    </cfRule>
  </conditionalFormatting>
  <conditionalFormatting sqref="AB1265:AF1265">
    <cfRule type="notContainsBlanks" dxfId="849" priority="860">
      <formula>LEN(TRIM(AB1265))&gt;0</formula>
    </cfRule>
  </conditionalFormatting>
  <conditionalFormatting sqref="AB1265:AF1265">
    <cfRule type="notContainsBlanks" dxfId="848" priority="859">
      <formula>LEN(TRIM(AB1265))&gt;0</formula>
    </cfRule>
  </conditionalFormatting>
  <conditionalFormatting sqref="AB1265:AF1265">
    <cfRule type="notContainsBlanks" dxfId="847" priority="857">
      <formula>LEN(TRIM(AB1265))&gt;0</formula>
    </cfRule>
    <cfRule type="notContainsBlanks" dxfId="846" priority="858">
      <formula>LEN(TRIM(AB1265))&gt;0</formula>
    </cfRule>
  </conditionalFormatting>
  <conditionalFormatting sqref="AB1265:AF1265">
    <cfRule type="notContainsBlanks" dxfId="845" priority="856">
      <formula>LEN(TRIM(AB1265))&gt;0</formula>
    </cfRule>
  </conditionalFormatting>
  <conditionalFormatting sqref="AB1265:AF1265">
    <cfRule type="notContainsBlanks" dxfId="844" priority="855">
      <formula>LEN(TRIM(AB1265))&gt;0</formula>
    </cfRule>
  </conditionalFormatting>
  <conditionalFormatting sqref="AB1265:AF1265">
    <cfRule type="notContainsBlanks" dxfId="843" priority="854">
      <formula>LEN(TRIM(AB1265))&gt;0</formula>
    </cfRule>
  </conditionalFormatting>
  <conditionalFormatting sqref="AB1265:AF1265">
    <cfRule type="notContainsBlanks" dxfId="842" priority="853">
      <formula>LEN(TRIM(AB1265))&gt;0</formula>
    </cfRule>
  </conditionalFormatting>
  <conditionalFormatting sqref="AB1265:AF1265">
    <cfRule type="notContainsBlanks" dxfId="841" priority="852">
      <formula>LEN(TRIM(AB1265))&gt;0</formula>
    </cfRule>
  </conditionalFormatting>
  <conditionalFormatting sqref="AB1265:AF1265">
    <cfRule type="notContainsBlanks" dxfId="840" priority="851">
      <formula>LEN(TRIM(AB1265))&gt;0</formula>
    </cfRule>
  </conditionalFormatting>
  <conditionalFormatting sqref="AB1265:AF1265">
    <cfRule type="notContainsBlanks" dxfId="839" priority="850">
      <formula>LEN(TRIM(AB1265))&gt;0</formula>
    </cfRule>
  </conditionalFormatting>
  <conditionalFormatting sqref="AB1265:AF1265">
    <cfRule type="notContainsBlanks" dxfId="838" priority="849">
      <formula>LEN(TRIM(AB1265))&gt;0</formula>
    </cfRule>
  </conditionalFormatting>
  <conditionalFormatting sqref="AB1265:AF1265">
    <cfRule type="notContainsBlanks" dxfId="837" priority="848">
      <formula>LEN(TRIM(AB1265))&gt;0</formula>
    </cfRule>
  </conditionalFormatting>
  <conditionalFormatting sqref="AB1265:AF1265">
    <cfRule type="notContainsBlanks" priority="847">
      <formula>LEN(TRIM(AB1265))&gt;0</formula>
    </cfRule>
  </conditionalFormatting>
  <conditionalFormatting sqref="AB1265:AF1265">
    <cfRule type="notContainsBlanks" dxfId="836" priority="846">
      <formula>LEN(TRIM(AB1265))&gt;0</formula>
    </cfRule>
  </conditionalFormatting>
  <conditionalFormatting sqref="AB1265:AF1265">
    <cfRule type="notContainsBlanks" dxfId="835" priority="845">
      <formula>LEN(TRIM(AB1265))&gt;0</formula>
    </cfRule>
  </conditionalFormatting>
  <conditionalFormatting sqref="AB1265:AF1265">
    <cfRule type="notContainsBlanks" dxfId="834" priority="844">
      <formula>LEN(TRIM(AB1265))&gt;0</formula>
    </cfRule>
  </conditionalFormatting>
  <conditionalFormatting sqref="AB1265:AF1265">
    <cfRule type="notContainsBlanks" dxfId="833" priority="843">
      <formula>LEN(TRIM(AB1265))&gt;0</formula>
    </cfRule>
  </conditionalFormatting>
  <conditionalFormatting sqref="AB1265:AF1265">
    <cfRule type="notContainsBlanks" dxfId="832" priority="842">
      <formula>LEN(TRIM(AB1265))&gt;0</formula>
    </cfRule>
  </conditionalFormatting>
  <conditionalFormatting sqref="AB1278:AF1278">
    <cfRule type="notContainsBlanks" dxfId="831" priority="841">
      <formula>LEN(TRIM(AB1278))&gt;0</formula>
    </cfRule>
  </conditionalFormatting>
  <conditionalFormatting sqref="AB1278:AF1278">
    <cfRule type="notContainsBlanks" dxfId="830" priority="840">
      <formula>LEN(TRIM(AB1278))&gt;0</formula>
    </cfRule>
  </conditionalFormatting>
  <conditionalFormatting sqref="AB1278:AF1278">
    <cfRule type="notContainsBlanks" dxfId="829" priority="839">
      <formula>LEN(TRIM(AB1278))&gt;0</formula>
    </cfRule>
  </conditionalFormatting>
  <conditionalFormatting sqref="AB1278:AF1278">
    <cfRule type="notContainsBlanks" dxfId="828" priority="838">
      <formula>LEN(TRIM(AB1278))&gt;0</formula>
    </cfRule>
  </conditionalFormatting>
  <conditionalFormatting sqref="AB1278:AF1278">
    <cfRule type="notContainsBlanks" dxfId="827" priority="837">
      <formula>LEN(TRIM(AB1278))&gt;0</formula>
    </cfRule>
  </conditionalFormatting>
  <conditionalFormatting sqref="AB1278:AF1278">
    <cfRule type="notContainsBlanks" dxfId="826" priority="836">
      <formula>LEN(TRIM(AB1278))&gt;0</formula>
    </cfRule>
  </conditionalFormatting>
  <conditionalFormatting sqref="AB1278:AF1278">
    <cfRule type="notContainsBlanks" dxfId="825" priority="835">
      <formula>LEN(TRIM(AB1278))&gt;0</formula>
    </cfRule>
  </conditionalFormatting>
  <conditionalFormatting sqref="AB1278:AF1278">
    <cfRule type="notContainsBlanks" dxfId="824" priority="834">
      <formula>LEN(TRIM(AB1278))&gt;0</formula>
    </cfRule>
  </conditionalFormatting>
  <conditionalFormatting sqref="AB1278:AF1278">
    <cfRule type="notContainsBlanks" dxfId="823" priority="833">
      <formula>LEN(TRIM(AB1278))&gt;0</formula>
    </cfRule>
  </conditionalFormatting>
  <conditionalFormatting sqref="AB1278:AF1278">
    <cfRule type="notContainsBlanks" dxfId="822" priority="831">
      <formula>LEN(TRIM(AB1278))&gt;0</formula>
    </cfRule>
    <cfRule type="notContainsBlanks" dxfId="821" priority="832">
      <formula>LEN(TRIM(AB1278))&gt;0</formula>
    </cfRule>
  </conditionalFormatting>
  <conditionalFormatting sqref="AB1278:AF1278">
    <cfRule type="notContainsBlanks" dxfId="820" priority="830">
      <formula>LEN(TRIM(AB1278))&gt;0</formula>
    </cfRule>
  </conditionalFormatting>
  <conditionalFormatting sqref="AB1278:AF1278">
    <cfRule type="notContainsBlanks" dxfId="819" priority="829">
      <formula>LEN(TRIM(AB1278))&gt;0</formula>
    </cfRule>
  </conditionalFormatting>
  <conditionalFormatting sqref="AB1278:AF1278">
    <cfRule type="notContainsBlanks" dxfId="818" priority="828">
      <formula>LEN(TRIM(AB1278))&gt;0</formula>
    </cfRule>
  </conditionalFormatting>
  <conditionalFormatting sqref="AB1278:AF1278">
    <cfRule type="notContainsBlanks" dxfId="817" priority="827">
      <formula>LEN(TRIM(AB1278))&gt;0</formula>
    </cfRule>
  </conditionalFormatting>
  <conditionalFormatting sqref="AB1278:AF1278">
    <cfRule type="notContainsBlanks" dxfId="816" priority="826">
      <formula>LEN(TRIM(AB1278))&gt;0</formula>
    </cfRule>
  </conditionalFormatting>
  <conditionalFormatting sqref="AB1278:AF1278">
    <cfRule type="notContainsBlanks" dxfId="815" priority="825">
      <formula>LEN(TRIM(AB1278))&gt;0</formula>
    </cfRule>
  </conditionalFormatting>
  <conditionalFormatting sqref="AB1278:AF1278">
    <cfRule type="notContainsBlanks" dxfId="814" priority="824">
      <formula>LEN(TRIM(AB1278))&gt;0</formula>
    </cfRule>
  </conditionalFormatting>
  <conditionalFormatting sqref="AB1278:AF1278">
    <cfRule type="notContainsBlanks" dxfId="813" priority="823">
      <formula>LEN(TRIM(AB1278))&gt;0</formula>
    </cfRule>
  </conditionalFormatting>
  <conditionalFormatting sqref="AB1278:AF1278">
    <cfRule type="notContainsBlanks" dxfId="812" priority="822">
      <formula>LEN(TRIM(AB1278))&gt;0</formula>
    </cfRule>
  </conditionalFormatting>
  <conditionalFormatting sqref="AB1278:AF1278">
    <cfRule type="notContainsBlanks" priority="821">
      <formula>LEN(TRIM(AB1278))&gt;0</formula>
    </cfRule>
  </conditionalFormatting>
  <conditionalFormatting sqref="AB1278:AF1278">
    <cfRule type="notContainsBlanks" dxfId="811" priority="820">
      <formula>LEN(TRIM(AB1278))&gt;0</formula>
    </cfRule>
  </conditionalFormatting>
  <conditionalFormatting sqref="AB1278:AF1278">
    <cfRule type="notContainsBlanks" dxfId="810" priority="819">
      <formula>LEN(TRIM(AB1278))&gt;0</formula>
    </cfRule>
  </conditionalFormatting>
  <conditionalFormatting sqref="AB1278:AF1278">
    <cfRule type="notContainsBlanks" dxfId="809" priority="818">
      <formula>LEN(TRIM(AB1278))&gt;0</formula>
    </cfRule>
  </conditionalFormatting>
  <conditionalFormatting sqref="AB1278:AF1278">
    <cfRule type="notContainsBlanks" dxfId="808" priority="817">
      <formula>LEN(TRIM(AB1278))&gt;0</formula>
    </cfRule>
  </conditionalFormatting>
  <conditionalFormatting sqref="AB1278:AF1278">
    <cfRule type="notContainsBlanks" dxfId="807" priority="816">
      <formula>LEN(TRIM(AB1278))&gt;0</formula>
    </cfRule>
  </conditionalFormatting>
  <conditionalFormatting sqref="AB1291:AF1291">
    <cfRule type="notContainsBlanks" dxfId="806" priority="815">
      <formula>LEN(TRIM(AB1291))&gt;0</formula>
    </cfRule>
  </conditionalFormatting>
  <conditionalFormatting sqref="AB1291:AF1291">
    <cfRule type="notContainsBlanks" dxfId="805" priority="814">
      <formula>LEN(TRIM(AB1291))&gt;0</formula>
    </cfRule>
  </conditionalFormatting>
  <conditionalFormatting sqref="AB1291:AF1291">
    <cfRule type="notContainsBlanks" dxfId="804" priority="813">
      <formula>LEN(TRIM(AB1291))&gt;0</formula>
    </cfRule>
  </conditionalFormatting>
  <conditionalFormatting sqref="AB1291:AF1291">
    <cfRule type="notContainsBlanks" dxfId="803" priority="812">
      <formula>LEN(TRIM(AB1291))&gt;0</formula>
    </cfRule>
  </conditionalFormatting>
  <conditionalFormatting sqref="AB1291:AF1291">
    <cfRule type="notContainsBlanks" dxfId="802" priority="811">
      <formula>LEN(TRIM(AB1291))&gt;0</formula>
    </cfRule>
  </conditionalFormatting>
  <conditionalFormatting sqref="AB1291:AF1291">
    <cfRule type="notContainsBlanks" dxfId="801" priority="810">
      <formula>LEN(TRIM(AB1291))&gt;0</formula>
    </cfRule>
  </conditionalFormatting>
  <conditionalFormatting sqref="AB1291:AF1291">
    <cfRule type="notContainsBlanks" dxfId="800" priority="809">
      <formula>LEN(TRIM(AB1291))&gt;0</formula>
    </cfRule>
  </conditionalFormatting>
  <conditionalFormatting sqref="AB1291:AF1291">
    <cfRule type="notContainsBlanks" dxfId="799" priority="808">
      <formula>LEN(TRIM(AB1291))&gt;0</formula>
    </cfRule>
  </conditionalFormatting>
  <conditionalFormatting sqref="AB1291:AF1291">
    <cfRule type="notContainsBlanks" dxfId="798" priority="807">
      <formula>LEN(TRIM(AB1291))&gt;0</formula>
    </cfRule>
  </conditionalFormatting>
  <conditionalFormatting sqref="AB1291:AF1291">
    <cfRule type="notContainsBlanks" dxfId="797" priority="805">
      <formula>LEN(TRIM(AB1291))&gt;0</formula>
    </cfRule>
    <cfRule type="notContainsBlanks" dxfId="796" priority="806">
      <formula>LEN(TRIM(AB1291))&gt;0</formula>
    </cfRule>
  </conditionalFormatting>
  <conditionalFormatting sqref="AB1291:AF1291">
    <cfRule type="notContainsBlanks" dxfId="795" priority="804">
      <formula>LEN(TRIM(AB1291))&gt;0</formula>
    </cfRule>
  </conditionalFormatting>
  <conditionalFormatting sqref="AB1291:AF1291">
    <cfRule type="notContainsBlanks" dxfId="794" priority="803">
      <formula>LEN(TRIM(AB1291))&gt;0</formula>
    </cfRule>
  </conditionalFormatting>
  <conditionalFormatting sqref="AB1291:AF1291">
    <cfRule type="notContainsBlanks" dxfId="793" priority="802">
      <formula>LEN(TRIM(AB1291))&gt;0</formula>
    </cfRule>
  </conditionalFormatting>
  <conditionalFormatting sqref="AB1291:AF1291">
    <cfRule type="notContainsBlanks" dxfId="792" priority="801">
      <formula>LEN(TRIM(AB1291))&gt;0</formula>
    </cfRule>
  </conditionalFormatting>
  <conditionalFormatting sqref="AB1291:AF1291">
    <cfRule type="notContainsBlanks" dxfId="791" priority="800">
      <formula>LEN(TRIM(AB1291))&gt;0</formula>
    </cfRule>
  </conditionalFormatting>
  <conditionalFormatting sqref="AB1291:AF1291">
    <cfRule type="notContainsBlanks" dxfId="790" priority="799">
      <formula>LEN(TRIM(AB1291))&gt;0</formula>
    </cfRule>
  </conditionalFormatting>
  <conditionalFormatting sqref="AB1291:AF1291">
    <cfRule type="notContainsBlanks" dxfId="789" priority="798">
      <formula>LEN(TRIM(AB1291))&gt;0</formula>
    </cfRule>
  </conditionalFormatting>
  <conditionalFormatting sqref="AB1291:AF1291">
    <cfRule type="notContainsBlanks" dxfId="788" priority="797">
      <formula>LEN(TRIM(AB1291))&gt;0</formula>
    </cfRule>
  </conditionalFormatting>
  <conditionalFormatting sqref="AB1291:AF1291">
    <cfRule type="notContainsBlanks" dxfId="787" priority="796">
      <formula>LEN(TRIM(AB1291))&gt;0</formula>
    </cfRule>
  </conditionalFormatting>
  <conditionalFormatting sqref="AB1291:AF1291">
    <cfRule type="notContainsBlanks" priority="795">
      <formula>LEN(TRIM(AB1291))&gt;0</formula>
    </cfRule>
  </conditionalFormatting>
  <conditionalFormatting sqref="AB1291:AF1291">
    <cfRule type="notContainsBlanks" dxfId="786" priority="794">
      <formula>LEN(TRIM(AB1291))&gt;0</formula>
    </cfRule>
  </conditionalFormatting>
  <conditionalFormatting sqref="AB1291:AF1291">
    <cfRule type="notContainsBlanks" dxfId="785" priority="793">
      <formula>LEN(TRIM(AB1291))&gt;0</formula>
    </cfRule>
  </conditionalFormatting>
  <conditionalFormatting sqref="AB1291:AF1291">
    <cfRule type="notContainsBlanks" dxfId="784" priority="792">
      <formula>LEN(TRIM(AB1291))&gt;0</formula>
    </cfRule>
  </conditionalFormatting>
  <conditionalFormatting sqref="AB1291:AF1291">
    <cfRule type="notContainsBlanks" dxfId="783" priority="791">
      <formula>LEN(TRIM(AB1291))&gt;0</formula>
    </cfRule>
  </conditionalFormatting>
  <conditionalFormatting sqref="AB1291:AF1291">
    <cfRule type="notContainsBlanks" dxfId="782" priority="790">
      <formula>LEN(TRIM(AB1291))&gt;0</formula>
    </cfRule>
  </conditionalFormatting>
  <conditionalFormatting sqref="AB1304:AF1304">
    <cfRule type="notContainsBlanks" dxfId="781" priority="789">
      <formula>LEN(TRIM(AB1304))&gt;0</formula>
    </cfRule>
  </conditionalFormatting>
  <conditionalFormatting sqref="AB1304:AF1304">
    <cfRule type="notContainsBlanks" dxfId="780" priority="788">
      <formula>LEN(TRIM(AB1304))&gt;0</formula>
    </cfRule>
  </conditionalFormatting>
  <conditionalFormatting sqref="AB1304:AF1304">
    <cfRule type="notContainsBlanks" dxfId="779" priority="787">
      <formula>LEN(TRIM(AB1304))&gt;0</formula>
    </cfRule>
  </conditionalFormatting>
  <conditionalFormatting sqref="AB1304:AF1304">
    <cfRule type="notContainsBlanks" dxfId="778" priority="786">
      <formula>LEN(TRIM(AB1304))&gt;0</formula>
    </cfRule>
  </conditionalFormatting>
  <conditionalFormatting sqref="AB1304:AF1304">
    <cfRule type="notContainsBlanks" dxfId="777" priority="785">
      <formula>LEN(TRIM(AB1304))&gt;0</formula>
    </cfRule>
  </conditionalFormatting>
  <conditionalFormatting sqref="AB1304:AF1304">
    <cfRule type="notContainsBlanks" dxfId="776" priority="784">
      <formula>LEN(TRIM(AB1304))&gt;0</formula>
    </cfRule>
  </conditionalFormatting>
  <conditionalFormatting sqref="AB1304:AF1304">
    <cfRule type="notContainsBlanks" dxfId="775" priority="783">
      <formula>LEN(TRIM(AB1304))&gt;0</formula>
    </cfRule>
  </conditionalFormatting>
  <conditionalFormatting sqref="AB1304:AF1304">
    <cfRule type="notContainsBlanks" dxfId="774" priority="782">
      <formula>LEN(TRIM(AB1304))&gt;0</formula>
    </cfRule>
  </conditionalFormatting>
  <conditionalFormatting sqref="AB1304:AF1304">
    <cfRule type="notContainsBlanks" dxfId="773" priority="781">
      <formula>LEN(TRIM(AB1304))&gt;0</formula>
    </cfRule>
  </conditionalFormatting>
  <conditionalFormatting sqref="AB1304:AF1304">
    <cfRule type="notContainsBlanks" dxfId="772" priority="779">
      <formula>LEN(TRIM(AB1304))&gt;0</formula>
    </cfRule>
    <cfRule type="notContainsBlanks" dxfId="771" priority="780">
      <formula>LEN(TRIM(AB1304))&gt;0</formula>
    </cfRule>
  </conditionalFormatting>
  <conditionalFormatting sqref="AB1304:AF1304">
    <cfRule type="notContainsBlanks" dxfId="770" priority="778">
      <formula>LEN(TRIM(AB1304))&gt;0</formula>
    </cfRule>
  </conditionalFormatting>
  <conditionalFormatting sqref="AB1304:AF1304">
    <cfRule type="notContainsBlanks" dxfId="769" priority="777">
      <formula>LEN(TRIM(AB1304))&gt;0</formula>
    </cfRule>
  </conditionalFormatting>
  <conditionalFormatting sqref="AB1304:AF1304">
    <cfRule type="notContainsBlanks" dxfId="768" priority="776">
      <formula>LEN(TRIM(AB1304))&gt;0</formula>
    </cfRule>
  </conditionalFormatting>
  <conditionalFormatting sqref="AB1304:AF1304">
    <cfRule type="notContainsBlanks" dxfId="767" priority="775">
      <formula>LEN(TRIM(AB1304))&gt;0</formula>
    </cfRule>
  </conditionalFormatting>
  <conditionalFormatting sqref="AB1304:AF1304">
    <cfRule type="notContainsBlanks" dxfId="766" priority="774">
      <formula>LEN(TRIM(AB1304))&gt;0</formula>
    </cfRule>
  </conditionalFormatting>
  <conditionalFormatting sqref="AB1304:AF1304">
    <cfRule type="notContainsBlanks" dxfId="765" priority="773">
      <formula>LEN(TRIM(AB1304))&gt;0</formula>
    </cfRule>
  </conditionalFormatting>
  <conditionalFormatting sqref="AB1304:AF1304">
    <cfRule type="notContainsBlanks" dxfId="764" priority="772">
      <formula>LEN(TRIM(AB1304))&gt;0</formula>
    </cfRule>
  </conditionalFormatting>
  <conditionalFormatting sqref="AB1304:AF1304">
    <cfRule type="notContainsBlanks" dxfId="763" priority="771">
      <formula>LEN(TRIM(AB1304))&gt;0</formula>
    </cfRule>
  </conditionalFormatting>
  <conditionalFormatting sqref="AB1304:AF1304">
    <cfRule type="notContainsBlanks" dxfId="762" priority="770">
      <formula>LEN(TRIM(AB1304))&gt;0</formula>
    </cfRule>
  </conditionalFormatting>
  <conditionalFormatting sqref="AB1304:AF1304">
    <cfRule type="notContainsBlanks" priority="769">
      <formula>LEN(TRIM(AB1304))&gt;0</formula>
    </cfRule>
  </conditionalFormatting>
  <conditionalFormatting sqref="AB1304:AF1304">
    <cfRule type="notContainsBlanks" dxfId="761" priority="768">
      <formula>LEN(TRIM(AB1304))&gt;0</formula>
    </cfRule>
  </conditionalFormatting>
  <conditionalFormatting sqref="AB1304:AF1304">
    <cfRule type="notContainsBlanks" dxfId="760" priority="767">
      <formula>LEN(TRIM(AB1304))&gt;0</formula>
    </cfRule>
  </conditionalFormatting>
  <conditionalFormatting sqref="AB1304:AF1304">
    <cfRule type="notContainsBlanks" dxfId="759" priority="766">
      <formula>LEN(TRIM(AB1304))&gt;0</formula>
    </cfRule>
  </conditionalFormatting>
  <conditionalFormatting sqref="AB1304:AF1304">
    <cfRule type="notContainsBlanks" dxfId="758" priority="765">
      <formula>LEN(TRIM(AB1304))&gt;0</formula>
    </cfRule>
  </conditionalFormatting>
  <conditionalFormatting sqref="AB1304:AF1304">
    <cfRule type="notContainsBlanks" dxfId="757" priority="764">
      <formula>LEN(TRIM(AB1304))&gt;0</formula>
    </cfRule>
  </conditionalFormatting>
  <conditionalFormatting sqref="AB1317:AF1317">
    <cfRule type="notContainsBlanks" dxfId="756" priority="763">
      <formula>LEN(TRIM(AB1317))&gt;0</formula>
    </cfRule>
  </conditionalFormatting>
  <conditionalFormatting sqref="AB1317:AF1317">
    <cfRule type="notContainsBlanks" dxfId="755" priority="762">
      <formula>LEN(TRIM(AB1317))&gt;0</formula>
    </cfRule>
  </conditionalFormatting>
  <conditionalFormatting sqref="AB1317:AF1317">
    <cfRule type="notContainsBlanks" dxfId="754" priority="761">
      <formula>LEN(TRIM(AB1317))&gt;0</formula>
    </cfRule>
  </conditionalFormatting>
  <conditionalFormatting sqref="AB1317:AF1317">
    <cfRule type="notContainsBlanks" dxfId="753" priority="760">
      <formula>LEN(TRIM(AB1317))&gt;0</formula>
    </cfRule>
  </conditionalFormatting>
  <conditionalFormatting sqref="AB1317:AF1317">
    <cfRule type="notContainsBlanks" dxfId="752" priority="759">
      <formula>LEN(TRIM(AB1317))&gt;0</formula>
    </cfRule>
  </conditionalFormatting>
  <conditionalFormatting sqref="AB1317:AF1317">
    <cfRule type="notContainsBlanks" dxfId="751" priority="758">
      <formula>LEN(TRIM(AB1317))&gt;0</formula>
    </cfRule>
  </conditionalFormatting>
  <conditionalFormatting sqref="AB1317:AF1317">
    <cfRule type="notContainsBlanks" dxfId="750" priority="757">
      <formula>LEN(TRIM(AB1317))&gt;0</formula>
    </cfRule>
  </conditionalFormatting>
  <conditionalFormatting sqref="AB1317:AF1317">
    <cfRule type="notContainsBlanks" dxfId="749" priority="756">
      <formula>LEN(TRIM(AB1317))&gt;0</formula>
    </cfRule>
  </conditionalFormatting>
  <conditionalFormatting sqref="AB1317:AF1317">
    <cfRule type="notContainsBlanks" dxfId="748" priority="755">
      <formula>LEN(TRIM(AB1317))&gt;0</formula>
    </cfRule>
  </conditionalFormatting>
  <conditionalFormatting sqref="AB1317:AF1317">
    <cfRule type="notContainsBlanks" dxfId="747" priority="753">
      <formula>LEN(TRIM(AB1317))&gt;0</formula>
    </cfRule>
    <cfRule type="notContainsBlanks" dxfId="746" priority="754">
      <formula>LEN(TRIM(AB1317))&gt;0</formula>
    </cfRule>
  </conditionalFormatting>
  <conditionalFormatting sqref="AB1317:AF1317">
    <cfRule type="notContainsBlanks" dxfId="745" priority="752">
      <formula>LEN(TRIM(AB1317))&gt;0</formula>
    </cfRule>
  </conditionalFormatting>
  <conditionalFormatting sqref="AB1317:AF1317">
    <cfRule type="notContainsBlanks" dxfId="744" priority="751">
      <formula>LEN(TRIM(AB1317))&gt;0</formula>
    </cfRule>
  </conditionalFormatting>
  <conditionalFormatting sqref="AB1317:AF1317">
    <cfRule type="notContainsBlanks" dxfId="743" priority="750">
      <formula>LEN(TRIM(AB1317))&gt;0</formula>
    </cfRule>
  </conditionalFormatting>
  <conditionalFormatting sqref="AB1317:AF1317">
    <cfRule type="notContainsBlanks" dxfId="742" priority="749">
      <formula>LEN(TRIM(AB1317))&gt;0</formula>
    </cfRule>
  </conditionalFormatting>
  <conditionalFormatting sqref="AB1317:AF1317">
    <cfRule type="notContainsBlanks" dxfId="741" priority="748">
      <formula>LEN(TRIM(AB1317))&gt;0</formula>
    </cfRule>
  </conditionalFormatting>
  <conditionalFormatting sqref="AB1317:AF1317">
    <cfRule type="notContainsBlanks" dxfId="740" priority="747">
      <formula>LEN(TRIM(AB1317))&gt;0</formula>
    </cfRule>
  </conditionalFormatting>
  <conditionalFormatting sqref="AB1317:AF1317">
    <cfRule type="notContainsBlanks" dxfId="739" priority="746">
      <formula>LEN(TRIM(AB1317))&gt;0</formula>
    </cfRule>
  </conditionalFormatting>
  <conditionalFormatting sqref="AB1317:AF1317">
    <cfRule type="notContainsBlanks" dxfId="738" priority="745">
      <formula>LEN(TRIM(AB1317))&gt;0</formula>
    </cfRule>
  </conditionalFormatting>
  <conditionalFormatting sqref="AB1317:AF1317">
    <cfRule type="notContainsBlanks" dxfId="737" priority="744">
      <formula>LEN(TRIM(AB1317))&gt;0</formula>
    </cfRule>
  </conditionalFormatting>
  <conditionalFormatting sqref="AB1317:AF1317">
    <cfRule type="notContainsBlanks" priority="743">
      <formula>LEN(TRIM(AB1317))&gt;0</formula>
    </cfRule>
  </conditionalFormatting>
  <conditionalFormatting sqref="AB1317:AF1317">
    <cfRule type="notContainsBlanks" dxfId="736" priority="742">
      <formula>LEN(TRIM(AB1317))&gt;0</formula>
    </cfRule>
  </conditionalFormatting>
  <conditionalFormatting sqref="AB1317:AF1317">
    <cfRule type="notContainsBlanks" dxfId="735" priority="741">
      <formula>LEN(TRIM(AB1317))&gt;0</formula>
    </cfRule>
  </conditionalFormatting>
  <conditionalFormatting sqref="AB1317:AF1317">
    <cfRule type="notContainsBlanks" dxfId="734" priority="740">
      <formula>LEN(TRIM(AB1317))&gt;0</formula>
    </cfRule>
  </conditionalFormatting>
  <conditionalFormatting sqref="AB1317:AF1317">
    <cfRule type="notContainsBlanks" dxfId="733" priority="739">
      <formula>LEN(TRIM(AB1317))&gt;0</formula>
    </cfRule>
  </conditionalFormatting>
  <conditionalFormatting sqref="AB1317:AF1317">
    <cfRule type="notContainsBlanks" dxfId="732" priority="738">
      <formula>LEN(TRIM(AB1317))&gt;0</formula>
    </cfRule>
  </conditionalFormatting>
  <conditionalFormatting sqref="AB1330:AF1330">
    <cfRule type="notContainsBlanks" dxfId="731" priority="737">
      <formula>LEN(TRIM(AB1330))&gt;0</formula>
    </cfRule>
  </conditionalFormatting>
  <conditionalFormatting sqref="AB1330:AF1330">
    <cfRule type="notContainsBlanks" dxfId="730" priority="736">
      <formula>LEN(TRIM(AB1330))&gt;0</formula>
    </cfRule>
  </conditionalFormatting>
  <conditionalFormatting sqref="AB1330:AF1330">
    <cfRule type="notContainsBlanks" dxfId="729" priority="735">
      <formula>LEN(TRIM(AB1330))&gt;0</formula>
    </cfRule>
  </conditionalFormatting>
  <conditionalFormatting sqref="AB1330:AF1330">
    <cfRule type="notContainsBlanks" dxfId="728" priority="734">
      <formula>LEN(TRIM(AB1330))&gt;0</formula>
    </cfRule>
  </conditionalFormatting>
  <conditionalFormatting sqref="AB1330:AF1330">
    <cfRule type="notContainsBlanks" dxfId="727" priority="733">
      <formula>LEN(TRIM(AB1330))&gt;0</formula>
    </cfRule>
  </conditionalFormatting>
  <conditionalFormatting sqref="AB1330:AF1330">
    <cfRule type="notContainsBlanks" dxfId="726" priority="732">
      <formula>LEN(TRIM(AB1330))&gt;0</formula>
    </cfRule>
  </conditionalFormatting>
  <conditionalFormatting sqref="AB1330:AF1330">
    <cfRule type="notContainsBlanks" dxfId="725" priority="731">
      <formula>LEN(TRIM(AB1330))&gt;0</formula>
    </cfRule>
  </conditionalFormatting>
  <conditionalFormatting sqref="AB1330:AF1330">
    <cfRule type="notContainsBlanks" dxfId="724" priority="730">
      <formula>LEN(TRIM(AB1330))&gt;0</formula>
    </cfRule>
  </conditionalFormatting>
  <conditionalFormatting sqref="AB1330:AF1330">
    <cfRule type="notContainsBlanks" dxfId="723" priority="729">
      <formula>LEN(TRIM(AB1330))&gt;0</formula>
    </cfRule>
  </conditionalFormatting>
  <conditionalFormatting sqref="AB1330:AF1330">
    <cfRule type="notContainsBlanks" dxfId="722" priority="727">
      <formula>LEN(TRIM(AB1330))&gt;0</formula>
    </cfRule>
    <cfRule type="notContainsBlanks" dxfId="721" priority="728">
      <formula>LEN(TRIM(AB1330))&gt;0</formula>
    </cfRule>
  </conditionalFormatting>
  <conditionalFormatting sqref="AB1330:AF1330">
    <cfRule type="notContainsBlanks" dxfId="720" priority="726">
      <formula>LEN(TRIM(AB1330))&gt;0</formula>
    </cfRule>
  </conditionalFormatting>
  <conditionalFormatting sqref="AB1330:AF1330">
    <cfRule type="notContainsBlanks" dxfId="719" priority="725">
      <formula>LEN(TRIM(AB1330))&gt;0</formula>
    </cfRule>
  </conditionalFormatting>
  <conditionalFormatting sqref="AB1330:AF1330">
    <cfRule type="notContainsBlanks" dxfId="718" priority="724">
      <formula>LEN(TRIM(AB1330))&gt;0</formula>
    </cfRule>
  </conditionalFormatting>
  <conditionalFormatting sqref="AB1330:AF1330">
    <cfRule type="notContainsBlanks" dxfId="717" priority="723">
      <formula>LEN(TRIM(AB1330))&gt;0</formula>
    </cfRule>
  </conditionalFormatting>
  <conditionalFormatting sqref="AB1330:AF1330">
    <cfRule type="notContainsBlanks" dxfId="716" priority="722">
      <formula>LEN(TRIM(AB1330))&gt;0</formula>
    </cfRule>
  </conditionalFormatting>
  <conditionalFormatting sqref="AB1330:AF1330">
    <cfRule type="notContainsBlanks" dxfId="715" priority="721">
      <formula>LEN(TRIM(AB1330))&gt;0</formula>
    </cfRule>
  </conditionalFormatting>
  <conditionalFormatting sqref="AB1330:AF1330">
    <cfRule type="notContainsBlanks" dxfId="714" priority="720">
      <formula>LEN(TRIM(AB1330))&gt;0</formula>
    </cfRule>
  </conditionalFormatting>
  <conditionalFormatting sqref="AB1330:AF1330">
    <cfRule type="notContainsBlanks" dxfId="713" priority="719">
      <formula>LEN(TRIM(AB1330))&gt;0</formula>
    </cfRule>
  </conditionalFormatting>
  <conditionalFormatting sqref="AB1330:AF1330">
    <cfRule type="notContainsBlanks" dxfId="712" priority="718">
      <formula>LEN(TRIM(AB1330))&gt;0</formula>
    </cfRule>
  </conditionalFormatting>
  <conditionalFormatting sqref="AB1330:AF1330">
    <cfRule type="notContainsBlanks" priority="717">
      <formula>LEN(TRIM(AB1330))&gt;0</formula>
    </cfRule>
  </conditionalFormatting>
  <conditionalFormatting sqref="AB1330:AF1330">
    <cfRule type="notContainsBlanks" dxfId="711" priority="716">
      <formula>LEN(TRIM(AB1330))&gt;0</formula>
    </cfRule>
  </conditionalFormatting>
  <conditionalFormatting sqref="AB1330:AF1330">
    <cfRule type="notContainsBlanks" dxfId="710" priority="715">
      <formula>LEN(TRIM(AB1330))&gt;0</formula>
    </cfRule>
  </conditionalFormatting>
  <conditionalFormatting sqref="AB1330:AF1330">
    <cfRule type="notContainsBlanks" dxfId="709" priority="714">
      <formula>LEN(TRIM(AB1330))&gt;0</formula>
    </cfRule>
  </conditionalFormatting>
  <conditionalFormatting sqref="AB1330:AF1330">
    <cfRule type="notContainsBlanks" dxfId="708" priority="713">
      <formula>LEN(TRIM(AB1330))&gt;0</formula>
    </cfRule>
  </conditionalFormatting>
  <conditionalFormatting sqref="AB1330:AF1330">
    <cfRule type="notContainsBlanks" dxfId="707" priority="712">
      <formula>LEN(TRIM(AB1330))&gt;0</formula>
    </cfRule>
  </conditionalFormatting>
  <conditionalFormatting sqref="AB431:AG433 AB435:AG446 AG434 AB448:AG459 AG447 AB461:AG472 AG460 AB474:AG485 AG473 AB487:AG498 AG486 AB500:AG511 AG499 AB513:AG524 AG512 AB526:AG537 AG525 AB539:AG550 AG538 AB552:AG563 AG551 AB565:AG576 AG564 AB578:AG589 AG577 AB591:AG602 AG590 AB604:AG615 AG603 AB617:AG628 AG616 AB630:AG641 AG629 AB643:AG654 AG642 AB656:AG667 AG655 AB669:AG680 AG668 AB682:AG692 AG681 AB695:AG706 AG693:AG694 AB708:AG719 AG707 AB721:AG732 AG720 AB734:AG745 AG733 AB747:AG758 AG746 AB760:AG771 AG759 AB773:AG784 AG772 AB786:AG797 AG785 AB799:AG810 AG798 AB812:AG823 AG811 AB825:AG836 AG824 AB838:AG849 AG837 AB851:AG862 AG850 AB864:AG875 AG863 AB877:AG888 AG876 AB890:AG901 AG889 AB903:AG914 AG902 AB916:AG927 AG915 AB929:AG940 AG928 AB942:AG953 AG941 AB955:AG966 AG954 AB968:AG979 AG967 AB981:AG992 AG980 AB994:AG1005 AG993 AB1008:AG1018 AG1006:AG1007 AB1020:AG1031 AG1019 AB1033:AG1044 AG1032 AB1046:AG1057 AG1045 AB1059:AG1070 AG1058 AB1072:AG1083 AG1071 AB1085:AG1096 AG1084 AB1098:AG1109 AG1097 AB1111:AG1122 AG1110 AB1124:AG1135 AG1123 AB1137:AG1148 AG1136 AB1150:AG1161 AG1149 AB1163:AG1174 AG1162 AB1176:AG1187 AG1175 AB1189:AG1200 AG1188 AB1202:AG1213 AG1201 AB1215:AG1226 AG1214 AB1228:AG1239 AG1227 AB1241:AG1252 AG1240 AB1254:AG1265 AG1253 AB1267:AG1278 AG1266 AB1280:AG1291 AG1279 AB1293:AG1304 AG1292 AB1306:AG1317 AG1305 AB1319:AG1330 AG1318 AB1332:AG1339 AG1331">
    <cfRule type="notContainsBlanks" dxfId="706" priority="711">
      <formula>LEN(TRIM(AB431))&gt;0</formula>
    </cfRule>
  </conditionalFormatting>
  <conditionalFormatting sqref="B132:E143">
    <cfRule type="notContainsBlanks" dxfId="705" priority="709">
      <formula>LEN(TRIM(B132))&gt;0</formula>
    </cfRule>
  </conditionalFormatting>
  <conditionalFormatting sqref="AB693:AF693">
    <cfRule type="notContainsBlanks" dxfId="704" priority="708">
      <formula>LEN(TRIM(AB693))&gt;0</formula>
    </cfRule>
  </conditionalFormatting>
  <conditionalFormatting sqref="AB693:AF693">
    <cfRule type="notContainsBlanks" dxfId="703" priority="707">
      <formula>LEN(TRIM(AB693))&gt;0</formula>
    </cfRule>
  </conditionalFormatting>
  <conditionalFormatting sqref="AB693:AF693">
    <cfRule type="notContainsBlanks" dxfId="702" priority="706">
      <formula>LEN(TRIM(AB693))&gt;0</formula>
    </cfRule>
  </conditionalFormatting>
  <conditionalFormatting sqref="AB693:AF693">
    <cfRule type="notContainsBlanks" dxfId="701" priority="705">
      <formula>LEN(TRIM(AB693))&gt;0</formula>
    </cfRule>
  </conditionalFormatting>
  <conditionalFormatting sqref="AB693:AF693">
    <cfRule type="notContainsBlanks" dxfId="700" priority="704">
      <formula>LEN(TRIM(AB693))&gt;0</formula>
    </cfRule>
  </conditionalFormatting>
  <conditionalFormatting sqref="AB693:AF693">
    <cfRule type="notContainsBlanks" dxfId="699" priority="703">
      <formula>LEN(TRIM(AB693))&gt;0</formula>
    </cfRule>
  </conditionalFormatting>
  <conditionalFormatting sqref="AB693:AF693">
    <cfRule type="notContainsBlanks" dxfId="698" priority="702">
      <formula>LEN(TRIM(AB693))&gt;0</formula>
    </cfRule>
  </conditionalFormatting>
  <conditionalFormatting sqref="AB693:AF693">
    <cfRule type="notContainsBlanks" dxfId="697" priority="701">
      <formula>LEN(TRIM(AB693))&gt;0</formula>
    </cfRule>
  </conditionalFormatting>
  <conditionalFormatting sqref="AB693:AF693">
    <cfRule type="notContainsBlanks" dxfId="696" priority="700">
      <formula>LEN(TRIM(AB693))&gt;0</formula>
    </cfRule>
  </conditionalFormatting>
  <conditionalFormatting sqref="AB693:AF693">
    <cfRule type="notContainsBlanks" dxfId="695" priority="698">
      <formula>LEN(TRIM(AB693))&gt;0</formula>
    </cfRule>
    <cfRule type="notContainsBlanks" dxfId="694" priority="699">
      <formula>LEN(TRIM(AB693))&gt;0</formula>
    </cfRule>
  </conditionalFormatting>
  <conditionalFormatting sqref="AB693:AF693">
    <cfRule type="notContainsBlanks" dxfId="693" priority="697">
      <formula>LEN(TRIM(AB693))&gt;0</formula>
    </cfRule>
  </conditionalFormatting>
  <conditionalFormatting sqref="AB693:AF693">
    <cfRule type="notContainsBlanks" dxfId="692" priority="696">
      <formula>LEN(TRIM(AB693))&gt;0</formula>
    </cfRule>
  </conditionalFormatting>
  <conditionalFormatting sqref="AB693:AF693">
    <cfRule type="notContainsBlanks" dxfId="691" priority="695">
      <formula>LEN(TRIM(AB693))&gt;0</formula>
    </cfRule>
  </conditionalFormatting>
  <conditionalFormatting sqref="AB693:AF693">
    <cfRule type="notContainsBlanks" dxfId="690" priority="694">
      <formula>LEN(TRIM(AB693))&gt;0</formula>
    </cfRule>
  </conditionalFormatting>
  <conditionalFormatting sqref="AB693:AF693">
    <cfRule type="notContainsBlanks" dxfId="689" priority="693">
      <formula>LEN(TRIM(AB693))&gt;0</formula>
    </cfRule>
  </conditionalFormatting>
  <conditionalFormatting sqref="AB693:AF693">
    <cfRule type="notContainsBlanks" dxfId="688" priority="692">
      <formula>LEN(TRIM(AB693))&gt;0</formula>
    </cfRule>
  </conditionalFormatting>
  <conditionalFormatting sqref="AB693:AF693">
    <cfRule type="notContainsBlanks" dxfId="687" priority="691">
      <formula>LEN(TRIM(AB693))&gt;0</formula>
    </cfRule>
  </conditionalFormatting>
  <conditionalFormatting sqref="AB693:AF693">
    <cfRule type="notContainsBlanks" dxfId="686" priority="690">
      <formula>LEN(TRIM(AB693))&gt;0</formula>
    </cfRule>
  </conditionalFormatting>
  <conditionalFormatting sqref="AB693:AF693">
    <cfRule type="notContainsBlanks" dxfId="685" priority="689">
      <formula>LEN(TRIM(AB693))&gt;0</formula>
    </cfRule>
  </conditionalFormatting>
  <conditionalFormatting sqref="AB693:AF693">
    <cfRule type="notContainsBlanks" priority="688">
      <formula>LEN(TRIM(AB693))&gt;0</formula>
    </cfRule>
  </conditionalFormatting>
  <conditionalFormatting sqref="AB693:AF693">
    <cfRule type="notContainsBlanks" dxfId="684" priority="687">
      <formula>LEN(TRIM(AB693))&gt;0</formula>
    </cfRule>
  </conditionalFormatting>
  <conditionalFormatting sqref="AB693:AF693">
    <cfRule type="notContainsBlanks" dxfId="683" priority="686">
      <formula>LEN(TRIM(AB693))&gt;0</formula>
    </cfRule>
  </conditionalFormatting>
  <conditionalFormatting sqref="AB693:AF693">
    <cfRule type="notContainsBlanks" dxfId="682" priority="685">
      <formula>LEN(TRIM(AB693))&gt;0</formula>
    </cfRule>
  </conditionalFormatting>
  <conditionalFormatting sqref="AB693:AF693">
    <cfRule type="notContainsBlanks" dxfId="681" priority="684">
      <formula>LEN(TRIM(AB693))&gt;0</formula>
    </cfRule>
  </conditionalFormatting>
  <conditionalFormatting sqref="AB693:AF693">
    <cfRule type="notContainsBlanks" dxfId="680" priority="683">
      <formula>LEN(TRIM(AB693))&gt;0</formula>
    </cfRule>
  </conditionalFormatting>
  <conditionalFormatting sqref="AB693:AF693">
    <cfRule type="notContainsBlanks" dxfId="679" priority="682">
      <formula>LEN(TRIM(AB693))&gt;0</formula>
    </cfRule>
  </conditionalFormatting>
  <conditionalFormatting sqref="AB1007:AF1007">
    <cfRule type="notContainsBlanks" dxfId="678" priority="681">
      <formula>LEN(TRIM(AB1007))&gt;0</formula>
    </cfRule>
  </conditionalFormatting>
  <conditionalFormatting sqref="G434:K434">
    <cfRule type="notContainsBlanks" dxfId="677" priority="680">
      <formula>LEN(TRIM(G434))&gt;0</formula>
    </cfRule>
  </conditionalFormatting>
  <conditionalFormatting sqref="G434:K434">
    <cfRule type="notContainsBlanks" dxfId="676" priority="679">
      <formula>LEN(TRIM(G434))&gt;0</formula>
    </cfRule>
  </conditionalFormatting>
  <conditionalFormatting sqref="N434:R434">
    <cfRule type="notContainsBlanks" dxfId="675" priority="678">
      <formula>LEN(TRIM(N434))&gt;0</formula>
    </cfRule>
  </conditionalFormatting>
  <conditionalFormatting sqref="N434:R434">
    <cfRule type="notContainsBlanks" dxfId="674" priority="677">
      <formula>LEN(TRIM(N434))&gt;0</formula>
    </cfRule>
  </conditionalFormatting>
  <conditionalFormatting sqref="U434:Y434">
    <cfRule type="notContainsBlanks" dxfId="673" priority="676">
      <formula>LEN(TRIM(U434))&gt;0</formula>
    </cfRule>
  </conditionalFormatting>
  <conditionalFormatting sqref="U434:Y434">
    <cfRule type="notContainsBlanks" dxfId="672" priority="675">
      <formula>LEN(TRIM(U434))&gt;0</formula>
    </cfRule>
  </conditionalFormatting>
  <conditionalFormatting sqref="AB434:AF434">
    <cfRule type="notContainsBlanks" dxfId="671" priority="674">
      <formula>LEN(TRIM(AB434))&gt;0</formula>
    </cfRule>
  </conditionalFormatting>
  <conditionalFormatting sqref="AB434:AF434">
    <cfRule type="notContainsBlanks" dxfId="670" priority="673">
      <formula>LEN(TRIM(AB434))&gt;0</formula>
    </cfRule>
  </conditionalFormatting>
  <conditionalFormatting sqref="G447:K447">
    <cfRule type="notContainsBlanks" dxfId="669" priority="672">
      <formula>LEN(TRIM(G447))&gt;0</formula>
    </cfRule>
  </conditionalFormatting>
  <conditionalFormatting sqref="G447:K447">
    <cfRule type="notContainsBlanks" dxfId="668" priority="671">
      <formula>LEN(TRIM(G447))&gt;0</formula>
    </cfRule>
  </conditionalFormatting>
  <conditionalFormatting sqref="N447:R447">
    <cfRule type="notContainsBlanks" dxfId="667" priority="670">
      <formula>LEN(TRIM(N447))&gt;0</formula>
    </cfRule>
  </conditionalFormatting>
  <conditionalFormatting sqref="N447:R447">
    <cfRule type="notContainsBlanks" dxfId="666" priority="669">
      <formula>LEN(TRIM(N447))&gt;0</formula>
    </cfRule>
  </conditionalFormatting>
  <conditionalFormatting sqref="U447:Y447">
    <cfRule type="notContainsBlanks" dxfId="665" priority="668">
      <formula>LEN(TRIM(U447))&gt;0</formula>
    </cfRule>
  </conditionalFormatting>
  <conditionalFormatting sqref="U447:Y447">
    <cfRule type="notContainsBlanks" dxfId="664" priority="667">
      <formula>LEN(TRIM(U447))&gt;0</formula>
    </cfRule>
  </conditionalFormatting>
  <conditionalFormatting sqref="AB447:AF447">
    <cfRule type="notContainsBlanks" dxfId="663" priority="666">
      <formula>LEN(TRIM(AB447))&gt;0</formula>
    </cfRule>
  </conditionalFormatting>
  <conditionalFormatting sqref="AB447:AF447">
    <cfRule type="notContainsBlanks" dxfId="662" priority="665">
      <formula>LEN(TRIM(AB447))&gt;0</formula>
    </cfRule>
  </conditionalFormatting>
  <conditionalFormatting sqref="G460:K460">
    <cfRule type="notContainsBlanks" dxfId="661" priority="664">
      <formula>LEN(TRIM(G460))&gt;0</formula>
    </cfRule>
  </conditionalFormatting>
  <conditionalFormatting sqref="G460:K460">
    <cfRule type="notContainsBlanks" dxfId="660" priority="663">
      <formula>LEN(TRIM(G460))&gt;0</formula>
    </cfRule>
  </conditionalFormatting>
  <conditionalFormatting sqref="N460:R460">
    <cfRule type="notContainsBlanks" dxfId="659" priority="662">
      <formula>LEN(TRIM(N460))&gt;0</formula>
    </cfRule>
  </conditionalFormatting>
  <conditionalFormatting sqref="N460:R460">
    <cfRule type="notContainsBlanks" dxfId="658" priority="661">
      <formula>LEN(TRIM(N460))&gt;0</formula>
    </cfRule>
  </conditionalFormatting>
  <conditionalFormatting sqref="U460:Y460">
    <cfRule type="notContainsBlanks" dxfId="657" priority="660">
      <formula>LEN(TRIM(U460))&gt;0</formula>
    </cfRule>
  </conditionalFormatting>
  <conditionalFormatting sqref="U460:Y460">
    <cfRule type="notContainsBlanks" dxfId="656" priority="659">
      <formula>LEN(TRIM(U460))&gt;0</formula>
    </cfRule>
  </conditionalFormatting>
  <conditionalFormatting sqref="AB460:AF460">
    <cfRule type="notContainsBlanks" dxfId="655" priority="658">
      <formula>LEN(TRIM(AB460))&gt;0</formula>
    </cfRule>
  </conditionalFormatting>
  <conditionalFormatting sqref="AB460:AF460">
    <cfRule type="notContainsBlanks" dxfId="654" priority="657">
      <formula>LEN(TRIM(AB460))&gt;0</formula>
    </cfRule>
  </conditionalFormatting>
  <conditionalFormatting sqref="G473:K473">
    <cfRule type="notContainsBlanks" dxfId="653" priority="656">
      <formula>LEN(TRIM(G473))&gt;0</formula>
    </cfRule>
  </conditionalFormatting>
  <conditionalFormatting sqref="G473:K473">
    <cfRule type="notContainsBlanks" dxfId="652" priority="655">
      <formula>LEN(TRIM(G473))&gt;0</formula>
    </cfRule>
  </conditionalFormatting>
  <conditionalFormatting sqref="N473:R473">
    <cfRule type="notContainsBlanks" dxfId="651" priority="654">
      <formula>LEN(TRIM(N473))&gt;0</formula>
    </cfRule>
  </conditionalFormatting>
  <conditionalFormatting sqref="N473:R473">
    <cfRule type="notContainsBlanks" dxfId="650" priority="653">
      <formula>LEN(TRIM(N473))&gt;0</formula>
    </cfRule>
  </conditionalFormatting>
  <conditionalFormatting sqref="U473:Y473">
    <cfRule type="notContainsBlanks" dxfId="649" priority="652">
      <formula>LEN(TRIM(U473))&gt;0</formula>
    </cfRule>
  </conditionalFormatting>
  <conditionalFormatting sqref="U473:Y473">
    <cfRule type="notContainsBlanks" dxfId="648" priority="651">
      <formula>LEN(TRIM(U473))&gt;0</formula>
    </cfRule>
  </conditionalFormatting>
  <conditionalFormatting sqref="AB473:AF473">
    <cfRule type="notContainsBlanks" dxfId="647" priority="650">
      <formula>LEN(TRIM(AB473))&gt;0</formula>
    </cfRule>
  </conditionalFormatting>
  <conditionalFormatting sqref="AB473:AF473">
    <cfRule type="notContainsBlanks" dxfId="646" priority="649">
      <formula>LEN(TRIM(AB473))&gt;0</formula>
    </cfRule>
  </conditionalFormatting>
  <conditionalFormatting sqref="G486:K486">
    <cfRule type="notContainsBlanks" dxfId="645" priority="648">
      <formula>LEN(TRIM(G486))&gt;0</formula>
    </cfRule>
  </conditionalFormatting>
  <conditionalFormatting sqref="G486:K486">
    <cfRule type="notContainsBlanks" dxfId="644" priority="647">
      <formula>LEN(TRIM(G486))&gt;0</formula>
    </cfRule>
  </conditionalFormatting>
  <conditionalFormatting sqref="N486:R486">
    <cfRule type="notContainsBlanks" dxfId="643" priority="646">
      <formula>LEN(TRIM(N486))&gt;0</formula>
    </cfRule>
  </conditionalFormatting>
  <conditionalFormatting sqref="N486:R486">
    <cfRule type="notContainsBlanks" dxfId="642" priority="645">
      <formula>LEN(TRIM(N486))&gt;0</formula>
    </cfRule>
  </conditionalFormatting>
  <conditionalFormatting sqref="U486:Y486">
    <cfRule type="notContainsBlanks" dxfId="641" priority="644">
      <formula>LEN(TRIM(U486))&gt;0</formula>
    </cfRule>
  </conditionalFormatting>
  <conditionalFormatting sqref="U486:Y486">
    <cfRule type="notContainsBlanks" dxfId="640" priority="643">
      <formula>LEN(TRIM(U486))&gt;0</formula>
    </cfRule>
  </conditionalFormatting>
  <conditionalFormatting sqref="AB486:AF486">
    <cfRule type="notContainsBlanks" dxfId="639" priority="642">
      <formula>LEN(TRIM(AB486))&gt;0</formula>
    </cfRule>
  </conditionalFormatting>
  <conditionalFormatting sqref="AB486:AF486">
    <cfRule type="notContainsBlanks" dxfId="638" priority="641">
      <formula>LEN(TRIM(AB486))&gt;0</formula>
    </cfRule>
  </conditionalFormatting>
  <conditionalFormatting sqref="G499:K499">
    <cfRule type="notContainsBlanks" dxfId="637" priority="640">
      <formula>LEN(TRIM(G499))&gt;0</formula>
    </cfRule>
  </conditionalFormatting>
  <conditionalFormatting sqref="G499:K499">
    <cfRule type="notContainsBlanks" dxfId="636" priority="639">
      <formula>LEN(TRIM(G499))&gt;0</formula>
    </cfRule>
  </conditionalFormatting>
  <conditionalFormatting sqref="N499:R499">
    <cfRule type="notContainsBlanks" dxfId="635" priority="638">
      <formula>LEN(TRIM(N499))&gt;0</formula>
    </cfRule>
  </conditionalFormatting>
  <conditionalFormatting sqref="N499:R499">
    <cfRule type="notContainsBlanks" dxfId="634" priority="637">
      <formula>LEN(TRIM(N499))&gt;0</formula>
    </cfRule>
  </conditionalFormatting>
  <conditionalFormatting sqref="U499:Y499">
    <cfRule type="notContainsBlanks" dxfId="633" priority="636">
      <formula>LEN(TRIM(U499))&gt;0</formula>
    </cfRule>
  </conditionalFormatting>
  <conditionalFormatting sqref="U499:Y499">
    <cfRule type="notContainsBlanks" dxfId="632" priority="635">
      <formula>LEN(TRIM(U499))&gt;0</formula>
    </cfRule>
  </conditionalFormatting>
  <conditionalFormatting sqref="AB499:AF499">
    <cfRule type="notContainsBlanks" dxfId="631" priority="634">
      <formula>LEN(TRIM(AB499))&gt;0</formula>
    </cfRule>
  </conditionalFormatting>
  <conditionalFormatting sqref="AB499:AF499">
    <cfRule type="notContainsBlanks" dxfId="630" priority="633">
      <formula>LEN(TRIM(AB499))&gt;0</formula>
    </cfRule>
  </conditionalFormatting>
  <conditionalFormatting sqref="G512:K512">
    <cfRule type="notContainsBlanks" dxfId="629" priority="632">
      <formula>LEN(TRIM(G512))&gt;0</formula>
    </cfRule>
  </conditionalFormatting>
  <conditionalFormatting sqref="G512:K512">
    <cfRule type="notContainsBlanks" dxfId="628" priority="631">
      <formula>LEN(TRIM(G512))&gt;0</formula>
    </cfRule>
  </conditionalFormatting>
  <conditionalFormatting sqref="N512:R512">
    <cfRule type="notContainsBlanks" dxfId="627" priority="630">
      <formula>LEN(TRIM(N512))&gt;0</formula>
    </cfRule>
  </conditionalFormatting>
  <conditionalFormatting sqref="N512:R512">
    <cfRule type="notContainsBlanks" dxfId="626" priority="629">
      <formula>LEN(TRIM(N512))&gt;0</formula>
    </cfRule>
  </conditionalFormatting>
  <conditionalFormatting sqref="U512:Y512">
    <cfRule type="notContainsBlanks" dxfId="625" priority="628">
      <formula>LEN(TRIM(U512))&gt;0</formula>
    </cfRule>
  </conditionalFormatting>
  <conditionalFormatting sqref="U512:Y512">
    <cfRule type="notContainsBlanks" dxfId="624" priority="627">
      <formula>LEN(TRIM(U512))&gt;0</formula>
    </cfRule>
  </conditionalFormatting>
  <conditionalFormatting sqref="AB512:AF512">
    <cfRule type="notContainsBlanks" dxfId="623" priority="626">
      <formula>LEN(TRIM(AB512))&gt;0</formula>
    </cfRule>
  </conditionalFormatting>
  <conditionalFormatting sqref="AB512:AF512">
    <cfRule type="notContainsBlanks" dxfId="622" priority="625">
      <formula>LEN(TRIM(AB512))&gt;0</formula>
    </cfRule>
  </conditionalFormatting>
  <conditionalFormatting sqref="G525:K525">
    <cfRule type="notContainsBlanks" dxfId="621" priority="624">
      <formula>LEN(TRIM(G525))&gt;0</formula>
    </cfRule>
  </conditionalFormatting>
  <conditionalFormatting sqref="G525:K525">
    <cfRule type="notContainsBlanks" dxfId="620" priority="623">
      <formula>LEN(TRIM(G525))&gt;0</formula>
    </cfRule>
  </conditionalFormatting>
  <conditionalFormatting sqref="N525:R525">
    <cfRule type="notContainsBlanks" dxfId="619" priority="622">
      <formula>LEN(TRIM(N525))&gt;0</formula>
    </cfRule>
  </conditionalFormatting>
  <conditionalFormatting sqref="N525:R525">
    <cfRule type="notContainsBlanks" dxfId="618" priority="621">
      <formula>LEN(TRIM(N525))&gt;0</formula>
    </cfRule>
  </conditionalFormatting>
  <conditionalFormatting sqref="U525:Y525">
    <cfRule type="notContainsBlanks" dxfId="617" priority="620">
      <formula>LEN(TRIM(U525))&gt;0</formula>
    </cfRule>
  </conditionalFormatting>
  <conditionalFormatting sqref="U525:Y525">
    <cfRule type="notContainsBlanks" dxfId="616" priority="619">
      <formula>LEN(TRIM(U525))&gt;0</formula>
    </cfRule>
  </conditionalFormatting>
  <conditionalFormatting sqref="AB525:AF525">
    <cfRule type="notContainsBlanks" dxfId="615" priority="618">
      <formula>LEN(TRIM(AB525))&gt;0</formula>
    </cfRule>
  </conditionalFormatting>
  <conditionalFormatting sqref="AB525:AF525">
    <cfRule type="notContainsBlanks" dxfId="614" priority="617">
      <formula>LEN(TRIM(AB525))&gt;0</formula>
    </cfRule>
  </conditionalFormatting>
  <conditionalFormatting sqref="G538:K538">
    <cfRule type="notContainsBlanks" dxfId="613" priority="616">
      <formula>LEN(TRIM(G538))&gt;0</formula>
    </cfRule>
  </conditionalFormatting>
  <conditionalFormatting sqref="G538:K538">
    <cfRule type="notContainsBlanks" dxfId="612" priority="615">
      <formula>LEN(TRIM(G538))&gt;0</formula>
    </cfRule>
  </conditionalFormatting>
  <conditionalFormatting sqref="N538:R538">
    <cfRule type="notContainsBlanks" dxfId="611" priority="614">
      <formula>LEN(TRIM(N538))&gt;0</formula>
    </cfRule>
  </conditionalFormatting>
  <conditionalFormatting sqref="N538:R538">
    <cfRule type="notContainsBlanks" dxfId="610" priority="613">
      <formula>LEN(TRIM(N538))&gt;0</formula>
    </cfRule>
  </conditionalFormatting>
  <conditionalFormatting sqref="U538:Y538">
    <cfRule type="notContainsBlanks" dxfId="609" priority="612">
      <formula>LEN(TRIM(U538))&gt;0</formula>
    </cfRule>
  </conditionalFormatting>
  <conditionalFormatting sqref="U538:Y538">
    <cfRule type="notContainsBlanks" dxfId="608" priority="611">
      <formula>LEN(TRIM(U538))&gt;0</formula>
    </cfRule>
  </conditionalFormatting>
  <conditionalFormatting sqref="AB538:AF538">
    <cfRule type="notContainsBlanks" dxfId="607" priority="610">
      <formula>LEN(TRIM(AB538))&gt;0</formula>
    </cfRule>
  </conditionalFormatting>
  <conditionalFormatting sqref="AB538:AF538">
    <cfRule type="notContainsBlanks" dxfId="606" priority="609">
      <formula>LEN(TRIM(AB538))&gt;0</formula>
    </cfRule>
  </conditionalFormatting>
  <conditionalFormatting sqref="G551:K551">
    <cfRule type="notContainsBlanks" dxfId="605" priority="608">
      <formula>LEN(TRIM(G551))&gt;0</formula>
    </cfRule>
  </conditionalFormatting>
  <conditionalFormatting sqref="G551:K551">
    <cfRule type="notContainsBlanks" dxfId="604" priority="607">
      <formula>LEN(TRIM(G551))&gt;0</formula>
    </cfRule>
  </conditionalFormatting>
  <conditionalFormatting sqref="N551:R551">
    <cfRule type="notContainsBlanks" dxfId="603" priority="606">
      <formula>LEN(TRIM(N551))&gt;0</formula>
    </cfRule>
  </conditionalFormatting>
  <conditionalFormatting sqref="N551:R551">
    <cfRule type="notContainsBlanks" dxfId="602" priority="605">
      <formula>LEN(TRIM(N551))&gt;0</formula>
    </cfRule>
  </conditionalFormatting>
  <conditionalFormatting sqref="U551:Y551">
    <cfRule type="notContainsBlanks" dxfId="601" priority="604">
      <formula>LEN(TRIM(U551))&gt;0</formula>
    </cfRule>
  </conditionalFormatting>
  <conditionalFormatting sqref="U551:Y551">
    <cfRule type="notContainsBlanks" dxfId="600" priority="603">
      <formula>LEN(TRIM(U551))&gt;0</formula>
    </cfRule>
  </conditionalFormatting>
  <conditionalFormatting sqref="AB551:AF551">
    <cfRule type="notContainsBlanks" dxfId="599" priority="602">
      <formula>LEN(TRIM(AB551))&gt;0</formula>
    </cfRule>
  </conditionalFormatting>
  <conditionalFormatting sqref="AB551:AF551">
    <cfRule type="notContainsBlanks" dxfId="598" priority="601">
      <formula>LEN(TRIM(AB551))&gt;0</formula>
    </cfRule>
  </conditionalFormatting>
  <conditionalFormatting sqref="G564:K564">
    <cfRule type="notContainsBlanks" dxfId="597" priority="600">
      <formula>LEN(TRIM(G564))&gt;0</formula>
    </cfRule>
  </conditionalFormatting>
  <conditionalFormatting sqref="G564:K564">
    <cfRule type="notContainsBlanks" dxfId="596" priority="599">
      <formula>LEN(TRIM(G564))&gt;0</formula>
    </cfRule>
  </conditionalFormatting>
  <conditionalFormatting sqref="N564:R564">
    <cfRule type="notContainsBlanks" dxfId="595" priority="598">
      <formula>LEN(TRIM(N564))&gt;0</formula>
    </cfRule>
  </conditionalFormatting>
  <conditionalFormatting sqref="N564:R564">
    <cfRule type="notContainsBlanks" dxfId="594" priority="597">
      <formula>LEN(TRIM(N564))&gt;0</formula>
    </cfRule>
  </conditionalFormatting>
  <conditionalFormatting sqref="U564:Y564">
    <cfRule type="notContainsBlanks" dxfId="593" priority="596">
      <formula>LEN(TRIM(U564))&gt;0</formula>
    </cfRule>
  </conditionalFormatting>
  <conditionalFormatting sqref="U564:Y564">
    <cfRule type="notContainsBlanks" dxfId="592" priority="595">
      <formula>LEN(TRIM(U564))&gt;0</formula>
    </cfRule>
  </conditionalFormatting>
  <conditionalFormatting sqref="AB564:AF564">
    <cfRule type="notContainsBlanks" dxfId="591" priority="594">
      <formula>LEN(TRIM(AB564))&gt;0</formula>
    </cfRule>
  </conditionalFormatting>
  <conditionalFormatting sqref="AB564:AF564">
    <cfRule type="notContainsBlanks" dxfId="590" priority="593">
      <formula>LEN(TRIM(AB564))&gt;0</formula>
    </cfRule>
  </conditionalFormatting>
  <conditionalFormatting sqref="G577:K577">
    <cfRule type="notContainsBlanks" dxfId="589" priority="592">
      <formula>LEN(TRIM(G577))&gt;0</formula>
    </cfRule>
  </conditionalFormatting>
  <conditionalFormatting sqref="G577:K577">
    <cfRule type="notContainsBlanks" dxfId="588" priority="591">
      <formula>LEN(TRIM(G577))&gt;0</formula>
    </cfRule>
  </conditionalFormatting>
  <conditionalFormatting sqref="N577:R577">
    <cfRule type="notContainsBlanks" dxfId="587" priority="590">
      <formula>LEN(TRIM(N577))&gt;0</formula>
    </cfRule>
  </conditionalFormatting>
  <conditionalFormatting sqref="N577:R577">
    <cfRule type="notContainsBlanks" dxfId="586" priority="589">
      <formula>LEN(TRIM(N577))&gt;0</formula>
    </cfRule>
  </conditionalFormatting>
  <conditionalFormatting sqref="U577:Y577">
    <cfRule type="notContainsBlanks" dxfId="585" priority="588">
      <formula>LEN(TRIM(U577))&gt;0</formula>
    </cfRule>
  </conditionalFormatting>
  <conditionalFormatting sqref="U577:Y577">
    <cfRule type="notContainsBlanks" dxfId="584" priority="587">
      <formula>LEN(TRIM(U577))&gt;0</formula>
    </cfRule>
  </conditionalFormatting>
  <conditionalFormatting sqref="AB577:AF577">
    <cfRule type="notContainsBlanks" dxfId="583" priority="586">
      <formula>LEN(TRIM(AB577))&gt;0</formula>
    </cfRule>
  </conditionalFormatting>
  <conditionalFormatting sqref="AB577:AF577">
    <cfRule type="notContainsBlanks" dxfId="582" priority="585">
      <formula>LEN(TRIM(AB577))&gt;0</formula>
    </cfRule>
  </conditionalFormatting>
  <conditionalFormatting sqref="G590:K590">
    <cfRule type="notContainsBlanks" dxfId="581" priority="584">
      <formula>LEN(TRIM(G590))&gt;0</formula>
    </cfRule>
  </conditionalFormatting>
  <conditionalFormatting sqref="G590:K590">
    <cfRule type="notContainsBlanks" dxfId="580" priority="583">
      <formula>LEN(TRIM(G590))&gt;0</formula>
    </cfRule>
  </conditionalFormatting>
  <conditionalFormatting sqref="N590:R590">
    <cfRule type="notContainsBlanks" dxfId="579" priority="582">
      <formula>LEN(TRIM(N590))&gt;0</formula>
    </cfRule>
  </conditionalFormatting>
  <conditionalFormatting sqref="N590:R590">
    <cfRule type="notContainsBlanks" dxfId="578" priority="581">
      <formula>LEN(TRIM(N590))&gt;0</formula>
    </cfRule>
  </conditionalFormatting>
  <conditionalFormatting sqref="U590:Y590">
    <cfRule type="notContainsBlanks" dxfId="577" priority="580">
      <formula>LEN(TRIM(U590))&gt;0</formula>
    </cfRule>
  </conditionalFormatting>
  <conditionalFormatting sqref="U590:Y590">
    <cfRule type="notContainsBlanks" dxfId="576" priority="579">
      <formula>LEN(TRIM(U590))&gt;0</formula>
    </cfRule>
  </conditionalFormatting>
  <conditionalFormatting sqref="AB590:AF590">
    <cfRule type="notContainsBlanks" dxfId="575" priority="578">
      <formula>LEN(TRIM(AB590))&gt;0</formula>
    </cfRule>
  </conditionalFormatting>
  <conditionalFormatting sqref="AB590:AF590">
    <cfRule type="notContainsBlanks" dxfId="574" priority="577">
      <formula>LEN(TRIM(AB590))&gt;0</formula>
    </cfRule>
  </conditionalFormatting>
  <conditionalFormatting sqref="G603:K603">
    <cfRule type="notContainsBlanks" dxfId="573" priority="576">
      <formula>LEN(TRIM(G603))&gt;0</formula>
    </cfRule>
  </conditionalFormatting>
  <conditionalFormatting sqref="G603:K603">
    <cfRule type="notContainsBlanks" dxfId="572" priority="575">
      <formula>LEN(TRIM(G603))&gt;0</formula>
    </cfRule>
  </conditionalFormatting>
  <conditionalFormatting sqref="N603:R603">
    <cfRule type="notContainsBlanks" dxfId="571" priority="574">
      <formula>LEN(TRIM(N603))&gt;0</formula>
    </cfRule>
  </conditionalFormatting>
  <conditionalFormatting sqref="N603:R603">
    <cfRule type="notContainsBlanks" dxfId="570" priority="573">
      <formula>LEN(TRIM(N603))&gt;0</formula>
    </cfRule>
  </conditionalFormatting>
  <conditionalFormatting sqref="U603:Y603">
    <cfRule type="notContainsBlanks" dxfId="569" priority="572">
      <formula>LEN(TRIM(U603))&gt;0</formula>
    </cfRule>
  </conditionalFormatting>
  <conditionalFormatting sqref="U603:Y603">
    <cfRule type="notContainsBlanks" dxfId="568" priority="571">
      <formula>LEN(TRIM(U603))&gt;0</formula>
    </cfRule>
  </conditionalFormatting>
  <conditionalFormatting sqref="AB603:AF603">
    <cfRule type="notContainsBlanks" dxfId="567" priority="570">
      <formula>LEN(TRIM(AB603))&gt;0</formula>
    </cfRule>
  </conditionalFormatting>
  <conditionalFormatting sqref="AB603:AF603">
    <cfRule type="notContainsBlanks" dxfId="566" priority="569">
      <formula>LEN(TRIM(AB603))&gt;0</formula>
    </cfRule>
  </conditionalFormatting>
  <conditionalFormatting sqref="G616:K616">
    <cfRule type="notContainsBlanks" dxfId="565" priority="568">
      <formula>LEN(TRIM(G616))&gt;0</formula>
    </cfRule>
  </conditionalFormatting>
  <conditionalFormatting sqref="G616:K616">
    <cfRule type="notContainsBlanks" dxfId="564" priority="567">
      <formula>LEN(TRIM(G616))&gt;0</formula>
    </cfRule>
  </conditionalFormatting>
  <conditionalFormatting sqref="N616:R616">
    <cfRule type="notContainsBlanks" dxfId="563" priority="566">
      <formula>LEN(TRIM(N616))&gt;0</formula>
    </cfRule>
  </conditionalFormatting>
  <conditionalFormatting sqref="N616:R616">
    <cfRule type="notContainsBlanks" dxfId="562" priority="565">
      <formula>LEN(TRIM(N616))&gt;0</formula>
    </cfRule>
  </conditionalFormatting>
  <conditionalFormatting sqref="U616:Y616">
    <cfRule type="notContainsBlanks" dxfId="561" priority="564">
      <formula>LEN(TRIM(U616))&gt;0</formula>
    </cfRule>
  </conditionalFormatting>
  <conditionalFormatting sqref="U616:Y616">
    <cfRule type="notContainsBlanks" dxfId="560" priority="563">
      <formula>LEN(TRIM(U616))&gt;0</formula>
    </cfRule>
  </conditionalFormatting>
  <conditionalFormatting sqref="AB616:AF616">
    <cfRule type="notContainsBlanks" dxfId="559" priority="562">
      <formula>LEN(TRIM(AB616))&gt;0</formula>
    </cfRule>
  </conditionalFormatting>
  <conditionalFormatting sqref="AB616:AF616">
    <cfRule type="notContainsBlanks" dxfId="558" priority="561">
      <formula>LEN(TRIM(AB616))&gt;0</formula>
    </cfRule>
  </conditionalFormatting>
  <conditionalFormatting sqref="G629:K629">
    <cfRule type="notContainsBlanks" dxfId="557" priority="560">
      <formula>LEN(TRIM(G629))&gt;0</formula>
    </cfRule>
  </conditionalFormatting>
  <conditionalFormatting sqref="G629:K629">
    <cfRule type="notContainsBlanks" dxfId="556" priority="559">
      <formula>LEN(TRIM(G629))&gt;0</formula>
    </cfRule>
  </conditionalFormatting>
  <conditionalFormatting sqref="N629:R629">
    <cfRule type="notContainsBlanks" dxfId="555" priority="558">
      <formula>LEN(TRIM(N629))&gt;0</formula>
    </cfRule>
  </conditionalFormatting>
  <conditionalFormatting sqref="N629:R629">
    <cfRule type="notContainsBlanks" dxfId="554" priority="557">
      <formula>LEN(TRIM(N629))&gt;0</formula>
    </cfRule>
  </conditionalFormatting>
  <conditionalFormatting sqref="U629:Y629">
    <cfRule type="notContainsBlanks" dxfId="553" priority="556">
      <formula>LEN(TRIM(U629))&gt;0</formula>
    </cfRule>
  </conditionalFormatting>
  <conditionalFormatting sqref="U629:Y629">
    <cfRule type="notContainsBlanks" dxfId="552" priority="555">
      <formula>LEN(TRIM(U629))&gt;0</formula>
    </cfRule>
  </conditionalFormatting>
  <conditionalFormatting sqref="AB629:AF629">
    <cfRule type="notContainsBlanks" dxfId="551" priority="554">
      <formula>LEN(TRIM(AB629))&gt;0</formula>
    </cfRule>
  </conditionalFormatting>
  <conditionalFormatting sqref="AB629:AF629">
    <cfRule type="notContainsBlanks" dxfId="550" priority="553">
      <formula>LEN(TRIM(AB629))&gt;0</formula>
    </cfRule>
  </conditionalFormatting>
  <conditionalFormatting sqref="G642:K642">
    <cfRule type="notContainsBlanks" dxfId="549" priority="552">
      <formula>LEN(TRIM(G642))&gt;0</formula>
    </cfRule>
  </conditionalFormatting>
  <conditionalFormatting sqref="G642:K642">
    <cfRule type="notContainsBlanks" dxfId="548" priority="551">
      <formula>LEN(TRIM(G642))&gt;0</formula>
    </cfRule>
  </conditionalFormatting>
  <conditionalFormatting sqref="N642:R642">
    <cfRule type="notContainsBlanks" dxfId="547" priority="550">
      <formula>LEN(TRIM(N642))&gt;0</formula>
    </cfRule>
  </conditionalFormatting>
  <conditionalFormatting sqref="N642:R642">
    <cfRule type="notContainsBlanks" dxfId="546" priority="549">
      <formula>LEN(TRIM(N642))&gt;0</formula>
    </cfRule>
  </conditionalFormatting>
  <conditionalFormatting sqref="U642:Y642">
    <cfRule type="notContainsBlanks" dxfId="545" priority="548">
      <formula>LEN(TRIM(U642))&gt;0</formula>
    </cfRule>
  </conditionalFormatting>
  <conditionalFormatting sqref="U642:Y642">
    <cfRule type="notContainsBlanks" dxfId="544" priority="547">
      <formula>LEN(TRIM(U642))&gt;0</formula>
    </cfRule>
  </conditionalFormatting>
  <conditionalFormatting sqref="AB642:AF642">
    <cfRule type="notContainsBlanks" dxfId="543" priority="546">
      <formula>LEN(TRIM(AB642))&gt;0</formula>
    </cfRule>
  </conditionalFormatting>
  <conditionalFormatting sqref="AB642:AF642">
    <cfRule type="notContainsBlanks" dxfId="542" priority="545">
      <formula>LEN(TRIM(AB642))&gt;0</formula>
    </cfRule>
  </conditionalFormatting>
  <conditionalFormatting sqref="G655:K655">
    <cfRule type="notContainsBlanks" dxfId="541" priority="544">
      <formula>LEN(TRIM(G655))&gt;0</formula>
    </cfRule>
  </conditionalFormatting>
  <conditionalFormatting sqref="G655:K655">
    <cfRule type="notContainsBlanks" dxfId="540" priority="543">
      <formula>LEN(TRIM(G655))&gt;0</formula>
    </cfRule>
  </conditionalFormatting>
  <conditionalFormatting sqref="N655:R655">
    <cfRule type="notContainsBlanks" dxfId="539" priority="542">
      <formula>LEN(TRIM(N655))&gt;0</formula>
    </cfRule>
  </conditionalFormatting>
  <conditionalFormatting sqref="N655:R655">
    <cfRule type="notContainsBlanks" dxfId="538" priority="541">
      <formula>LEN(TRIM(N655))&gt;0</formula>
    </cfRule>
  </conditionalFormatting>
  <conditionalFormatting sqref="U655:Y655">
    <cfRule type="notContainsBlanks" dxfId="537" priority="540">
      <formula>LEN(TRIM(U655))&gt;0</formula>
    </cfRule>
  </conditionalFormatting>
  <conditionalFormatting sqref="U655:Y655">
    <cfRule type="notContainsBlanks" dxfId="536" priority="539">
      <formula>LEN(TRIM(U655))&gt;0</formula>
    </cfRule>
  </conditionalFormatting>
  <conditionalFormatting sqref="AB655:AF655">
    <cfRule type="notContainsBlanks" dxfId="535" priority="538">
      <formula>LEN(TRIM(AB655))&gt;0</formula>
    </cfRule>
  </conditionalFormatting>
  <conditionalFormatting sqref="AB655:AF655">
    <cfRule type="notContainsBlanks" dxfId="534" priority="537">
      <formula>LEN(TRIM(AB655))&gt;0</formula>
    </cfRule>
  </conditionalFormatting>
  <conditionalFormatting sqref="G668:K668">
    <cfRule type="notContainsBlanks" dxfId="533" priority="536">
      <formula>LEN(TRIM(G668))&gt;0</formula>
    </cfRule>
  </conditionalFormatting>
  <conditionalFormatting sqref="G668:K668">
    <cfRule type="notContainsBlanks" dxfId="532" priority="535">
      <formula>LEN(TRIM(G668))&gt;0</formula>
    </cfRule>
  </conditionalFormatting>
  <conditionalFormatting sqref="N668:R668">
    <cfRule type="notContainsBlanks" dxfId="531" priority="534">
      <formula>LEN(TRIM(N668))&gt;0</formula>
    </cfRule>
  </conditionalFormatting>
  <conditionalFormatting sqref="N668:R668">
    <cfRule type="notContainsBlanks" dxfId="530" priority="533">
      <formula>LEN(TRIM(N668))&gt;0</formula>
    </cfRule>
  </conditionalFormatting>
  <conditionalFormatting sqref="U668:Y668">
    <cfRule type="notContainsBlanks" dxfId="529" priority="532">
      <formula>LEN(TRIM(U668))&gt;0</formula>
    </cfRule>
  </conditionalFormatting>
  <conditionalFormatting sqref="U668:Y668">
    <cfRule type="notContainsBlanks" dxfId="528" priority="531">
      <formula>LEN(TRIM(U668))&gt;0</formula>
    </cfRule>
  </conditionalFormatting>
  <conditionalFormatting sqref="AB668:AF668">
    <cfRule type="notContainsBlanks" dxfId="527" priority="530">
      <formula>LEN(TRIM(AB668))&gt;0</formula>
    </cfRule>
  </conditionalFormatting>
  <conditionalFormatting sqref="AB668:AF668">
    <cfRule type="notContainsBlanks" dxfId="526" priority="529">
      <formula>LEN(TRIM(AB668))&gt;0</formula>
    </cfRule>
  </conditionalFormatting>
  <conditionalFormatting sqref="G681:K681">
    <cfRule type="notContainsBlanks" dxfId="525" priority="528">
      <formula>LEN(TRIM(G681))&gt;0</formula>
    </cfRule>
  </conditionalFormatting>
  <conditionalFormatting sqref="G681:K681">
    <cfRule type="notContainsBlanks" dxfId="524" priority="527">
      <formula>LEN(TRIM(G681))&gt;0</formula>
    </cfRule>
  </conditionalFormatting>
  <conditionalFormatting sqref="N681:R681">
    <cfRule type="notContainsBlanks" dxfId="523" priority="526">
      <formula>LEN(TRIM(N681))&gt;0</formula>
    </cfRule>
  </conditionalFormatting>
  <conditionalFormatting sqref="N681:R681">
    <cfRule type="notContainsBlanks" dxfId="522" priority="525">
      <formula>LEN(TRIM(N681))&gt;0</formula>
    </cfRule>
  </conditionalFormatting>
  <conditionalFormatting sqref="U681:Y681">
    <cfRule type="notContainsBlanks" dxfId="521" priority="524">
      <formula>LEN(TRIM(U681))&gt;0</formula>
    </cfRule>
  </conditionalFormatting>
  <conditionalFormatting sqref="U681:Y681">
    <cfRule type="notContainsBlanks" dxfId="520" priority="523">
      <formula>LEN(TRIM(U681))&gt;0</formula>
    </cfRule>
  </conditionalFormatting>
  <conditionalFormatting sqref="AB681:AF681">
    <cfRule type="notContainsBlanks" dxfId="519" priority="522">
      <formula>LEN(TRIM(AB681))&gt;0</formula>
    </cfRule>
  </conditionalFormatting>
  <conditionalFormatting sqref="AB681:AF681">
    <cfRule type="notContainsBlanks" dxfId="518" priority="521">
      <formula>LEN(TRIM(AB681))&gt;0</formula>
    </cfRule>
  </conditionalFormatting>
  <conditionalFormatting sqref="G694:K694">
    <cfRule type="notContainsBlanks" dxfId="517" priority="520">
      <formula>LEN(TRIM(G694))&gt;0</formula>
    </cfRule>
  </conditionalFormatting>
  <conditionalFormatting sqref="G694:K694">
    <cfRule type="notContainsBlanks" dxfId="516" priority="519">
      <formula>LEN(TRIM(G694))&gt;0</formula>
    </cfRule>
  </conditionalFormatting>
  <conditionalFormatting sqref="N694:R694">
    <cfRule type="notContainsBlanks" dxfId="515" priority="518">
      <formula>LEN(TRIM(N694))&gt;0</formula>
    </cfRule>
  </conditionalFormatting>
  <conditionalFormatting sqref="N694:R694">
    <cfRule type="notContainsBlanks" dxfId="514" priority="517">
      <formula>LEN(TRIM(N694))&gt;0</formula>
    </cfRule>
  </conditionalFormatting>
  <conditionalFormatting sqref="U694:Y694">
    <cfRule type="notContainsBlanks" dxfId="513" priority="516">
      <formula>LEN(TRIM(U694))&gt;0</formula>
    </cfRule>
  </conditionalFormatting>
  <conditionalFormatting sqref="U694:Y694">
    <cfRule type="notContainsBlanks" dxfId="512" priority="515">
      <formula>LEN(TRIM(U694))&gt;0</formula>
    </cfRule>
  </conditionalFormatting>
  <conditionalFormatting sqref="AB694:AF694">
    <cfRule type="notContainsBlanks" dxfId="511" priority="514">
      <formula>LEN(TRIM(AB694))&gt;0</formula>
    </cfRule>
  </conditionalFormatting>
  <conditionalFormatting sqref="AB694:AF694">
    <cfRule type="notContainsBlanks" dxfId="510" priority="513">
      <formula>LEN(TRIM(AB694))&gt;0</formula>
    </cfRule>
  </conditionalFormatting>
  <conditionalFormatting sqref="G707:K707">
    <cfRule type="notContainsBlanks" dxfId="509" priority="512">
      <formula>LEN(TRIM(G707))&gt;0</formula>
    </cfRule>
  </conditionalFormatting>
  <conditionalFormatting sqref="G707:K707">
    <cfRule type="notContainsBlanks" dxfId="508" priority="511">
      <formula>LEN(TRIM(G707))&gt;0</formula>
    </cfRule>
  </conditionalFormatting>
  <conditionalFormatting sqref="N707:R707">
    <cfRule type="notContainsBlanks" dxfId="507" priority="510">
      <formula>LEN(TRIM(N707))&gt;0</formula>
    </cfRule>
  </conditionalFormatting>
  <conditionalFormatting sqref="N707:R707">
    <cfRule type="notContainsBlanks" dxfId="506" priority="509">
      <formula>LEN(TRIM(N707))&gt;0</formula>
    </cfRule>
  </conditionalFormatting>
  <conditionalFormatting sqref="U707:Y707">
    <cfRule type="notContainsBlanks" dxfId="505" priority="508">
      <formula>LEN(TRIM(U707))&gt;0</formula>
    </cfRule>
  </conditionalFormatting>
  <conditionalFormatting sqref="U707:Y707">
    <cfRule type="notContainsBlanks" dxfId="504" priority="507">
      <formula>LEN(TRIM(U707))&gt;0</formula>
    </cfRule>
  </conditionalFormatting>
  <conditionalFormatting sqref="AB707:AF707">
    <cfRule type="notContainsBlanks" dxfId="503" priority="506">
      <formula>LEN(TRIM(AB707))&gt;0</formula>
    </cfRule>
  </conditionalFormatting>
  <conditionalFormatting sqref="AB707:AF707">
    <cfRule type="notContainsBlanks" dxfId="502" priority="505">
      <formula>LEN(TRIM(AB707))&gt;0</formula>
    </cfRule>
  </conditionalFormatting>
  <conditionalFormatting sqref="G720:K720">
    <cfRule type="notContainsBlanks" dxfId="501" priority="504">
      <formula>LEN(TRIM(G720))&gt;0</formula>
    </cfRule>
  </conditionalFormatting>
  <conditionalFormatting sqref="G720:K720">
    <cfRule type="notContainsBlanks" dxfId="500" priority="503">
      <formula>LEN(TRIM(G720))&gt;0</formula>
    </cfRule>
  </conditionalFormatting>
  <conditionalFormatting sqref="N720:R720">
    <cfRule type="notContainsBlanks" dxfId="499" priority="502">
      <formula>LEN(TRIM(N720))&gt;0</formula>
    </cfRule>
  </conditionalFormatting>
  <conditionalFormatting sqref="N720:R720">
    <cfRule type="notContainsBlanks" dxfId="498" priority="501">
      <formula>LEN(TRIM(N720))&gt;0</formula>
    </cfRule>
  </conditionalFormatting>
  <conditionalFormatting sqref="U720:Y720">
    <cfRule type="notContainsBlanks" dxfId="497" priority="500">
      <formula>LEN(TRIM(U720))&gt;0</formula>
    </cfRule>
  </conditionalFormatting>
  <conditionalFormatting sqref="U720:Y720">
    <cfRule type="notContainsBlanks" dxfId="496" priority="499">
      <formula>LEN(TRIM(U720))&gt;0</formula>
    </cfRule>
  </conditionalFormatting>
  <conditionalFormatting sqref="AB720:AF720">
    <cfRule type="notContainsBlanks" dxfId="495" priority="498">
      <formula>LEN(TRIM(AB720))&gt;0</formula>
    </cfRule>
  </conditionalFormatting>
  <conditionalFormatting sqref="AB720:AF720">
    <cfRule type="notContainsBlanks" dxfId="494" priority="497">
      <formula>LEN(TRIM(AB720))&gt;0</formula>
    </cfRule>
  </conditionalFormatting>
  <conditionalFormatting sqref="G733:K733">
    <cfRule type="notContainsBlanks" dxfId="493" priority="496">
      <formula>LEN(TRIM(G733))&gt;0</formula>
    </cfRule>
  </conditionalFormatting>
  <conditionalFormatting sqref="G733:K733">
    <cfRule type="notContainsBlanks" dxfId="492" priority="495">
      <formula>LEN(TRIM(G733))&gt;0</formula>
    </cfRule>
  </conditionalFormatting>
  <conditionalFormatting sqref="N733:R733">
    <cfRule type="notContainsBlanks" dxfId="491" priority="494">
      <formula>LEN(TRIM(N733))&gt;0</formula>
    </cfRule>
  </conditionalFormatting>
  <conditionalFormatting sqref="N733:R733">
    <cfRule type="notContainsBlanks" dxfId="490" priority="493">
      <formula>LEN(TRIM(N733))&gt;0</formula>
    </cfRule>
  </conditionalFormatting>
  <conditionalFormatting sqref="U733:Y733">
    <cfRule type="notContainsBlanks" dxfId="489" priority="492">
      <formula>LEN(TRIM(U733))&gt;0</formula>
    </cfRule>
  </conditionalFormatting>
  <conditionalFormatting sqref="U733:Y733">
    <cfRule type="notContainsBlanks" dxfId="488" priority="491">
      <formula>LEN(TRIM(U733))&gt;0</formula>
    </cfRule>
  </conditionalFormatting>
  <conditionalFormatting sqref="AB733:AF733">
    <cfRule type="notContainsBlanks" dxfId="487" priority="490">
      <formula>LEN(TRIM(AB733))&gt;0</formula>
    </cfRule>
  </conditionalFormatting>
  <conditionalFormatting sqref="AB733:AF733">
    <cfRule type="notContainsBlanks" dxfId="486" priority="489">
      <formula>LEN(TRIM(AB733))&gt;0</formula>
    </cfRule>
  </conditionalFormatting>
  <conditionalFormatting sqref="G746:K746">
    <cfRule type="notContainsBlanks" dxfId="485" priority="488">
      <formula>LEN(TRIM(G746))&gt;0</formula>
    </cfRule>
  </conditionalFormatting>
  <conditionalFormatting sqref="G746:K746">
    <cfRule type="notContainsBlanks" dxfId="484" priority="487">
      <formula>LEN(TRIM(G746))&gt;0</formula>
    </cfRule>
  </conditionalFormatting>
  <conditionalFormatting sqref="N746:R746">
    <cfRule type="notContainsBlanks" dxfId="483" priority="486">
      <formula>LEN(TRIM(N746))&gt;0</formula>
    </cfRule>
  </conditionalFormatting>
  <conditionalFormatting sqref="N746:R746">
    <cfRule type="notContainsBlanks" dxfId="482" priority="485">
      <formula>LEN(TRIM(N746))&gt;0</formula>
    </cfRule>
  </conditionalFormatting>
  <conditionalFormatting sqref="U746:Y746">
    <cfRule type="notContainsBlanks" dxfId="481" priority="484">
      <formula>LEN(TRIM(U746))&gt;0</formula>
    </cfRule>
  </conditionalFormatting>
  <conditionalFormatting sqref="U746:Y746">
    <cfRule type="notContainsBlanks" dxfId="480" priority="483">
      <formula>LEN(TRIM(U746))&gt;0</formula>
    </cfRule>
  </conditionalFormatting>
  <conditionalFormatting sqref="AB746:AF746">
    <cfRule type="notContainsBlanks" dxfId="479" priority="482">
      <formula>LEN(TRIM(AB746))&gt;0</formula>
    </cfRule>
  </conditionalFormatting>
  <conditionalFormatting sqref="AB746:AF746">
    <cfRule type="notContainsBlanks" dxfId="478" priority="481">
      <formula>LEN(TRIM(AB746))&gt;0</formula>
    </cfRule>
  </conditionalFormatting>
  <conditionalFormatting sqref="G759:K759">
    <cfRule type="notContainsBlanks" dxfId="477" priority="480">
      <formula>LEN(TRIM(G759))&gt;0</formula>
    </cfRule>
  </conditionalFormatting>
  <conditionalFormatting sqref="G759:K759">
    <cfRule type="notContainsBlanks" dxfId="476" priority="479">
      <formula>LEN(TRIM(G759))&gt;0</formula>
    </cfRule>
  </conditionalFormatting>
  <conditionalFormatting sqref="N759:R759">
    <cfRule type="notContainsBlanks" dxfId="475" priority="478">
      <formula>LEN(TRIM(N759))&gt;0</formula>
    </cfRule>
  </conditionalFormatting>
  <conditionalFormatting sqref="N759:R759">
    <cfRule type="notContainsBlanks" dxfId="474" priority="477">
      <formula>LEN(TRIM(N759))&gt;0</formula>
    </cfRule>
  </conditionalFormatting>
  <conditionalFormatting sqref="U759:Y759">
    <cfRule type="notContainsBlanks" dxfId="473" priority="476">
      <formula>LEN(TRIM(U759))&gt;0</formula>
    </cfRule>
  </conditionalFormatting>
  <conditionalFormatting sqref="U759:Y759">
    <cfRule type="notContainsBlanks" dxfId="472" priority="475">
      <formula>LEN(TRIM(U759))&gt;0</formula>
    </cfRule>
  </conditionalFormatting>
  <conditionalFormatting sqref="AB759:AF759">
    <cfRule type="notContainsBlanks" dxfId="471" priority="474">
      <formula>LEN(TRIM(AB759))&gt;0</formula>
    </cfRule>
  </conditionalFormatting>
  <conditionalFormatting sqref="AB759:AF759">
    <cfRule type="notContainsBlanks" dxfId="470" priority="473">
      <formula>LEN(TRIM(AB759))&gt;0</formula>
    </cfRule>
  </conditionalFormatting>
  <conditionalFormatting sqref="G772:K772">
    <cfRule type="notContainsBlanks" dxfId="469" priority="472">
      <formula>LEN(TRIM(G772))&gt;0</formula>
    </cfRule>
  </conditionalFormatting>
  <conditionalFormatting sqref="G772:K772">
    <cfRule type="notContainsBlanks" dxfId="468" priority="471">
      <formula>LEN(TRIM(G772))&gt;0</formula>
    </cfRule>
  </conditionalFormatting>
  <conditionalFormatting sqref="N772:R772">
    <cfRule type="notContainsBlanks" dxfId="467" priority="470">
      <formula>LEN(TRIM(N772))&gt;0</formula>
    </cfRule>
  </conditionalFormatting>
  <conditionalFormatting sqref="N772:R772">
    <cfRule type="notContainsBlanks" dxfId="466" priority="469">
      <formula>LEN(TRIM(N772))&gt;0</formula>
    </cfRule>
  </conditionalFormatting>
  <conditionalFormatting sqref="U772:Y772">
    <cfRule type="notContainsBlanks" dxfId="465" priority="468">
      <formula>LEN(TRIM(U772))&gt;0</formula>
    </cfRule>
  </conditionalFormatting>
  <conditionalFormatting sqref="U772:Y772">
    <cfRule type="notContainsBlanks" dxfId="464" priority="467">
      <formula>LEN(TRIM(U772))&gt;0</formula>
    </cfRule>
  </conditionalFormatting>
  <conditionalFormatting sqref="AB772:AF772">
    <cfRule type="notContainsBlanks" dxfId="463" priority="466">
      <formula>LEN(TRIM(AB772))&gt;0</formula>
    </cfRule>
  </conditionalFormatting>
  <conditionalFormatting sqref="AB772:AF772">
    <cfRule type="notContainsBlanks" dxfId="462" priority="465">
      <formula>LEN(TRIM(AB772))&gt;0</formula>
    </cfRule>
  </conditionalFormatting>
  <conditionalFormatting sqref="G785:K785">
    <cfRule type="notContainsBlanks" dxfId="461" priority="464">
      <formula>LEN(TRIM(G785))&gt;0</formula>
    </cfRule>
  </conditionalFormatting>
  <conditionalFormatting sqref="G785:K785">
    <cfRule type="notContainsBlanks" dxfId="460" priority="463">
      <formula>LEN(TRIM(G785))&gt;0</formula>
    </cfRule>
  </conditionalFormatting>
  <conditionalFormatting sqref="N785:R785">
    <cfRule type="notContainsBlanks" dxfId="459" priority="462">
      <formula>LEN(TRIM(N785))&gt;0</formula>
    </cfRule>
  </conditionalFormatting>
  <conditionalFormatting sqref="N785:R785">
    <cfRule type="notContainsBlanks" dxfId="458" priority="461">
      <formula>LEN(TRIM(N785))&gt;0</formula>
    </cfRule>
  </conditionalFormatting>
  <conditionalFormatting sqref="U785:Y785">
    <cfRule type="notContainsBlanks" dxfId="457" priority="460">
      <formula>LEN(TRIM(U785))&gt;0</formula>
    </cfRule>
  </conditionalFormatting>
  <conditionalFormatting sqref="U785:Y785">
    <cfRule type="notContainsBlanks" dxfId="456" priority="459">
      <formula>LEN(TRIM(U785))&gt;0</formula>
    </cfRule>
  </conditionalFormatting>
  <conditionalFormatting sqref="AB785:AF785">
    <cfRule type="notContainsBlanks" dxfId="455" priority="458">
      <formula>LEN(TRIM(AB785))&gt;0</formula>
    </cfRule>
  </conditionalFormatting>
  <conditionalFormatting sqref="AB785:AF785">
    <cfRule type="notContainsBlanks" dxfId="454" priority="457">
      <formula>LEN(TRIM(AB785))&gt;0</formula>
    </cfRule>
  </conditionalFormatting>
  <conditionalFormatting sqref="G798:K798">
    <cfRule type="notContainsBlanks" dxfId="453" priority="456">
      <formula>LEN(TRIM(G798))&gt;0</formula>
    </cfRule>
  </conditionalFormatting>
  <conditionalFormatting sqref="G798:K798">
    <cfRule type="notContainsBlanks" dxfId="452" priority="455">
      <formula>LEN(TRIM(G798))&gt;0</formula>
    </cfRule>
  </conditionalFormatting>
  <conditionalFormatting sqref="N798:R798">
    <cfRule type="notContainsBlanks" dxfId="451" priority="454">
      <formula>LEN(TRIM(N798))&gt;0</formula>
    </cfRule>
  </conditionalFormatting>
  <conditionalFormatting sqref="N798:R798">
    <cfRule type="notContainsBlanks" dxfId="450" priority="453">
      <formula>LEN(TRIM(N798))&gt;0</formula>
    </cfRule>
  </conditionalFormatting>
  <conditionalFormatting sqref="U798:Y798">
    <cfRule type="notContainsBlanks" dxfId="449" priority="452">
      <formula>LEN(TRIM(U798))&gt;0</formula>
    </cfRule>
  </conditionalFormatting>
  <conditionalFormatting sqref="U798:Y798">
    <cfRule type="notContainsBlanks" dxfId="448" priority="451">
      <formula>LEN(TRIM(U798))&gt;0</formula>
    </cfRule>
  </conditionalFormatting>
  <conditionalFormatting sqref="AB798:AF798">
    <cfRule type="notContainsBlanks" dxfId="447" priority="450">
      <formula>LEN(TRIM(AB798))&gt;0</formula>
    </cfRule>
  </conditionalFormatting>
  <conditionalFormatting sqref="AB798:AF798">
    <cfRule type="notContainsBlanks" dxfId="446" priority="449">
      <formula>LEN(TRIM(AB798))&gt;0</formula>
    </cfRule>
  </conditionalFormatting>
  <conditionalFormatting sqref="G811:K811">
    <cfRule type="notContainsBlanks" dxfId="445" priority="448">
      <formula>LEN(TRIM(G811))&gt;0</formula>
    </cfRule>
  </conditionalFormatting>
  <conditionalFormatting sqref="G811:K811">
    <cfRule type="notContainsBlanks" dxfId="444" priority="447">
      <formula>LEN(TRIM(G811))&gt;0</formula>
    </cfRule>
  </conditionalFormatting>
  <conditionalFormatting sqref="N811:R811">
    <cfRule type="notContainsBlanks" dxfId="443" priority="446">
      <formula>LEN(TRIM(N811))&gt;0</formula>
    </cfRule>
  </conditionalFormatting>
  <conditionalFormatting sqref="N811:R811">
    <cfRule type="notContainsBlanks" dxfId="442" priority="445">
      <formula>LEN(TRIM(N811))&gt;0</formula>
    </cfRule>
  </conditionalFormatting>
  <conditionalFormatting sqref="U811:Y811">
    <cfRule type="notContainsBlanks" dxfId="441" priority="444">
      <formula>LEN(TRIM(U811))&gt;0</formula>
    </cfRule>
  </conditionalFormatting>
  <conditionalFormatting sqref="U811:Y811">
    <cfRule type="notContainsBlanks" dxfId="440" priority="443">
      <formula>LEN(TRIM(U811))&gt;0</formula>
    </cfRule>
  </conditionalFormatting>
  <conditionalFormatting sqref="AB811:AF811">
    <cfRule type="notContainsBlanks" dxfId="439" priority="442">
      <formula>LEN(TRIM(AB811))&gt;0</formula>
    </cfRule>
  </conditionalFormatting>
  <conditionalFormatting sqref="AB811:AF811">
    <cfRule type="notContainsBlanks" dxfId="438" priority="441">
      <formula>LEN(TRIM(AB811))&gt;0</formula>
    </cfRule>
  </conditionalFormatting>
  <conditionalFormatting sqref="G824:K824">
    <cfRule type="notContainsBlanks" dxfId="437" priority="440">
      <formula>LEN(TRIM(G824))&gt;0</formula>
    </cfRule>
  </conditionalFormatting>
  <conditionalFormatting sqref="G824:K824">
    <cfRule type="notContainsBlanks" dxfId="436" priority="439">
      <formula>LEN(TRIM(G824))&gt;0</formula>
    </cfRule>
  </conditionalFormatting>
  <conditionalFormatting sqref="N824:R824">
    <cfRule type="notContainsBlanks" dxfId="435" priority="438">
      <formula>LEN(TRIM(N824))&gt;0</formula>
    </cfRule>
  </conditionalFormatting>
  <conditionalFormatting sqref="N824:R824">
    <cfRule type="notContainsBlanks" dxfId="434" priority="437">
      <formula>LEN(TRIM(N824))&gt;0</formula>
    </cfRule>
  </conditionalFormatting>
  <conditionalFormatting sqref="U824:Y824">
    <cfRule type="notContainsBlanks" dxfId="433" priority="436">
      <formula>LEN(TRIM(U824))&gt;0</formula>
    </cfRule>
  </conditionalFormatting>
  <conditionalFormatting sqref="U824:Y824">
    <cfRule type="notContainsBlanks" dxfId="432" priority="435">
      <formula>LEN(TRIM(U824))&gt;0</formula>
    </cfRule>
  </conditionalFormatting>
  <conditionalFormatting sqref="AB824:AF824">
    <cfRule type="notContainsBlanks" dxfId="431" priority="434">
      <formula>LEN(TRIM(AB824))&gt;0</formula>
    </cfRule>
  </conditionalFormatting>
  <conditionalFormatting sqref="AB824:AF824">
    <cfRule type="notContainsBlanks" dxfId="430" priority="433">
      <formula>LEN(TRIM(AB824))&gt;0</formula>
    </cfRule>
  </conditionalFormatting>
  <conditionalFormatting sqref="G837:K837">
    <cfRule type="notContainsBlanks" dxfId="429" priority="432">
      <formula>LEN(TRIM(G837))&gt;0</formula>
    </cfRule>
  </conditionalFormatting>
  <conditionalFormatting sqref="G837:K837">
    <cfRule type="notContainsBlanks" dxfId="428" priority="431">
      <formula>LEN(TRIM(G837))&gt;0</formula>
    </cfRule>
  </conditionalFormatting>
  <conditionalFormatting sqref="N837:R837">
    <cfRule type="notContainsBlanks" dxfId="427" priority="430">
      <formula>LEN(TRIM(N837))&gt;0</formula>
    </cfRule>
  </conditionalFormatting>
  <conditionalFormatting sqref="N837:R837">
    <cfRule type="notContainsBlanks" dxfId="426" priority="429">
      <formula>LEN(TRIM(N837))&gt;0</formula>
    </cfRule>
  </conditionalFormatting>
  <conditionalFormatting sqref="U837:Y837">
    <cfRule type="notContainsBlanks" dxfId="425" priority="428">
      <formula>LEN(TRIM(U837))&gt;0</formula>
    </cfRule>
  </conditionalFormatting>
  <conditionalFormatting sqref="U837:Y837">
    <cfRule type="notContainsBlanks" dxfId="424" priority="427">
      <formula>LEN(TRIM(U837))&gt;0</formula>
    </cfRule>
  </conditionalFormatting>
  <conditionalFormatting sqref="AB837:AF837">
    <cfRule type="notContainsBlanks" dxfId="423" priority="426">
      <formula>LEN(TRIM(AB837))&gt;0</formula>
    </cfRule>
  </conditionalFormatting>
  <conditionalFormatting sqref="AB837:AF837">
    <cfRule type="notContainsBlanks" dxfId="422" priority="425">
      <formula>LEN(TRIM(AB837))&gt;0</formula>
    </cfRule>
  </conditionalFormatting>
  <conditionalFormatting sqref="G850:K850">
    <cfRule type="notContainsBlanks" dxfId="421" priority="424">
      <formula>LEN(TRIM(G850))&gt;0</formula>
    </cfRule>
  </conditionalFormatting>
  <conditionalFormatting sqref="G850:K850">
    <cfRule type="notContainsBlanks" dxfId="420" priority="423">
      <formula>LEN(TRIM(G850))&gt;0</formula>
    </cfRule>
  </conditionalFormatting>
  <conditionalFormatting sqref="N850:R850">
    <cfRule type="notContainsBlanks" dxfId="419" priority="422">
      <formula>LEN(TRIM(N850))&gt;0</formula>
    </cfRule>
  </conditionalFormatting>
  <conditionalFormatting sqref="N850:R850">
    <cfRule type="notContainsBlanks" dxfId="418" priority="421">
      <formula>LEN(TRIM(N850))&gt;0</formula>
    </cfRule>
  </conditionalFormatting>
  <conditionalFormatting sqref="U850:Y850">
    <cfRule type="notContainsBlanks" dxfId="417" priority="420">
      <formula>LEN(TRIM(U850))&gt;0</formula>
    </cfRule>
  </conditionalFormatting>
  <conditionalFormatting sqref="U850:Y850">
    <cfRule type="notContainsBlanks" dxfId="416" priority="419">
      <formula>LEN(TRIM(U850))&gt;0</formula>
    </cfRule>
  </conditionalFormatting>
  <conditionalFormatting sqref="AB850:AF850">
    <cfRule type="notContainsBlanks" dxfId="415" priority="418">
      <formula>LEN(TRIM(AB850))&gt;0</formula>
    </cfRule>
  </conditionalFormatting>
  <conditionalFormatting sqref="AB850:AF850">
    <cfRule type="notContainsBlanks" dxfId="414" priority="417">
      <formula>LEN(TRIM(AB850))&gt;0</formula>
    </cfRule>
  </conditionalFormatting>
  <conditionalFormatting sqref="G863:K863">
    <cfRule type="notContainsBlanks" dxfId="413" priority="416">
      <formula>LEN(TRIM(G863))&gt;0</formula>
    </cfRule>
  </conditionalFormatting>
  <conditionalFormatting sqref="G863:K863">
    <cfRule type="notContainsBlanks" dxfId="412" priority="415">
      <formula>LEN(TRIM(G863))&gt;0</formula>
    </cfRule>
  </conditionalFormatting>
  <conditionalFormatting sqref="N863:R863">
    <cfRule type="notContainsBlanks" dxfId="411" priority="414">
      <formula>LEN(TRIM(N863))&gt;0</formula>
    </cfRule>
  </conditionalFormatting>
  <conditionalFormatting sqref="N863:R863">
    <cfRule type="notContainsBlanks" dxfId="410" priority="413">
      <formula>LEN(TRIM(N863))&gt;0</formula>
    </cfRule>
  </conditionalFormatting>
  <conditionalFormatting sqref="U863:Y863">
    <cfRule type="notContainsBlanks" dxfId="409" priority="412">
      <formula>LEN(TRIM(U863))&gt;0</formula>
    </cfRule>
  </conditionalFormatting>
  <conditionalFormatting sqref="U863:Y863">
    <cfRule type="notContainsBlanks" dxfId="408" priority="411">
      <formula>LEN(TRIM(U863))&gt;0</formula>
    </cfRule>
  </conditionalFormatting>
  <conditionalFormatting sqref="AB863:AF863">
    <cfRule type="notContainsBlanks" dxfId="407" priority="410">
      <formula>LEN(TRIM(AB863))&gt;0</formula>
    </cfRule>
  </conditionalFormatting>
  <conditionalFormatting sqref="AB863:AF863">
    <cfRule type="notContainsBlanks" dxfId="406" priority="409">
      <formula>LEN(TRIM(AB863))&gt;0</formula>
    </cfRule>
  </conditionalFormatting>
  <conditionalFormatting sqref="G876:K876">
    <cfRule type="notContainsBlanks" dxfId="405" priority="408">
      <formula>LEN(TRIM(G876))&gt;0</formula>
    </cfRule>
  </conditionalFormatting>
  <conditionalFormatting sqref="G876:K876">
    <cfRule type="notContainsBlanks" dxfId="404" priority="407">
      <formula>LEN(TRIM(G876))&gt;0</formula>
    </cfRule>
  </conditionalFormatting>
  <conditionalFormatting sqref="N876:R876">
    <cfRule type="notContainsBlanks" dxfId="403" priority="406">
      <formula>LEN(TRIM(N876))&gt;0</formula>
    </cfRule>
  </conditionalFormatting>
  <conditionalFormatting sqref="N876:R876">
    <cfRule type="notContainsBlanks" dxfId="402" priority="405">
      <formula>LEN(TRIM(N876))&gt;0</formula>
    </cfRule>
  </conditionalFormatting>
  <conditionalFormatting sqref="U876:Y876">
    <cfRule type="notContainsBlanks" dxfId="401" priority="404">
      <formula>LEN(TRIM(U876))&gt;0</formula>
    </cfRule>
  </conditionalFormatting>
  <conditionalFormatting sqref="U876:Y876">
    <cfRule type="notContainsBlanks" dxfId="400" priority="403">
      <formula>LEN(TRIM(U876))&gt;0</formula>
    </cfRule>
  </conditionalFormatting>
  <conditionalFormatting sqref="AB876:AF876">
    <cfRule type="notContainsBlanks" dxfId="399" priority="402">
      <formula>LEN(TRIM(AB876))&gt;0</formula>
    </cfRule>
  </conditionalFormatting>
  <conditionalFormatting sqref="AB876:AF876">
    <cfRule type="notContainsBlanks" dxfId="398" priority="401">
      <formula>LEN(TRIM(AB876))&gt;0</formula>
    </cfRule>
  </conditionalFormatting>
  <conditionalFormatting sqref="G889:K889">
    <cfRule type="notContainsBlanks" dxfId="397" priority="400">
      <formula>LEN(TRIM(G889))&gt;0</formula>
    </cfRule>
  </conditionalFormatting>
  <conditionalFormatting sqref="G889:K889">
    <cfRule type="notContainsBlanks" dxfId="396" priority="399">
      <formula>LEN(TRIM(G889))&gt;0</formula>
    </cfRule>
  </conditionalFormatting>
  <conditionalFormatting sqref="N889:R889">
    <cfRule type="notContainsBlanks" dxfId="395" priority="398">
      <formula>LEN(TRIM(N889))&gt;0</formula>
    </cfRule>
  </conditionalFormatting>
  <conditionalFormatting sqref="N889:R889">
    <cfRule type="notContainsBlanks" dxfId="394" priority="397">
      <formula>LEN(TRIM(N889))&gt;0</formula>
    </cfRule>
  </conditionalFormatting>
  <conditionalFormatting sqref="U889:Y889">
    <cfRule type="notContainsBlanks" dxfId="393" priority="396">
      <formula>LEN(TRIM(U889))&gt;0</formula>
    </cfRule>
  </conditionalFormatting>
  <conditionalFormatting sqref="U889:Y889">
    <cfRule type="notContainsBlanks" dxfId="392" priority="395">
      <formula>LEN(TRIM(U889))&gt;0</formula>
    </cfRule>
  </conditionalFormatting>
  <conditionalFormatting sqref="AB889:AF889">
    <cfRule type="notContainsBlanks" dxfId="391" priority="394">
      <formula>LEN(TRIM(AB889))&gt;0</formula>
    </cfRule>
  </conditionalFormatting>
  <conditionalFormatting sqref="AB889:AF889">
    <cfRule type="notContainsBlanks" dxfId="390" priority="393">
      <formula>LEN(TRIM(AB889))&gt;0</formula>
    </cfRule>
  </conditionalFormatting>
  <conditionalFormatting sqref="G902:K902">
    <cfRule type="notContainsBlanks" dxfId="389" priority="392">
      <formula>LEN(TRIM(G902))&gt;0</formula>
    </cfRule>
  </conditionalFormatting>
  <conditionalFormatting sqref="G902:K902">
    <cfRule type="notContainsBlanks" dxfId="388" priority="391">
      <formula>LEN(TRIM(G902))&gt;0</formula>
    </cfRule>
  </conditionalFormatting>
  <conditionalFormatting sqref="N902:R902">
    <cfRule type="notContainsBlanks" dxfId="387" priority="390">
      <formula>LEN(TRIM(N902))&gt;0</formula>
    </cfRule>
  </conditionalFormatting>
  <conditionalFormatting sqref="N902:R902">
    <cfRule type="notContainsBlanks" dxfId="386" priority="389">
      <formula>LEN(TRIM(N902))&gt;0</formula>
    </cfRule>
  </conditionalFormatting>
  <conditionalFormatting sqref="U902:Y902">
    <cfRule type="notContainsBlanks" dxfId="385" priority="388">
      <formula>LEN(TRIM(U902))&gt;0</formula>
    </cfRule>
  </conditionalFormatting>
  <conditionalFormatting sqref="U902:Y902">
    <cfRule type="notContainsBlanks" dxfId="384" priority="387">
      <formula>LEN(TRIM(U902))&gt;0</formula>
    </cfRule>
  </conditionalFormatting>
  <conditionalFormatting sqref="AB902:AF902">
    <cfRule type="notContainsBlanks" dxfId="383" priority="386">
      <formula>LEN(TRIM(AB902))&gt;0</formula>
    </cfRule>
  </conditionalFormatting>
  <conditionalFormatting sqref="AB902:AF902">
    <cfRule type="notContainsBlanks" dxfId="382" priority="385">
      <formula>LEN(TRIM(AB902))&gt;0</formula>
    </cfRule>
  </conditionalFormatting>
  <conditionalFormatting sqref="G915:K915">
    <cfRule type="notContainsBlanks" dxfId="381" priority="384">
      <formula>LEN(TRIM(G915))&gt;0</formula>
    </cfRule>
  </conditionalFormatting>
  <conditionalFormatting sqref="G915:K915">
    <cfRule type="notContainsBlanks" dxfId="380" priority="383">
      <formula>LEN(TRIM(G915))&gt;0</formula>
    </cfRule>
  </conditionalFormatting>
  <conditionalFormatting sqref="N915:R915">
    <cfRule type="notContainsBlanks" dxfId="379" priority="382">
      <formula>LEN(TRIM(N915))&gt;0</formula>
    </cfRule>
  </conditionalFormatting>
  <conditionalFormatting sqref="N915:R915">
    <cfRule type="notContainsBlanks" dxfId="378" priority="381">
      <formula>LEN(TRIM(N915))&gt;0</formula>
    </cfRule>
  </conditionalFormatting>
  <conditionalFormatting sqref="U915:Y915">
    <cfRule type="notContainsBlanks" dxfId="377" priority="380">
      <formula>LEN(TRIM(U915))&gt;0</formula>
    </cfRule>
  </conditionalFormatting>
  <conditionalFormatting sqref="U915:Y915">
    <cfRule type="notContainsBlanks" dxfId="376" priority="379">
      <formula>LEN(TRIM(U915))&gt;0</formula>
    </cfRule>
  </conditionalFormatting>
  <conditionalFormatting sqref="AB915:AF915">
    <cfRule type="notContainsBlanks" dxfId="375" priority="378">
      <formula>LEN(TRIM(AB915))&gt;0</formula>
    </cfRule>
  </conditionalFormatting>
  <conditionalFormatting sqref="AB915:AF915">
    <cfRule type="notContainsBlanks" dxfId="374" priority="377">
      <formula>LEN(TRIM(AB915))&gt;0</formula>
    </cfRule>
  </conditionalFormatting>
  <conditionalFormatting sqref="G928:K928">
    <cfRule type="notContainsBlanks" dxfId="373" priority="376">
      <formula>LEN(TRIM(G928))&gt;0</formula>
    </cfRule>
  </conditionalFormatting>
  <conditionalFormatting sqref="G928:K928">
    <cfRule type="notContainsBlanks" dxfId="372" priority="375">
      <formula>LEN(TRIM(G928))&gt;0</formula>
    </cfRule>
  </conditionalFormatting>
  <conditionalFormatting sqref="N928:R928">
    <cfRule type="notContainsBlanks" dxfId="371" priority="374">
      <formula>LEN(TRIM(N928))&gt;0</formula>
    </cfRule>
  </conditionalFormatting>
  <conditionalFormatting sqref="N928:R928">
    <cfRule type="notContainsBlanks" dxfId="370" priority="373">
      <formula>LEN(TRIM(N928))&gt;0</formula>
    </cfRule>
  </conditionalFormatting>
  <conditionalFormatting sqref="U928:Y928">
    <cfRule type="notContainsBlanks" dxfId="369" priority="372">
      <formula>LEN(TRIM(U928))&gt;0</formula>
    </cfRule>
  </conditionalFormatting>
  <conditionalFormatting sqref="U928:Y928">
    <cfRule type="notContainsBlanks" dxfId="368" priority="371">
      <formula>LEN(TRIM(U928))&gt;0</formula>
    </cfRule>
  </conditionalFormatting>
  <conditionalFormatting sqref="AB928:AF928">
    <cfRule type="notContainsBlanks" dxfId="367" priority="370">
      <formula>LEN(TRIM(AB928))&gt;0</formula>
    </cfRule>
  </conditionalFormatting>
  <conditionalFormatting sqref="AB928:AF928">
    <cfRule type="notContainsBlanks" dxfId="366" priority="369">
      <formula>LEN(TRIM(AB928))&gt;0</formula>
    </cfRule>
  </conditionalFormatting>
  <conditionalFormatting sqref="G941:K941">
    <cfRule type="notContainsBlanks" dxfId="365" priority="368">
      <formula>LEN(TRIM(G941))&gt;0</formula>
    </cfRule>
  </conditionalFormatting>
  <conditionalFormatting sqref="G941:K941">
    <cfRule type="notContainsBlanks" dxfId="364" priority="367">
      <formula>LEN(TRIM(G941))&gt;0</formula>
    </cfRule>
  </conditionalFormatting>
  <conditionalFormatting sqref="N941:R941">
    <cfRule type="notContainsBlanks" dxfId="363" priority="366">
      <formula>LEN(TRIM(N941))&gt;0</formula>
    </cfRule>
  </conditionalFormatting>
  <conditionalFormatting sqref="N941:R941">
    <cfRule type="notContainsBlanks" dxfId="362" priority="365">
      <formula>LEN(TRIM(N941))&gt;0</formula>
    </cfRule>
  </conditionalFormatting>
  <conditionalFormatting sqref="U941:Y941">
    <cfRule type="notContainsBlanks" dxfId="361" priority="364">
      <formula>LEN(TRIM(U941))&gt;0</formula>
    </cfRule>
  </conditionalFormatting>
  <conditionalFormatting sqref="U941:Y941">
    <cfRule type="notContainsBlanks" dxfId="360" priority="363">
      <formula>LEN(TRIM(U941))&gt;0</formula>
    </cfRule>
  </conditionalFormatting>
  <conditionalFormatting sqref="AB941:AF941">
    <cfRule type="notContainsBlanks" dxfId="359" priority="362">
      <formula>LEN(TRIM(AB941))&gt;0</formula>
    </cfRule>
  </conditionalFormatting>
  <conditionalFormatting sqref="AB941:AF941">
    <cfRule type="notContainsBlanks" dxfId="358" priority="361">
      <formula>LEN(TRIM(AB941))&gt;0</formula>
    </cfRule>
  </conditionalFormatting>
  <conditionalFormatting sqref="G954:K954">
    <cfRule type="notContainsBlanks" dxfId="357" priority="360">
      <formula>LEN(TRIM(G954))&gt;0</formula>
    </cfRule>
  </conditionalFormatting>
  <conditionalFormatting sqref="G954:K954">
    <cfRule type="notContainsBlanks" dxfId="356" priority="359">
      <formula>LEN(TRIM(G954))&gt;0</formula>
    </cfRule>
  </conditionalFormatting>
  <conditionalFormatting sqref="N954:R954">
    <cfRule type="notContainsBlanks" dxfId="355" priority="358">
      <formula>LEN(TRIM(N954))&gt;0</formula>
    </cfRule>
  </conditionalFormatting>
  <conditionalFormatting sqref="N954:R954">
    <cfRule type="notContainsBlanks" dxfId="354" priority="357">
      <formula>LEN(TRIM(N954))&gt;0</formula>
    </cfRule>
  </conditionalFormatting>
  <conditionalFormatting sqref="U954:Y954">
    <cfRule type="notContainsBlanks" dxfId="353" priority="356">
      <formula>LEN(TRIM(U954))&gt;0</formula>
    </cfRule>
  </conditionalFormatting>
  <conditionalFormatting sqref="U954:Y954">
    <cfRule type="notContainsBlanks" dxfId="352" priority="355">
      <formula>LEN(TRIM(U954))&gt;0</formula>
    </cfRule>
  </conditionalFormatting>
  <conditionalFormatting sqref="AB954:AF954">
    <cfRule type="notContainsBlanks" dxfId="351" priority="354">
      <formula>LEN(TRIM(AB954))&gt;0</formula>
    </cfRule>
  </conditionalFormatting>
  <conditionalFormatting sqref="AB954:AF954">
    <cfRule type="notContainsBlanks" dxfId="350" priority="353">
      <formula>LEN(TRIM(AB954))&gt;0</formula>
    </cfRule>
  </conditionalFormatting>
  <conditionalFormatting sqref="G967:K967">
    <cfRule type="notContainsBlanks" dxfId="349" priority="352">
      <formula>LEN(TRIM(G967))&gt;0</formula>
    </cfRule>
  </conditionalFormatting>
  <conditionalFormatting sqref="G967:K967">
    <cfRule type="notContainsBlanks" dxfId="348" priority="351">
      <formula>LEN(TRIM(G967))&gt;0</formula>
    </cfRule>
  </conditionalFormatting>
  <conditionalFormatting sqref="N967:R967">
    <cfRule type="notContainsBlanks" dxfId="347" priority="350">
      <formula>LEN(TRIM(N967))&gt;0</formula>
    </cfRule>
  </conditionalFormatting>
  <conditionalFormatting sqref="N967:R967">
    <cfRule type="notContainsBlanks" dxfId="346" priority="349">
      <formula>LEN(TRIM(N967))&gt;0</formula>
    </cfRule>
  </conditionalFormatting>
  <conditionalFormatting sqref="U967:Y967">
    <cfRule type="notContainsBlanks" dxfId="345" priority="348">
      <formula>LEN(TRIM(U967))&gt;0</formula>
    </cfRule>
  </conditionalFormatting>
  <conditionalFormatting sqref="U967:Y967">
    <cfRule type="notContainsBlanks" dxfId="344" priority="347">
      <formula>LEN(TRIM(U967))&gt;0</formula>
    </cfRule>
  </conditionalFormatting>
  <conditionalFormatting sqref="AB967:AF967">
    <cfRule type="notContainsBlanks" dxfId="343" priority="346">
      <formula>LEN(TRIM(AB967))&gt;0</formula>
    </cfRule>
  </conditionalFormatting>
  <conditionalFormatting sqref="AB967:AF967">
    <cfRule type="notContainsBlanks" dxfId="342" priority="345">
      <formula>LEN(TRIM(AB967))&gt;0</formula>
    </cfRule>
  </conditionalFormatting>
  <conditionalFormatting sqref="G980:K980">
    <cfRule type="notContainsBlanks" dxfId="341" priority="344">
      <formula>LEN(TRIM(G980))&gt;0</formula>
    </cfRule>
  </conditionalFormatting>
  <conditionalFormatting sqref="G980:K980">
    <cfRule type="notContainsBlanks" dxfId="340" priority="343">
      <formula>LEN(TRIM(G980))&gt;0</formula>
    </cfRule>
  </conditionalFormatting>
  <conditionalFormatting sqref="N980:R980">
    <cfRule type="notContainsBlanks" dxfId="339" priority="342">
      <formula>LEN(TRIM(N980))&gt;0</formula>
    </cfRule>
  </conditionalFormatting>
  <conditionalFormatting sqref="N980:R980">
    <cfRule type="notContainsBlanks" dxfId="338" priority="341">
      <formula>LEN(TRIM(N980))&gt;0</formula>
    </cfRule>
  </conditionalFormatting>
  <conditionalFormatting sqref="U980:Y980">
    <cfRule type="notContainsBlanks" dxfId="337" priority="340">
      <formula>LEN(TRIM(U980))&gt;0</formula>
    </cfRule>
  </conditionalFormatting>
  <conditionalFormatting sqref="U980:Y980">
    <cfRule type="notContainsBlanks" dxfId="336" priority="339">
      <formula>LEN(TRIM(U980))&gt;0</formula>
    </cfRule>
  </conditionalFormatting>
  <conditionalFormatting sqref="AB980:AF980">
    <cfRule type="notContainsBlanks" dxfId="335" priority="338">
      <formula>LEN(TRIM(AB980))&gt;0</formula>
    </cfRule>
  </conditionalFormatting>
  <conditionalFormatting sqref="AB980:AF980">
    <cfRule type="notContainsBlanks" dxfId="334" priority="337">
      <formula>LEN(TRIM(AB980))&gt;0</formula>
    </cfRule>
  </conditionalFormatting>
  <conditionalFormatting sqref="G993:K993">
    <cfRule type="notContainsBlanks" dxfId="333" priority="336">
      <formula>LEN(TRIM(G993))&gt;0</formula>
    </cfRule>
  </conditionalFormatting>
  <conditionalFormatting sqref="G993:K993">
    <cfRule type="notContainsBlanks" dxfId="332" priority="335">
      <formula>LEN(TRIM(G993))&gt;0</formula>
    </cfRule>
  </conditionalFormatting>
  <conditionalFormatting sqref="N993:R993">
    <cfRule type="notContainsBlanks" dxfId="331" priority="334">
      <formula>LEN(TRIM(N993))&gt;0</formula>
    </cfRule>
  </conditionalFormatting>
  <conditionalFormatting sqref="N993:R993">
    <cfRule type="notContainsBlanks" dxfId="330" priority="333">
      <formula>LEN(TRIM(N993))&gt;0</formula>
    </cfRule>
  </conditionalFormatting>
  <conditionalFormatting sqref="U993:Y993">
    <cfRule type="notContainsBlanks" dxfId="329" priority="332">
      <formula>LEN(TRIM(U993))&gt;0</formula>
    </cfRule>
  </conditionalFormatting>
  <conditionalFormatting sqref="U993:Y993">
    <cfRule type="notContainsBlanks" dxfId="328" priority="331">
      <formula>LEN(TRIM(U993))&gt;0</formula>
    </cfRule>
  </conditionalFormatting>
  <conditionalFormatting sqref="AB993:AF993">
    <cfRule type="notContainsBlanks" dxfId="327" priority="330">
      <formula>LEN(TRIM(AB993))&gt;0</formula>
    </cfRule>
  </conditionalFormatting>
  <conditionalFormatting sqref="AB993:AF993">
    <cfRule type="notContainsBlanks" dxfId="326" priority="329">
      <formula>LEN(TRIM(AB993))&gt;0</formula>
    </cfRule>
  </conditionalFormatting>
  <conditionalFormatting sqref="G1006:K1006">
    <cfRule type="notContainsBlanks" dxfId="325" priority="328">
      <formula>LEN(TRIM(G1006))&gt;0</formula>
    </cfRule>
  </conditionalFormatting>
  <conditionalFormatting sqref="G1006:K1006">
    <cfRule type="notContainsBlanks" dxfId="324" priority="327">
      <formula>LEN(TRIM(G1006))&gt;0</formula>
    </cfRule>
  </conditionalFormatting>
  <conditionalFormatting sqref="N1006:R1006">
    <cfRule type="notContainsBlanks" dxfId="323" priority="326">
      <formula>LEN(TRIM(N1006))&gt;0</formula>
    </cfRule>
  </conditionalFormatting>
  <conditionalFormatting sqref="N1006:R1006">
    <cfRule type="notContainsBlanks" dxfId="322" priority="325">
      <formula>LEN(TRIM(N1006))&gt;0</formula>
    </cfRule>
  </conditionalFormatting>
  <conditionalFormatting sqref="U1006:Y1006">
    <cfRule type="notContainsBlanks" dxfId="321" priority="324">
      <formula>LEN(TRIM(U1006))&gt;0</formula>
    </cfRule>
  </conditionalFormatting>
  <conditionalFormatting sqref="U1006:Y1006">
    <cfRule type="notContainsBlanks" dxfId="320" priority="323">
      <formula>LEN(TRIM(U1006))&gt;0</formula>
    </cfRule>
  </conditionalFormatting>
  <conditionalFormatting sqref="AB1006:AF1006">
    <cfRule type="notContainsBlanks" dxfId="319" priority="322">
      <formula>LEN(TRIM(AB1006))&gt;0</formula>
    </cfRule>
  </conditionalFormatting>
  <conditionalFormatting sqref="AB1006:AF1006">
    <cfRule type="notContainsBlanks" dxfId="318" priority="321">
      <formula>LEN(TRIM(AB1006))&gt;0</formula>
    </cfRule>
  </conditionalFormatting>
  <conditionalFormatting sqref="G1019:K1019">
    <cfRule type="notContainsBlanks" dxfId="317" priority="320">
      <formula>LEN(TRIM(G1019))&gt;0</formula>
    </cfRule>
  </conditionalFormatting>
  <conditionalFormatting sqref="G1019:K1019">
    <cfRule type="notContainsBlanks" dxfId="316" priority="319">
      <formula>LEN(TRIM(G1019))&gt;0</formula>
    </cfRule>
  </conditionalFormatting>
  <conditionalFormatting sqref="N1019:R1019">
    <cfRule type="notContainsBlanks" dxfId="315" priority="318">
      <formula>LEN(TRIM(N1019))&gt;0</formula>
    </cfRule>
  </conditionalFormatting>
  <conditionalFormatting sqref="N1019:R1019">
    <cfRule type="notContainsBlanks" dxfId="314" priority="317">
      <formula>LEN(TRIM(N1019))&gt;0</formula>
    </cfRule>
  </conditionalFormatting>
  <conditionalFormatting sqref="U1019:Y1019">
    <cfRule type="notContainsBlanks" dxfId="313" priority="316">
      <formula>LEN(TRIM(U1019))&gt;0</formula>
    </cfRule>
  </conditionalFormatting>
  <conditionalFormatting sqref="U1019:Y1019">
    <cfRule type="notContainsBlanks" dxfId="312" priority="315">
      <formula>LEN(TRIM(U1019))&gt;0</formula>
    </cfRule>
  </conditionalFormatting>
  <conditionalFormatting sqref="AB1019:AF1019">
    <cfRule type="notContainsBlanks" dxfId="311" priority="314">
      <formula>LEN(TRIM(AB1019))&gt;0</formula>
    </cfRule>
  </conditionalFormatting>
  <conditionalFormatting sqref="AB1019:AF1019">
    <cfRule type="notContainsBlanks" dxfId="310" priority="313">
      <formula>LEN(TRIM(AB1019))&gt;0</formula>
    </cfRule>
  </conditionalFormatting>
  <conditionalFormatting sqref="G1032:K1032">
    <cfRule type="notContainsBlanks" dxfId="309" priority="312">
      <formula>LEN(TRIM(G1032))&gt;0</formula>
    </cfRule>
  </conditionalFormatting>
  <conditionalFormatting sqref="G1032:K1032">
    <cfRule type="notContainsBlanks" dxfId="308" priority="311">
      <formula>LEN(TRIM(G1032))&gt;0</formula>
    </cfRule>
  </conditionalFormatting>
  <conditionalFormatting sqref="N1032:R1032">
    <cfRule type="notContainsBlanks" dxfId="307" priority="310">
      <formula>LEN(TRIM(N1032))&gt;0</formula>
    </cfRule>
  </conditionalFormatting>
  <conditionalFormatting sqref="N1032:R1032">
    <cfRule type="notContainsBlanks" dxfId="306" priority="309">
      <formula>LEN(TRIM(N1032))&gt;0</formula>
    </cfRule>
  </conditionalFormatting>
  <conditionalFormatting sqref="U1032:Y1032">
    <cfRule type="notContainsBlanks" dxfId="305" priority="308">
      <formula>LEN(TRIM(U1032))&gt;0</formula>
    </cfRule>
  </conditionalFormatting>
  <conditionalFormatting sqref="U1032:Y1032">
    <cfRule type="notContainsBlanks" dxfId="304" priority="307">
      <formula>LEN(TRIM(U1032))&gt;0</formula>
    </cfRule>
  </conditionalFormatting>
  <conditionalFormatting sqref="AB1032:AF1032">
    <cfRule type="notContainsBlanks" dxfId="303" priority="306">
      <formula>LEN(TRIM(AB1032))&gt;0</formula>
    </cfRule>
  </conditionalFormatting>
  <conditionalFormatting sqref="AB1032:AF1032">
    <cfRule type="notContainsBlanks" dxfId="302" priority="305">
      <formula>LEN(TRIM(AB1032))&gt;0</formula>
    </cfRule>
  </conditionalFormatting>
  <conditionalFormatting sqref="G1045:K1045">
    <cfRule type="notContainsBlanks" dxfId="301" priority="304">
      <formula>LEN(TRIM(G1045))&gt;0</formula>
    </cfRule>
  </conditionalFormatting>
  <conditionalFormatting sqref="G1045:K1045">
    <cfRule type="notContainsBlanks" dxfId="300" priority="303">
      <formula>LEN(TRIM(G1045))&gt;0</formula>
    </cfRule>
  </conditionalFormatting>
  <conditionalFormatting sqref="N1045:R1045">
    <cfRule type="notContainsBlanks" dxfId="299" priority="302">
      <formula>LEN(TRIM(N1045))&gt;0</formula>
    </cfRule>
  </conditionalFormatting>
  <conditionalFormatting sqref="N1045:R1045">
    <cfRule type="notContainsBlanks" dxfId="298" priority="301">
      <formula>LEN(TRIM(N1045))&gt;0</formula>
    </cfRule>
  </conditionalFormatting>
  <conditionalFormatting sqref="U1045:Y1045">
    <cfRule type="notContainsBlanks" dxfId="297" priority="300">
      <formula>LEN(TRIM(U1045))&gt;0</formula>
    </cfRule>
  </conditionalFormatting>
  <conditionalFormatting sqref="U1045:Y1045">
    <cfRule type="notContainsBlanks" dxfId="296" priority="299">
      <formula>LEN(TRIM(U1045))&gt;0</formula>
    </cfRule>
  </conditionalFormatting>
  <conditionalFormatting sqref="AB1045:AF1045">
    <cfRule type="notContainsBlanks" dxfId="295" priority="298">
      <formula>LEN(TRIM(AB1045))&gt;0</formula>
    </cfRule>
  </conditionalFormatting>
  <conditionalFormatting sqref="AB1045:AF1045">
    <cfRule type="notContainsBlanks" dxfId="294" priority="297">
      <formula>LEN(TRIM(AB1045))&gt;0</formula>
    </cfRule>
  </conditionalFormatting>
  <conditionalFormatting sqref="G1058:K1058">
    <cfRule type="notContainsBlanks" dxfId="293" priority="296">
      <formula>LEN(TRIM(G1058))&gt;0</formula>
    </cfRule>
  </conditionalFormatting>
  <conditionalFormatting sqref="G1058:K1058">
    <cfRule type="notContainsBlanks" dxfId="292" priority="295">
      <formula>LEN(TRIM(G1058))&gt;0</formula>
    </cfRule>
  </conditionalFormatting>
  <conditionalFormatting sqref="N1058:R1058">
    <cfRule type="notContainsBlanks" dxfId="291" priority="294">
      <formula>LEN(TRIM(N1058))&gt;0</formula>
    </cfRule>
  </conditionalFormatting>
  <conditionalFormatting sqref="N1058:R1058">
    <cfRule type="notContainsBlanks" dxfId="290" priority="293">
      <formula>LEN(TRIM(N1058))&gt;0</formula>
    </cfRule>
  </conditionalFormatting>
  <conditionalFormatting sqref="U1058:Y1058">
    <cfRule type="notContainsBlanks" dxfId="289" priority="292">
      <formula>LEN(TRIM(U1058))&gt;0</formula>
    </cfRule>
  </conditionalFormatting>
  <conditionalFormatting sqref="U1058:Y1058">
    <cfRule type="notContainsBlanks" dxfId="288" priority="291">
      <formula>LEN(TRIM(U1058))&gt;0</formula>
    </cfRule>
  </conditionalFormatting>
  <conditionalFormatting sqref="AB1058:AF1058">
    <cfRule type="notContainsBlanks" dxfId="287" priority="290">
      <formula>LEN(TRIM(AB1058))&gt;0</formula>
    </cfRule>
  </conditionalFormatting>
  <conditionalFormatting sqref="AB1058:AF1058">
    <cfRule type="notContainsBlanks" dxfId="286" priority="289">
      <formula>LEN(TRIM(AB1058))&gt;0</formula>
    </cfRule>
  </conditionalFormatting>
  <conditionalFormatting sqref="G1071:K1071">
    <cfRule type="notContainsBlanks" dxfId="285" priority="288">
      <formula>LEN(TRIM(G1071))&gt;0</formula>
    </cfRule>
  </conditionalFormatting>
  <conditionalFormatting sqref="G1071:K1071">
    <cfRule type="notContainsBlanks" dxfId="284" priority="287">
      <formula>LEN(TRIM(G1071))&gt;0</formula>
    </cfRule>
  </conditionalFormatting>
  <conditionalFormatting sqref="N1071:R1071">
    <cfRule type="notContainsBlanks" dxfId="283" priority="286">
      <formula>LEN(TRIM(N1071))&gt;0</formula>
    </cfRule>
  </conditionalFormatting>
  <conditionalFormatting sqref="N1071:R1071">
    <cfRule type="notContainsBlanks" dxfId="282" priority="285">
      <formula>LEN(TRIM(N1071))&gt;0</formula>
    </cfRule>
  </conditionalFormatting>
  <conditionalFormatting sqref="U1071:Y1071">
    <cfRule type="notContainsBlanks" dxfId="281" priority="284">
      <formula>LEN(TRIM(U1071))&gt;0</formula>
    </cfRule>
  </conditionalFormatting>
  <conditionalFormatting sqref="U1071:Y1071">
    <cfRule type="notContainsBlanks" dxfId="280" priority="283">
      <formula>LEN(TRIM(U1071))&gt;0</formula>
    </cfRule>
  </conditionalFormatting>
  <conditionalFormatting sqref="AB1071:AF1071">
    <cfRule type="notContainsBlanks" dxfId="279" priority="282">
      <formula>LEN(TRIM(AB1071))&gt;0</formula>
    </cfRule>
  </conditionalFormatting>
  <conditionalFormatting sqref="AB1071:AF1071">
    <cfRule type="notContainsBlanks" dxfId="278" priority="281">
      <formula>LEN(TRIM(AB1071))&gt;0</formula>
    </cfRule>
  </conditionalFormatting>
  <conditionalFormatting sqref="G1084:K1084">
    <cfRule type="notContainsBlanks" dxfId="277" priority="280">
      <formula>LEN(TRIM(G1084))&gt;0</formula>
    </cfRule>
  </conditionalFormatting>
  <conditionalFormatting sqref="G1084:K1084">
    <cfRule type="notContainsBlanks" dxfId="276" priority="279">
      <formula>LEN(TRIM(G1084))&gt;0</formula>
    </cfRule>
  </conditionalFormatting>
  <conditionalFormatting sqref="N1084:R1084">
    <cfRule type="notContainsBlanks" dxfId="275" priority="278">
      <formula>LEN(TRIM(N1084))&gt;0</formula>
    </cfRule>
  </conditionalFormatting>
  <conditionalFormatting sqref="N1084:R1084">
    <cfRule type="notContainsBlanks" dxfId="274" priority="277">
      <formula>LEN(TRIM(N1084))&gt;0</formula>
    </cfRule>
  </conditionalFormatting>
  <conditionalFormatting sqref="U1084:Y1084">
    <cfRule type="notContainsBlanks" dxfId="273" priority="276">
      <formula>LEN(TRIM(U1084))&gt;0</formula>
    </cfRule>
  </conditionalFormatting>
  <conditionalFormatting sqref="U1084:Y1084">
    <cfRule type="notContainsBlanks" dxfId="272" priority="275">
      <formula>LEN(TRIM(U1084))&gt;0</formula>
    </cfRule>
  </conditionalFormatting>
  <conditionalFormatting sqref="AB1084:AF1084">
    <cfRule type="notContainsBlanks" dxfId="271" priority="274">
      <formula>LEN(TRIM(AB1084))&gt;0</formula>
    </cfRule>
  </conditionalFormatting>
  <conditionalFormatting sqref="AB1084:AF1084">
    <cfRule type="notContainsBlanks" dxfId="270" priority="273">
      <formula>LEN(TRIM(AB1084))&gt;0</formula>
    </cfRule>
  </conditionalFormatting>
  <conditionalFormatting sqref="G1097:K1097">
    <cfRule type="notContainsBlanks" dxfId="269" priority="272">
      <formula>LEN(TRIM(G1097))&gt;0</formula>
    </cfRule>
  </conditionalFormatting>
  <conditionalFormatting sqref="G1097:K1097">
    <cfRule type="notContainsBlanks" dxfId="268" priority="271">
      <formula>LEN(TRIM(G1097))&gt;0</formula>
    </cfRule>
  </conditionalFormatting>
  <conditionalFormatting sqref="N1097:R1097">
    <cfRule type="notContainsBlanks" dxfId="267" priority="270">
      <formula>LEN(TRIM(N1097))&gt;0</formula>
    </cfRule>
  </conditionalFormatting>
  <conditionalFormatting sqref="N1097:R1097">
    <cfRule type="notContainsBlanks" dxfId="266" priority="269">
      <formula>LEN(TRIM(N1097))&gt;0</formula>
    </cfRule>
  </conditionalFormatting>
  <conditionalFormatting sqref="U1097:Y1097">
    <cfRule type="notContainsBlanks" dxfId="265" priority="268">
      <formula>LEN(TRIM(U1097))&gt;0</formula>
    </cfRule>
  </conditionalFormatting>
  <conditionalFormatting sqref="U1097:Y1097">
    <cfRule type="notContainsBlanks" dxfId="264" priority="267">
      <formula>LEN(TRIM(U1097))&gt;0</formula>
    </cfRule>
  </conditionalFormatting>
  <conditionalFormatting sqref="AB1097:AF1097">
    <cfRule type="notContainsBlanks" dxfId="263" priority="266">
      <formula>LEN(TRIM(AB1097))&gt;0</formula>
    </cfRule>
  </conditionalFormatting>
  <conditionalFormatting sqref="AB1097:AF1097">
    <cfRule type="notContainsBlanks" dxfId="262" priority="265">
      <formula>LEN(TRIM(AB1097))&gt;0</formula>
    </cfRule>
  </conditionalFormatting>
  <conditionalFormatting sqref="G1110:K1110">
    <cfRule type="notContainsBlanks" dxfId="261" priority="264">
      <formula>LEN(TRIM(G1110))&gt;0</formula>
    </cfRule>
  </conditionalFormatting>
  <conditionalFormatting sqref="G1110:K1110">
    <cfRule type="notContainsBlanks" dxfId="260" priority="263">
      <formula>LEN(TRIM(G1110))&gt;0</formula>
    </cfRule>
  </conditionalFormatting>
  <conditionalFormatting sqref="N1110:R1110">
    <cfRule type="notContainsBlanks" dxfId="259" priority="262">
      <formula>LEN(TRIM(N1110))&gt;0</formula>
    </cfRule>
  </conditionalFormatting>
  <conditionalFormatting sqref="N1110:R1110">
    <cfRule type="notContainsBlanks" dxfId="258" priority="261">
      <formula>LEN(TRIM(N1110))&gt;0</formula>
    </cfRule>
  </conditionalFormatting>
  <conditionalFormatting sqref="U1110:Y1110">
    <cfRule type="notContainsBlanks" dxfId="257" priority="260">
      <formula>LEN(TRIM(U1110))&gt;0</formula>
    </cfRule>
  </conditionalFormatting>
  <conditionalFormatting sqref="U1110:Y1110">
    <cfRule type="notContainsBlanks" dxfId="256" priority="259">
      <formula>LEN(TRIM(U1110))&gt;0</formula>
    </cfRule>
  </conditionalFormatting>
  <conditionalFormatting sqref="AB1110:AF1110">
    <cfRule type="notContainsBlanks" dxfId="255" priority="258">
      <formula>LEN(TRIM(AB1110))&gt;0</formula>
    </cfRule>
  </conditionalFormatting>
  <conditionalFormatting sqref="AB1110:AF1110">
    <cfRule type="notContainsBlanks" dxfId="254" priority="257">
      <formula>LEN(TRIM(AB1110))&gt;0</formula>
    </cfRule>
  </conditionalFormatting>
  <conditionalFormatting sqref="G1123:K1123">
    <cfRule type="notContainsBlanks" dxfId="253" priority="256">
      <formula>LEN(TRIM(G1123))&gt;0</formula>
    </cfRule>
  </conditionalFormatting>
  <conditionalFormatting sqref="G1123:K1123">
    <cfRule type="notContainsBlanks" dxfId="252" priority="255">
      <formula>LEN(TRIM(G1123))&gt;0</formula>
    </cfRule>
  </conditionalFormatting>
  <conditionalFormatting sqref="N1123:R1123">
    <cfRule type="notContainsBlanks" dxfId="251" priority="254">
      <formula>LEN(TRIM(N1123))&gt;0</formula>
    </cfRule>
  </conditionalFormatting>
  <conditionalFormatting sqref="N1123:R1123">
    <cfRule type="notContainsBlanks" dxfId="250" priority="253">
      <formula>LEN(TRIM(N1123))&gt;0</formula>
    </cfRule>
  </conditionalFormatting>
  <conditionalFormatting sqref="U1123:Y1123">
    <cfRule type="notContainsBlanks" dxfId="249" priority="252">
      <formula>LEN(TRIM(U1123))&gt;0</formula>
    </cfRule>
  </conditionalFormatting>
  <conditionalFormatting sqref="U1123:Y1123">
    <cfRule type="notContainsBlanks" dxfId="248" priority="251">
      <formula>LEN(TRIM(U1123))&gt;0</formula>
    </cfRule>
  </conditionalFormatting>
  <conditionalFormatting sqref="AB1123:AF1123">
    <cfRule type="notContainsBlanks" dxfId="247" priority="250">
      <formula>LEN(TRIM(AB1123))&gt;0</formula>
    </cfRule>
  </conditionalFormatting>
  <conditionalFormatting sqref="AB1123:AF1123">
    <cfRule type="notContainsBlanks" dxfId="246" priority="249">
      <formula>LEN(TRIM(AB1123))&gt;0</formula>
    </cfRule>
  </conditionalFormatting>
  <conditionalFormatting sqref="G1136:K1136">
    <cfRule type="notContainsBlanks" dxfId="245" priority="248">
      <formula>LEN(TRIM(G1136))&gt;0</formula>
    </cfRule>
  </conditionalFormatting>
  <conditionalFormatting sqref="G1136:K1136">
    <cfRule type="notContainsBlanks" dxfId="244" priority="247">
      <formula>LEN(TRIM(G1136))&gt;0</formula>
    </cfRule>
  </conditionalFormatting>
  <conditionalFormatting sqref="N1136:R1136">
    <cfRule type="notContainsBlanks" dxfId="243" priority="246">
      <formula>LEN(TRIM(N1136))&gt;0</formula>
    </cfRule>
  </conditionalFormatting>
  <conditionalFormatting sqref="N1136:R1136">
    <cfRule type="notContainsBlanks" dxfId="242" priority="245">
      <formula>LEN(TRIM(N1136))&gt;0</formula>
    </cfRule>
  </conditionalFormatting>
  <conditionalFormatting sqref="U1136:Y1136">
    <cfRule type="notContainsBlanks" dxfId="241" priority="244">
      <formula>LEN(TRIM(U1136))&gt;0</formula>
    </cfRule>
  </conditionalFormatting>
  <conditionalFormatting sqref="U1136:Y1136">
    <cfRule type="notContainsBlanks" dxfId="240" priority="243">
      <formula>LEN(TRIM(U1136))&gt;0</formula>
    </cfRule>
  </conditionalFormatting>
  <conditionalFormatting sqref="AB1136:AF1136">
    <cfRule type="notContainsBlanks" dxfId="239" priority="242">
      <formula>LEN(TRIM(AB1136))&gt;0</formula>
    </cfRule>
  </conditionalFormatting>
  <conditionalFormatting sqref="AB1136:AF1136">
    <cfRule type="notContainsBlanks" dxfId="238" priority="241">
      <formula>LEN(TRIM(AB1136))&gt;0</formula>
    </cfRule>
  </conditionalFormatting>
  <conditionalFormatting sqref="G1149:K1149">
    <cfRule type="notContainsBlanks" dxfId="237" priority="240">
      <formula>LEN(TRIM(G1149))&gt;0</formula>
    </cfRule>
  </conditionalFormatting>
  <conditionalFormatting sqref="G1149:K1149">
    <cfRule type="notContainsBlanks" dxfId="236" priority="239">
      <formula>LEN(TRIM(G1149))&gt;0</formula>
    </cfRule>
  </conditionalFormatting>
  <conditionalFormatting sqref="N1149:R1149">
    <cfRule type="notContainsBlanks" dxfId="235" priority="238">
      <formula>LEN(TRIM(N1149))&gt;0</formula>
    </cfRule>
  </conditionalFormatting>
  <conditionalFormatting sqref="N1149:R1149">
    <cfRule type="notContainsBlanks" dxfId="234" priority="237">
      <formula>LEN(TRIM(N1149))&gt;0</formula>
    </cfRule>
  </conditionalFormatting>
  <conditionalFormatting sqref="U1149:Y1149">
    <cfRule type="notContainsBlanks" dxfId="233" priority="236">
      <formula>LEN(TRIM(U1149))&gt;0</formula>
    </cfRule>
  </conditionalFormatting>
  <conditionalFormatting sqref="U1149:Y1149">
    <cfRule type="notContainsBlanks" dxfId="232" priority="235">
      <formula>LEN(TRIM(U1149))&gt;0</formula>
    </cfRule>
  </conditionalFormatting>
  <conditionalFormatting sqref="AB1149:AF1149">
    <cfRule type="notContainsBlanks" dxfId="231" priority="234">
      <formula>LEN(TRIM(AB1149))&gt;0</formula>
    </cfRule>
  </conditionalFormatting>
  <conditionalFormatting sqref="AB1149:AF1149">
    <cfRule type="notContainsBlanks" dxfId="230" priority="233">
      <formula>LEN(TRIM(AB1149))&gt;0</formula>
    </cfRule>
  </conditionalFormatting>
  <conditionalFormatting sqref="G1162:K1162">
    <cfRule type="notContainsBlanks" dxfId="229" priority="232">
      <formula>LEN(TRIM(G1162))&gt;0</formula>
    </cfRule>
  </conditionalFormatting>
  <conditionalFormatting sqref="G1162:K1162">
    <cfRule type="notContainsBlanks" dxfId="228" priority="231">
      <formula>LEN(TRIM(G1162))&gt;0</formula>
    </cfRule>
  </conditionalFormatting>
  <conditionalFormatting sqref="N1162:R1162">
    <cfRule type="notContainsBlanks" dxfId="227" priority="230">
      <formula>LEN(TRIM(N1162))&gt;0</formula>
    </cfRule>
  </conditionalFormatting>
  <conditionalFormatting sqref="N1162:R1162">
    <cfRule type="notContainsBlanks" dxfId="226" priority="229">
      <formula>LEN(TRIM(N1162))&gt;0</formula>
    </cfRule>
  </conditionalFormatting>
  <conditionalFormatting sqref="U1162:Y1162">
    <cfRule type="notContainsBlanks" dxfId="225" priority="228">
      <formula>LEN(TRIM(U1162))&gt;0</formula>
    </cfRule>
  </conditionalFormatting>
  <conditionalFormatting sqref="U1162:Y1162">
    <cfRule type="notContainsBlanks" dxfId="224" priority="227">
      <formula>LEN(TRIM(U1162))&gt;0</formula>
    </cfRule>
  </conditionalFormatting>
  <conditionalFormatting sqref="AB1162:AF1162">
    <cfRule type="notContainsBlanks" dxfId="223" priority="226">
      <formula>LEN(TRIM(AB1162))&gt;0</formula>
    </cfRule>
  </conditionalFormatting>
  <conditionalFormatting sqref="AB1162:AF1162">
    <cfRule type="notContainsBlanks" dxfId="222" priority="225">
      <formula>LEN(TRIM(AB1162))&gt;0</formula>
    </cfRule>
  </conditionalFormatting>
  <conditionalFormatting sqref="G1175:K1175">
    <cfRule type="notContainsBlanks" dxfId="221" priority="224">
      <formula>LEN(TRIM(G1175))&gt;0</formula>
    </cfRule>
  </conditionalFormatting>
  <conditionalFormatting sqref="G1175:K1175">
    <cfRule type="notContainsBlanks" dxfId="220" priority="223">
      <formula>LEN(TRIM(G1175))&gt;0</formula>
    </cfRule>
  </conditionalFormatting>
  <conditionalFormatting sqref="N1175:R1175">
    <cfRule type="notContainsBlanks" dxfId="219" priority="222">
      <formula>LEN(TRIM(N1175))&gt;0</formula>
    </cfRule>
  </conditionalFormatting>
  <conditionalFormatting sqref="N1175:R1175">
    <cfRule type="notContainsBlanks" dxfId="218" priority="221">
      <formula>LEN(TRIM(N1175))&gt;0</formula>
    </cfRule>
  </conditionalFormatting>
  <conditionalFormatting sqref="U1175:Y1175">
    <cfRule type="notContainsBlanks" dxfId="217" priority="220">
      <formula>LEN(TRIM(U1175))&gt;0</formula>
    </cfRule>
  </conditionalFormatting>
  <conditionalFormatting sqref="U1175:Y1175">
    <cfRule type="notContainsBlanks" dxfId="216" priority="219">
      <formula>LEN(TRIM(U1175))&gt;0</formula>
    </cfRule>
  </conditionalFormatting>
  <conditionalFormatting sqref="AB1175:AF1175">
    <cfRule type="notContainsBlanks" dxfId="215" priority="218">
      <formula>LEN(TRIM(AB1175))&gt;0</formula>
    </cfRule>
  </conditionalFormatting>
  <conditionalFormatting sqref="AB1175:AF1175">
    <cfRule type="notContainsBlanks" dxfId="214" priority="217">
      <formula>LEN(TRIM(AB1175))&gt;0</formula>
    </cfRule>
  </conditionalFormatting>
  <conditionalFormatting sqref="G1188:K1188">
    <cfRule type="notContainsBlanks" dxfId="213" priority="216">
      <formula>LEN(TRIM(G1188))&gt;0</formula>
    </cfRule>
  </conditionalFormatting>
  <conditionalFormatting sqref="G1188:K1188">
    <cfRule type="notContainsBlanks" dxfId="212" priority="215">
      <formula>LEN(TRIM(G1188))&gt;0</formula>
    </cfRule>
  </conditionalFormatting>
  <conditionalFormatting sqref="N1188:R1188">
    <cfRule type="notContainsBlanks" dxfId="211" priority="214">
      <formula>LEN(TRIM(N1188))&gt;0</formula>
    </cfRule>
  </conditionalFormatting>
  <conditionalFormatting sqref="N1188:R1188">
    <cfRule type="notContainsBlanks" dxfId="210" priority="213">
      <formula>LEN(TRIM(N1188))&gt;0</formula>
    </cfRule>
  </conditionalFormatting>
  <conditionalFormatting sqref="U1188:Y1188">
    <cfRule type="notContainsBlanks" dxfId="209" priority="212">
      <formula>LEN(TRIM(U1188))&gt;0</formula>
    </cfRule>
  </conditionalFormatting>
  <conditionalFormatting sqref="U1188:Y1188">
    <cfRule type="notContainsBlanks" dxfId="208" priority="211">
      <formula>LEN(TRIM(U1188))&gt;0</formula>
    </cfRule>
  </conditionalFormatting>
  <conditionalFormatting sqref="AB1188:AF1188">
    <cfRule type="notContainsBlanks" dxfId="207" priority="210">
      <formula>LEN(TRIM(AB1188))&gt;0</formula>
    </cfRule>
  </conditionalFormatting>
  <conditionalFormatting sqref="AB1188:AF1188">
    <cfRule type="notContainsBlanks" dxfId="206" priority="209">
      <formula>LEN(TRIM(AB1188))&gt;0</formula>
    </cfRule>
  </conditionalFormatting>
  <conditionalFormatting sqref="G1201:K1201">
    <cfRule type="notContainsBlanks" dxfId="205" priority="208">
      <formula>LEN(TRIM(G1201))&gt;0</formula>
    </cfRule>
  </conditionalFormatting>
  <conditionalFormatting sqref="G1201:K1201">
    <cfRule type="notContainsBlanks" dxfId="204" priority="207">
      <formula>LEN(TRIM(G1201))&gt;0</formula>
    </cfRule>
  </conditionalFormatting>
  <conditionalFormatting sqref="N1201:R1201">
    <cfRule type="notContainsBlanks" dxfId="203" priority="206">
      <formula>LEN(TRIM(N1201))&gt;0</formula>
    </cfRule>
  </conditionalFormatting>
  <conditionalFormatting sqref="N1201:R1201">
    <cfRule type="notContainsBlanks" dxfId="202" priority="205">
      <formula>LEN(TRIM(N1201))&gt;0</formula>
    </cfRule>
  </conditionalFormatting>
  <conditionalFormatting sqref="U1201:Y1201">
    <cfRule type="notContainsBlanks" dxfId="201" priority="204">
      <formula>LEN(TRIM(U1201))&gt;0</formula>
    </cfRule>
  </conditionalFormatting>
  <conditionalFormatting sqref="U1201:Y1201">
    <cfRule type="notContainsBlanks" dxfId="200" priority="203">
      <formula>LEN(TRIM(U1201))&gt;0</formula>
    </cfRule>
  </conditionalFormatting>
  <conditionalFormatting sqref="AB1201:AF1201">
    <cfRule type="notContainsBlanks" dxfId="199" priority="202">
      <formula>LEN(TRIM(AB1201))&gt;0</formula>
    </cfRule>
  </conditionalFormatting>
  <conditionalFormatting sqref="AB1201:AF1201">
    <cfRule type="notContainsBlanks" dxfId="198" priority="201">
      <formula>LEN(TRIM(AB1201))&gt;0</formula>
    </cfRule>
  </conditionalFormatting>
  <conditionalFormatting sqref="G1214:K1214">
    <cfRule type="notContainsBlanks" dxfId="197" priority="200">
      <formula>LEN(TRIM(G1214))&gt;0</formula>
    </cfRule>
  </conditionalFormatting>
  <conditionalFormatting sqref="G1214:K1214">
    <cfRule type="notContainsBlanks" dxfId="196" priority="199">
      <formula>LEN(TRIM(G1214))&gt;0</formula>
    </cfRule>
  </conditionalFormatting>
  <conditionalFormatting sqref="N1214:R1214">
    <cfRule type="notContainsBlanks" dxfId="195" priority="198">
      <formula>LEN(TRIM(N1214))&gt;0</formula>
    </cfRule>
  </conditionalFormatting>
  <conditionalFormatting sqref="N1214:R1214">
    <cfRule type="notContainsBlanks" dxfId="194" priority="197">
      <formula>LEN(TRIM(N1214))&gt;0</formula>
    </cfRule>
  </conditionalFormatting>
  <conditionalFormatting sqref="U1214:Y1214">
    <cfRule type="notContainsBlanks" dxfId="193" priority="196">
      <formula>LEN(TRIM(U1214))&gt;0</formula>
    </cfRule>
  </conditionalFormatting>
  <conditionalFormatting sqref="U1214:Y1214">
    <cfRule type="notContainsBlanks" dxfId="192" priority="195">
      <formula>LEN(TRIM(U1214))&gt;0</formula>
    </cfRule>
  </conditionalFormatting>
  <conditionalFormatting sqref="AB1214:AF1214">
    <cfRule type="notContainsBlanks" dxfId="191" priority="194">
      <formula>LEN(TRIM(AB1214))&gt;0</formula>
    </cfRule>
  </conditionalFormatting>
  <conditionalFormatting sqref="AB1214:AF1214">
    <cfRule type="notContainsBlanks" dxfId="190" priority="193">
      <formula>LEN(TRIM(AB1214))&gt;0</formula>
    </cfRule>
  </conditionalFormatting>
  <conditionalFormatting sqref="G1227:K1227">
    <cfRule type="notContainsBlanks" dxfId="189" priority="192">
      <formula>LEN(TRIM(G1227))&gt;0</formula>
    </cfRule>
  </conditionalFormatting>
  <conditionalFormatting sqref="G1227:K1227">
    <cfRule type="notContainsBlanks" dxfId="188" priority="191">
      <formula>LEN(TRIM(G1227))&gt;0</formula>
    </cfRule>
  </conditionalFormatting>
  <conditionalFormatting sqref="N1227:R1227">
    <cfRule type="notContainsBlanks" dxfId="187" priority="190">
      <formula>LEN(TRIM(N1227))&gt;0</formula>
    </cfRule>
  </conditionalFormatting>
  <conditionalFormatting sqref="N1227:R1227">
    <cfRule type="notContainsBlanks" dxfId="186" priority="189">
      <formula>LEN(TRIM(N1227))&gt;0</formula>
    </cfRule>
  </conditionalFormatting>
  <conditionalFormatting sqref="U1227:Y1227">
    <cfRule type="notContainsBlanks" dxfId="185" priority="188">
      <formula>LEN(TRIM(U1227))&gt;0</formula>
    </cfRule>
  </conditionalFormatting>
  <conditionalFormatting sqref="U1227:Y1227">
    <cfRule type="notContainsBlanks" dxfId="184" priority="187">
      <formula>LEN(TRIM(U1227))&gt;0</formula>
    </cfRule>
  </conditionalFormatting>
  <conditionalFormatting sqref="AB1227:AF1227">
    <cfRule type="notContainsBlanks" dxfId="183" priority="186">
      <formula>LEN(TRIM(AB1227))&gt;0</formula>
    </cfRule>
  </conditionalFormatting>
  <conditionalFormatting sqref="AB1227:AF1227">
    <cfRule type="notContainsBlanks" dxfId="182" priority="185">
      <formula>LEN(TRIM(AB1227))&gt;0</formula>
    </cfRule>
  </conditionalFormatting>
  <conditionalFormatting sqref="G1240:K1240">
    <cfRule type="notContainsBlanks" dxfId="181" priority="184">
      <formula>LEN(TRIM(G1240))&gt;0</formula>
    </cfRule>
  </conditionalFormatting>
  <conditionalFormatting sqref="G1240:K1240">
    <cfRule type="notContainsBlanks" dxfId="180" priority="183">
      <formula>LEN(TRIM(G1240))&gt;0</formula>
    </cfRule>
  </conditionalFormatting>
  <conditionalFormatting sqref="N1240:R1240">
    <cfRule type="notContainsBlanks" dxfId="179" priority="182">
      <formula>LEN(TRIM(N1240))&gt;0</formula>
    </cfRule>
  </conditionalFormatting>
  <conditionalFormatting sqref="N1240:R1240">
    <cfRule type="notContainsBlanks" dxfId="178" priority="181">
      <formula>LEN(TRIM(N1240))&gt;0</formula>
    </cfRule>
  </conditionalFormatting>
  <conditionalFormatting sqref="U1240:Y1240">
    <cfRule type="notContainsBlanks" dxfId="177" priority="180">
      <formula>LEN(TRIM(U1240))&gt;0</formula>
    </cfRule>
  </conditionalFormatting>
  <conditionalFormatting sqref="U1240:Y1240">
    <cfRule type="notContainsBlanks" dxfId="176" priority="179">
      <formula>LEN(TRIM(U1240))&gt;0</formula>
    </cfRule>
  </conditionalFormatting>
  <conditionalFormatting sqref="AB1240:AF1240">
    <cfRule type="notContainsBlanks" dxfId="175" priority="178">
      <formula>LEN(TRIM(AB1240))&gt;0</formula>
    </cfRule>
  </conditionalFormatting>
  <conditionalFormatting sqref="AB1240:AF1240">
    <cfRule type="notContainsBlanks" dxfId="174" priority="177">
      <formula>LEN(TRIM(AB1240))&gt;0</formula>
    </cfRule>
  </conditionalFormatting>
  <conditionalFormatting sqref="G1253:K1253">
    <cfRule type="notContainsBlanks" dxfId="173" priority="176">
      <formula>LEN(TRIM(G1253))&gt;0</formula>
    </cfRule>
  </conditionalFormatting>
  <conditionalFormatting sqref="G1253:K1253">
    <cfRule type="notContainsBlanks" dxfId="172" priority="175">
      <formula>LEN(TRIM(G1253))&gt;0</formula>
    </cfRule>
  </conditionalFormatting>
  <conditionalFormatting sqref="N1253:R1253">
    <cfRule type="notContainsBlanks" dxfId="171" priority="174">
      <formula>LEN(TRIM(N1253))&gt;0</formula>
    </cfRule>
  </conditionalFormatting>
  <conditionalFormatting sqref="N1253:R1253">
    <cfRule type="notContainsBlanks" dxfId="170" priority="173">
      <formula>LEN(TRIM(N1253))&gt;0</formula>
    </cfRule>
  </conditionalFormatting>
  <conditionalFormatting sqref="U1253:Y1253">
    <cfRule type="notContainsBlanks" dxfId="169" priority="172">
      <formula>LEN(TRIM(U1253))&gt;0</formula>
    </cfRule>
  </conditionalFormatting>
  <conditionalFormatting sqref="U1253:Y1253">
    <cfRule type="notContainsBlanks" dxfId="168" priority="171">
      <formula>LEN(TRIM(U1253))&gt;0</formula>
    </cfRule>
  </conditionalFormatting>
  <conditionalFormatting sqref="AB1253:AF1253">
    <cfRule type="notContainsBlanks" dxfId="167" priority="170">
      <formula>LEN(TRIM(AB1253))&gt;0</formula>
    </cfRule>
  </conditionalFormatting>
  <conditionalFormatting sqref="AB1253:AF1253">
    <cfRule type="notContainsBlanks" dxfId="166" priority="169">
      <formula>LEN(TRIM(AB1253))&gt;0</formula>
    </cfRule>
  </conditionalFormatting>
  <conditionalFormatting sqref="G1266:K1266">
    <cfRule type="notContainsBlanks" dxfId="165" priority="168">
      <formula>LEN(TRIM(G1266))&gt;0</formula>
    </cfRule>
  </conditionalFormatting>
  <conditionalFormatting sqref="G1266:K1266">
    <cfRule type="notContainsBlanks" dxfId="164" priority="167">
      <formula>LEN(TRIM(G1266))&gt;0</formula>
    </cfRule>
  </conditionalFormatting>
  <conditionalFormatting sqref="N1266:R1266">
    <cfRule type="notContainsBlanks" dxfId="163" priority="166">
      <formula>LEN(TRIM(N1266))&gt;0</formula>
    </cfRule>
  </conditionalFormatting>
  <conditionalFormatting sqref="N1266:R1266">
    <cfRule type="notContainsBlanks" dxfId="162" priority="165">
      <formula>LEN(TRIM(N1266))&gt;0</formula>
    </cfRule>
  </conditionalFormatting>
  <conditionalFormatting sqref="U1266:Y1266">
    <cfRule type="notContainsBlanks" dxfId="161" priority="164">
      <formula>LEN(TRIM(U1266))&gt;0</formula>
    </cfRule>
  </conditionalFormatting>
  <conditionalFormatting sqref="U1266:Y1266">
    <cfRule type="notContainsBlanks" dxfId="160" priority="163">
      <formula>LEN(TRIM(U1266))&gt;0</formula>
    </cfRule>
  </conditionalFormatting>
  <conditionalFormatting sqref="AB1266:AF1266">
    <cfRule type="notContainsBlanks" dxfId="159" priority="162">
      <formula>LEN(TRIM(AB1266))&gt;0</formula>
    </cfRule>
  </conditionalFormatting>
  <conditionalFormatting sqref="AB1266:AF1266">
    <cfRule type="notContainsBlanks" dxfId="158" priority="161">
      <formula>LEN(TRIM(AB1266))&gt;0</formula>
    </cfRule>
  </conditionalFormatting>
  <conditionalFormatting sqref="G1279:K1279">
    <cfRule type="notContainsBlanks" dxfId="157" priority="160">
      <formula>LEN(TRIM(G1279))&gt;0</formula>
    </cfRule>
  </conditionalFormatting>
  <conditionalFormatting sqref="G1279:K1279">
    <cfRule type="notContainsBlanks" dxfId="156" priority="159">
      <formula>LEN(TRIM(G1279))&gt;0</formula>
    </cfRule>
  </conditionalFormatting>
  <conditionalFormatting sqref="N1279:R1279">
    <cfRule type="notContainsBlanks" dxfId="155" priority="158">
      <formula>LEN(TRIM(N1279))&gt;0</formula>
    </cfRule>
  </conditionalFormatting>
  <conditionalFormatting sqref="N1279:R1279">
    <cfRule type="notContainsBlanks" dxfId="154" priority="157">
      <formula>LEN(TRIM(N1279))&gt;0</formula>
    </cfRule>
  </conditionalFormatting>
  <conditionalFormatting sqref="U1279:Y1279">
    <cfRule type="notContainsBlanks" dxfId="153" priority="156">
      <formula>LEN(TRIM(U1279))&gt;0</formula>
    </cfRule>
  </conditionalFormatting>
  <conditionalFormatting sqref="U1279:Y1279">
    <cfRule type="notContainsBlanks" dxfId="152" priority="155">
      <formula>LEN(TRIM(U1279))&gt;0</formula>
    </cfRule>
  </conditionalFormatting>
  <conditionalFormatting sqref="AB1279:AF1279">
    <cfRule type="notContainsBlanks" dxfId="151" priority="154">
      <formula>LEN(TRIM(AB1279))&gt;0</formula>
    </cfRule>
  </conditionalFormatting>
  <conditionalFormatting sqref="AB1279:AF1279">
    <cfRule type="notContainsBlanks" dxfId="150" priority="153">
      <formula>LEN(TRIM(AB1279))&gt;0</formula>
    </cfRule>
  </conditionalFormatting>
  <conditionalFormatting sqref="G1292:K1292">
    <cfRule type="notContainsBlanks" dxfId="149" priority="152">
      <formula>LEN(TRIM(G1292))&gt;0</formula>
    </cfRule>
  </conditionalFormatting>
  <conditionalFormatting sqref="G1292:K1292">
    <cfRule type="notContainsBlanks" dxfId="148" priority="151">
      <formula>LEN(TRIM(G1292))&gt;0</formula>
    </cfRule>
  </conditionalFormatting>
  <conditionalFormatting sqref="N1292:R1292">
    <cfRule type="notContainsBlanks" dxfId="147" priority="150">
      <formula>LEN(TRIM(N1292))&gt;0</formula>
    </cfRule>
  </conditionalFormatting>
  <conditionalFormatting sqref="N1292:R1292">
    <cfRule type="notContainsBlanks" dxfId="146" priority="149">
      <formula>LEN(TRIM(N1292))&gt;0</formula>
    </cfRule>
  </conditionalFormatting>
  <conditionalFormatting sqref="U1292:Y1292">
    <cfRule type="notContainsBlanks" dxfId="145" priority="148">
      <formula>LEN(TRIM(U1292))&gt;0</formula>
    </cfRule>
  </conditionalFormatting>
  <conditionalFormatting sqref="U1292:Y1292">
    <cfRule type="notContainsBlanks" dxfId="144" priority="147">
      <formula>LEN(TRIM(U1292))&gt;0</formula>
    </cfRule>
  </conditionalFormatting>
  <conditionalFormatting sqref="AB1292:AF1292">
    <cfRule type="notContainsBlanks" dxfId="143" priority="146">
      <formula>LEN(TRIM(AB1292))&gt;0</formula>
    </cfRule>
  </conditionalFormatting>
  <conditionalFormatting sqref="AB1292:AF1292">
    <cfRule type="notContainsBlanks" dxfId="142" priority="145">
      <formula>LEN(TRIM(AB1292))&gt;0</formula>
    </cfRule>
  </conditionalFormatting>
  <conditionalFormatting sqref="G1305:K1305">
    <cfRule type="notContainsBlanks" dxfId="141" priority="144">
      <formula>LEN(TRIM(G1305))&gt;0</formula>
    </cfRule>
  </conditionalFormatting>
  <conditionalFormatting sqref="G1305:K1305">
    <cfRule type="notContainsBlanks" dxfId="140" priority="143">
      <formula>LEN(TRIM(G1305))&gt;0</formula>
    </cfRule>
  </conditionalFormatting>
  <conditionalFormatting sqref="N1305:R1305">
    <cfRule type="notContainsBlanks" dxfId="139" priority="142">
      <formula>LEN(TRIM(N1305))&gt;0</formula>
    </cfRule>
  </conditionalFormatting>
  <conditionalFormatting sqref="N1305:R1305">
    <cfRule type="notContainsBlanks" dxfId="138" priority="141">
      <formula>LEN(TRIM(N1305))&gt;0</formula>
    </cfRule>
  </conditionalFormatting>
  <conditionalFormatting sqref="U1305:Y1305">
    <cfRule type="notContainsBlanks" dxfId="137" priority="140">
      <formula>LEN(TRIM(U1305))&gt;0</formula>
    </cfRule>
  </conditionalFormatting>
  <conditionalFormatting sqref="U1305:Y1305">
    <cfRule type="notContainsBlanks" dxfId="136" priority="139">
      <formula>LEN(TRIM(U1305))&gt;0</formula>
    </cfRule>
  </conditionalFormatting>
  <conditionalFormatting sqref="AB1305:AF1305">
    <cfRule type="notContainsBlanks" dxfId="135" priority="138">
      <formula>LEN(TRIM(AB1305))&gt;0</formula>
    </cfRule>
  </conditionalFormatting>
  <conditionalFormatting sqref="AB1305:AF1305">
    <cfRule type="notContainsBlanks" dxfId="134" priority="137">
      <formula>LEN(TRIM(AB1305))&gt;0</formula>
    </cfRule>
  </conditionalFormatting>
  <conditionalFormatting sqref="G1318:K1318">
    <cfRule type="notContainsBlanks" dxfId="133" priority="136">
      <formula>LEN(TRIM(G1318))&gt;0</formula>
    </cfRule>
  </conditionalFormatting>
  <conditionalFormatting sqref="G1318:K1318">
    <cfRule type="notContainsBlanks" dxfId="132" priority="135">
      <formula>LEN(TRIM(G1318))&gt;0</formula>
    </cfRule>
  </conditionalFormatting>
  <conditionalFormatting sqref="N1318:R1318">
    <cfRule type="notContainsBlanks" dxfId="131" priority="134">
      <formula>LEN(TRIM(N1318))&gt;0</formula>
    </cfRule>
  </conditionalFormatting>
  <conditionalFormatting sqref="N1318:R1318">
    <cfRule type="notContainsBlanks" dxfId="130" priority="133">
      <formula>LEN(TRIM(N1318))&gt;0</formula>
    </cfRule>
  </conditionalFormatting>
  <conditionalFormatting sqref="U1318:Y1318">
    <cfRule type="notContainsBlanks" dxfId="129" priority="132">
      <formula>LEN(TRIM(U1318))&gt;0</formula>
    </cfRule>
  </conditionalFormatting>
  <conditionalFormatting sqref="U1318:Y1318">
    <cfRule type="notContainsBlanks" dxfId="128" priority="131">
      <formula>LEN(TRIM(U1318))&gt;0</formula>
    </cfRule>
  </conditionalFormatting>
  <conditionalFormatting sqref="AB1318:AF1318">
    <cfRule type="notContainsBlanks" dxfId="127" priority="130">
      <formula>LEN(TRIM(AB1318))&gt;0</formula>
    </cfRule>
  </conditionalFormatting>
  <conditionalFormatting sqref="AB1318:AF1318">
    <cfRule type="notContainsBlanks" dxfId="126" priority="129">
      <formula>LEN(TRIM(AB1318))&gt;0</formula>
    </cfRule>
  </conditionalFormatting>
  <conditionalFormatting sqref="G1331:K1331">
    <cfRule type="notContainsBlanks" dxfId="125" priority="128">
      <formula>LEN(TRIM(G1331))&gt;0</formula>
    </cfRule>
  </conditionalFormatting>
  <conditionalFormatting sqref="G1331:K1331">
    <cfRule type="notContainsBlanks" dxfId="124" priority="127">
      <formula>LEN(TRIM(G1331))&gt;0</formula>
    </cfRule>
  </conditionalFormatting>
  <conditionalFormatting sqref="N1331:R1331">
    <cfRule type="notContainsBlanks" dxfId="123" priority="126">
      <formula>LEN(TRIM(N1331))&gt;0</formula>
    </cfRule>
  </conditionalFormatting>
  <conditionalFormatting sqref="N1331:R1331">
    <cfRule type="notContainsBlanks" dxfId="122" priority="125">
      <formula>LEN(TRIM(N1331))&gt;0</formula>
    </cfRule>
  </conditionalFormatting>
  <conditionalFormatting sqref="U1331:Y1331">
    <cfRule type="notContainsBlanks" dxfId="121" priority="124">
      <formula>LEN(TRIM(U1331))&gt;0</formula>
    </cfRule>
  </conditionalFormatting>
  <conditionalFormatting sqref="U1331:Y1331">
    <cfRule type="notContainsBlanks" dxfId="120" priority="123">
      <formula>LEN(TRIM(U1331))&gt;0</formula>
    </cfRule>
  </conditionalFormatting>
  <conditionalFormatting sqref="AB1331:AF1331">
    <cfRule type="notContainsBlanks" dxfId="119" priority="122">
      <formula>LEN(TRIM(AB1331))&gt;0</formula>
    </cfRule>
  </conditionalFormatting>
  <conditionalFormatting sqref="AB1331:AF1331">
    <cfRule type="notContainsBlanks" dxfId="118" priority="121">
      <formula>LEN(TRIM(AB1331))&gt;0</formula>
    </cfRule>
  </conditionalFormatting>
  <conditionalFormatting sqref="L41:L42 S41:S42 Z41:Z42 AG41:AG42">
    <cfRule type="notContainsBlanks" dxfId="117" priority="120">
      <formula>LEN(TRIM(L41))&gt;0</formula>
    </cfRule>
  </conditionalFormatting>
  <conditionalFormatting sqref="Z54:Z55 AG54:AG56 S54:S56">
    <cfRule type="notContainsBlanks" dxfId="116" priority="119">
      <formula>LEN(TRIM(S54))&gt;0</formula>
    </cfRule>
  </conditionalFormatting>
  <conditionalFormatting sqref="AG67:AG69 Z67:Z68 L67:L68 S67:S68">
    <cfRule type="notContainsBlanks" dxfId="115" priority="118">
      <formula>LEN(TRIM(L67))&gt;0</formula>
    </cfRule>
  </conditionalFormatting>
  <conditionalFormatting sqref="AG80:AG82 L80:L82 S80:S81 Z80:Z82">
    <cfRule type="notContainsBlanks" dxfId="114" priority="117">
      <formula>LEN(TRIM(L80))&gt;0</formula>
    </cfRule>
  </conditionalFormatting>
  <conditionalFormatting sqref="L93:L95 S93:S95 Z93:Z95 AG93:AG95 L106:L108 S106:S107 Z106:Z108 AG106:AG108">
    <cfRule type="notContainsBlanks" dxfId="113" priority="116">
      <formula>LEN(TRIM(L93))&gt;0</formula>
    </cfRule>
  </conditionalFormatting>
  <conditionalFormatting sqref="S119:S120 Z119:Z121 AG119:AG121 L132:L133 S132:S134 Z132:Z134 AG132:AG134 L119:L121">
    <cfRule type="notContainsBlanks" dxfId="112" priority="115">
      <formula>LEN(TRIM(L119))&gt;0</formula>
    </cfRule>
  </conditionalFormatting>
  <conditionalFormatting sqref="L145:L147 S145:S147 Z145:Z147 AG145:AG147 L158:L160 S158:S160 Z158:Z160 AG158:AG160">
    <cfRule type="notContainsBlanks" dxfId="111" priority="114">
      <formula>LEN(TRIM(L145))&gt;0</formula>
    </cfRule>
  </conditionalFormatting>
  <conditionalFormatting sqref="L171:L172 L184:L185 S184:S185 S171:S172 Z171:Z172 AG171:AG172">
    <cfRule type="notContainsBlanks" dxfId="110" priority="113">
      <formula>LEN(TRIM(L171))&gt;0</formula>
    </cfRule>
  </conditionalFormatting>
  <conditionalFormatting sqref="L197:L198 L210:L211 S197:S198 S210:S211 Z210:Z211 Z197:Z198 AG197:AG198 AG210:AG211">
    <cfRule type="notContainsBlanks" dxfId="109" priority="112">
      <formula>LEN(TRIM(L197))&gt;0</formula>
    </cfRule>
  </conditionalFormatting>
  <conditionalFormatting sqref="Z223:Z224 L236:L238 S236:S238 Z236:Z238 AG236:AG238 L223:L224">
    <cfRule type="notContainsBlanks" dxfId="108" priority="111">
      <formula>LEN(TRIM(L223))&gt;0</formula>
    </cfRule>
  </conditionalFormatting>
  <conditionalFormatting sqref="AG249:AG251 L262:L263 S262:S263 Z262:Z263 AG262:AG263 L249:L251 S249:S251 Z249:Z250">
    <cfRule type="notContainsBlanks" dxfId="107" priority="110">
      <formula>LEN(TRIM(L249))&gt;0</formula>
    </cfRule>
  </conditionalFormatting>
  <conditionalFormatting sqref="L288:L290 S288:S289 Z288:Z290 AG288:AG290 L275:L276 S275:S276 Z275:Z276 AG275:AG276">
    <cfRule type="notContainsBlanks" dxfId="106" priority="109">
      <formula>LEN(TRIM(L275))&gt;0</formula>
    </cfRule>
  </conditionalFormatting>
  <conditionalFormatting sqref="L314:L315 S314:S315 AG314:AG315 Z314:Z315 L301:L303 S301:S303 Z301:Z303 AG301:AG302">
    <cfRule type="notContainsBlanks" dxfId="105" priority="108">
      <formula>LEN(TRIM(L301))&gt;0</formula>
    </cfRule>
  </conditionalFormatting>
  <conditionalFormatting sqref="L327:L328 L340:L341 S327:S328 S340:S341 Z327:Z328 Z340:Z341 AG327:AG328 AG340:AG341">
    <cfRule type="notContainsBlanks" dxfId="104" priority="107">
      <formula>LEN(TRIM(L327))&gt;0</formula>
    </cfRule>
  </conditionalFormatting>
  <conditionalFormatting sqref="L353:L354 L366:L367 S353:S354 S366:S367 Z353:Z354 Z366:Z367 AG353:AG354 AG366:AG367">
    <cfRule type="notContainsBlanks" dxfId="103" priority="106">
      <formula>LEN(TRIM(L353))&gt;0</formula>
    </cfRule>
  </conditionalFormatting>
  <conditionalFormatting sqref="L379:L380 L392:L393 S379:S380 S392:S393 Z379:Z380 Z392:Z393 AG379:AG380 AG392:AG393">
    <cfRule type="notContainsBlanks" dxfId="102" priority="105">
      <formula>LEN(TRIM(L379))&gt;0</formula>
    </cfRule>
  </conditionalFormatting>
  <conditionalFormatting sqref="L405:L406 L418:L419 S405:S406 S418:S419 Z405:Z406 Z418:Z419 AG405:AG406 AG418:AG419">
    <cfRule type="notContainsBlanks" dxfId="101" priority="104">
      <formula>LEN(TRIM(L405))&gt;0</formula>
    </cfRule>
  </conditionalFormatting>
  <conditionalFormatting sqref="L431:L432 L444:L445 S431:S432 S444:S445 Z431:Z432 Z444:Z445 AG431:AG432 AG444:AG445">
    <cfRule type="notContainsBlanks" dxfId="100" priority="103">
      <formula>LEN(TRIM(L431))&gt;0</formula>
    </cfRule>
  </conditionalFormatting>
  <conditionalFormatting sqref="L457:L458 L470:L471 S457:S458 S470:S471 Z457:Z458 Z470:Z471 AG457:AG458 AG470:AG471">
    <cfRule type="notContainsBlanks" dxfId="99" priority="102">
      <formula>LEN(TRIM(L457))&gt;0</formula>
    </cfRule>
  </conditionalFormatting>
  <conditionalFormatting sqref="L483:L484 L496:L497 S483:S484 S496:S497 Z483:Z484 Z496:Z497 AG483:AG484 AG496:AG497">
    <cfRule type="notContainsBlanks" dxfId="98" priority="101">
      <formula>LEN(TRIM(L483))&gt;0</formula>
    </cfRule>
  </conditionalFormatting>
  <conditionalFormatting sqref="L509:L510 L522:L523 S509:S510 S522:S523 Z509:Z510 Z522:Z523 AG509:AG510 AG522:AG523">
    <cfRule type="notContainsBlanks" dxfId="97" priority="100">
      <formula>LEN(TRIM(L509))&gt;0</formula>
    </cfRule>
  </conditionalFormatting>
  <conditionalFormatting sqref="L535:L536 L548:L549 S535:S536 S548:S549 Z535:Z536 Z548:Z549 AG535:AG536 AG548:AG549">
    <cfRule type="notContainsBlanks" dxfId="96" priority="99">
      <formula>LEN(TRIM(L535))&gt;0</formula>
    </cfRule>
  </conditionalFormatting>
  <conditionalFormatting sqref="L561:L562 L574:L575 S561:S562 S574:S575 Z561:Z562 Z574:Z575 AG561:AG562 AG574:AG575">
    <cfRule type="notContainsBlanks" dxfId="95" priority="98">
      <formula>LEN(TRIM(L561))&gt;0</formula>
    </cfRule>
  </conditionalFormatting>
  <conditionalFormatting sqref="L587:L588 S587:S588 Z587:Z588 AG587:AG588">
    <cfRule type="notContainsBlanks" dxfId="94" priority="97">
      <formula>LEN(TRIM(L587))&gt;0</formula>
    </cfRule>
  </conditionalFormatting>
  <conditionalFormatting sqref="L600:L601 S600:S601 Z600:Z601 AG600:AG601 AG613:AG614 Z613:Z614 S613:S614 L613:L614">
    <cfRule type="notContainsBlanks" dxfId="93" priority="96">
      <formula>LEN(TRIM(L600))&gt;0</formula>
    </cfRule>
  </conditionalFormatting>
  <conditionalFormatting sqref="L626:L627 L639:L640 S626:S627 S639:S640 Z626:Z627 Z639:Z640 AG626:AG627 AG639:AG640">
    <cfRule type="notContainsBlanks" dxfId="92" priority="95">
      <formula>LEN(TRIM(L626))&gt;0</formula>
    </cfRule>
  </conditionalFormatting>
  <conditionalFormatting sqref="L652:L653 L665:L666 S652:S653 S665:S666 Z652:Z653 Z665:Z666 AG652:AG653 AG665:AG666">
    <cfRule type="notContainsBlanks" dxfId="91" priority="94">
      <formula>LEN(TRIM(L652))&gt;0</formula>
    </cfRule>
  </conditionalFormatting>
  <conditionalFormatting sqref="L678:L679 L691:L692 S678:S679 S691:S692 Z678:Z679 Z691:Z692 AG678:AG679 AG691:AG692">
    <cfRule type="notContainsBlanks" dxfId="90" priority="93">
      <formula>LEN(TRIM(L678))&gt;0</formula>
    </cfRule>
  </conditionalFormatting>
  <conditionalFormatting sqref="L704:L705 L717:L718 S704:S705 S717:S718 Z704:Z705 Z717:Z718 AG704:AG705 AG717:AG718">
    <cfRule type="notContainsBlanks" dxfId="89" priority="92">
      <formula>LEN(TRIM(L704))&gt;0</formula>
    </cfRule>
  </conditionalFormatting>
  <conditionalFormatting sqref="S730:S731 L730:L731 L743:L744 S743:S744 Z730:Z731 Z743:Z744 AG730:AG731 AG743:AG744">
    <cfRule type="notContainsBlanks" dxfId="88" priority="91">
      <formula>LEN(TRIM(L730))&gt;0</formula>
    </cfRule>
  </conditionalFormatting>
  <conditionalFormatting sqref="L756:L757 L769:L770 S756:S757 S769:S770 Z756:Z757 Z769:Z770 AG756:AG757 AG769:AG770">
    <cfRule type="notContainsBlanks" dxfId="87" priority="90">
      <formula>LEN(TRIM(L756))&gt;0</formula>
    </cfRule>
  </conditionalFormatting>
  <conditionalFormatting sqref="L782:L783 S782:S783 Z782:Z783 L795:L796 S795:S796 Z795:Z796 AG795:AG796">
    <cfRule type="notContainsBlanks" dxfId="86" priority="89">
      <formula>LEN(TRIM(L782))&gt;0</formula>
    </cfRule>
  </conditionalFormatting>
  <conditionalFormatting sqref="L808:L809 L821:L822 S808:S809 S821:S822 Z808:Z809 Z821:Z822 AG808:AG809 AG821:AG822">
    <cfRule type="notContainsBlanks" dxfId="85" priority="88">
      <formula>LEN(TRIM(L808))&gt;0</formula>
    </cfRule>
  </conditionalFormatting>
  <conditionalFormatting sqref="L834:L835 L847:L848 S834:S835 S847:S848 Z847:Z848 Z834:Z835 AG834:AG835 AG847:AG848">
    <cfRule type="notContainsBlanks" dxfId="84" priority="87">
      <formula>LEN(TRIM(L834))&gt;0</formula>
    </cfRule>
  </conditionalFormatting>
  <conditionalFormatting sqref="L860:L861 L873:L874 S860:S861 S873:S874 Z860:Z861 Z873:Z874 AG860:AG861 AG873:AG874">
    <cfRule type="notContainsBlanks" dxfId="83" priority="86">
      <formula>LEN(TRIM(L860))&gt;0</formula>
    </cfRule>
  </conditionalFormatting>
  <conditionalFormatting sqref="L886:L887 L899:L900 S886:S887 S899:S900 Z886:Z887 Z899:Z900 AG886:AG887 AG899:AG900">
    <cfRule type="notContainsBlanks" dxfId="82" priority="85">
      <formula>LEN(TRIM(L886))&gt;0</formula>
    </cfRule>
  </conditionalFormatting>
  <conditionalFormatting sqref="L912:L913 L925:L926 S912:S913 S925:S926 Z912:Z913 Z925:Z926 AG912:AG913 AG925:AG926">
    <cfRule type="notContainsBlanks" dxfId="81" priority="84">
      <formula>LEN(TRIM(L912))&gt;0</formula>
    </cfRule>
  </conditionalFormatting>
  <conditionalFormatting sqref="L938:L939 L951:L952 S938:S939 S951:S952 Z938:Z939 Z951:Z952 AG938:AG939 AG951:AG952">
    <cfRule type="notContainsBlanks" dxfId="80" priority="83">
      <formula>LEN(TRIM(L938))&gt;0</formula>
    </cfRule>
  </conditionalFormatting>
  <conditionalFormatting sqref="L964:L965 L977:L978 S964:S965 S977:S978 Z964:Z965 Z977:Z978 AG964:AG965 AG977:AG978">
    <cfRule type="notContainsBlanks" dxfId="79" priority="82">
      <formula>LEN(TRIM(L964))&gt;0</formula>
    </cfRule>
  </conditionalFormatting>
  <conditionalFormatting sqref="L990:L991 L1003:L1004 S990:S991 S1003:S1004 Z990:Z991 Z1003:Z1004 AG990:AG991 AG1003:AG1004">
    <cfRule type="notContainsBlanks" dxfId="78" priority="81">
      <formula>LEN(TRIM(L990))&gt;0</formula>
    </cfRule>
  </conditionalFormatting>
  <conditionalFormatting sqref="L1016:L1017 L1029:L1030 S1016:S1017 S1029:S1030 Z1016:Z1017 Z1029:Z1030 AG1016:AG1017 AG1029:AG1030">
    <cfRule type="notContainsBlanks" dxfId="77" priority="80">
      <formula>LEN(TRIM(L1016))&gt;0</formula>
    </cfRule>
  </conditionalFormatting>
  <conditionalFormatting sqref="L1042:L1043 L1055:L1056 S1042:S1043 S1055:S1056 Z1042:Z1043 Z1055:Z1056 AG1042:AG1043 AG1055:AG1056">
    <cfRule type="notContainsBlanks" dxfId="76" priority="79">
      <formula>LEN(TRIM(L1042))&gt;0</formula>
    </cfRule>
  </conditionalFormatting>
  <conditionalFormatting sqref="L1068:L1069 L1081:L1082 S1068:S1069 S1081:S1082 Z1068:Z1069 Z1081:Z1082 AG1068:AG1069 AG1081:AG1082">
    <cfRule type="notContainsBlanks" dxfId="75" priority="78">
      <formula>LEN(TRIM(L1068))&gt;0</formula>
    </cfRule>
  </conditionalFormatting>
  <conditionalFormatting sqref="L1094:L1095 S1094:S1095 Z1094:Z1095 AG1094:AG1095 L1107:L1108 S1107:S1108 Z1107:Z1108 AG1107:AG1108">
    <cfRule type="notContainsBlanks" dxfId="74" priority="77">
      <formula>LEN(TRIM(L1094))&gt;0</formula>
    </cfRule>
  </conditionalFormatting>
  <conditionalFormatting sqref="L1120:L1121 L1133:L1134 S1120:S1121 S1133:S1134 Z1120:Z1121 Z1133:Z1134 AG1120:AG1121 AG1133:AG1134">
    <cfRule type="notContainsBlanks" dxfId="73" priority="76">
      <formula>LEN(TRIM(L1120))&gt;0</formula>
    </cfRule>
  </conditionalFormatting>
  <conditionalFormatting sqref="L1146:L1147 L1159:L1160 S1146:S1147 S1159:S1160 Z1146:Z1147 Z1159:Z1160 AG1146:AG1147 AG1159:AG1160">
    <cfRule type="notContainsBlanks" dxfId="72" priority="75">
      <formula>LEN(TRIM(L1146))&gt;0</formula>
    </cfRule>
  </conditionalFormatting>
  <conditionalFormatting sqref="L1172:L1173 L1185:L1186 S1172:S1173 S1185:S1186 AA1171 Z1172:Z1173 AG1172:AG1173 Z1185:Z1186 AG1185:AG1186">
    <cfRule type="notContainsBlanks" dxfId="71" priority="74">
      <formula>LEN(TRIM(L1171))&gt;0</formula>
    </cfRule>
  </conditionalFormatting>
  <conditionalFormatting sqref="L1198:L1199 L1211:L1212 L1224:L1225 S1198:S1199 S1211:S1212 S1224:S1225 Z1198:Z1199 Z1211:Z1212 Z1224:Z1225 AG1198:AG1199 AG1211:AG1212 AG1224:AG1225">
    <cfRule type="notContainsBlanks" dxfId="70" priority="73">
      <formula>LEN(TRIM(L1198))&gt;0</formula>
    </cfRule>
  </conditionalFormatting>
  <conditionalFormatting sqref="L1237:L1238 L1250:L1251 L1263:L1264 S1237:S1238 S1250:S1251 S1263:S1264 Z1237:Z1238 Z1250:Z1251 Z1263:Z1264 AG1237:AG1238 AG1250:AG1251 AG1263:AG1264">
    <cfRule type="notContainsBlanks" dxfId="69" priority="72">
      <formula>LEN(TRIM(L1237))&gt;0</formula>
    </cfRule>
  </conditionalFormatting>
  <conditionalFormatting sqref="L1276:L1277 L1289:L1290 L1302:L1303 S1276:S1277 S1289:S1290 S1302:S1303 Z1276:Z1277 Z1289:Z1290 Z1302:Z1303 AG1276:AG1277 AG1289:AG1290 AG1302:AG1303">
    <cfRule type="notContainsBlanks" dxfId="68" priority="71">
      <formula>LEN(TRIM(L1276))&gt;0</formula>
    </cfRule>
  </conditionalFormatting>
  <conditionalFormatting sqref="L1315:L1316 L1328:L1329 S1315:S1316 S1328:S1329 Z1315:Z1316 Z1328:Z1329 AG1315:AG1316 AG1328:AG1329">
    <cfRule type="notContainsBlanks" dxfId="67" priority="70">
      <formula>LEN(TRIM(L1315))&gt;0</formula>
    </cfRule>
  </conditionalFormatting>
  <conditionalFormatting sqref="Z184:Z186">
    <cfRule type="notContainsBlanks" dxfId="66" priority="62">
      <formula>LEN(TRIM(Z184))&gt;0</formula>
    </cfRule>
  </conditionalFormatting>
  <conditionalFormatting sqref="Z184:Z186">
    <cfRule type="notContainsBlanks" dxfId="65" priority="61">
      <formula>LEN(TRIM(Z184))&gt;0</formula>
    </cfRule>
  </conditionalFormatting>
  <conditionalFormatting sqref="AG184:AG186">
    <cfRule type="notContainsBlanks" dxfId="64" priority="53">
      <formula>LEN(TRIM(AG184))&gt;0</formula>
    </cfRule>
  </conditionalFormatting>
  <conditionalFormatting sqref="AG184:AG186">
    <cfRule type="notContainsBlanks" dxfId="63" priority="52">
      <formula>LEN(TRIM(AG184))&gt;0</formula>
    </cfRule>
  </conditionalFormatting>
  <conditionalFormatting sqref="I43:K43">
    <cfRule type="notContainsBlanks" dxfId="62" priority="51">
      <formula>LEN(TRIM(I43))&gt;0</formula>
    </cfRule>
  </conditionalFormatting>
  <conditionalFormatting sqref="D1358:G1358">
    <cfRule type="notContainsBlanks" dxfId="61" priority="3">
      <formula>LEN(TRIM(D1358))&gt;0</formula>
    </cfRule>
  </conditionalFormatting>
  <conditionalFormatting sqref="D1359:G1359">
    <cfRule type="notContainsBlanks" dxfId="60" priority="2">
      <formula>LEN(TRIM(D1359))&gt;0</formula>
    </cfRule>
  </conditionalFormatting>
  <conditionalFormatting sqref="C158:E169">
    <cfRule type="notContainsBlanks" dxfId="59" priority="1">
      <formula>LEN(TRIM(C158))&gt;0</formula>
    </cfRule>
  </conditionalFormatting>
  <dataValidations count="1">
    <dataValidation type="list" allowBlank="1" showInputMessage="1" showErrorMessage="1" sqref="B41 B1328 B1315 B1302 B1289 B1276 B1263 B1250 B1237 B1224 B1211 B1198 B1185 B1172 B1159 B1146 B1133 B1120 B1107 B1094 B1081 B1068 B1055 B1042 B1029 B1016 B1003 B990 B977 B964 B951 B938 B925 B912 B899 B886 B873 B860 B847 B834 B821 B808 B795 B782 B769 B756 B743 B730 B717 B704 B691 B678 B665 B652 B639 B626 B613 B600 B587 B574 B561 B548 B535 B522 B509 B496 B483 B470 B457 B444 B431 B418 B405 B392 B379 B366 B353 B340 B327 B314 B301 B288 B275 B262 B249 B236 B223 B210 B197 B184 B171 B158 B145 B132 B119 B106 B93 B80 B67 B54">
      <formula1>$P$24:$P$26</formula1>
    </dataValidation>
  </dataValidations>
  <hyperlinks>
    <hyperlink ref="I11" location="'01_Доходи'!A31" display="зелений список"/>
    <hyperlink ref="I13" location="'01_Доходи'!A1347" display="інші доходи"/>
  </hyperlinks>
  <pageMargins left="0.7" right="0.7" top="0.75" bottom="0.75" header="0.3" footer="0.3"/>
  <pageSetup paperSize="9" orientation="portrait" r:id="rId1"/>
  <ignoredErrors>
    <ignoredError sqref="G48:K48 G47:K47 H34:J34 Q34" evalError="1"/>
    <ignoredError sqref="H26 E26" unlockedFormula="1"/>
  </ignoredErrors>
  <drawing r:id="rId2"/>
  <legacyDrawing r:id="rId3"/>
</worksheet>
</file>

<file path=xl/worksheets/sheet6.xml><?xml version="1.0" encoding="utf-8"?>
<worksheet xmlns="http://schemas.openxmlformats.org/spreadsheetml/2006/main" xmlns:r="http://schemas.openxmlformats.org/officeDocument/2006/relationships">
  <dimension ref="A1:BL207"/>
  <sheetViews>
    <sheetView showGridLines="0" view="pageBreakPreview" topLeftCell="C187" zoomScale="60" zoomScaleNormal="55" workbookViewId="0">
      <selection activeCell="I189" sqref="I189:L189"/>
    </sheetView>
  </sheetViews>
  <sheetFormatPr defaultRowHeight="20.25"/>
  <cols>
    <col min="1" max="2" width="5.7109375" style="63" customWidth="1"/>
    <col min="3" max="3" width="28.140625" style="63" customWidth="1"/>
    <col min="4" max="4" width="37" style="63" customWidth="1"/>
    <col min="5" max="5" width="17.7109375" style="63" customWidth="1"/>
    <col min="6" max="6" width="20" style="63" customWidth="1"/>
    <col min="7" max="7" width="24.7109375" style="63" customWidth="1"/>
    <col min="8" max="8" width="20.85546875" style="63" customWidth="1"/>
    <col min="9" max="11" width="13.140625" style="63" customWidth="1"/>
    <col min="12" max="12" width="21.5703125" style="63" customWidth="1"/>
    <col min="13" max="13" width="14.7109375" style="63" customWidth="1"/>
    <col min="14" max="14" width="17.28515625" style="63" customWidth="1"/>
    <col min="15" max="15" width="15.7109375" style="63" customWidth="1"/>
    <col min="16" max="16" width="14.42578125" style="63" customWidth="1"/>
    <col min="17" max="17" width="16" style="276" customWidth="1"/>
    <col min="18" max="18" width="14.28515625" style="63" customWidth="1"/>
    <col min="19" max="21" width="13.140625" style="63" customWidth="1"/>
    <col min="22" max="22" width="15.5703125" style="276" customWidth="1"/>
    <col min="23" max="26" width="13.140625" style="339" customWidth="1"/>
    <col min="27" max="27" width="14.85546875" style="276" customWidth="1"/>
    <col min="28" max="31" width="13.140625" style="63" customWidth="1"/>
    <col min="32" max="32" width="13.140625" style="276" customWidth="1"/>
    <col min="33" max="36" width="13.140625" style="63" customWidth="1"/>
    <col min="37" max="37" width="13.140625" style="276" customWidth="1"/>
    <col min="38" max="41" width="13.140625" style="63" customWidth="1"/>
    <col min="42" max="42" width="17.42578125" style="276" customWidth="1"/>
    <col min="43" max="43" width="17" style="775" customWidth="1"/>
    <col min="44" max="46" width="20.42578125" style="63" customWidth="1"/>
    <col min="47" max="47" width="15" style="276" customWidth="1"/>
    <col min="48" max="49" width="12.85546875" style="353" customWidth="1"/>
    <col min="50" max="50" width="15.85546875" style="353" customWidth="1"/>
    <col min="51" max="51" width="12.85546875" style="353" customWidth="1"/>
    <col min="52" max="52" width="12.28515625" style="276" customWidth="1"/>
    <col min="53" max="53" width="10.5703125" style="63" customWidth="1"/>
    <col min="54" max="57" width="16.7109375" style="63" customWidth="1"/>
    <col min="58" max="58" width="16.7109375" style="276" customWidth="1"/>
    <col min="59" max="59" width="7.5703125" style="63" customWidth="1"/>
    <col min="60" max="64" width="19.42578125" style="63" customWidth="1"/>
    <col min="65" max="65" width="11.85546875" style="63" customWidth="1"/>
    <col min="66" max="66" width="15" style="63" customWidth="1"/>
    <col min="67" max="67" width="14.5703125" style="63" customWidth="1"/>
    <col min="68" max="85" width="14" style="63" customWidth="1"/>
    <col min="86" max="86" width="14.140625" style="63" customWidth="1"/>
    <col min="87" max="87" width="15.140625" style="63" customWidth="1"/>
    <col min="88" max="88" width="18.85546875" style="63" customWidth="1"/>
    <col min="89" max="89" width="24.28515625" style="63" customWidth="1"/>
    <col min="90" max="94" width="17.85546875" style="63" customWidth="1"/>
    <col min="95" max="95" width="15.85546875" style="63" customWidth="1"/>
    <col min="96" max="97" width="19.7109375" style="63" customWidth="1"/>
    <col min="98" max="98" width="23.42578125" style="63" customWidth="1"/>
    <col min="99" max="99" width="11.85546875" style="63" customWidth="1"/>
    <col min="100" max="100" width="16.28515625" style="63" customWidth="1"/>
    <col min="101" max="103" width="11.85546875" style="63" customWidth="1"/>
    <col min="104" max="104" width="17" style="63" customWidth="1"/>
    <col min="105" max="105" width="16.5703125" style="63" customWidth="1"/>
    <col min="106" max="107" width="11.85546875" style="63" customWidth="1"/>
    <col min="108" max="108" width="23.28515625" style="63" customWidth="1"/>
    <col min="109" max="109" width="22.28515625" style="63" customWidth="1"/>
    <col min="110" max="110" width="26.28515625" style="63" customWidth="1"/>
    <col min="111" max="111" width="16.140625" style="63" customWidth="1"/>
    <col min="112" max="112" width="11.85546875" style="63" customWidth="1"/>
    <col min="113" max="113" width="19.140625" style="63" customWidth="1"/>
    <col min="114" max="114" width="21" style="63" customWidth="1"/>
    <col min="115" max="115" width="16.7109375" style="63" customWidth="1"/>
    <col min="116" max="116" width="19.5703125" style="63" customWidth="1"/>
    <col min="117" max="117" width="11.85546875" style="63" customWidth="1"/>
    <col min="118" max="118" width="20.42578125" style="63" customWidth="1"/>
    <col min="119" max="119" width="16.7109375" style="63" customWidth="1"/>
    <col min="120" max="140" width="19" style="63" customWidth="1"/>
    <col min="141" max="145" width="11.85546875" style="63" customWidth="1"/>
    <col min="146" max="146" width="18.7109375" style="63" customWidth="1"/>
    <col min="147" max="16384" width="9.140625" style="63"/>
  </cols>
  <sheetData>
    <row r="1" spans="1:64" s="60" customFormat="1">
      <c r="Q1" s="350"/>
      <c r="V1" s="350"/>
      <c r="W1" s="760"/>
      <c r="X1" s="760"/>
      <c r="Y1" s="760"/>
      <c r="Z1" s="760"/>
      <c r="AA1" s="350"/>
      <c r="AF1" s="350"/>
      <c r="AK1" s="350"/>
      <c r="AP1" s="350"/>
      <c r="AQ1" s="775"/>
      <c r="AU1" s="350"/>
      <c r="AV1" s="61"/>
      <c r="AW1" s="61"/>
      <c r="AX1" s="61"/>
      <c r="AY1" s="61"/>
      <c r="AZ1" s="350"/>
      <c r="BF1" s="350"/>
    </row>
    <row r="2" spans="1:64" ht="25.5">
      <c r="A2" s="1152" t="s">
        <v>53</v>
      </c>
      <c r="B2" s="1152"/>
      <c r="C2" s="1152"/>
      <c r="D2" s="1152"/>
      <c r="E2" s="1152"/>
      <c r="F2" s="1152"/>
      <c r="G2" s="1152"/>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62"/>
      <c r="AN2" s="62"/>
      <c r="AO2" s="62"/>
      <c r="AP2" s="351"/>
      <c r="AQ2" s="776"/>
      <c r="AR2" s="62"/>
      <c r="AS2" s="62"/>
      <c r="AT2" s="62"/>
      <c r="AU2" s="351"/>
      <c r="AV2" s="62"/>
      <c r="AW2" s="62"/>
      <c r="AX2" s="62"/>
      <c r="AY2" s="62"/>
    </row>
    <row r="3" spans="1:64" ht="26.25" thickBot="1">
      <c r="J3" s="139"/>
      <c r="K3" s="139"/>
      <c r="L3" s="139"/>
      <c r="M3" s="139"/>
      <c r="N3" s="139"/>
      <c r="O3" s="139"/>
      <c r="P3" s="139"/>
      <c r="Q3" s="352"/>
      <c r="R3" s="139"/>
      <c r="S3" s="139"/>
      <c r="T3" s="139"/>
      <c r="U3" s="139"/>
      <c r="V3" s="352"/>
      <c r="W3" s="667"/>
      <c r="X3" s="667"/>
      <c r="Y3" s="667"/>
      <c r="Z3" s="667"/>
      <c r="AA3" s="352"/>
      <c r="AB3" s="139"/>
      <c r="AC3" s="139"/>
      <c r="AD3" s="139"/>
      <c r="AE3" s="139"/>
      <c r="AF3" s="352"/>
    </row>
    <row r="4" spans="1:64" ht="46.5" thickTop="1" thickBot="1">
      <c r="C4" s="1153" t="s">
        <v>668</v>
      </c>
      <c r="D4" s="1154"/>
      <c r="E4" s="1154"/>
      <c r="F4" s="1154"/>
      <c r="G4" s="1154"/>
      <c r="H4" s="1154"/>
      <c r="I4" s="1155"/>
      <c r="J4" s="113"/>
      <c r="K4" s="113"/>
    </row>
    <row r="5" spans="1:64" ht="24" thickTop="1" thickBot="1">
      <c r="C5" s="113"/>
      <c r="D5" s="113"/>
      <c r="E5" s="113"/>
      <c r="F5" s="113"/>
      <c r="G5" s="113"/>
      <c r="H5" s="113"/>
      <c r="I5" s="354"/>
      <c r="J5" s="354"/>
      <c r="K5" s="354"/>
      <c r="L5" s="354"/>
      <c r="M5" s="354"/>
      <c r="N5" s="354"/>
      <c r="O5" s="354"/>
      <c r="P5" s="354"/>
      <c r="Q5" s="355"/>
      <c r="R5" s="354"/>
      <c r="S5" s="354"/>
      <c r="T5" s="354"/>
      <c r="U5" s="354"/>
      <c r="V5" s="355"/>
      <c r="W5" s="761"/>
      <c r="X5" s="761"/>
      <c r="Y5" s="761"/>
      <c r="Z5" s="761"/>
      <c r="AA5" s="355"/>
      <c r="AB5" s="354"/>
      <c r="AC5" s="354"/>
      <c r="AD5" s="354"/>
      <c r="AE5" s="354"/>
      <c r="AF5" s="355"/>
    </row>
    <row r="6" spans="1:64" ht="27" customHeight="1">
      <c r="C6" s="1156" t="str">
        <f ca="1">'0_Загальне'!B11</f>
        <v>Офіційна повна назва надавача ПМД:</v>
      </c>
      <c r="D6" s="1157"/>
      <c r="E6" s="1157"/>
      <c r="F6" s="1129" t="str">
        <f ca="1">'0_Загальне'!C11</f>
        <v>Комунальне некомерційне підприємство "Рожищнський центр первинної медико-санітарної допомоги" Рожищенської міської ради</v>
      </c>
      <c r="G6" s="1129"/>
      <c r="H6" s="1130"/>
      <c r="I6" s="354"/>
      <c r="J6" s="354"/>
      <c r="K6" s="354"/>
      <c r="L6" s="354"/>
      <c r="M6" s="354"/>
      <c r="N6" s="354"/>
      <c r="O6" s="354"/>
      <c r="P6" s="354"/>
      <c r="Q6" s="355"/>
      <c r="R6" s="354"/>
      <c r="S6" s="354"/>
      <c r="T6" s="354"/>
      <c r="U6" s="354"/>
      <c r="V6" s="355"/>
      <c r="W6" s="761"/>
      <c r="X6" s="761"/>
      <c r="Y6" s="761"/>
      <c r="Z6" s="761"/>
      <c r="AA6" s="355"/>
      <c r="AB6" s="354"/>
      <c r="AC6" s="354"/>
      <c r="AD6" s="354"/>
      <c r="AE6" s="354"/>
      <c r="AF6" s="355"/>
    </row>
    <row r="7" spans="1:64" ht="25.15" customHeight="1">
      <c r="C7" s="1158" t="str">
        <f ca="1">'0_Загальне'!B32</f>
        <v>Плановий період (рік):</v>
      </c>
      <c r="D7" s="1159"/>
      <c r="E7" s="1159"/>
      <c r="F7" s="1131">
        <f ca="1">'0_Загальне'!C32</f>
        <v>2024</v>
      </c>
      <c r="G7" s="1131"/>
      <c r="H7" s="1132"/>
      <c r="I7" s="354"/>
      <c r="J7" s="354"/>
      <c r="K7" s="354"/>
      <c r="L7" s="354"/>
      <c r="M7" s="354"/>
      <c r="N7" s="354"/>
      <c r="O7" s="354"/>
      <c r="P7" s="354"/>
      <c r="Q7" s="355"/>
      <c r="R7" s="354"/>
      <c r="S7" s="354"/>
      <c r="T7" s="354"/>
      <c r="U7" s="354"/>
      <c r="V7" s="355"/>
      <c r="W7" s="761"/>
      <c r="X7" s="761"/>
      <c r="Y7" s="761"/>
      <c r="Z7" s="761"/>
      <c r="AA7" s="355"/>
      <c r="AB7" s="354"/>
      <c r="AC7" s="354"/>
      <c r="AD7" s="354"/>
      <c r="AE7" s="354"/>
      <c r="AF7" s="355"/>
    </row>
    <row r="8" spans="1:64" ht="25.15" customHeight="1" thickBot="1">
      <c r="C8" s="1145" t="s">
        <v>748</v>
      </c>
      <c r="D8" s="1146"/>
      <c r="E8" s="1146"/>
      <c r="F8" s="1147" t="str">
        <f ca="1">'0_Загальне'!C34</f>
        <v>11.12.2023</v>
      </c>
      <c r="G8" s="1147"/>
      <c r="H8" s="1148"/>
      <c r="I8" s="354"/>
      <c r="J8" s="354"/>
      <c r="K8" s="354"/>
      <c r="L8" s="354"/>
      <c r="M8" s="354"/>
      <c r="N8" s="354"/>
      <c r="O8" s="354"/>
      <c r="P8" s="354"/>
      <c r="Q8" s="355"/>
      <c r="R8" s="354"/>
      <c r="S8" s="354"/>
      <c r="T8" s="354"/>
      <c r="U8" s="354"/>
      <c r="V8" s="355"/>
      <c r="W8" s="761"/>
      <c r="X8" s="761"/>
      <c r="Y8" s="761"/>
      <c r="Z8" s="761"/>
      <c r="AA8" s="355"/>
      <c r="AB8" s="354"/>
      <c r="AC8" s="354"/>
      <c r="AD8" s="354"/>
      <c r="AE8" s="354"/>
      <c r="AF8" s="355"/>
    </row>
    <row r="9" spans="1:64" ht="21" thickBot="1">
      <c r="C9" s="358"/>
      <c r="D9" s="358"/>
      <c r="E9" s="358"/>
      <c r="F9" s="358"/>
      <c r="G9" s="358"/>
      <c r="H9" s="541"/>
      <c r="I9" s="354"/>
      <c r="J9" s="354"/>
      <c r="K9" s="354"/>
      <c r="L9" s="354"/>
      <c r="M9" s="354"/>
      <c r="N9" s="354"/>
      <c r="O9" s="354"/>
      <c r="P9" s="354"/>
      <c r="Q9" s="355"/>
      <c r="R9" s="354"/>
      <c r="S9" s="354"/>
      <c r="T9" s="354"/>
      <c r="U9" s="354"/>
      <c r="V9" s="355"/>
      <c r="W9" s="761"/>
      <c r="X9" s="761"/>
      <c r="Y9" s="761"/>
      <c r="Z9" s="761"/>
      <c r="AA9" s="355"/>
      <c r="AB9" s="354"/>
      <c r="AC9" s="354"/>
      <c r="AD9" s="354"/>
      <c r="AE9" s="354"/>
      <c r="AF9" s="355"/>
      <c r="AG9" s="354"/>
      <c r="AH9" s="354"/>
      <c r="AI9" s="354"/>
      <c r="AJ9" s="354"/>
      <c r="AK9" s="355"/>
    </row>
    <row r="10" spans="1:64" ht="42" customHeight="1">
      <c r="C10" s="1139" t="s">
        <v>688</v>
      </c>
      <c r="D10" s="1140"/>
      <c r="E10" s="1141"/>
      <c r="F10" s="354"/>
      <c r="G10" s="1149" t="s">
        <v>667</v>
      </c>
      <c r="H10" s="542" t="s">
        <v>535</v>
      </c>
      <c r="I10" s="354"/>
      <c r="J10" s="354"/>
      <c r="K10" s="354"/>
      <c r="L10" s="354"/>
      <c r="M10" s="354"/>
      <c r="N10" s="354"/>
      <c r="O10" s="354"/>
      <c r="P10" s="354"/>
      <c r="Q10" s="355"/>
      <c r="R10" s="354"/>
      <c r="S10" s="354"/>
      <c r="T10" s="354"/>
      <c r="U10" s="354"/>
      <c r="V10" s="355"/>
      <c r="W10" s="761"/>
      <c r="X10" s="761"/>
      <c r="Y10" s="761"/>
      <c r="Z10" s="761"/>
      <c r="AA10" s="355"/>
      <c r="AB10" s="354"/>
      <c r="AC10" s="354"/>
      <c r="AD10" s="354"/>
      <c r="AE10" s="354"/>
      <c r="AF10" s="355"/>
      <c r="AG10" s="354"/>
      <c r="AH10" s="354"/>
      <c r="AI10" s="354"/>
      <c r="AJ10" s="354"/>
      <c r="AK10" s="355"/>
    </row>
    <row r="11" spans="1:64" ht="55.15" customHeight="1">
      <c r="C11" s="1142" t="s">
        <v>76</v>
      </c>
      <c r="D11" s="1143"/>
      <c r="E11" s="1144"/>
      <c r="F11" s="354"/>
      <c r="G11" s="1150"/>
      <c r="H11" s="543" t="s">
        <v>536</v>
      </c>
      <c r="I11" s="354"/>
      <c r="J11" s="354"/>
      <c r="K11" s="354"/>
      <c r="L11" s="354"/>
      <c r="M11" s="354"/>
      <c r="N11" s="354"/>
      <c r="O11" s="354"/>
      <c r="P11" s="354"/>
      <c r="Q11" s="355"/>
      <c r="R11" s="354"/>
      <c r="S11" s="354"/>
      <c r="T11" s="354"/>
      <c r="U11" s="354"/>
      <c r="V11" s="355"/>
      <c r="W11" s="761"/>
      <c r="X11" s="761"/>
      <c r="Y11" s="761"/>
      <c r="Z11" s="761"/>
      <c r="AA11" s="355"/>
      <c r="AB11" s="354"/>
      <c r="AC11" s="354"/>
      <c r="AD11" s="354"/>
      <c r="AE11" s="354"/>
      <c r="AF11" s="355"/>
      <c r="AG11" s="354"/>
      <c r="AH11" s="354"/>
      <c r="AI11" s="354"/>
      <c r="AJ11" s="354"/>
      <c r="AK11" s="355"/>
    </row>
    <row r="12" spans="1:64" ht="47.25" customHeight="1" thickBot="1">
      <c r="C12" s="1133" t="s">
        <v>767</v>
      </c>
      <c r="D12" s="1134"/>
      <c r="E12" s="1135"/>
      <c r="F12" s="349"/>
      <c r="G12" s="1151"/>
      <c r="H12" s="544" t="s">
        <v>537</v>
      </c>
      <c r="I12" s="354"/>
      <c r="J12" s="354"/>
      <c r="K12" s="354"/>
      <c r="L12" s="354"/>
      <c r="M12" s="354"/>
      <c r="N12" s="354"/>
      <c r="O12" s="354"/>
      <c r="P12" s="354"/>
      <c r="Q12" s="355"/>
      <c r="R12" s="354"/>
      <c r="S12" s="354"/>
      <c r="T12" s="354"/>
      <c r="U12" s="354"/>
      <c r="V12" s="355"/>
      <c r="W12" s="761"/>
      <c r="X12" s="761"/>
      <c r="Y12" s="761"/>
      <c r="Z12" s="761"/>
      <c r="AA12" s="355"/>
      <c r="AB12" s="354"/>
      <c r="AC12" s="354"/>
      <c r="AD12" s="354"/>
      <c r="AE12" s="354"/>
      <c r="AF12" s="355"/>
      <c r="AG12" s="354"/>
      <c r="AH12" s="354"/>
      <c r="AI12" s="354"/>
      <c r="AJ12" s="354"/>
      <c r="AK12" s="355"/>
    </row>
    <row r="13" spans="1:64" ht="31.5" customHeight="1" thickBot="1">
      <c r="C13" s="1136" t="s">
        <v>768</v>
      </c>
      <c r="D13" s="1137"/>
      <c r="E13" s="1138"/>
      <c r="F13" s="45"/>
      <c r="G13" s="45"/>
      <c r="H13" s="45"/>
      <c r="I13" s="354"/>
      <c r="J13" s="354"/>
      <c r="K13" s="354"/>
      <c r="L13" s="354"/>
      <c r="M13" s="354"/>
      <c r="N13" s="354"/>
      <c r="O13" s="354"/>
      <c r="P13" s="354"/>
      <c r="Q13" s="355"/>
      <c r="R13" s="354"/>
      <c r="S13" s="354"/>
      <c r="T13" s="354"/>
      <c r="U13" s="354"/>
      <c r="V13" s="355"/>
      <c r="W13" s="761"/>
      <c r="X13" s="761"/>
      <c r="Y13" s="761"/>
      <c r="Z13" s="761"/>
      <c r="AA13" s="355"/>
      <c r="AB13" s="354"/>
      <c r="AC13" s="354"/>
      <c r="AD13" s="354"/>
      <c r="AE13" s="354"/>
      <c r="AF13" s="355"/>
      <c r="AG13" s="354"/>
      <c r="AH13" s="354"/>
      <c r="AI13" s="354"/>
      <c r="AJ13" s="354"/>
      <c r="AK13" s="355"/>
    </row>
    <row r="14" spans="1:64">
      <c r="C14" s="349"/>
      <c r="D14" s="349"/>
      <c r="E14" s="349"/>
      <c r="F14" s="349"/>
      <c r="G14" s="349"/>
      <c r="H14" s="349"/>
      <c r="I14" s="354"/>
      <c r="J14" s="354"/>
      <c r="K14" s="354"/>
      <c r="L14" s="354"/>
      <c r="M14" s="354"/>
      <c r="N14" s="354"/>
      <c r="O14" s="354"/>
      <c r="P14" s="354"/>
      <c r="Q14" s="355"/>
      <c r="R14" s="354"/>
      <c r="S14" s="354"/>
      <c r="T14" s="354"/>
      <c r="U14" s="354"/>
      <c r="V14" s="355"/>
      <c r="W14" s="761"/>
      <c r="X14" s="761"/>
      <c r="Y14" s="761"/>
      <c r="Z14" s="761"/>
      <c r="AA14" s="355"/>
      <c r="AB14" s="354"/>
      <c r="AC14" s="354"/>
      <c r="AD14" s="354"/>
      <c r="AE14" s="354"/>
      <c r="AF14" s="355"/>
      <c r="AG14" s="354"/>
      <c r="AH14" s="354"/>
      <c r="AI14" s="354"/>
      <c r="AJ14" s="354"/>
      <c r="AK14" s="355"/>
    </row>
    <row r="15" spans="1:64" ht="22.5">
      <c r="C15" s="1128" t="s">
        <v>523</v>
      </c>
      <c r="D15" s="1128"/>
      <c r="E15" s="1128"/>
      <c r="F15" s="349"/>
      <c r="G15" s="349"/>
      <c r="H15" s="349"/>
      <c r="I15" s="354"/>
      <c r="J15" s="354"/>
      <c r="K15" s="354"/>
      <c r="L15" s="354"/>
      <c r="M15" s="359"/>
      <c r="N15" s="354"/>
      <c r="O15" s="354"/>
      <c r="P15" s="354"/>
      <c r="Q15" s="355"/>
      <c r="R15" s="354"/>
      <c r="S15" s="354"/>
      <c r="T15" s="354"/>
      <c r="U15" s="354"/>
      <c r="V15" s="355"/>
      <c r="W15" s="761"/>
      <c r="X15" s="761"/>
      <c r="Y15" s="761"/>
      <c r="Z15" s="761"/>
      <c r="AA15" s="355"/>
      <c r="AB15" s="354"/>
      <c r="AC15" s="354"/>
      <c r="AD15" s="354"/>
      <c r="AE15" s="354"/>
      <c r="AF15" s="355"/>
      <c r="AG15" s="354"/>
      <c r="AH15" s="354"/>
      <c r="AI15" s="354"/>
      <c r="AJ15" s="354"/>
      <c r="AK15" s="355"/>
      <c r="BJ15" s="360"/>
    </row>
    <row r="16" spans="1:64" ht="21" thickBot="1">
      <c r="C16" s="361"/>
      <c r="D16" s="361"/>
      <c r="E16" s="361"/>
      <c r="F16" s="349"/>
      <c r="G16" s="349"/>
      <c r="H16" s="349"/>
      <c r="I16" s="354"/>
      <c r="J16" s="354"/>
      <c r="K16" s="354"/>
      <c r="L16" s="354"/>
      <c r="M16" s="354"/>
      <c r="N16" s="354"/>
      <c r="O16" s="354"/>
      <c r="P16" s="354"/>
      <c r="Q16" s="355"/>
      <c r="R16" s="354"/>
      <c r="S16" s="354"/>
      <c r="T16" s="354"/>
      <c r="U16" s="354"/>
      <c r="V16" s="355"/>
      <c r="W16" s="761"/>
      <c r="X16" s="761"/>
      <c r="Y16" s="761"/>
      <c r="Z16" s="761"/>
      <c r="AA16" s="355"/>
      <c r="AG16" s="354"/>
      <c r="AH16" s="354"/>
      <c r="AI16" s="354"/>
      <c r="AJ16" s="354"/>
      <c r="AK16" s="355"/>
      <c r="AV16" s="362"/>
      <c r="AW16" s="362"/>
      <c r="AX16" s="362"/>
      <c r="AY16" s="362"/>
      <c r="AZ16" s="362"/>
      <c r="BA16" s="339"/>
      <c r="BB16" s="1165"/>
      <c r="BC16" s="1165"/>
      <c r="BD16" s="1165"/>
      <c r="BE16" s="1165"/>
      <c r="BF16" s="1165"/>
      <c r="BG16" s="335"/>
      <c r="BH16" s="363"/>
      <c r="BI16" s="363"/>
      <c r="BJ16" s="363"/>
      <c r="BK16" s="363"/>
      <c r="BL16" s="363"/>
    </row>
    <row r="17" spans="1:64" s="272" customFormat="1" ht="67.150000000000006" customHeight="1">
      <c r="C17" s="1163" t="s">
        <v>504</v>
      </c>
      <c r="D17" s="1164"/>
      <c r="E17" s="977" t="s">
        <v>509</v>
      </c>
      <c r="F17" s="979"/>
      <c r="G17" s="979"/>
      <c r="H17" s="1162"/>
      <c r="I17" s="977" t="s">
        <v>573</v>
      </c>
      <c r="J17" s="979"/>
      <c r="K17" s="979"/>
      <c r="L17" s="1162"/>
      <c r="M17" s="977" t="s">
        <v>749</v>
      </c>
      <c r="N17" s="979"/>
      <c r="O17" s="979"/>
      <c r="P17" s="979"/>
      <c r="Q17" s="1162"/>
      <c r="R17" s="977" t="s">
        <v>228</v>
      </c>
      <c r="S17" s="979"/>
      <c r="T17" s="979"/>
      <c r="U17" s="979"/>
      <c r="V17" s="1162"/>
      <c r="W17" s="977" t="s">
        <v>750</v>
      </c>
      <c r="X17" s="979"/>
      <c r="Y17" s="979"/>
      <c r="Z17" s="979"/>
      <c r="AA17" s="1162"/>
      <c r="AB17" s="977" t="s">
        <v>239</v>
      </c>
      <c r="AC17" s="979"/>
      <c r="AD17" s="979"/>
      <c r="AE17" s="979"/>
      <c r="AF17" s="1162"/>
      <c r="AG17" s="977" t="s">
        <v>751</v>
      </c>
      <c r="AH17" s="979"/>
      <c r="AI17" s="979"/>
      <c r="AJ17" s="979"/>
      <c r="AK17" s="1162"/>
      <c r="AL17" s="977" t="s">
        <v>752</v>
      </c>
      <c r="AM17" s="979"/>
      <c r="AN17" s="979"/>
      <c r="AO17" s="979"/>
      <c r="AP17" s="1162"/>
      <c r="AQ17" s="977" t="s">
        <v>753</v>
      </c>
      <c r="AR17" s="979"/>
      <c r="AS17" s="979"/>
      <c r="AT17" s="979"/>
      <c r="AU17" s="1162"/>
      <c r="AV17" s="1008" t="s">
        <v>754</v>
      </c>
      <c r="AW17" s="979"/>
      <c r="AX17" s="979"/>
      <c r="AY17" s="979"/>
      <c r="AZ17" s="1162"/>
      <c r="BA17" s="364"/>
      <c r="BB17" s="977" t="s">
        <v>755</v>
      </c>
      <c r="BC17" s="979"/>
      <c r="BD17" s="979"/>
      <c r="BE17" s="979"/>
      <c r="BF17" s="1162"/>
      <c r="BG17" s="365"/>
      <c r="BH17" s="977" t="s">
        <v>756</v>
      </c>
      <c r="BI17" s="979"/>
      <c r="BJ17" s="979"/>
      <c r="BK17" s="979"/>
      <c r="BL17" s="1162"/>
    </row>
    <row r="18" spans="1:64" s="335" customFormat="1" ht="25.15" customHeight="1" thickBot="1">
      <c r="C18" s="366" t="s">
        <v>506</v>
      </c>
      <c r="D18" s="367" t="s">
        <v>505</v>
      </c>
      <c r="E18" s="368" t="s">
        <v>409</v>
      </c>
      <c r="F18" s="369" t="s">
        <v>410</v>
      </c>
      <c r="G18" s="369" t="s">
        <v>411</v>
      </c>
      <c r="H18" s="370" t="s">
        <v>412</v>
      </c>
      <c r="I18" s="368" t="s">
        <v>409</v>
      </c>
      <c r="J18" s="369" t="s">
        <v>410</v>
      </c>
      <c r="K18" s="369" t="s">
        <v>411</v>
      </c>
      <c r="L18" s="370" t="s">
        <v>412</v>
      </c>
      <c r="M18" s="368" t="s">
        <v>409</v>
      </c>
      <c r="N18" s="369" t="s">
        <v>410</v>
      </c>
      <c r="O18" s="369" t="s">
        <v>411</v>
      </c>
      <c r="P18" s="369" t="s">
        <v>412</v>
      </c>
      <c r="Q18" s="371" t="s">
        <v>490</v>
      </c>
      <c r="R18" s="368" t="s">
        <v>409</v>
      </c>
      <c r="S18" s="369" t="s">
        <v>410</v>
      </c>
      <c r="T18" s="369" t="s">
        <v>411</v>
      </c>
      <c r="U18" s="369" t="s">
        <v>412</v>
      </c>
      <c r="V18" s="371" t="s">
        <v>490</v>
      </c>
      <c r="W18" s="368" t="s">
        <v>409</v>
      </c>
      <c r="X18" s="369" t="s">
        <v>410</v>
      </c>
      <c r="Y18" s="369" t="s">
        <v>411</v>
      </c>
      <c r="Z18" s="369" t="s">
        <v>412</v>
      </c>
      <c r="AA18" s="371" t="s">
        <v>490</v>
      </c>
      <c r="AB18" s="368" t="s">
        <v>409</v>
      </c>
      <c r="AC18" s="369" t="s">
        <v>410</v>
      </c>
      <c r="AD18" s="369" t="s">
        <v>411</v>
      </c>
      <c r="AE18" s="369" t="s">
        <v>412</v>
      </c>
      <c r="AF18" s="371" t="s">
        <v>490</v>
      </c>
      <c r="AG18" s="368" t="s">
        <v>409</v>
      </c>
      <c r="AH18" s="369" t="s">
        <v>410</v>
      </c>
      <c r="AI18" s="369" t="s">
        <v>411</v>
      </c>
      <c r="AJ18" s="369" t="s">
        <v>412</v>
      </c>
      <c r="AK18" s="371" t="s">
        <v>490</v>
      </c>
      <c r="AL18" s="368" t="s">
        <v>409</v>
      </c>
      <c r="AM18" s="369" t="s">
        <v>410</v>
      </c>
      <c r="AN18" s="369" t="s">
        <v>411</v>
      </c>
      <c r="AO18" s="369" t="s">
        <v>412</v>
      </c>
      <c r="AP18" s="371" t="s">
        <v>490</v>
      </c>
      <c r="AQ18" s="777" t="s">
        <v>409</v>
      </c>
      <c r="AR18" s="372" t="s">
        <v>410</v>
      </c>
      <c r="AS18" s="372" t="s">
        <v>411</v>
      </c>
      <c r="AT18" s="372" t="s">
        <v>412</v>
      </c>
      <c r="AU18" s="373" t="s">
        <v>490</v>
      </c>
      <c r="AV18" s="374" t="s">
        <v>409</v>
      </c>
      <c r="AW18" s="369" t="s">
        <v>410</v>
      </c>
      <c r="AX18" s="369" t="s">
        <v>411</v>
      </c>
      <c r="AY18" s="369" t="s">
        <v>412</v>
      </c>
      <c r="AZ18" s="371" t="s">
        <v>490</v>
      </c>
      <c r="BA18" s="375"/>
      <c r="BB18" s="376" t="s">
        <v>409</v>
      </c>
      <c r="BC18" s="377" t="s">
        <v>410</v>
      </c>
      <c r="BD18" s="377" t="s">
        <v>411</v>
      </c>
      <c r="BE18" s="377" t="s">
        <v>412</v>
      </c>
      <c r="BF18" s="378" t="s">
        <v>490</v>
      </c>
      <c r="BG18" s="379"/>
      <c r="BH18" s="368" t="s">
        <v>409</v>
      </c>
      <c r="BI18" s="369" t="s">
        <v>410</v>
      </c>
      <c r="BJ18" s="369" t="s">
        <v>411</v>
      </c>
      <c r="BK18" s="369" t="s">
        <v>412</v>
      </c>
      <c r="BL18" s="380" t="s">
        <v>490</v>
      </c>
    </row>
    <row r="19" spans="1:64" s="335" customFormat="1" ht="75.599999999999994" customHeight="1">
      <c r="C19" s="1160" t="s">
        <v>565</v>
      </c>
      <c r="D19" s="129" t="s">
        <v>508</v>
      </c>
      <c r="E19" s="381">
        <v>0.22</v>
      </c>
      <c r="F19" s="382">
        <v>0.22</v>
      </c>
      <c r="G19" s="382">
        <v>0.22</v>
      </c>
      <c r="H19" s="382">
        <v>0.22</v>
      </c>
      <c r="I19" s="384">
        <v>1</v>
      </c>
      <c r="J19" s="384">
        <v>1</v>
      </c>
      <c r="K19" s="384">
        <v>1</v>
      </c>
      <c r="L19" s="384">
        <v>1</v>
      </c>
      <c r="M19" s="384">
        <f>40800*3</f>
        <v>122400</v>
      </c>
      <c r="N19" s="384">
        <f>40800*3</f>
        <v>122400</v>
      </c>
      <c r="O19" s="384">
        <f>40800*3</f>
        <v>122400</v>
      </c>
      <c r="P19" s="384">
        <f>40800*3</f>
        <v>122400</v>
      </c>
      <c r="Q19" s="387">
        <f>SUM(M19:P19)</f>
        <v>489600</v>
      </c>
      <c r="R19" s="384">
        <v>0</v>
      </c>
      <c r="S19" s="385">
        <v>0</v>
      </c>
      <c r="T19" s="385">
        <v>0</v>
      </c>
      <c r="U19" s="385">
        <v>0</v>
      </c>
      <c r="V19" s="387">
        <f>SUM(R19:U19)</f>
        <v>0</v>
      </c>
      <c r="W19" s="762">
        <v>0</v>
      </c>
      <c r="X19" s="762">
        <v>0</v>
      </c>
      <c r="Y19" s="762">
        <v>0</v>
      </c>
      <c r="Z19" s="762">
        <v>0</v>
      </c>
      <c r="AA19" s="387">
        <f>SUM(W19:Z19)</f>
        <v>0</v>
      </c>
      <c r="AB19" s="384">
        <v>0</v>
      </c>
      <c r="AC19" s="385">
        <v>0</v>
      </c>
      <c r="AD19" s="385">
        <v>0</v>
      </c>
      <c r="AE19" s="385">
        <v>0</v>
      </c>
      <c r="AF19" s="387">
        <f>SUM(AB19:AE19)</f>
        <v>0</v>
      </c>
      <c r="AG19" s="384">
        <f>M19*0.2</f>
        <v>24480</v>
      </c>
      <c r="AH19" s="384">
        <f>N19*0.2</f>
        <v>24480</v>
      </c>
      <c r="AI19" s="384">
        <f>O19*0.2</f>
        <v>24480</v>
      </c>
      <c r="AJ19" s="384">
        <f>P19*0.2</f>
        <v>24480</v>
      </c>
      <c r="AK19" s="387">
        <f>SUM(AG19:AJ19)</f>
        <v>97920</v>
      </c>
      <c r="AL19" s="384">
        <v>0</v>
      </c>
      <c r="AM19" s="385">
        <v>0</v>
      </c>
      <c r="AN19" s="385">
        <v>0</v>
      </c>
      <c r="AO19" s="385">
        <v>0</v>
      </c>
      <c r="AP19" s="388">
        <f>SUM(AL19:AO19)</f>
        <v>0</v>
      </c>
      <c r="AQ19" s="778">
        <f>M19+R19+W19+AB19+AG19+AL19</f>
        <v>146880</v>
      </c>
      <c r="AR19" s="390">
        <f>N19+S19+X19+AC19+AH19+AM19</f>
        <v>146880</v>
      </c>
      <c r="AS19" s="390">
        <f t="shared" ref="AR19:AU29" si="0">O19+T19+Y19+AD19+AI19+AN19</f>
        <v>146880</v>
      </c>
      <c r="AT19" s="390">
        <f t="shared" si="0"/>
        <v>146880</v>
      </c>
      <c r="AU19" s="391">
        <f t="shared" si="0"/>
        <v>587520</v>
      </c>
      <c r="AV19" s="392" t="s">
        <v>425</v>
      </c>
      <c r="AW19" s="392" t="s">
        <v>425</v>
      </c>
      <c r="AX19" s="392" t="s">
        <v>425</v>
      </c>
      <c r="AY19" s="392" t="s">
        <v>425</v>
      </c>
      <c r="AZ19" s="387" t="s">
        <v>425</v>
      </c>
      <c r="BA19" s="393"/>
      <c r="BB19" s="389">
        <f>AQ19*E19/100%</f>
        <v>32313.599999999999</v>
      </c>
      <c r="BC19" s="390">
        <f t="shared" ref="BC19:BC27" si="1">AR19*F19/100%</f>
        <v>32313.599999999999</v>
      </c>
      <c r="BD19" s="390">
        <f t="shared" ref="BD19:BD27" si="2">AS19*G19/100%</f>
        <v>32313.599999999999</v>
      </c>
      <c r="BE19" s="390">
        <f t="shared" ref="BE19:BE27" si="3">AT19*H19/100%</f>
        <v>32313.599999999999</v>
      </c>
      <c r="BF19" s="394">
        <f>SUM(BB19:BE19)</f>
        <v>129254.39999999999</v>
      </c>
      <c r="BG19" s="395"/>
      <c r="BH19" s="396">
        <f>AQ19*(18%+1.5%)/100%</f>
        <v>28641.600000000002</v>
      </c>
      <c r="BI19" s="397">
        <f>AR19*(18%+1.5%)/100%</f>
        <v>28641.600000000002</v>
      </c>
      <c r="BJ19" s="397">
        <f>AS19*(18%+1.5%)/100%</f>
        <v>28641.600000000002</v>
      </c>
      <c r="BK19" s="397">
        <f>AT19*(18%+1.5%)/100%</f>
        <v>28641.600000000002</v>
      </c>
      <c r="BL19" s="398">
        <f>SUM(BH19:BK19)</f>
        <v>114566.40000000001</v>
      </c>
    </row>
    <row r="20" spans="1:64" s="335" customFormat="1" ht="26.45" customHeight="1">
      <c r="C20" s="1125"/>
      <c r="D20" s="399" t="s">
        <v>511</v>
      </c>
      <c r="E20" s="381">
        <v>0.22</v>
      </c>
      <c r="F20" s="381">
        <v>0.22</v>
      </c>
      <c r="G20" s="381">
        <v>0.22</v>
      </c>
      <c r="H20" s="381">
        <v>0.22</v>
      </c>
      <c r="I20" s="384">
        <v>1</v>
      </c>
      <c r="J20" s="384">
        <v>1</v>
      </c>
      <c r="K20" s="384">
        <v>1</v>
      </c>
      <c r="L20" s="384">
        <v>1</v>
      </c>
      <c r="M20" s="403">
        <f>18000*3</f>
        <v>54000</v>
      </c>
      <c r="N20" s="403">
        <f>18000*3</f>
        <v>54000</v>
      </c>
      <c r="O20" s="403">
        <f>18000*3</f>
        <v>54000</v>
      </c>
      <c r="P20" s="403">
        <f>18000*3</f>
        <v>54000</v>
      </c>
      <c r="Q20" s="404">
        <f t="shared" ref="Q20:Q27" si="4">SUM(M20:P20)</f>
        <v>216000</v>
      </c>
      <c r="R20" s="384">
        <v>0</v>
      </c>
      <c r="S20" s="385">
        <v>0</v>
      </c>
      <c r="T20" s="385">
        <v>0</v>
      </c>
      <c r="U20" s="385">
        <v>0</v>
      </c>
      <c r="V20" s="404">
        <f t="shared" ref="V20:V27" si="5">SUM(R20:U20)</f>
        <v>0</v>
      </c>
      <c r="W20" s="762">
        <f>M20*0.4</f>
        <v>21600</v>
      </c>
      <c r="X20" s="762">
        <f>N20*0.4</f>
        <v>21600</v>
      </c>
      <c r="Y20" s="762">
        <f>O20*0.4</f>
        <v>21600</v>
      </c>
      <c r="Z20" s="762">
        <f>P20*0.4</f>
        <v>21600</v>
      </c>
      <c r="AA20" s="404">
        <f t="shared" ref="AA20:AA27" si="6">SUM(W20:Z20)</f>
        <v>86400</v>
      </c>
      <c r="AB20" s="384">
        <v>0</v>
      </c>
      <c r="AC20" s="385">
        <v>0</v>
      </c>
      <c r="AD20" s="385">
        <v>0</v>
      </c>
      <c r="AE20" s="385">
        <v>0</v>
      </c>
      <c r="AF20" s="404">
        <f t="shared" ref="AF20:AF27" si="7">SUM(AB20:AE20)</f>
        <v>0</v>
      </c>
      <c r="AG20" s="384">
        <f>M20*0.5</f>
        <v>27000</v>
      </c>
      <c r="AH20" s="384">
        <f>N20*0.5</f>
        <v>27000</v>
      </c>
      <c r="AI20" s="384">
        <f>O20*0.5</f>
        <v>27000</v>
      </c>
      <c r="AJ20" s="384">
        <f>P20*0.5</f>
        <v>27000</v>
      </c>
      <c r="AK20" s="404">
        <f t="shared" ref="AK20:AK27" si="8">SUM(AG20:AJ20)</f>
        <v>108000</v>
      </c>
      <c r="AL20" s="384">
        <v>0</v>
      </c>
      <c r="AM20" s="385">
        <v>0</v>
      </c>
      <c r="AN20" s="385">
        <v>0</v>
      </c>
      <c r="AO20" s="385">
        <v>0</v>
      </c>
      <c r="AP20" s="405">
        <f t="shared" ref="AP20:AP27" si="9">SUM(AL20:AO20)</f>
        <v>0</v>
      </c>
      <c r="AQ20" s="779">
        <f t="shared" ref="AQ20:AQ27" si="10">M20+R20+W20+AB20+AG20+AL20</f>
        <v>102600</v>
      </c>
      <c r="AR20" s="407">
        <f t="shared" si="0"/>
        <v>102600</v>
      </c>
      <c r="AS20" s="407">
        <f t="shared" si="0"/>
        <v>102600</v>
      </c>
      <c r="AT20" s="407">
        <f t="shared" si="0"/>
        <v>102600</v>
      </c>
      <c r="AU20" s="408">
        <f t="shared" si="0"/>
        <v>410400</v>
      </c>
      <c r="AV20" s="392" t="s">
        <v>425</v>
      </c>
      <c r="AW20" s="392" t="s">
        <v>425</v>
      </c>
      <c r="AX20" s="392" t="s">
        <v>425</v>
      </c>
      <c r="AY20" s="392" t="s">
        <v>425</v>
      </c>
      <c r="AZ20" s="387" t="s">
        <v>425</v>
      </c>
      <c r="BA20" s="343"/>
      <c r="BB20" s="406">
        <f t="shared" ref="BB20:BB26" si="11">AQ20*E20/100%</f>
        <v>22572</v>
      </c>
      <c r="BC20" s="407">
        <f t="shared" si="1"/>
        <v>22572</v>
      </c>
      <c r="BD20" s="407">
        <f t="shared" si="2"/>
        <v>22572</v>
      </c>
      <c r="BE20" s="407">
        <f t="shared" si="3"/>
        <v>22572</v>
      </c>
      <c r="BF20" s="404">
        <f t="shared" ref="BF20:BF27" si="12">SUM(BB20:BE20)</f>
        <v>90288</v>
      </c>
      <c r="BG20" s="343"/>
      <c r="BH20" s="406">
        <f t="shared" ref="BH20:BH27" si="13">AQ20*(18%+1.5%)/100%</f>
        <v>20007</v>
      </c>
      <c r="BI20" s="407">
        <f t="shared" ref="BI20:BI27" si="14">AR20*(18%+1.5%)/100%</f>
        <v>20007</v>
      </c>
      <c r="BJ20" s="407">
        <f t="shared" ref="BJ20:BJ27" si="15">AS20*(18%+1.5%)/100%</f>
        <v>20007</v>
      </c>
      <c r="BK20" s="407">
        <f t="shared" ref="BK20:BK27" si="16">AT20*(18%+1.5%)/100%</f>
        <v>20007</v>
      </c>
      <c r="BL20" s="408">
        <f t="shared" ref="BL20:BL27" si="17">SUM(BH20:BK20)</f>
        <v>80028</v>
      </c>
    </row>
    <row r="21" spans="1:64" s="335" customFormat="1" ht="24" customHeight="1">
      <c r="C21" s="1125"/>
      <c r="D21" s="409" t="s">
        <v>512</v>
      </c>
      <c r="E21" s="381">
        <v>0.22</v>
      </c>
      <c r="F21" s="381">
        <v>0.22</v>
      </c>
      <c r="G21" s="381">
        <v>0.22</v>
      </c>
      <c r="H21" s="381">
        <v>0.22</v>
      </c>
      <c r="I21" s="384">
        <v>1</v>
      </c>
      <c r="J21" s="384">
        <v>1</v>
      </c>
      <c r="K21" s="384">
        <v>1</v>
      </c>
      <c r="L21" s="384">
        <v>1</v>
      </c>
      <c r="M21" s="403">
        <f>32000*3</f>
        <v>96000</v>
      </c>
      <c r="N21" s="403">
        <f>32000*3</f>
        <v>96000</v>
      </c>
      <c r="O21" s="403">
        <f>32000*3</f>
        <v>96000</v>
      </c>
      <c r="P21" s="403">
        <f>32000*3</f>
        <v>96000</v>
      </c>
      <c r="Q21" s="404">
        <f t="shared" si="4"/>
        <v>384000</v>
      </c>
      <c r="R21" s="384">
        <v>0</v>
      </c>
      <c r="S21" s="385">
        <v>0</v>
      </c>
      <c r="T21" s="385">
        <v>0</v>
      </c>
      <c r="U21" s="385">
        <v>0</v>
      </c>
      <c r="V21" s="404">
        <f t="shared" si="5"/>
        <v>0</v>
      </c>
      <c r="W21" s="762">
        <f>M21*0.5</f>
        <v>48000</v>
      </c>
      <c r="X21" s="762">
        <f>N21*0.5</f>
        <v>48000</v>
      </c>
      <c r="Y21" s="762">
        <f>O21*0.5</f>
        <v>48000</v>
      </c>
      <c r="Z21" s="762">
        <f>P21*0.5</f>
        <v>48000</v>
      </c>
      <c r="AA21" s="404">
        <f t="shared" si="6"/>
        <v>192000</v>
      </c>
      <c r="AB21" s="384">
        <v>0</v>
      </c>
      <c r="AC21" s="385">
        <v>0</v>
      </c>
      <c r="AD21" s="385">
        <v>0</v>
      </c>
      <c r="AE21" s="385">
        <v>0</v>
      </c>
      <c r="AF21" s="404">
        <f t="shared" si="7"/>
        <v>0</v>
      </c>
      <c r="AG21" s="384">
        <f>M21*0.6</f>
        <v>57600</v>
      </c>
      <c r="AH21" s="384">
        <f>N21*0.6</f>
        <v>57600</v>
      </c>
      <c r="AI21" s="384">
        <f>O21*0.6</f>
        <v>57600</v>
      </c>
      <c r="AJ21" s="384">
        <f>P21*0.6</f>
        <v>57600</v>
      </c>
      <c r="AK21" s="404">
        <f t="shared" si="8"/>
        <v>230400</v>
      </c>
      <c r="AL21" s="384">
        <v>0</v>
      </c>
      <c r="AM21" s="385">
        <v>0</v>
      </c>
      <c r="AN21" s="385">
        <v>0</v>
      </c>
      <c r="AO21" s="385">
        <v>0</v>
      </c>
      <c r="AP21" s="405">
        <f t="shared" si="9"/>
        <v>0</v>
      </c>
      <c r="AQ21" s="779">
        <f t="shared" si="10"/>
        <v>201600</v>
      </c>
      <c r="AR21" s="407">
        <f t="shared" si="0"/>
        <v>201600</v>
      </c>
      <c r="AS21" s="407">
        <f t="shared" si="0"/>
        <v>201600</v>
      </c>
      <c r="AT21" s="407">
        <f t="shared" si="0"/>
        <v>201600</v>
      </c>
      <c r="AU21" s="408">
        <f t="shared" si="0"/>
        <v>806400</v>
      </c>
      <c r="AV21" s="392" t="s">
        <v>425</v>
      </c>
      <c r="AW21" s="392" t="s">
        <v>425</v>
      </c>
      <c r="AX21" s="392" t="s">
        <v>425</v>
      </c>
      <c r="AY21" s="392" t="s">
        <v>425</v>
      </c>
      <c r="AZ21" s="387" t="s">
        <v>425</v>
      </c>
      <c r="BA21" s="343"/>
      <c r="BB21" s="406">
        <f t="shared" si="11"/>
        <v>44352</v>
      </c>
      <c r="BC21" s="407">
        <f>AR21*F21/100%</f>
        <v>44352</v>
      </c>
      <c r="BD21" s="407">
        <f t="shared" si="2"/>
        <v>44352</v>
      </c>
      <c r="BE21" s="407">
        <f t="shared" si="3"/>
        <v>44352</v>
      </c>
      <c r="BF21" s="404">
        <f t="shared" si="12"/>
        <v>177408</v>
      </c>
      <c r="BG21" s="343"/>
      <c r="BH21" s="406">
        <f t="shared" si="13"/>
        <v>39312</v>
      </c>
      <c r="BI21" s="407">
        <f>AR21*(18%+1.5%)/100%</f>
        <v>39312</v>
      </c>
      <c r="BJ21" s="407">
        <f t="shared" si="15"/>
        <v>39312</v>
      </c>
      <c r="BK21" s="407">
        <f t="shared" si="16"/>
        <v>39312</v>
      </c>
      <c r="BL21" s="408">
        <f t="shared" si="17"/>
        <v>157248</v>
      </c>
    </row>
    <row r="22" spans="1:64" s="335" customFormat="1" ht="24.6" customHeight="1">
      <c r="C22" s="1125"/>
      <c r="D22" s="409" t="s">
        <v>510</v>
      </c>
      <c r="E22" s="381">
        <v>0.22</v>
      </c>
      <c r="F22" s="381">
        <v>0.22</v>
      </c>
      <c r="G22" s="381">
        <v>0.22</v>
      </c>
      <c r="H22" s="381">
        <v>0.22</v>
      </c>
      <c r="I22" s="384">
        <v>1</v>
      </c>
      <c r="J22" s="384">
        <v>1</v>
      </c>
      <c r="K22" s="384">
        <v>1</v>
      </c>
      <c r="L22" s="384">
        <v>1</v>
      </c>
      <c r="M22" s="403">
        <f>20000*3</f>
        <v>60000</v>
      </c>
      <c r="N22" s="403">
        <f>20000*3</f>
        <v>60000</v>
      </c>
      <c r="O22" s="403">
        <f>20000*3</f>
        <v>60000</v>
      </c>
      <c r="P22" s="403">
        <f>20000*3</f>
        <v>60000</v>
      </c>
      <c r="Q22" s="404">
        <f t="shared" si="4"/>
        <v>240000</v>
      </c>
      <c r="R22" s="384">
        <v>0</v>
      </c>
      <c r="S22" s="385">
        <v>0</v>
      </c>
      <c r="T22" s="385">
        <v>0</v>
      </c>
      <c r="U22" s="385">
        <v>0</v>
      </c>
      <c r="V22" s="404">
        <f t="shared" si="5"/>
        <v>0</v>
      </c>
      <c r="W22" s="762">
        <v>0</v>
      </c>
      <c r="X22" s="762">
        <v>0</v>
      </c>
      <c r="Y22" s="762">
        <v>0</v>
      </c>
      <c r="Z22" s="762">
        <v>0</v>
      </c>
      <c r="AA22" s="404">
        <f t="shared" si="6"/>
        <v>0</v>
      </c>
      <c r="AB22" s="384">
        <v>0</v>
      </c>
      <c r="AC22" s="385">
        <v>0</v>
      </c>
      <c r="AD22" s="385">
        <v>0</v>
      </c>
      <c r="AE22" s="385">
        <v>0</v>
      </c>
      <c r="AF22" s="404">
        <f t="shared" si="7"/>
        <v>0</v>
      </c>
      <c r="AG22" s="384">
        <v>0</v>
      </c>
      <c r="AH22" s="384">
        <v>0</v>
      </c>
      <c r="AI22" s="384">
        <v>0</v>
      </c>
      <c r="AJ22" s="384">
        <v>0</v>
      </c>
      <c r="AK22" s="404">
        <f t="shared" si="8"/>
        <v>0</v>
      </c>
      <c r="AL22" s="384">
        <v>0</v>
      </c>
      <c r="AM22" s="385">
        <v>0</v>
      </c>
      <c r="AN22" s="385">
        <v>0</v>
      </c>
      <c r="AO22" s="385">
        <v>0</v>
      </c>
      <c r="AP22" s="405">
        <f t="shared" si="9"/>
        <v>0</v>
      </c>
      <c r="AQ22" s="779">
        <f t="shared" si="10"/>
        <v>60000</v>
      </c>
      <c r="AR22" s="407">
        <f t="shared" si="0"/>
        <v>60000</v>
      </c>
      <c r="AS22" s="407">
        <f t="shared" si="0"/>
        <v>60000</v>
      </c>
      <c r="AT22" s="407">
        <f t="shared" si="0"/>
        <v>60000</v>
      </c>
      <c r="AU22" s="408">
        <f t="shared" si="0"/>
        <v>240000</v>
      </c>
      <c r="AV22" s="392" t="s">
        <v>425</v>
      </c>
      <c r="AW22" s="392" t="s">
        <v>425</v>
      </c>
      <c r="AX22" s="392" t="s">
        <v>425</v>
      </c>
      <c r="AY22" s="392" t="s">
        <v>425</v>
      </c>
      <c r="AZ22" s="387" t="s">
        <v>425</v>
      </c>
      <c r="BA22" s="343"/>
      <c r="BB22" s="406">
        <f t="shared" si="11"/>
        <v>13200</v>
      </c>
      <c r="BC22" s="407">
        <f t="shared" si="1"/>
        <v>13200</v>
      </c>
      <c r="BD22" s="407">
        <f t="shared" si="2"/>
        <v>13200</v>
      </c>
      <c r="BE22" s="407">
        <f t="shared" si="3"/>
        <v>13200</v>
      </c>
      <c r="BF22" s="404">
        <f t="shared" si="12"/>
        <v>52800</v>
      </c>
      <c r="BG22" s="343"/>
      <c r="BH22" s="406">
        <f t="shared" si="13"/>
        <v>11700</v>
      </c>
      <c r="BI22" s="407">
        <f t="shared" si="14"/>
        <v>11700</v>
      </c>
      <c r="BJ22" s="407">
        <f t="shared" si="15"/>
        <v>11700</v>
      </c>
      <c r="BK22" s="407">
        <f t="shared" si="16"/>
        <v>11700</v>
      </c>
      <c r="BL22" s="408">
        <f t="shared" si="17"/>
        <v>46800</v>
      </c>
    </row>
    <row r="23" spans="1:64" s="335" customFormat="1" ht="24" customHeight="1">
      <c r="C23" s="1125"/>
      <c r="D23" s="409" t="s">
        <v>522</v>
      </c>
      <c r="E23" s="381">
        <v>0.22</v>
      </c>
      <c r="F23" s="381">
        <v>0.22</v>
      </c>
      <c r="G23" s="381">
        <v>0.22</v>
      </c>
      <c r="H23" s="381">
        <v>0.22</v>
      </c>
      <c r="I23" s="709">
        <v>0.5</v>
      </c>
      <c r="J23" s="709">
        <v>0.5</v>
      </c>
      <c r="K23" s="709">
        <v>0.5</v>
      </c>
      <c r="L23" s="709">
        <v>0.5</v>
      </c>
      <c r="M23" s="403">
        <f>(13000*3)*0.5</f>
        <v>19500</v>
      </c>
      <c r="N23" s="403">
        <f>(13000*3)*0.5</f>
        <v>19500</v>
      </c>
      <c r="O23" s="403">
        <f>(13000*3)*0.5</f>
        <v>19500</v>
      </c>
      <c r="P23" s="403">
        <f>(13000*3)*0.5</f>
        <v>19500</v>
      </c>
      <c r="Q23" s="404">
        <f t="shared" si="4"/>
        <v>78000</v>
      </c>
      <c r="R23" s="384">
        <v>0</v>
      </c>
      <c r="S23" s="385">
        <v>0</v>
      </c>
      <c r="T23" s="385">
        <v>0</v>
      </c>
      <c r="U23" s="385">
        <v>0</v>
      </c>
      <c r="V23" s="404">
        <f t="shared" si="5"/>
        <v>0</v>
      </c>
      <c r="W23" s="762">
        <v>0</v>
      </c>
      <c r="X23" s="763">
        <v>0</v>
      </c>
      <c r="Y23" s="763">
        <v>0</v>
      </c>
      <c r="Z23" s="763">
        <v>0</v>
      </c>
      <c r="AA23" s="404">
        <f t="shared" si="6"/>
        <v>0</v>
      </c>
      <c r="AB23" s="403">
        <f>M23*0.1</f>
        <v>1950</v>
      </c>
      <c r="AC23" s="403">
        <f>N23*0.1</f>
        <v>1950</v>
      </c>
      <c r="AD23" s="403">
        <f>O23*0.1</f>
        <v>1950</v>
      </c>
      <c r="AE23" s="403">
        <f>P23*0.1</f>
        <v>1950</v>
      </c>
      <c r="AF23" s="404">
        <f t="shared" si="7"/>
        <v>7800</v>
      </c>
      <c r="AG23" s="384">
        <v>0</v>
      </c>
      <c r="AH23" s="384">
        <v>0</v>
      </c>
      <c r="AI23" s="384">
        <v>0</v>
      </c>
      <c r="AJ23" s="384">
        <v>0</v>
      </c>
      <c r="AK23" s="404">
        <f t="shared" si="8"/>
        <v>0</v>
      </c>
      <c r="AL23" s="384">
        <v>0</v>
      </c>
      <c r="AM23" s="385">
        <v>0</v>
      </c>
      <c r="AN23" s="385">
        <v>0</v>
      </c>
      <c r="AO23" s="385">
        <v>0</v>
      </c>
      <c r="AP23" s="405">
        <f t="shared" si="9"/>
        <v>0</v>
      </c>
      <c r="AQ23" s="779">
        <f t="shared" si="10"/>
        <v>21450</v>
      </c>
      <c r="AR23" s="407">
        <f t="shared" si="0"/>
        <v>21450</v>
      </c>
      <c r="AS23" s="407">
        <f t="shared" si="0"/>
        <v>21450</v>
      </c>
      <c r="AT23" s="407">
        <f t="shared" si="0"/>
        <v>21450</v>
      </c>
      <c r="AU23" s="408">
        <f t="shared" si="0"/>
        <v>85800</v>
      </c>
      <c r="AV23" s="392" t="s">
        <v>425</v>
      </c>
      <c r="AW23" s="392" t="s">
        <v>425</v>
      </c>
      <c r="AX23" s="392" t="s">
        <v>425</v>
      </c>
      <c r="AY23" s="392" t="s">
        <v>425</v>
      </c>
      <c r="AZ23" s="387" t="s">
        <v>425</v>
      </c>
      <c r="BA23" s="343"/>
      <c r="BB23" s="406">
        <f t="shared" si="11"/>
        <v>4719</v>
      </c>
      <c r="BC23" s="407">
        <f t="shared" si="1"/>
        <v>4719</v>
      </c>
      <c r="BD23" s="407">
        <f t="shared" si="2"/>
        <v>4719</v>
      </c>
      <c r="BE23" s="407">
        <f t="shared" si="3"/>
        <v>4719</v>
      </c>
      <c r="BF23" s="404">
        <f t="shared" si="12"/>
        <v>18876</v>
      </c>
      <c r="BG23" s="343"/>
      <c r="BH23" s="406">
        <f t="shared" si="13"/>
        <v>4182.75</v>
      </c>
      <c r="BI23" s="407">
        <f t="shared" si="14"/>
        <v>4182.75</v>
      </c>
      <c r="BJ23" s="407">
        <f t="shared" si="15"/>
        <v>4182.75</v>
      </c>
      <c r="BK23" s="407">
        <f t="shared" si="16"/>
        <v>4182.75</v>
      </c>
      <c r="BL23" s="408">
        <f t="shared" si="17"/>
        <v>16731</v>
      </c>
    </row>
    <row r="24" spans="1:64" s="335" customFormat="1" ht="17.45" customHeight="1">
      <c r="C24" s="1125"/>
      <c r="D24" s="410"/>
      <c r="E24" s="400"/>
      <c r="F24" s="401"/>
      <c r="G24" s="401"/>
      <c r="H24" s="402"/>
      <c r="I24" s="384"/>
      <c r="J24" s="385"/>
      <c r="K24" s="385"/>
      <c r="L24" s="386"/>
      <c r="M24" s="403"/>
      <c r="N24" s="338"/>
      <c r="O24" s="338"/>
      <c r="P24" s="338"/>
      <c r="Q24" s="404">
        <f t="shared" si="4"/>
        <v>0</v>
      </c>
      <c r="R24" s="403"/>
      <c r="S24" s="338"/>
      <c r="T24" s="338"/>
      <c r="U24" s="338"/>
      <c r="V24" s="404">
        <f t="shared" si="5"/>
        <v>0</v>
      </c>
      <c r="W24" s="428"/>
      <c r="X24" s="429"/>
      <c r="Y24" s="429"/>
      <c r="Z24" s="429"/>
      <c r="AA24" s="404">
        <f t="shared" si="6"/>
        <v>0</v>
      </c>
      <c r="AB24" s="403"/>
      <c r="AC24" s="338"/>
      <c r="AD24" s="338"/>
      <c r="AE24" s="338"/>
      <c r="AF24" s="404">
        <f t="shared" si="7"/>
        <v>0</v>
      </c>
      <c r="AG24" s="403"/>
      <c r="AH24" s="338"/>
      <c r="AI24" s="338"/>
      <c r="AJ24" s="338"/>
      <c r="AK24" s="404">
        <f t="shared" si="8"/>
        <v>0</v>
      </c>
      <c r="AL24" s="403"/>
      <c r="AM24" s="338"/>
      <c r="AN24" s="338"/>
      <c r="AO24" s="338"/>
      <c r="AP24" s="405">
        <f t="shared" si="9"/>
        <v>0</v>
      </c>
      <c r="AQ24" s="779">
        <f t="shared" si="10"/>
        <v>0</v>
      </c>
      <c r="AR24" s="407">
        <f t="shared" si="0"/>
        <v>0</v>
      </c>
      <c r="AS24" s="407">
        <f t="shared" si="0"/>
        <v>0</v>
      </c>
      <c r="AT24" s="407">
        <f t="shared" si="0"/>
        <v>0</v>
      </c>
      <c r="AU24" s="408">
        <f t="shared" si="0"/>
        <v>0</v>
      </c>
      <c r="AV24" s="392" t="s">
        <v>425</v>
      </c>
      <c r="AW24" s="392" t="s">
        <v>425</v>
      </c>
      <c r="AX24" s="392" t="s">
        <v>425</v>
      </c>
      <c r="AY24" s="392" t="s">
        <v>425</v>
      </c>
      <c r="AZ24" s="387" t="s">
        <v>425</v>
      </c>
      <c r="BA24" s="343"/>
      <c r="BB24" s="406">
        <f t="shared" si="11"/>
        <v>0</v>
      </c>
      <c r="BC24" s="407">
        <f t="shared" si="1"/>
        <v>0</v>
      </c>
      <c r="BD24" s="407">
        <f t="shared" si="2"/>
        <v>0</v>
      </c>
      <c r="BE24" s="407">
        <f t="shared" si="3"/>
        <v>0</v>
      </c>
      <c r="BF24" s="404">
        <f t="shared" si="12"/>
        <v>0</v>
      </c>
      <c r="BG24" s="343"/>
      <c r="BH24" s="406">
        <f t="shared" si="13"/>
        <v>0</v>
      </c>
      <c r="BI24" s="407">
        <f t="shared" si="14"/>
        <v>0</v>
      </c>
      <c r="BJ24" s="407">
        <f t="shared" si="15"/>
        <v>0</v>
      </c>
      <c r="BK24" s="407">
        <f t="shared" si="16"/>
        <v>0</v>
      </c>
      <c r="BL24" s="408">
        <f t="shared" si="17"/>
        <v>0</v>
      </c>
    </row>
    <row r="25" spans="1:64" s="335" customFormat="1" ht="23.45" customHeight="1">
      <c r="C25" s="1125"/>
      <c r="D25" s="410"/>
      <c r="E25" s="400"/>
      <c r="F25" s="401"/>
      <c r="G25" s="401"/>
      <c r="H25" s="402"/>
      <c r="I25" s="403"/>
      <c r="J25" s="338"/>
      <c r="K25" s="338"/>
      <c r="L25" s="411"/>
      <c r="M25" s="403"/>
      <c r="N25" s="338"/>
      <c r="O25" s="338"/>
      <c r="P25" s="338"/>
      <c r="Q25" s="404">
        <f t="shared" si="4"/>
        <v>0</v>
      </c>
      <c r="R25" s="403"/>
      <c r="S25" s="338"/>
      <c r="T25" s="338"/>
      <c r="U25" s="338"/>
      <c r="V25" s="404">
        <f t="shared" si="5"/>
        <v>0</v>
      </c>
      <c r="W25" s="428"/>
      <c r="X25" s="429"/>
      <c r="Y25" s="429"/>
      <c r="Z25" s="429"/>
      <c r="AA25" s="404">
        <f t="shared" si="6"/>
        <v>0</v>
      </c>
      <c r="AB25" s="403"/>
      <c r="AC25" s="338"/>
      <c r="AD25" s="338"/>
      <c r="AE25" s="338"/>
      <c r="AF25" s="404">
        <f t="shared" si="7"/>
        <v>0</v>
      </c>
      <c r="AG25" s="403"/>
      <c r="AH25" s="338"/>
      <c r="AI25" s="338"/>
      <c r="AJ25" s="338"/>
      <c r="AK25" s="404">
        <f t="shared" si="8"/>
        <v>0</v>
      </c>
      <c r="AL25" s="403"/>
      <c r="AM25" s="338"/>
      <c r="AN25" s="338"/>
      <c r="AO25" s="338"/>
      <c r="AP25" s="405">
        <f t="shared" si="9"/>
        <v>0</v>
      </c>
      <c r="AQ25" s="779">
        <f t="shared" si="10"/>
        <v>0</v>
      </c>
      <c r="AR25" s="407">
        <f t="shared" si="0"/>
        <v>0</v>
      </c>
      <c r="AS25" s="407">
        <f t="shared" si="0"/>
        <v>0</v>
      </c>
      <c r="AT25" s="407">
        <f t="shared" si="0"/>
        <v>0</v>
      </c>
      <c r="AU25" s="408">
        <f t="shared" si="0"/>
        <v>0</v>
      </c>
      <c r="AV25" s="392" t="s">
        <v>425</v>
      </c>
      <c r="AW25" s="392" t="s">
        <v>425</v>
      </c>
      <c r="AX25" s="392" t="s">
        <v>425</v>
      </c>
      <c r="AY25" s="392" t="s">
        <v>425</v>
      </c>
      <c r="AZ25" s="387" t="s">
        <v>425</v>
      </c>
      <c r="BA25" s="343"/>
      <c r="BB25" s="406">
        <f t="shared" si="11"/>
        <v>0</v>
      </c>
      <c r="BC25" s="407">
        <f t="shared" si="1"/>
        <v>0</v>
      </c>
      <c r="BD25" s="407">
        <f t="shared" si="2"/>
        <v>0</v>
      </c>
      <c r="BE25" s="407">
        <f t="shared" si="3"/>
        <v>0</v>
      </c>
      <c r="BF25" s="404">
        <f t="shared" si="12"/>
        <v>0</v>
      </c>
      <c r="BG25" s="343"/>
      <c r="BH25" s="406">
        <f t="shared" si="13"/>
        <v>0</v>
      </c>
      <c r="BI25" s="407">
        <f t="shared" si="14"/>
        <v>0</v>
      </c>
      <c r="BJ25" s="407">
        <f t="shared" si="15"/>
        <v>0</v>
      </c>
      <c r="BK25" s="407">
        <f t="shared" si="16"/>
        <v>0</v>
      </c>
      <c r="BL25" s="408">
        <f t="shared" si="17"/>
        <v>0</v>
      </c>
    </row>
    <row r="26" spans="1:64" s="335" customFormat="1" ht="23.45" customHeight="1">
      <c r="C26" s="1125"/>
      <c r="D26" s="410"/>
      <c r="E26" s="400"/>
      <c r="F26" s="401"/>
      <c r="G26" s="401"/>
      <c r="H26" s="402"/>
      <c r="I26" s="403"/>
      <c r="J26" s="338"/>
      <c r="K26" s="338"/>
      <c r="L26" s="411"/>
      <c r="M26" s="403"/>
      <c r="N26" s="338"/>
      <c r="O26" s="338"/>
      <c r="P26" s="338"/>
      <c r="Q26" s="404">
        <f t="shared" si="4"/>
        <v>0</v>
      </c>
      <c r="R26" s="403"/>
      <c r="S26" s="338"/>
      <c r="T26" s="338"/>
      <c r="U26" s="338"/>
      <c r="V26" s="404">
        <f>SUM(R26:U26)</f>
        <v>0</v>
      </c>
      <c r="W26" s="428"/>
      <c r="X26" s="429"/>
      <c r="Y26" s="429"/>
      <c r="Z26" s="429"/>
      <c r="AA26" s="404">
        <f t="shared" si="6"/>
        <v>0</v>
      </c>
      <c r="AB26" s="403"/>
      <c r="AC26" s="338"/>
      <c r="AD26" s="338"/>
      <c r="AE26" s="338"/>
      <c r="AF26" s="404">
        <f t="shared" si="7"/>
        <v>0</v>
      </c>
      <c r="AG26" s="403"/>
      <c r="AH26" s="338"/>
      <c r="AI26" s="338"/>
      <c r="AJ26" s="338"/>
      <c r="AK26" s="404">
        <f t="shared" si="8"/>
        <v>0</v>
      </c>
      <c r="AL26" s="403"/>
      <c r="AM26" s="338"/>
      <c r="AN26" s="338"/>
      <c r="AO26" s="338"/>
      <c r="AP26" s="405">
        <f t="shared" si="9"/>
        <v>0</v>
      </c>
      <c r="AQ26" s="779">
        <f t="shared" si="10"/>
        <v>0</v>
      </c>
      <c r="AR26" s="407">
        <f t="shared" si="0"/>
        <v>0</v>
      </c>
      <c r="AS26" s="407">
        <f t="shared" si="0"/>
        <v>0</v>
      </c>
      <c r="AT26" s="407">
        <f t="shared" si="0"/>
        <v>0</v>
      </c>
      <c r="AU26" s="408">
        <f t="shared" si="0"/>
        <v>0</v>
      </c>
      <c r="AV26" s="392" t="s">
        <v>425</v>
      </c>
      <c r="AW26" s="392" t="s">
        <v>425</v>
      </c>
      <c r="AX26" s="392" t="s">
        <v>425</v>
      </c>
      <c r="AY26" s="392" t="s">
        <v>425</v>
      </c>
      <c r="AZ26" s="387" t="s">
        <v>425</v>
      </c>
      <c r="BA26" s="343"/>
      <c r="BB26" s="406">
        <f t="shared" si="11"/>
        <v>0</v>
      </c>
      <c r="BC26" s="407">
        <f t="shared" si="1"/>
        <v>0</v>
      </c>
      <c r="BD26" s="407">
        <f t="shared" si="2"/>
        <v>0</v>
      </c>
      <c r="BE26" s="407">
        <f t="shared" si="3"/>
        <v>0</v>
      </c>
      <c r="BF26" s="404">
        <f t="shared" si="12"/>
        <v>0</v>
      </c>
      <c r="BG26" s="343"/>
      <c r="BH26" s="406">
        <f t="shared" si="13"/>
        <v>0</v>
      </c>
      <c r="BI26" s="407">
        <f t="shared" si="14"/>
        <v>0</v>
      </c>
      <c r="BJ26" s="407">
        <f t="shared" si="15"/>
        <v>0</v>
      </c>
      <c r="BK26" s="407">
        <f t="shared" si="16"/>
        <v>0</v>
      </c>
      <c r="BL26" s="408">
        <f t="shared" si="17"/>
        <v>0</v>
      </c>
    </row>
    <row r="27" spans="1:64" s="335" customFormat="1" ht="23.45" customHeight="1">
      <c r="C27" s="1125"/>
      <c r="D27" s="410"/>
      <c r="E27" s="400"/>
      <c r="F27" s="401"/>
      <c r="G27" s="401"/>
      <c r="H27" s="402"/>
      <c r="I27" s="403"/>
      <c r="J27" s="338"/>
      <c r="K27" s="338"/>
      <c r="L27" s="411"/>
      <c r="M27" s="403"/>
      <c r="N27" s="338"/>
      <c r="O27" s="338"/>
      <c r="P27" s="338"/>
      <c r="Q27" s="404">
        <f t="shared" si="4"/>
        <v>0</v>
      </c>
      <c r="R27" s="403"/>
      <c r="S27" s="338"/>
      <c r="T27" s="338"/>
      <c r="U27" s="338"/>
      <c r="V27" s="404">
        <f t="shared" si="5"/>
        <v>0</v>
      </c>
      <c r="W27" s="428"/>
      <c r="X27" s="429"/>
      <c r="Y27" s="429"/>
      <c r="Z27" s="429"/>
      <c r="AA27" s="404">
        <f t="shared" si="6"/>
        <v>0</v>
      </c>
      <c r="AB27" s="403"/>
      <c r="AC27" s="338"/>
      <c r="AD27" s="338"/>
      <c r="AE27" s="338"/>
      <c r="AF27" s="404">
        <f t="shared" si="7"/>
        <v>0</v>
      </c>
      <c r="AG27" s="403"/>
      <c r="AH27" s="338"/>
      <c r="AI27" s="338"/>
      <c r="AJ27" s="338"/>
      <c r="AK27" s="404">
        <f t="shared" si="8"/>
        <v>0</v>
      </c>
      <c r="AL27" s="403"/>
      <c r="AM27" s="338"/>
      <c r="AN27" s="338"/>
      <c r="AO27" s="338"/>
      <c r="AP27" s="405">
        <f t="shared" si="9"/>
        <v>0</v>
      </c>
      <c r="AQ27" s="779">
        <f t="shared" si="10"/>
        <v>0</v>
      </c>
      <c r="AR27" s="407">
        <f t="shared" si="0"/>
        <v>0</v>
      </c>
      <c r="AS27" s="407">
        <f t="shared" si="0"/>
        <v>0</v>
      </c>
      <c r="AT27" s="407">
        <f t="shared" si="0"/>
        <v>0</v>
      </c>
      <c r="AU27" s="408">
        <f t="shared" si="0"/>
        <v>0</v>
      </c>
      <c r="AV27" s="392" t="s">
        <v>425</v>
      </c>
      <c r="AW27" s="392" t="s">
        <v>425</v>
      </c>
      <c r="AX27" s="392" t="s">
        <v>425</v>
      </c>
      <c r="AY27" s="392" t="s">
        <v>425</v>
      </c>
      <c r="AZ27" s="387" t="s">
        <v>425</v>
      </c>
      <c r="BA27" s="343"/>
      <c r="BB27" s="406">
        <f>AQ27*E27/100%</f>
        <v>0</v>
      </c>
      <c r="BC27" s="407">
        <f t="shared" si="1"/>
        <v>0</v>
      </c>
      <c r="BD27" s="407">
        <f t="shared" si="2"/>
        <v>0</v>
      </c>
      <c r="BE27" s="407">
        <f t="shared" si="3"/>
        <v>0</v>
      </c>
      <c r="BF27" s="404">
        <f t="shared" si="12"/>
        <v>0</v>
      </c>
      <c r="BG27" s="343"/>
      <c r="BH27" s="406">
        <f t="shared" si="13"/>
        <v>0</v>
      </c>
      <c r="BI27" s="407">
        <f t="shared" si="14"/>
        <v>0</v>
      </c>
      <c r="BJ27" s="407">
        <f t="shared" si="15"/>
        <v>0</v>
      </c>
      <c r="BK27" s="407">
        <f t="shared" si="16"/>
        <v>0</v>
      </c>
      <c r="BL27" s="408">
        <f t="shared" si="17"/>
        <v>0</v>
      </c>
    </row>
    <row r="28" spans="1:64" s="412" customFormat="1" ht="33.75" customHeight="1" thickBot="1">
      <c r="C28" s="1161"/>
      <c r="D28" s="413" t="s">
        <v>507</v>
      </c>
      <c r="E28" s="414" t="s">
        <v>423</v>
      </c>
      <c r="F28" s="415" t="s">
        <v>423</v>
      </c>
      <c r="G28" s="415" t="s">
        <v>423</v>
      </c>
      <c r="H28" s="416" t="s">
        <v>423</v>
      </c>
      <c r="I28" s="796">
        <f t="shared" ref="I28:AP28" si="18">SUM(I19:I27)</f>
        <v>4.5</v>
      </c>
      <c r="J28" s="797">
        <f t="shared" si="18"/>
        <v>4.5</v>
      </c>
      <c r="K28" s="797">
        <f t="shared" si="18"/>
        <v>4.5</v>
      </c>
      <c r="L28" s="798">
        <f t="shared" si="18"/>
        <v>4.5</v>
      </c>
      <c r="M28" s="414">
        <f>SUM(M19:M27)</f>
        <v>351900</v>
      </c>
      <c r="N28" s="415">
        <f>SUM(N19:N27)</f>
        <v>351900</v>
      </c>
      <c r="O28" s="415">
        <f>SUM(O19:O27)</f>
        <v>351900</v>
      </c>
      <c r="P28" s="415">
        <f>SUM(P19:P27)</f>
        <v>351900</v>
      </c>
      <c r="Q28" s="416">
        <f t="shared" si="18"/>
        <v>1407600</v>
      </c>
      <c r="R28" s="417">
        <f t="shared" si="18"/>
        <v>0</v>
      </c>
      <c r="S28" s="418">
        <f t="shared" si="18"/>
        <v>0</v>
      </c>
      <c r="T28" s="418">
        <f t="shared" si="18"/>
        <v>0</v>
      </c>
      <c r="U28" s="418">
        <f t="shared" si="18"/>
        <v>0</v>
      </c>
      <c r="V28" s="419">
        <f t="shared" si="18"/>
        <v>0</v>
      </c>
      <c r="W28" s="764">
        <f t="shared" si="18"/>
        <v>69600</v>
      </c>
      <c r="X28" s="765">
        <f t="shared" si="18"/>
        <v>69600</v>
      </c>
      <c r="Y28" s="765">
        <f t="shared" si="18"/>
        <v>69600</v>
      </c>
      <c r="Z28" s="765">
        <f t="shared" si="18"/>
        <v>69600</v>
      </c>
      <c r="AA28" s="416">
        <f t="shared" si="18"/>
        <v>278400</v>
      </c>
      <c r="AB28" s="414">
        <f t="shared" si="18"/>
        <v>1950</v>
      </c>
      <c r="AC28" s="415">
        <f t="shared" si="18"/>
        <v>1950</v>
      </c>
      <c r="AD28" s="415">
        <f t="shared" si="18"/>
        <v>1950</v>
      </c>
      <c r="AE28" s="415">
        <f t="shared" si="18"/>
        <v>1950</v>
      </c>
      <c r="AF28" s="416">
        <f t="shared" si="18"/>
        <v>7800</v>
      </c>
      <c r="AG28" s="414">
        <f t="shared" si="18"/>
        <v>109080</v>
      </c>
      <c r="AH28" s="415">
        <f t="shared" si="18"/>
        <v>109080</v>
      </c>
      <c r="AI28" s="415">
        <f t="shared" si="18"/>
        <v>109080</v>
      </c>
      <c r="AJ28" s="415">
        <f t="shared" si="18"/>
        <v>109080</v>
      </c>
      <c r="AK28" s="416">
        <f t="shared" si="18"/>
        <v>436320</v>
      </c>
      <c r="AL28" s="414">
        <f t="shared" si="18"/>
        <v>0</v>
      </c>
      <c r="AM28" s="415">
        <f t="shared" si="18"/>
        <v>0</v>
      </c>
      <c r="AN28" s="415">
        <f t="shared" si="18"/>
        <v>0</v>
      </c>
      <c r="AO28" s="415">
        <f t="shared" si="18"/>
        <v>0</v>
      </c>
      <c r="AP28" s="420">
        <f t="shared" si="18"/>
        <v>0</v>
      </c>
      <c r="AQ28" s="789">
        <f>M28+R28+W28+AB28+AG28+AL28</f>
        <v>532530</v>
      </c>
      <c r="AR28" s="421">
        <f t="shared" si="0"/>
        <v>532530</v>
      </c>
      <c r="AS28" s="421">
        <f t="shared" si="0"/>
        <v>532530</v>
      </c>
      <c r="AT28" s="421">
        <f t="shared" si="0"/>
        <v>532530</v>
      </c>
      <c r="AU28" s="422">
        <f>Q28+V28+AA28+AF28+AK28+AP28</f>
        <v>2130120</v>
      </c>
      <c r="AV28" s="423">
        <v>0</v>
      </c>
      <c r="AW28" s="423">
        <v>0</v>
      </c>
      <c r="AX28" s="423">
        <v>0</v>
      </c>
      <c r="AY28" s="423">
        <v>0</v>
      </c>
      <c r="AZ28" s="416">
        <v>0</v>
      </c>
      <c r="BA28" s="261"/>
      <c r="BB28" s="414">
        <f>SUM(BB19:BB27)</f>
        <v>117156.6</v>
      </c>
      <c r="BC28" s="415">
        <f>SUM(BC19:BC27)</f>
        <v>117156.6</v>
      </c>
      <c r="BD28" s="415">
        <f>SUM(BD19:BD27)</f>
        <v>117156.6</v>
      </c>
      <c r="BE28" s="415">
        <f>SUM(BE19:BE27)</f>
        <v>117156.6</v>
      </c>
      <c r="BF28" s="416">
        <f>SUM(BF19:BF27)</f>
        <v>468626.4</v>
      </c>
      <c r="BG28" s="261"/>
      <c r="BH28" s="417">
        <f>SUM(BH19:BH27)</f>
        <v>103843.35</v>
      </c>
      <c r="BI28" s="418">
        <f>SUM(BI19:BI27)</f>
        <v>103843.35</v>
      </c>
      <c r="BJ28" s="418">
        <f>SUM(BJ19:BJ27)</f>
        <v>103843.35</v>
      </c>
      <c r="BK28" s="418">
        <f>SUM(BK19:BK27)</f>
        <v>103843.35</v>
      </c>
      <c r="BL28" s="419">
        <f>SUM(BL19:BL27)</f>
        <v>415373.4</v>
      </c>
    </row>
    <row r="29" spans="1:64" s="335" customFormat="1" ht="49.5" customHeight="1" thickBot="1">
      <c r="A29" s="713"/>
      <c r="B29" s="713"/>
      <c r="C29" s="1127" t="s">
        <v>566</v>
      </c>
      <c r="D29" s="692" t="s">
        <v>179</v>
      </c>
      <c r="E29" s="693">
        <v>0.22</v>
      </c>
      <c r="F29" s="694">
        <v>0.22</v>
      </c>
      <c r="G29" s="694">
        <v>0.22</v>
      </c>
      <c r="H29" s="695">
        <v>0.22</v>
      </c>
      <c r="I29" s="742">
        <f>2+2.5</f>
        <v>4.5</v>
      </c>
      <c r="J29" s="742">
        <f>2+2.5</f>
        <v>4.5</v>
      </c>
      <c r="K29" s="742">
        <f>2+2.5</f>
        <v>4.5</v>
      </c>
      <c r="L29" s="742">
        <f>2+2.5</f>
        <v>4.5</v>
      </c>
      <c r="M29" s="696">
        <f>(10800*4.5)*3</f>
        <v>145800</v>
      </c>
      <c r="N29" s="696">
        <f>(10800*4.5)*3</f>
        <v>145800</v>
      </c>
      <c r="O29" s="696">
        <f>(10800*4.5)*3</f>
        <v>145800</v>
      </c>
      <c r="P29" s="696">
        <f>(10800*4.5)*3</f>
        <v>145800</v>
      </c>
      <c r="Q29" s="698">
        <f>SUM(M29:P29)</f>
        <v>583200</v>
      </c>
      <c r="R29" s="696">
        <f>30800*3</f>
        <v>92400</v>
      </c>
      <c r="S29" s="696">
        <f>30800*3</f>
        <v>92400</v>
      </c>
      <c r="T29" s="696">
        <f>30800*3</f>
        <v>92400</v>
      </c>
      <c r="U29" s="696">
        <f>30800*3</f>
        <v>92400</v>
      </c>
      <c r="V29" s="699">
        <f>SUM(R29:U29)</f>
        <v>369600</v>
      </c>
      <c r="W29" s="766">
        <f>M29*1</f>
        <v>145800</v>
      </c>
      <c r="X29" s="766">
        <f t="shared" ref="X29:Z31" si="19">N29*1</f>
        <v>145800</v>
      </c>
      <c r="Y29" s="766">
        <f t="shared" si="19"/>
        <v>145800</v>
      </c>
      <c r="Z29" s="766">
        <f t="shared" si="19"/>
        <v>145800</v>
      </c>
      <c r="AA29" s="699">
        <f>SUM(W29:Z29)</f>
        <v>583200</v>
      </c>
      <c r="AB29" s="700">
        <f>1080*1</f>
        <v>1080</v>
      </c>
      <c r="AC29" s="700">
        <f>1080*1</f>
        <v>1080</v>
      </c>
      <c r="AD29" s="700">
        <f>1080*1</f>
        <v>1080</v>
      </c>
      <c r="AE29" s="700">
        <f>1080*1</f>
        <v>1080</v>
      </c>
      <c r="AF29" s="699">
        <f>SUM(AB29:AE29)</f>
        <v>4320</v>
      </c>
      <c r="AG29" s="696">
        <v>0</v>
      </c>
      <c r="AH29" s="696">
        <v>0</v>
      </c>
      <c r="AI29" s="696">
        <v>0</v>
      </c>
      <c r="AJ29" s="696">
        <v>0</v>
      </c>
      <c r="AK29" s="699">
        <f>SUM(AG29:AJ29)</f>
        <v>0</v>
      </c>
      <c r="AL29" s="696">
        <v>0</v>
      </c>
      <c r="AM29" s="697">
        <v>0</v>
      </c>
      <c r="AN29" s="697">
        <v>0</v>
      </c>
      <c r="AO29" s="697">
        <v>0</v>
      </c>
      <c r="AP29" s="698">
        <f>SUM(AL29:AO29)</f>
        <v>0</v>
      </c>
      <c r="AQ29" s="780">
        <f>M29+R29+W29+AB29+AG29+AL29</f>
        <v>385080</v>
      </c>
      <c r="AR29" s="703">
        <f t="shared" si="0"/>
        <v>385080</v>
      </c>
      <c r="AS29" s="703">
        <f t="shared" si="0"/>
        <v>385080</v>
      </c>
      <c r="AT29" s="703">
        <f t="shared" si="0"/>
        <v>385080</v>
      </c>
      <c r="AU29" s="704">
        <f t="shared" si="0"/>
        <v>1540320</v>
      </c>
      <c r="AV29" s="705" t="s">
        <v>425</v>
      </c>
      <c r="AW29" s="705" t="s">
        <v>425</v>
      </c>
      <c r="AX29" s="705" t="s">
        <v>425</v>
      </c>
      <c r="AY29" s="705" t="s">
        <v>425</v>
      </c>
      <c r="AZ29" s="706" t="s">
        <v>425</v>
      </c>
      <c r="BA29" s="343"/>
      <c r="BB29" s="707">
        <f t="shared" ref="BB29:BB43" si="20">AQ29*E29/100%</f>
        <v>84717.6</v>
      </c>
      <c r="BC29" s="708">
        <f t="shared" ref="BC29:BC43" si="21">AR29*F29/100%</f>
        <v>84717.6</v>
      </c>
      <c r="BD29" s="708">
        <f t="shared" ref="BD29:BD43" si="22">AS29*G29/100%</f>
        <v>84717.6</v>
      </c>
      <c r="BE29" s="708">
        <f t="shared" ref="BE29:BE43" si="23">AT29*H29/100%</f>
        <v>84717.6</v>
      </c>
      <c r="BF29" s="706">
        <f>SUM(BB29:BE29)</f>
        <v>338870.4</v>
      </c>
      <c r="BG29" s="343"/>
      <c r="BH29" s="702">
        <f>AQ29*(18%+1.5%)/100%</f>
        <v>75090.600000000006</v>
      </c>
      <c r="BI29" s="703">
        <f>AR29*(18%+1.5%)/100%</f>
        <v>75090.600000000006</v>
      </c>
      <c r="BJ29" s="703">
        <f>AS29*(18%+1.5%)/100%</f>
        <v>75090.600000000006</v>
      </c>
      <c r="BK29" s="703">
        <f>AT29*(18%+1.5%)/100%</f>
        <v>75090.600000000006</v>
      </c>
      <c r="BL29" s="704">
        <f>SUM(BH29:BK29)</f>
        <v>300362.40000000002</v>
      </c>
    </row>
    <row r="30" spans="1:64" s="710" customFormat="1" ht="54" customHeight="1" thickBot="1">
      <c r="A30" s="713"/>
      <c r="B30" s="713"/>
      <c r="C30" s="1127"/>
      <c r="D30" s="688" t="s">
        <v>226</v>
      </c>
      <c r="E30" s="401">
        <v>0.22</v>
      </c>
      <c r="F30" s="401">
        <v>0.22</v>
      </c>
      <c r="G30" s="401">
        <v>0.22</v>
      </c>
      <c r="H30" s="401">
        <v>0.22</v>
      </c>
      <c r="I30" s="687">
        <v>14.5</v>
      </c>
      <c r="J30" s="687">
        <v>14.5</v>
      </c>
      <c r="K30" s="687">
        <v>14.5</v>
      </c>
      <c r="L30" s="687">
        <v>14.5</v>
      </c>
      <c r="M30" s="696">
        <f>(10800*15)*3</f>
        <v>486000</v>
      </c>
      <c r="N30" s="696">
        <f>(10800*15)*3</f>
        <v>486000</v>
      </c>
      <c r="O30" s="696">
        <f>(10800*15)*3</f>
        <v>486000</v>
      </c>
      <c r="P30" s="696">
        <f>(10800*15)*3</f>
        <v>486000</v>
      </c>
      <c r="Q30" s="698">
        <f t="shared" ref="Q30:Q39" si="24">SUM(M30:P30)</f>
        <v>1944000</v>
      </c>
      <c r="R30" s="338">
        <f>114200*3</f>
        <v>342600</v>
      </c>
      <c r="S30" s="338">
        <f>114200*3</f>
        <v>342600</v>
      </c>
      <c r="T30" s="338">
        <f>114200*3</f>
        <v>342600</v>
      </c>
      <c r="U30" s="338">
        <f>114200*3</f>
        <v>342600</v>
      </c>
      <c r="V30" s="711">
        <f t="shared" ref="V30:V87" si="25">SUM(R30:U30)</f>
        <v>1370400</v>
      </c>
      <c r="W30" s="766">
        <f>M30*1</f>
        <v>486000</v>
      </c>
      <c r="X30" s="766">
        <f t="shared" si="19"/>
        <v>486000</v>
      </c>
      <c r="Y30" s="766">
        <f t="shared" si="19"/>
        <v>486000</v>
      </c>
      <c r="Z30" s="766">
        <f t="shared" si="19"/>
        <v>486000</v>
      </c>
      <c r="AA30" s="711">
        <f t="shared" ref="AA30:AA43" si="26">SUM(W30:Z30)</f>
        <v>1944000</v>
      </c>
      <c r="AB30" s="700">
        <f>1080*4*3</f>
        <v>12960</v>
      </c>
      <c r="AC30" s="700">
        <f>1080*4*3</f>
        <v>12960</v>
      </c>
      <c r="AD30" s="700">
        <f>1080*4*3</f>
        <v>12960</v>
      </c>
      <c r="AE30" s="700">
        <f>1080*4*3</f>
        <v>12960</v>
      </c>
      <c r="AF30" s="711">
        <f t="shared" ref="AF30:AF43" si="27">SUM(AB30:AE30)</f>
        <v>51840</v>
      </c>
      <c r="AG30" s="696">
        <v>0</v>
      </c>
      <c r="AH30" s="696">
        <v>0</v>
      </c>
      <c r="AI30" s="696">
        <v>0</v>
      </c>
      <c r="AJ30" s="696">
        <v>0</v>
      </c>
      <c r="AK30" s="711">
        <f t="shared" ref="AK30:AK43" si="28">SUM(AG30:AJ30)</f>
        <v>0</v>
      </c>
      <c r="AL30" s="696">
        <v>0</v>
      </c>
      <c r="AM30" s="697">
        <v>0</v>
      </c>
      <c r="AN30" s="697">
        <v>0</v>
      </c>
      <c r="AO30" s="697">
        <v>0</v>
      </c>
      <c r="AP30" s="711">
        <f t="shared" ref="AP30:AP43" si="29">SUM(AL30:AO30)</f>
        <v>0</v>
      </c>
      <c r="AQ30" s="781">
        <f>M30+R30+W30+AB30+AG30+AL30</f>
        <v>1327560</v>
      </c>
      <c r="AR30" s="407">
        <f t="shared" ref="AR30:AR43" si="30">N30+S30+X30+AC30+AH30+AM30</f>
        <v>1327560</v>
      </c>
      <c r="AS30" s="407">
        <f t="shared" ref="AS30:AS43" si="31">O30+T30+Y30+AD30+AI30+AN30</f>
        <v>1327560</v>
      </c>
      <c r="AT30" s="407">
        <f t="shared" ref="AT30:AU43" si="32">P30+U30+Z30+AE30+AJ30+AO30</f>
        <v>1327560</v>
      </c>
      <c r="AU30" s="712">
        <f t="shared" si="32"/>
        <v>5310240</v>
      </c>
      <c r="AV30" s="338" t="s">
        <v>425</v>
      </c>
      <c r="AW30" s="338" t="s">
        <v>425</v>
      </c>
      <c r="AX30" s="338" t="s">
        <v>425</v>
      </c>
      <c r="AY30" s="338" t="s">
        <v>425</v>
      </c>
      <c r="AZ30" s="711" t="s">
        <v>425</v>
      </c>
      <c r="BA30" s="340"/>
      <c r="BB30" s="407">
        <f t="shared" si="20"/>
        <v>292063.2</v>
      </c>
      <c r="BC30" s="407">
        <f t="shared" si="21"/>
        <v>292063.2</v>
      </c>
      <c r="BD30" s="407">
        <f t="shared" si="22"/>
        <v>292063.2</v>
      </c>
      <c r="BE30" s="407">
        <f t="shared" si="23"/>
        <v>292063.2</v>
      </c>
      <c r="BF30" s="711">
        <f t="shared" ref="BF30:BF59" si="33">SUM(BB30:BE30)</f>
        <v>1168252.8</v>
      </c>
      <c r="BG30" s="340"/>
      <c r="BH30" s="407">
        <f t="shared" ref="BH30:BH43" si="34">AQ30*(18%+1.5%)/100%</f>
        <v>258874.2</v>
      </c>
      <c r="BI30" s="407">
        <f t="shared" ref="BI30:BI43" si="35">AR30*(18%+1.5%)/100%</f>
        <v>258874.2</v>
      </c>
      <c r="BJ30" s="407">
        <f t="shared" ref="BJ30:BJ43" si="36">AS30*(18%+1.5%)/100%</f>
        <v>258874.2</v>
      </c>
      <c r="BK30" s="407">
        <f t="shared" ref="BK30:BK43" si="37">AT30*(18%+1.5%)/100%</f>
        <v>258874.2</v>
      </c>
      <c r="BL30" s="712">
        <f t="shared" ref="BL30:BL43" si="38">SUM(BH30:BK30)</f>
        <v>1035496.8</v>
      </c>
    </row>
    <row r="31" spans="1:64" s="335" customFormat="1" ht="42.75" customHeight="1" thickBot="1">
      <c r="C31" s="1127"/>
      <c r="D31" s="129" t="s">
        <v>227</v>
      </c>
      <c r="E31" s="381">
        <v>0.22</v>
      </c>
      <c r="F31" s="382">
        <v>0.22</v>
      </c>
      <c r="G31" s="382">
        <v>0.22</v>
      </c>
      <c r="H31" s="383">
        <v>0.22</v>
      </c>
      <c r="I31" s="709">
        <v>2</v>
      </c>
      <c r="J31" s="709">
        <v>2</v>
      </c>
      <c r="K31" s="709">
        <v>2</v>
      </c>
      <c r="L31" s="709">
        <v>2</v>
      </c>
      <c r="M31" s="696">
        <f>(10800*2.5)*3</f>
        <v>81000</v>
      </c>
      <c r="N31" s="696">
        <f>(10800*2.5)*3</f>
        <v>81000</v>
      </c>
      <c r="O31" s="696">
        <f>(10800*2.5)*3</f>
        <v>81000</v>
      </c>
      <c r="P31" s="696">
        <f>(10800*2.5)*3</f>
        <v>81000</v>
      </c>
      <c r="Q31" s="698">
        <f t="shared" si="24"/>
        <v>324000</v>
      </c>
      <c r="R31" s="338">
        <f>35000*3</f>
        <v>105000</v>
      </c>
      <c r="S31" s="338">
        <f>35000*3</f>
        <v>105000</v>
      </c>
      <c r="T31" s="338">
        <f>35000*3</f>
        <v>105000</v>
      </c>
      <c r="U31" s="338">
        <f>35000*3</f>
        <v>105000</v>
      </c>
      <c r="V31" s="387">
        <f>SUM(R31:U31)</f>
        <v>420000</v>
      </c>
      <c r="W31" s="766">
        <f>M31*1</f>
        <v>81000</v>
      </c>
      <c r="X31" s="766">
        <f t="shared" si="19"/>
        <v>81000</v>
      </c>
      <c r="Y31" s="766">
        <f t="shared" si="19"/>
        <v>81000</v>
      </c>
      <c r="Z31" s="766">
        <f t="shared" si="19"/>
        <v>81000</v>
      </c>
      <c r="AA31" s="387">
        <f t="shared" si="26"/>
        <v>324000</v>
      </c>
      <c r="AB31" s="700">
        <v>0</v>
      </c>
      <c r="AC31" s="701">
        <v>0</v>
      </c>
      <c r="AD31" s="701">
        <v>0</v>
      </c>
      <c r="AE31" s="701">
        <v>0</v>
      </c>
      <c r="AF31" s="387">
        <f>SUM(AB31:AE31)</f>
        <v>0</v>
      </c>
      <c r="AG31" s="696">
        <v>0</v>
      </c>
      <c r="AH31" s="696">
        <v>0</v>
      </c>
      <c r="AI31" s="696">
        <v>0</v>
      </c>
      <c r="AJ31" s="696">
        <v>0</v>
      </c>
      <c r="AK31" s="387">
        <f t="shared" si="28"/>
        <v>0</v>
      </c>
      <c r="AL31" s="696">
        <v>0</v>
      </c>
      <c r="AM31" s="697">
        <v>0</v>
      </c>
      <c r="AN31" s="697">
        <v>0</v>
      </c>
      <c r="AO31" s="697">
        <v>0</v>
      </c>
      <c r="AP31" s="388">
        <f t="shared" si="29"/>
        <v>0</v>
      </c>
      <c r="AQ31" s="782">
        <f t="shared" ref="AQ31:AQ43" si="39">M31+R31+W31+AB31+AG31+AL31</f>
        <v>267000</v>
      </c>
      <c r="AR31" s="397">
        <f t="shared" si="30"/>
        <v>267000</v>
      </c>
      <c r="AS31" s="397">
        <f t="shared" si="31"/>
        <v>267000</v>
      </c>
      <c r="AT31" s="397">
        <f t="shared" si="32"/>
        <v>267000</v>
      </c>
      <c r="AU31" s="398">
        <f t="shared" si="32"/>
        <v>1068000</v>
      </c>
      <c r="AV31" s="392" t="s">
        <v>425</v>
      </c>
      <c r="AW31" s="392" t="s">
        <v>425</v>
      </c>
      <c r="AX31" s="392" t="s">
        <v>425</v>
      </c>
      <c r="AY31" s="392" t="s">
        <v>425</v>
      </c>
      <c r="AZ31" s="387" t="s">
        <v>425</v>
      </c>
      <c r="BA31" s="343"/>
      <c r="BB31" s="396">
        <f t="shared" si="20"/>
        <v>58740</v>
      </c>
      <c r="BC31" s="397">
        <f t="shared" si="21"/>
        <v>58740</v>
      </c>
      <c r="BD31" s="397">
        <f t="shared" si="22"/>
        <v>58740</v>
      </c>
      <c r="BE31" s="397">
        <f t="shared" si="23"/>
        <v>58740</v>
      </c>
      <c r="BF31" s="387">
        <f t="shared" si="33"/>
        <v>234960</v>
      </c>
      <c r="BG31" s="343"/>
      <c r="BH31" s="396">
        <f t="shared" si="34"/>
        <v>52065</v>
      </c>
      <c r="BI31" s="397">
        <f t="shared" si="35"/>
        <v>52065</v>
      </c>
      <c r="BJ31" s="397">
        <f t="shared" si="36"/>
        <v>52065</v>
      </c>
      <c r="BK31" s="397">
        <f t="shared" si="37"/>
        <v>52065</v>
      </c>
      <c r="BL31" s="398">
        <f t="shared" si="38"/>
        <v>208260</v>
      </c>
    </row>
    <row r="32" spans="1:64" s="335" customFormat="1" ht="37.5" customHeight="1" thickBot="1">
      <c r="C32" s="1127"/>
      <c r="D32" s="430"/>
      <c r="E32" s="400"/>
      <c r="F32" s="401"/>
      <c r="G32" s="401"/>
      <c r="H32" s="402"/>
      <c r="I32" s="691"/>
      <c r="J32" s="691"/>
      <c r="K32" s="691"/>
      <c r="L32" s="691"/>
      <c r="M32" s="403"/>
      <c r="N32" s="403"/>
      <c r="O32" s="403"/>
      <c r="P32" s="403"/>
      <c r="Q32" s="698">
        <f t="shared" si="24"/>
        <v>0</v>
      </c>
      <c r="R32" s="338"/>
      <c r="S32" s="403"/>
      <c r="T32" s="403"/>
      <c r="U32" s="403"/>
      <c r="V32" s="404">
        <f t="shared" si="25"/>
        <v>0</v>
      </c>
      <c r="W32" s="766">
        <v>0</v>
      </c>
      <c r="X32" s="766">
        <v>0</v>
      </c>
      <c r="Y32" s="766">
        <v>0</v>
      </c>
      <c r="Z32" s="766">
        <v>0</v>
      </c>
      <c r="AA32" s="404">
        <f t="shared" si="26"/>
        <v>0</v>
      </c>
      <c r="AB32" s="700">
        <v>0</v>
      </c>
      <c r="AC32" s="701">
        <v>0</v>
      </c>
      <c r="AD32" s="701">
        <v>0</v>
      </c>
      <c r="AE32" s="701">
        <v>0</v>
      </c>
      <c r="AF32" s="404">
        <f t="shared" si="27"/>
        <v>0</v>
      </c>
      <c r="AG32" s="696">
        <v>0</v>
      </c>
      <c r="AH32" s="696">
        <v>0</v>
      </c>
      <c r="AI32" s="696">
        <v>0</v>
      </c>
      <c r="AJ32" s="696">
        <v>0</v>
      </c>
      <c r="AK32" s="404">
        <f t="shared" si="28"/>
        <v>0</v>
      </c>
      <c r="AL32" s="696">
        <v>0</v>
      </c>
      <c r="AM32" s="697">
        <v>0</v>
      </c>
      <c r="AN32" s="697">
        <v>0</v>
      </c>
      <c r="AO32" s="697">
        <v>0</v>
      </c>
      <c r="AP32" s="405">
        <f t="shared" si="29"/>
        <v>0</v>
      </c>
      <c r="AQ32" s="779">
        <f t="shared" si="39"/>
        <v>0</v>
      </c>
      <c r="AR32" s="407">
        <f t="shared" si="30"/>
        <v>0</v>
      </c>
      <c r="AS32" s="407">
        <f t="shared" si="31"/>
        <v>0</v>
      </c>
      <c r="AT32" s="407">
        <f t="shared" si="32"/>
        <v>0</v>
      </c>
      <c r="AU32" s="408">
        <f t="shared" si="32"/>
        <v>0</v>
      </c>
      <c r="AV32" s="392" t="s">
        <v>425</v>
      </c>
      <c r="AW32" s="392" t="s">
        <v>425</v>
      </c>
      <c r="AX32" s="392" t="s">
        <v>425</v>
      </c>
      <c r="AY32" s="392" t="s">
        <v>425</v>
      </c>
      <c r="AZ32" s="387" t="s">
        <v>425</v>
      </c>
      <c r="BA32" s="343"/>
      <c r="BB32" s="406">
        <f t="shared" si="20"/>
        <v>0</v>
      </c>
      <c r="BC32" s="407">
        <f t="shared" si="21"/>
        <v>0</v>
      </c>
      <c r="BD32" s="407">
        <f t="shared" si="22"/>
        <v>0</v>
      </c>
      <c r="BE32" s="407">
        <f t="shared" si="23"/>
        <v>0</v>
      </c>
      <c r="BF32" s="404">
        <f t="shared" si="33"/>
        <v>0</v>
      </c>
      <c r="BG32" s="343"/>
      <c r="BH32" s="406">
        <f t="shared" si="34"/>
        <v>0</v>
      </c>
      <c r="BI32" s="407">
        <f t="shared" si="35"/>
        <v>0</v>
      </c>
      <c r="BJ32" s="407">
        <f t="shared" si="36"/>
        <v>0</v>
      </c>
      <c r="BK32" s="407">
        <f t="shared" si="37"/>
        <v>0</v>
      </c>
      <c r="BL32" s="408">
        <f t="shared" si="38"/>
        <v>0</v>
      </c>
    </row>
    <row r="33" spans="3:64" s="335" customFormat="1" ht="36" customHeight="1" thickBot="1">
      <c r="C33" s="1127"/>
      <c r="D33" s="430"/>
      <c r="E33" s="400"/>
      <c r="F33" s="401"/>
      <c r="G33" s="401"/>
      <c r="H33" s="402"/>
      <c r="I33" s="691"/>
      <c r="J33" s="691"/>
      <c r="K33" s="691"/>
      <c r="L33" s="691"/>
      <c r="M33" s="403"/>
      <c r="N33" s="403"/>
      <c r="O33" s="403"/>
      <c r="P33" s="403"/>
      <c r="Q33" s="698">
        <f t="shared" si="24"/>
        <v>0</v>
      </c>
      <c r="R33" s="338"/>
      <c r="S33" s="338"/>
      <c r="T33" s="338"/>
      <c r="U33" s="338"/>
      <c r="V33" s="404">
        <f t="shared" si="25"/>
        <v>0</v>
      </c>
      <c r="W33" s="766">
        <v>0</v>
      </c>
      <c r="X33" s="766">
        <v>0</v>
      </c>
      <c r="Y33" s="766">
        <v>0</v>
      </c>
      <c r="Z33" s="766">
        <v>0</v>
      </c>
      <c r="AA33" s="404">
        <f t="shared" si="26"/>
        <v>0</v>
      </c>
      <c r="AB33" s="700">
        <v>0</v>
      </c>
      <c r="AC33" s="701">
        <v>0</v>
      </c>
      <c r="AD33" s="701">
        <v>0</v>
      </c>
      <c r="AE33" s="701">
        <v>0</v>
      </c>
      <c r="AF33" s="404">
        <f t="shared" si="27"/>
        <v>0</v>
      </c>
      <c r="AG33" s="696">
        <v>0</v>
      </c>
      <c r="AH33" s="696">
        <v>0</v>
      </c>
      <c r="AI33" s="696">
        <v>0</v>
      </c>
      <c r="AJ33" s="696">
        <v>0</v>
      </c>
      <c r="AK33" s="404">
        <f t="shared" si="28"/>
        <v>0</v>
      </c>
      <c r="AL33" s="696">
        <v>0</v>
      </c>
      <c r="AM33" s="697">
        <v>0</v>
      </c>
      <c r="AN33" s="697">
        <v>0</v>
      </c>
      <c r="AO33" s="697">
        <v>0</v>
      </c>
      <c r="AP33" s="405">
        <f t="shared" si="29"/>
        <v>0</v>
      </c>
      <c r="AQ33" s="779">
        <f t="shared" si="39"/>
        <v>0</v>
      </c>
      <c r="AR33" s="407">
        <f t="shared" si="30"/>
        <v>0</v>
      </c>
      <c r="AS33" s="407">
        <f t="shared" si="31"/>
        <v>0</v>
      </c>
      <c r="AT33" s="407">
        <f t="shared" si="32"/>
        <v>0</v>
      </c>
      <c r="AU33" s="408">
        <f t="shared" si="32"/>
        <v>0</v>
      </c>
      <c r="AV33" s="392" t="s">
        <v>425</v>
      </c>
      <c r="AW33" s="392" t="s">
        <v>425</v>
      </c>
      <c r="AX33" s="392" t="s">
        <v>425</v>
      </c>
      <c r="AY33" s="392" t="s">
        <v>425</v>
      </c>
      <c r="AZ33" s="387" t="s">
        <v>425</v>
      </c>
      <c r="BA33" s="343"/>
      <c r="BB33" s="406">
        <f t="shared" si="20"/>
        <v>0</v>
      </c>
      <c r="BC33" s="407">
        <f t="shared" si="21"/>
        <v>0</v>
      </c>
      <c r="BD33" s="407">
        <f t="shared" si="22"/>
        <v>0</v>
      </c>
      <c r="BE33" s="407">
        <f t="shared" si="23"/>
        <v>0</v>
      </c>
      <c r="BF33" s="404">
        <f t="shared" si="33"/>
        <v>0</v>
      </c>
      <c r="BG33" s="343"/>
      <c r="BH33" s="406">
        <f t="shared" si="34"/>
        <v>0</v>
      </c>
      <c r="BI33" s="407">
        <f t="shared" si="35"/>
        <v>0</v>
      </c>
      <c r="BJ33" s="407">
        <f t="shared" si="36"/>
        <v>0</v>
      </c>
      <c r="BK33" s="407">
        <f t="shared" si="37"/>
        <v>0</v>
      </c>
      <c r="BL33" s="408">
        <f t="shared" si="38"/>
        <v>0</v>
      </c>
    </row>
    <row r="34" spans="3:64" s="335" customFormat="1" ht="44.25" customHeight="1" thickBot="1">
      <c r="C34" s="1127"/>
      <c r="D34" s="430"/>
      <c r="E34" s="400"/>
      <c r="F34" s="401"/>
      <c r="G34" s="401"/>
      <c r="H34" s="402"/>
      <c r="I34" s="403"/>
      <c r="J34" s="403"/>
      <c r="K34" s="403"/>
      <c r="L34" s="403"/>
      <c r="M34" s="403"/>
      <c r="N34" s="403"/>
      <c r="O34" s="403"/>
      <c r="P34" s="403"/>
      <c r="Q34" s="698">
        <f t="shared" si="24"/>
        <v>0</v>
      </c>
      <c r="R34" s="338"/>
      <c r="S34" s="403"/>
      <c r="T34" s="403"/>
      <c r="U34" s="403"/>
      <c r="V34" s="404">
        <f t="shared" si="25"/>
        <v>0</v>
      </c>
      <c r="W34" s="766">
        <v>0</v>
      </c>
      <c r="X34" s="766">
        <v>0</v>
      </c>
      <c r="Y34" s="766">
        <v>0</v>
      </c>
      <c r="Z34" s="766">
        <v>0</v>
      </c>
      <c r="AA34" s="404">
        <f t="shared" si="26"/>
        <v>0</v>
      </c>
      <c r="AB34" s="700">
        <v>0</v>
      </c>
      <c r="AC34" s="701">
        <v>0</v>
      </c>
      <c r="AD34" s="701">
        <v>0</v>
      </c>
      <c r="AE34" s="701">
        <v>0</v>
      </c>
      <c r="AF34" s="404">
        <f t="shared" si="27"/>
        <v>0</v>
      </c>
      <c r="AG34" s="696">
        <v>0</v>
      </c>
      <c r="AH34" s="696">
        <v>0</v>
      </c>
      <c r="AI34" s="696">
        <v>0</v>
      </c>
      <c r="AJ34" s="696">
        <v>0</v>
      </c>
      <c r="AK34" s="404">
        <f t="shared" si="28"/>
        <v>0</v>
      </c>
      <c r="AL34" s="696">
        <v>0</v>
      </c>
      <c r="AM34" s="697">
        <v>0</v>
      </c>
      <c r="AN34" s="697">
        <v>0</v>
      </c>
      <c r="AO34" s="697">
        <v>0</v>
      </c>
      <c r="AP34" s="405">
        <f t="shared" si="29"/>
        <v>0</v>
      </c>
      <c r="AQ34" s="779">
        <f t="shared" si="39"/>
        <v>0</v>
      </c>
      <c r="AR34" s="407">
        <f>N34+S34+X34+AC34+AH34+AM34</f>
        <v>0</v>
      </c>
      <c r="AS34" s="407">
        <f t="shared" si="31"/>
        <v>0</v>
      </c>
      <c r="AT34" s="407">
        <f t="shared" si="32"/>
        <v>0</v>
      </c>
      <c r="AU34" s="408">
        <f t="shared" si="32"/>
        <v>0</v>
      </c>
      <c r="AV34" s="392" t="s">
        <v>425</v>
      </c>
      <c r="AW34" s="392" t="s">
        <v>425</v>
      </c>
      <c r="AX34" s="392" t="s">
        <v>425</v>
      </c>
      <c r="AY34" s="392" t="s">
        <v>425</v>
      </c>
      <c r="AZ34" s="387" t="s">
        <v>425</v>
      </c>
      <c r="BA34" s="343"/>
      <c r="BB34" s="406">
        <f t="shared" si="20"/>
        <v>0</v>
      </c>
      <c r="BC34" s="407">
        <f t="shared" si="21"/>
        <v>0</v>
      </c>
      <c r="BD34" s="407">
        <f t="shared" si="22"/>
        <v>0</v>
      </c>
      <c r="BE34" s="407">
        <f t="shared" si="23"/>
        <v>0</v>
      </c>
      <c r="BF34" s="404">
        <f t="shared" si="33"/>
        <v>0</v>
      </c>
      <c r="BG34" s="343"/>
      <c r="BH34" s="406">
        <f t="shared" si="34"/>
        <v>0</v>
      </c>
      <c r="BI34" s="407">
        <f t="shared" si="35"/>
        <v>0</v>
      </c>
      <c r="BJ34" s="407">
        <f t="shared" si="36"/>
        <v>0</v>
      </c>
      <c r="BK34" s="407">
        <f t="shared" si="37"/>
        <v>0</v>
      </c>
      <c r="BL34" s="408">
        <f t="shared" si="38"/>
        <v>0</v>
      </c>
    </row>
    <row r="35" spans="3:64" s="335" customFormat="1" ht="63" customHeight="1" thickBot="1">
      <c r="C35" s="1127"/>
      <c r="D35" s="430"/>
      <c r="E35" s="400"/>
      <c r="F35" s="401"/>
      <c r="G35" s="401"/>
      <c r="H35" s="402"/>
      <c r="I35" s="691"/>
      <c r="J35" s="691"/>
      <c r="K35" s="691"/>
      <c r="L35" s="691"/>
      <c r="M35" s="403"/>
      <c r="N35" s="403"/>
      <c r="O35" s="403"/>
      <c r="P35" s="403"/>
      <c r="Q35" s="698">
        <f t="shared" si="24"/>
        <v>0</v>
      </c>
      <c r="R35" s="338"/>
      <c r="S35" s="403"/>
      <c r="T35" s="403"/>
      <c r="U35" s="403"/>
      <c r="V35" s="404">
        <f t="shared" si="25"/>
        <v>0</v>
      </c>
      <c r="W35" s="766">
        <v>0</v>
      </c>
      <c r="X35" s="766">
        <v>0</v>
      </c>
      <c r="Y35" s="766">
        <v>0</v>
      </c>
      <c r="Z35" s="766">
        <v>0</v>
      </c>
      <c r="AA35" s="404">
        <f t="shared" si="26"/>
        <v>0</v>
      </c>
      <c r="AB35" s="700">
        <v>0</v>
      </c>
      <c r="AC35" s="701">
        <v>0</v>
      </c>
      <c r="AD35" s="701">
        <v>0</v>
      </c>
      <c r="AE35" s="701">
        <v>0</v>
      </c>
      <c r="AF35" s="404">
        <f t="shared" si="27"/>
        <v>0</v>
      </c>
      <c r="AG35" s="696">
        <v>0</v>
      </c>
      <c r="AH35" s="696">
        <v>0</v>
      </c>
      <c r="AI35" s="696">
        <v>0</v>
      </c>
      <c r="AJ35" s="696">
        <v>0</v>
      </c>
      <c r="AK35" s="404">
        <f t="shared" si="28"/>
        <v>0</v>
      </c>
      <c r="AL35" s="696">
        <v>0</v>
      </c>
      <c r="AM35" s="697">
        <v>0</v>
      </c>
      <c r="AN35" s="697">
        <v>0</v>
      </c>
      <c r="AO35" s="697">
        <v>0</v>
      </c>
      <c r="AP35" s="405">
        <f t="shared" si="29"/>
        <v>0</v>
      </c>
      <c r="AQ35" s="779">
        <f t="shared" si="39"/>
        <v>0</v>
      </c>
      <c r="AR35" s="407">
        <f t="shared" si="30"/>
        <v>0</v>
      </c>
      <c r="AS35" s="407">
        <f t="shared" si="31"/>
        <v>0</v>
      </c>
      <c r="AT35" s="407">
        <f t="shared" si="32"/>
        <v>0</v>
      </c>
      <c r="AU35" s="408">
        <f t="shared" si="32"/>
        <v>0</v>
      </c>
      <c r="AV35" s="392" t="s">
        <v>425</v>
      </c>
      <c r="AW35" s="392" t="s">
        <v>425</v>
      </c>
      <c r="AX35" s="392" t="s">
        <v>425</v>
      </c>
      <c r="AY35" s="392" t="s">
        <v>425</v>
      </c>
      <c r="AZ35" s="387" t="s">
        <v>425</v>
      </c>
      <c r="BA35" s="343"/>
      <c r="BB35" s="406">
        <f t="shared" si="20"/>
        <v>0</v>
      </c>
      <c r="BC35" s="407">
        <f t="shared" si="21"/>
        <v>0</v>
      </c>
      <c r="BD35" s="407">
        <f t="shared" si="22"/>
        <v>0</v>
      </c>
      <c r="BE35" s="407">
        <f t="shared" si="23"/>
        <v>0</v>
      </c>
      <c r="BF35" s="404">
        <f t="shared" si="33"/>
        <v>0</v>
      </c>
      <c r="BG35" s="343"/>
      <c r="BH35" s="406">
        <f t="shared" si="34"/>
        <v>0</v>
      </c>
      <c r="BI35" s="407">
        <f t="shared" si="35"/>
        <v>0</v>
      </c>
      <c r="BJ35" s="407">
        <f t="shared" si="36"/>
        <v>0</v>
      </c>
      <c r="BK35" s="407">
        <f t="shared" si="37"/>
        <v>0</v>
      </c>
      <c r="BL35" s="408">
        <f t="shared" si="38"/>
        <v>0</v>
      </c>
    </row>
    <row r="36" spans="3:64" s="335" customFormat="1" ht="58.5" customHeight="1" thickBot="1">
      <c r="C36" s="1127"/>
      <c r="D36" s="430"/>
      <c r="E36" s="400"/>
      <c r="F36" s="401"/>
      <c r="G36" s="401"/>
      <c r="H36" s="402"/>
      <c r="I36" s="403"/>
      <c r="J36" s="403"/>
      <c r="K36" s="403"/>
      <c r="L36" s="403"/>
      <c r="M36" s="403"/>
      <c r="N36" s="403"/>
      <c r="O36" s="403"/>
      <c r="P36" s="403"/>
      <c r="Q36" s="698">
        <f t="shared" si="24"/>
        <v>0</v>
      </c>
      <c r="R36" s="338"/>
      <c r="S36" s="403"/>
      <c r="T36" s="403"/>
      <c r="U36" s="403"/>
      <c r="V36" s="404">
        <f>SUM(R36:U36)</f>
        <v>0</v>
      </c>
      <c r="W36" s="766">
        <v>0</v>
      </c>
      <c r="X36" s="766">
        <v>0</v>
      </c>
      <c r="Y36" s="766">
        <v>0</v>
      </c>
      <c r="Z36" s="766">
        <v>0</v>
      </c>
      <c r="AA36" s="404">
        <f t="shared" si="26"/>
        <v>0</v>
      </c>
      <c r="AB36" s="700">
        <v>0</v>
      </c>
      <c r="AC36" s="701">
        <v>0</v>
      </c>
      <c r="AD36" s="701">
        <v>0</v>
      </c>
      <c r="AE36" s="701">
        <v>0</v>
      </c>
      <c r="AF36" s="404">
        <f t="shared" si="27"/>
        <v>0</v>
      </c>
      <c r="AG36" s="696">
        <v>0</v>
      </c>
      <c r="AH36" s="696">
        <v>0</v>
      </c>
      <c r="AI36" s="696">
        <v>0</v>
      </c>
      <c r="AJ36" s="696">
        <v>0</v>
      </c>
      <c r="AK36" s="404">
        <f t="shared" si="28"/>
        <v>0</v>
      </c>
      <c r="AL36" s="696">
        <v>0</v>
      </c>
      <c r="AM36" s="697">
        <v>0</v>
      </c>
      <c r="AN36" s="697">
        <v>0</v>
      </c>
      <c r="AO36" s="697">
        <v>0</v>
      </c>
      <c r="AP36" s="405">
        <f t="shared" si="29"/>
        <v>0</v>
      </c>
      <c r="AQ36" s="779">
        <f t="shared" si="39"/>
        <v>0</v>
      </c>
      <c r="AR36" s="407">
        <f t="shared" si="30"/>
        <v>0</v>
      </c>
      <c r="AS36" s="407">
        <f t="shared" si="31"/>
        <v>0</v>
      </c>
      <c r="AT36" s="407">
        <f t="shared" si="32"/>
        <v>0</v>
      </c>
      <c r="AU36" s="408">
        <f t="shared" si="32"/>
        <v>0</v>
      </c>
      <c r="AV36" s="392" t="s">
        <v>425</v>
      </c>
      <c r="AW36" s="392" t="s">
        <v>425</v>
      </c>
      <c r="AX36" s="392" t="s">
        <v>425</v>
      </c>
      <c r="AY36" s="392" t="s">
        <v>425</v>
      </c>
      <c r="AZ36" s="387" t="s">
        <v>425</v>
      </c>
      <c r="BA36" s="343"/>
      <c r="BB36" s="406">
        <f t="shared" si="20"/>
        <v>0</v>
      </c>
      <c r="BC36" s="407">
        <f t="shared" si="21"/>
        <v>0</v>
      </c>
      <c r="BD36" s="407">
        <f t="shared" si="22"/>
        <v>0</v>
      </c>
      <c r="BE36" s="407">
        <f t="shared" si="23"/>
        <v>0</v>
      </c>
      <c r="BF36" s="404">
        <f t="shared" si="33"/>
        <v>0</v>
      </c>
      <c r="BG36" s="343"/>
      <c r="BH36" s="406">
        <f t="shared" si="34"/>
        <v>0</v>
      </c>
      <c r="BI36" s="407">
        <f t="shared" si="35"/>
        <v>0</v>
      </c>
      <c r="BJ36" s="407">
        <f t="shared" si="36"/>
        <v>0</v>
      </c>
      <c r="BK36" s="407">
        <f t="shared" si="37"/>
        <v>0</v>
      </c>
      <c r="BL36" s="408">
        <f t="shared" si="38"/>
        <v>0</v>
      </c>
    </row>
    <row r="37" spans="3:64" s="335" customFormat="1" ht="56.25" customHeight="1" thickBot="1">
      <c r="C37" s="1127"/>
      <c r="D37" s="430"/>
      <c r="E37" s="400"/>
      <c r="F37" s="400"/>
      <c r="G37" s="400"/>
      <c r="H37" s="400"/>
      <c r="I37" s="403"/>
      <c r="J37" s="403"/>
      <c r="K37" s="403"/>
      <c r="L37" s="403"/>
      <c r="M37" s="403"/>
      <c r="N37" s="403"/>
      <c r="O37" s="403"/>
      <c r="P37" s="403"/>
      <c r="Q37" s="698">
        <f t="shared" si="24"/>
        <v>0</v>
      </c>
      <c r="R37" s="338"/>
      <c r="S37" s="403"/>
      <c r="T37" s="403"/>
      <c r="U37" s="403"/>
      <c r="V37" s="404">
        <f t="shared" si="25"/>
        <v>0</v>
      </c>
      <c r="W37" s="428">
        <v>0</v>
      </c>
      <c r="X37" s="428">
        <v>0</v>
      </c>
      <c r="Y37" s="428">
        <v>0</v>
      </c>
      <c r="Z37" s="428">
        <v>0</v>
      </c>
      <c r="AA37" s="404">
        <f t="shared" si="26"/>
        <v>0</v>
      </c>
      <c r="AB37" s="700">
        <v>0</v>
      </c>
      <c r="AC37" s="701">
        <v>0</v>
      </c>
      <c r="AD37" s="701">
        <v>0</v>
      </c>
      <c r="AE37" s="701">
        <v>0</v>
      </c>
      <c r="AF37" s="404">
        <f t="shared" si="27"/>
        <v>0</v>
      </c>
      <c r="AG37" s="696">
        <v>0</v>
      </c>
      <c r="AH37" s="696">
        <v>0</v>
      </c>
      <c r="AI37" s="696">
        <v>0</v>
      </c>
      <c r="AJ37" s="696">
        <v>0</v>
      </c>
      <c r="AK37" s="404">
        <f t="shared" si="28"/>
        <v>0</v>
      </c>
      <c r="AL37" s="696">
        <v>0</v>
      </c>
      <c r="AM37" s="697">
        <v>0</v>
      </c>
      <c r="AN37" s="697">
        <v>0</v>
      </c>
      <c r="AO37" s="697">
        <v>0</v>
      </c>
      <c r="AP37" s="405">
        <f t="shared" si="29"/>
        <v>0</v>
      </c>
      <c r="AQ37" s="779">
        <f t="shared" si="39"/>
        <v>0</v>
      </c>
      <c r="AR37" s="407">
        <f t="shared" si="30"/>
        <v>0</v>
      </c>
      <c r="AS37" s="407">
        <f t="shared" si="31"/>
        <v>0</v>
      </c>
      <c r="AT37" s="407">
        <f t="shared" si="32"/>
        <v>0</v>
      </c>
      <c r="AU37" s="408">
        <f t="shared" si="32"/>
        <v>0</v>
      </c>
      <c r="AV37" s="392" t="s">
        <v>425</v>
      </c>
      <c r="AW37" s="392" t="s">
        <v>425</v>
      </c>
      <c r="AX37" s="392" t="s">
        <v>425</v>
      </c>
      <c r="AY37" s="392" t="s">
        <v>425</v>
      </c>
      <c r="AZ37" s="387" t="s">
        <v>425</v>
      </c>
      <c r="BA37" s="343"/>
      <c r="BB37" s="406">
        <f t="shared" si="20"/>
        <v>0</v>
      </c>
      <c r="BC37" s="407">
        <f t="shared" si="21"/>
        <v>0</v>
      </c>
      <c r="BD37" s="407">
        <f t="shared" si="22"/>
        <v>0</v>
      </c>
      <c r="BE37" s="407">
        <f t="shared" si="23"/>
        <v>0</v>
      </c>
      <c r="BF37" s="404">
        <f t="shared" si="33"/>
        <v>0</v>
      </c>
      <c r="BG37" s="343"/>
      <c r="BH37" s="406">
        <f t="shared" si="34"/>
        <v>0</v>
      </c>
      <c r="BI37" s="407">
        <f t="shared" si="35"/>
        <v>0</v>
      </c>
      <c r="BJ37" s="407">
        <f t="shared" si="36"/>
        <v>0</v>
      </c>
      <c r="BK37" s="407">
        <f t="shared" si="37"/>
        <v>0</v>
      </c>
      <c r="BL37" s="408">
        <f t="shared" si="38"/>
        <v>0</v>
      </c>
    </row>
    <row r="38" spans="3:64" s="335" customFormat="1" ht="54.75" customHeight="1" thickBot="1">
      <c r="C38" s="1127"/>
      <c r="D38" s="430"/>
      <c r="E38" s="400"/>
      <c r="F38" s="400"/>
      <c r="G38" s="400"/>
      <c r="H38" s="400"/>
      <c r="I38" s="403"/>
      <c r="J38" s="403"/>
      <c r="K38" s="403"/>
      <c r="L38" s="403"/>
      <c r="M38" s="403"/>
      <c r="N38" s="403"/>
      <c r="O38" s="403"/>
      <c r="P38" s="403"/>
      <c r="Q38" s="698">
        <f t="shared" si="24"/>
        <v>0</v>
      </c>
      <c r="R38" s="338"/>
      <c r="S38" s="403"/>
      <c r="T38" s="403"/>
      <c r="U38" s="403"/>
      <c r="V38" s="404">
        <f t="shared" si="25"/>
        <v>0</v>
      </c>
      <c r="W38" s="428">
        <v>0</v>
      </c>
      <c r="X38" s="429">
        <v>0</v>
      </c>
      <c r="Y38" s="429">
        <v>0</v>
      </c>
      <c r="Z38" s="429">
        <v>0</v>
      </c>
      <c r="AA38" s="404">
        <f t="shared" si="26"/>
        <v>0</v>
      </c>
      <c r="AB38" s="700">
        <v>0</v>
      </c>
      <c r="AC38" s="701">
        <v>0</v>
      </c>
      <c r="AD38" s="701">
        <v>0</v>
      </c>
      <c r="AE38" s="701">
        <v>0</v>
      </c>
      <c r="AF38" s="404">
        <f t="shared" si="27"/>
        <v>0</v>
      </c>
      <c r="AG38" s="696">
        <v>0</v>
      </c>
      <c r="AH38" s="696">
        <v>0</v>
      </c>
      <c r="AI38" s="696">
        <v>0</v>
      </c>
      <c r="AJ38" s="696">
        <v>0</v>
      </c>
      <c r="AK38" s="404">
        <f t="shared" si="28"/>
        <v>0</v>
      </c>
      <c r="AL38" s="696">
        <v>0</v>
      </c>
      <c r="AM38" s="697">
        <v>0</v>
      </c>
      <c r="AN38" s="697">
        <v>0</v>
      </c>
      <c r="AO38" s="697">
        <v>0</v>
      </c>
      <c r="AP38" s="405">
        <f t="shared" si="29"/>
        <v>0</v>
      </c>
      <c r="AQ38" s="779">
        <f t="shared" si="39"/>
        <v>0</v>
      </c>
      <c r="AR38" s="407">
        <f t="shared" si="30"/>
        <v>0</v>
      </c>
      <c r="AS38" s="407">
        <f t="shared" si="31"/>
        <v>0</v>
      </c>
      <c r="AT38" s="407">
        <f t="shared" si="32"/>
        <v>0</v>
      </c>
      <c r="AU38" s="408">
        <f t="shared" si="32"/>
        <v>0</v>
      </c>
      <c r="AV38" s="392" t="s">
        <v>425</v>
      </c>
      <c r="AW38" s="392" t="s">
        <v>425</v>
      </c>
      <c r="AX38" s="392" t="s">
        <v>425</v>
      </c>
      <c r="AY38" s="392" t="s">
        <v>425</v>
      </c>
      <c r="AZ38" s="387" t="s">
        <v>425</v>
      </c>
      <c r="BA38" s="343"/>
      <c r="BB38" s="406">
        <f t="shared" si="20"/>
        <v>0</v>
      </c>
      <c r="BC38" s="407">
        <f t="shared" si="21"/>
        <v>0</v>
      </c>
      <c r="BD38" s="407">
        <f t="shared" si="22"/>
        <v>0</v>
      </c>
      <c r="BE38" s="407">
        <f t="shared" si="23"/>
        <v>0</v>
      </c>
      <c r="BF38" s="404">
        <f t="shared" si="33"/>
        <v>0</v>
      </c>
      <c r="BG38" s="343"/>
      <c r="BH38" s="406">
        <f t="shared" si="34"/>
        <v>0</v>
      </c>
      <c r="BI38" s="407">
        <f t="shared" si="35"/>
        <v>0</v>
      </c>
      <c r="BJ38" s="407">
        <f t="shared" si="36"/>
        <v>0</v>
      </c>
      <c r="BK38" s="407">
        <f t="shared" si="37"/>
        <v>0</v>
      </c>
      <c r="BL38" s="408">
        <f t="shared" si="38"/>
        <v>0</v>
      </c>
    </row>
    <row r="39" spans="3:64" s="335" customFormat="1" ht="30" customHeight="1" thickBot="1">
      <c r="C39" s="1127"/>
      <c r="D39" s="430"/>
      <c r="E39" s="400"/>
      <c r="F39" s="401"/>
      <c r="G39" s="401"/>
      <c r="H39" s="402"/>
      <c r="I39" s="403"/>
      <c r="J39" s="338"/>
      <c r="K39" s="338"/>
      <c r="L39" s="411"/>
      <c r="M39" s="403"/>
      <c r="N39" s="403"/>
      <c r="O39" s="403"/>
      <c r="P39" s="403"/>
      <c r="Q39" s="698">
        <f t="shared" si="24"/>
        <v>0</v>
      </c>
      <c r="R39" s="403">
        <v>0</v>
      </c>
      <c r="S39" s="338">
        <v>0</v>
      </c>
      <c r="T39" s="338">
        <v>0</v>
      </c>
      <c r="U39" s="338">
        <v>0</v>
      </c>
      <c r="V39" s="404">
        <f t="shared" si="25"/>
        <v>0</v>
      </c>
      <c r="W39" s="428">
        <v>0</v>
      </c>
      <c r="X39" s="429">
        <v>0</v>
      </c>
      <c r="Y39" s="429">
        <v>0</v>
      </c>
      <c r="Z39" s="429">
        <v>0</v>
      </c>
      <c r="AA39" s="404">
        <f t="shared" si="26"/>
        <v>0</v>
      </c>
      <c r="AB39" s="700">
        <v>0</v>
      </c>
      <c r="AC39" s="701">
        <v>0</v>
      </c>
      <c r="AD39" s="701">
        <v>0</v>
      </c>
      <c r="AE39" s="701">
        <v>0</v>
      </c>
      <c r="AF39" s="404">
        <f t="shared" si="27"/>
        <v>0</v>
      </c>
      <c r="AG39" s="696">
        <v>0</v>
      </c>
      <c r="AH39" s="696">
        <v>0</v>
      </c>
      <c r="AI39" s="696">
        <v>0</v>
      </c>
      <c r="AJ39" s="696">
        <v>0</v>
      </c>
      <c r="AK39" s="404">
        <f t="shared" si="28"/>
        <v>0</v>
      </c>
      <c r="AL39" s="696">
        <v>0</v>
      </c>
      <c r="AM39" s="697">
        <v>0</v>
      </c>
      <c r="AN39" s="697">
        <v>0</v>
      </c>
      <c r="AO39" s="697">
        <v>0</v>
      </c>
      <c r="AP39" s="405">
        <f t="shared" si="29"/>
        <v>0</v>
      </c>
      <c r="AQ39" s="779">
        <f t="shared" si="39"/>
        <v>0</v>
      </c>
      <c r="AR39" s="407">
        <f t="shared" si="30"/>
        <v>0</v>
      </c>
      <c r="AS39" s="407">
        <f t="shared" si="31"/>
        <v>0</v>
      </c>
      <c r="AT39" s="407">
        <f t="shared" si="32"/>
        <v>0</v>
      </c>
      <c r="AU39" s="408">
        <f t="shared" si="32"/>
        <v>0</v>
      </c>
      <c r="AV39" s="392" t="s">
        <v>425</v>
      </c>
      <c r="AW39" s="392" t="s">
        <v>425</v>
      </c>
      <c r="AX39" s="392" t="s">
        <v>425</v>
      </c>
      <c r="AY39" s="392" t="s">
        <v>425</v>
      </c>
      <c r="AZ39" s="387" t="s">
        <v>425</v>
      </c>
      <c r="BA39" s="343"/>
      <c r="BB39" s="406">
        <f t="shared" si="20"/>
        <v>0</v>
      </c>
      <c r="BC39" s="407">
        <f t="shared" si="21"/>
        <v>0</v>
      </c>
      <c r="BD39" s="407">
        <f t="shared" si="22"/>
        <v>0</v>
      </c>
      <c r="BE39" s="407">
        <f t="shared" si="23"/>
        <v>0</v>
      </c>
      <c r="BF39" s="404">
        <f t="shared" si="33"/>
        <v>0</v>
      </c>
      <c r="BG39" s="343"/>
      <c r="BH39" s="406">
        <f t="shared" si="34"/>
        <v>0</v>
      </c>
      <c r="BI39" s="407">
        <f t="shared" si="35"/>
        <v>0</v>
      </c>
      <c r="BJ39" s="407">
        <f t="shared" si="36"/>
        <v>0</v>
      </c>
      <c r="BK39" s="407">
        <f t="shared" si="37"/>
        <v>0</v>
      </c>
      <c r="BL39" s="408">
        <f t="shared" si="38"/>
        <v>0</v>
      </c>
    </row>
    <row r="40" spans="3:64" s="335" customFormat="1" ht="36.75" customHeight="1">
      <c r="C40" s="1127"/>
      <c r="D40" s="430" t="s">
        <v>519</v>
      </c>
      <c r="E40" s="714">
        <v>0.22</v>
      </c>
      <c r="F40" s="714">
        <v>0.22</v>
      </c>
      <c r="G40" s="714">
        <v>0.22</v>
      </c>
      <c r="H40" s="714">
        <v>0.22</v>
      </c>
      <c r="I40" s="715">
        <v>0.5</v>
      </c>
      <c r="J40" s="715">
        <v>0.5</v>
      </c>
      <c r="K40" s="715">
        <v>0.5</v>
      </c>
      <c r="L40" s="715">
        <v>0.5</v>
      </c>
      <c r="M40" s="457">
        <f>(10200*3)*0.5</f>
        <v>15300</v>
      </c>
      <c r="N40" s="457">
        <f>(10200*3)*0.5</f>
        <v>15300</v>
      </c>
      <c r="O40" s="457">
        <f>(10200*3)*0.5</f>
        <v>15300</v>
      </c>
      <c r="P40" s="457">
        <f>(10200*3)*0.5</f>
        <v>15300</v>
      </c>
      <c r="Q40" s="405">
        <f t="shared" ref="Q40:Q87" si="40">SUM(M40:P40)</f>
        <v>61200</v>
      </c>
      <c r="R40" s="403">
        <v>0</v>
      </c>
      <c r="S40" s="338">
        <v>0</v>
      </c>
      <c r="T40" s="338">
        <v>0</v>
      </c>
      <c r="U40" s="338">
        <v>0</v>
      </c>
      <c r="V40" s="404">
        <f t="shared" si="25"/>
        <v>0</v>
      </c>
      <c r="W40" s="428">
        <v>0</v>
      </c>
      <c r="X40" s="428">
        <v>0</v>
      </c>
      <c r="Y40" s="428">
        <v>0</v>
      </c>
      <c r="Z40" s="428">
        <v>0</v>
      </c>
      <c r="AA40" s="404">
        <f t="shared" si="26"/>
        <v>0</v>
      </c>
      <c r="AB40" s="700">
        <v>0</v>
      </c>
      <c r="AC40" s="701">
        <v>0</v>
      </c>
      <c r="AD40" s="701">
        <v>0</v>
      </c>
      <c r="AE40" s="701">
        <v>0</v>
      </c>
      <c r="AF40" s="404">
        <f t="shared" si="27"/>
        <v>0</v>
      </c>
      <c r="AG40" s="696">
        <v>0</v>
      </c>
      <c r="AH40" s="696">
        <v>0</v>
      </c>
      <c r="AI40" s="696">
        <v>0</v>
      </c>
      <c r="AJ40" s="696">
        <v>0</v>
      </c>
      <c r="AK40" s="404">
        <f t="shared" si="28"/>
        <v>0</v>
      </c>
      <c r="AL40" s="696">
        <v>0</v>
      </c>
      <c r="AM40" s="697">
        <v>0</v>
      </c>
      <c r="AN40" s="697">
        <v>0</v>
      </c>
      <c r="AO40" s="697">
        <v>0</v>
      </c>
      <c r="AP40" s="405">
        <f t="shared" si="29"/>
        <v>0</v>
      </c>
      <c r="AQ40" s="779">
        <f t="shared" si="39"/>
        <v>15300</v>
      </c>
      <c r="AR40" s="407">
        <f t="shared" si="30"/>
        <v>15300</v>
      </c>
      <c r="AS40" s="407">
        <f t="shared" si="31"/>
        <v>15300</v>
      </c>
      <c r="AT40" s="407">
        <f t="shared" si="32"/>
        <v>15300</v>
      </c>
      <c r="AU40" s="408">
        <f t="shared" si="32"/>
        <v>61200</v>
      </c>
      <c r="AV40" s="392" t="s">
        <v>425</v>
      </c>
      <c r="AW40" s="392" t="s">
        <v>425</v>
      </c>
      <c r="AX40" s="392" t="s">
        <v>425</v>
      </c>
      <c r="AY40" s="392" t="s">
        <v>425</v>
      </c>
      <c r="AZ40" s="387" t="s">
        <v>425</v>
      </c>
      <c r="BA40" s="343"/>
      <c r="BB40" s="406">
        <f t="shared" si="20"/>
        <v>3366</v>
      </c>
      <c r="BC40" s="407">
        <f t="shared" si="21"/>
        <v>3366</v>
      </c>
      <c r="BD40" s="407">
        <f t="shared" si="22"/>
        <v>3366</v>
      </c>
      <c r="BE40" s="407">
        <f t="shared" si="23"/>
        <v>3366</v>
      </c>
      <c r="BF40" s="404">
        <f t="shared" si="33"/>
        <v>13464</v>
      </c>
      <c r="BG40" s="343"/>
      <c r="BH40" s="406">
        <f t="shared" si="34"/>
        <v>2983.5</v>
      </c>
      <c r="BI40" s="407">
        <f t="shared" si="35"/>
        <v>2983.5</v>
      </c>
      <c r="BJ40" s="407">
        <f t="shared" si="36"/>
        <v>2983.5</v>
      </c>
      <c r="BK40" s="407">
        <f t="shared" si="37"/>
        <v>2983.5</v>
      </c>
      <c r="BL40" s="408">
        <f t="shared" si="38"/>
        <v>11934</v>
      </c>
    </row>
    <row r="41" spans="3:64" s="335" customFormat="1" ht="22.15" customHeight="1">
      <c r="C41" s="1127"/>
      <c r="D41" s="430"/>
      <c r="E41" s="400"/>
      <c r="F41" s="401"/>
      <c r="G41" s="401"/>
      <c r="H41" s="402"/>
      <c r="I41" s="403"/>
      <c r="J41" s="338"/>
      <c r="K41" s="338"/>
      <c r="L41" s="411"/>
      <c r="M41" s="403"/>
      <c r="N41" s="338"/>
      <c r="O41" s="338"/>
      <c r="P41" s="338"/>
      <c r="Q41" s="405">
        <f t="shared" si="40"/>
        <v>0</v>
      </c>
      <c r="R41" s="403"/>
      <c r="S41" s="338"/>
      <c r="T41" s="338"/>
      <c r="U41" s="338"/>
      <c r="V41" s="404">
        <f t="shared" si="25"/>
        <v>0</v>
      </c>
      <c r="W41" s="428"/>
      <c r="X41" s="429"/>
      <c r="Y41" s="429"/>
      <c r="Z41" s="429"/>
      <c r="AA41" s="404">
        <f t="shared" si="26"/>
        <v>0</v>
      </c>
      <c r="AB41" s="700">
        <v>0</v>
      </c>
      <c r="AC41" s="701">
        <v>0</v>
      </c>
      <c r="AD41" s="701">
        <v>0</v>
      </c>
      <c r="AE41" s="701">
        <v>0</v>
      </c>
      <c r="AF41" s="404">
        <f t="shared" si="27"/>
        <v>0</v>
      </c>
      <c r="AG41" s="403"/>
      <c r="AH41" s="338"/>
      <c r="AI41" s="338"/>
      <c r="AJ41" s="338"/>
      <c r="AK41" s="404">
        <f t="shared" si="28"/>
        <v>0</v>
      </c>
      <c r="AL41" s="403"/>
      <c r="AM41" s="338"/>
      <c r="AN41" s="338"/>
      <c r="AO41" s="338"/>
      <c r="AP41" s="405">
        <f t="shared" si="29"/>
        <v>0</v>
      </c>
      <c r="AQ41" s="779">
        <f t="shared" si="39"/>
        <v>0</v>
      </c>
      <c r="AR41" s="407">
        <f t="shared" si="30"/>
        <v>0</v>
      </c>
      <c r="AS41" s="407">
        <f t="shared" si="31"/>
        <v>0</v>
      </c>
      <c r="AT41" s="407">
        <f t="shared" si="32"/>
        <v>0</v>
      </c>
      <c r="AU41" s="408">
        <f t="shared" si="32"/>
        <v>0</v>
      </c>
      <c r="AV41" s="392" t="s">
        <v>425</v>
      </c>
      <c r="AW41" s="392" t="s">
        <v>425</v>
      </c>
      <c r="AX41" s="392" t="s">
        <v>425</v>
      </c>
      <c r="AY41" s="392" t="s">
        <v>425</v>
      </c>
      <c r="AZ41" s="387" t="s">
        <v>425</v>
      </c>
      <c r="BA41" s="343"/>
      <c r="BB41" s="406">
        <f t="shared" si="20"/>
        <v>0</v>
      </c>
      <c r="BC41" s="407">
        <f t="shared" si="21"/>
        <v>0</v>
      </c>
      <c r="BD41" s="407">
        <f t="shared" si="22"/>
        <v>0</v>
      </c>
      <c r="BE41" s="407">
        <f t="shared" si="23"/>
        <v>0</v>
      </c>
      <c r="BF41" s="404">
        <f t="shared" si="33"/>
        <v>0</v>
      </c>
      <c r="BG41" s="343"/>
      <c r="BH41" s="406">
        <f t="shared" si="34"/>
        <v>0</v>
      </c>
      <c r="BI41" s="407">
        <f t="shared" si="35"/>
        <v>0</v>
      </c>
      <c r="BJ41" s="407">
        <f t="shared" si="36"/>
        <v>0</v>
      </c>
      <c r="BK41" s="407">
        <f t="shared" si="37"/>
        <v>0</v>
      </c>
      <c r="BL41" s="408">
        <f t="shared" si="38"/>
        <v>0</v>
      </c>
    </row>
    <row r="42" spans="3:64" s="335" customFormat="1" ht="22.15" customHeight="1">
      <c r="C42" s="1127"/>
      <c r="D42" s="430"/>
      <c r="E42" s="400"/>
      <c r="F42" s="401"/>
      <c r="G42" s="401"/>
      <c r="H42" s="402"/>
      <c r="I42" s="403"/>
      <c r="J42" s="338"/>
      <c r="K42" s="338"/>
      <c r="L42" s="411"/>
      <c r="M42" s="403"/>
      <c r="N42" s="338"/>
      <c r="O42" s="338"/>
      <c r="P42" s="338"/>
      <c r="Q42" s="405">
        <f t="shared" si="40"/>
        <v>0</v>
      </c>
      <c r="R42" s="403"/>
      <c r="S42" s="338"/>
      <c r="T42" s="338"/>
      <c r="U42" s="338"/>
      <c r="V42" s="404">
        <f t="shared" si="25"/>
        <v>0</v>
      </c>
      <c r="W42" s="428"/>
      <c r="X42" s="429"/>
      <c r="Y42" s="429"/>
      <c r="Z42" s="429"/>
      <c r="AA42" s="404">
        <f t="shared" si="26"/>
        <v>0</v>
      </c>
      <c r="AB42" s="700">
        <v>0</v>
      </c>
      <c r="AC42" s="701">
        <v>0</v>
      </c>
      <c r="AD42" s="701">
        <v>0</v>
      </c>
      <c r="AE42" s="701">
        <v>0</v>
      </c>
      <c r="AF42" s="404">
        <f t="shared" si="27"/>
        <v>0</v>
      </c>
      <c r="AG42" s="403"/>
      <c r="AH42" s="338"/>
      <c r="AI42" s="338"/>
      <c r="AJ42" s="338"/>
      <c r="AK42" s="404">
        <f t="shared" si="28"/>
        <v>0</v>
      </c>
      <c r="AL42" s="403"/>
      <c r="AM42" s="338"/>
      <c r="AN42" s="338"/>
      <c r="AO42" s="338"/>
      <c r="AP42" s="405">
        <f t="shared" si="29"/>
        <v>0</v>
      </c>
      <c r="AQ42" s="779">
        <f t="shared" si="39"/>
        <v>0</v>
      </c>
      <c r="AR42" s="407">
        <f t="shared" si="30"/>
        <v>0</v>
      </c>
      <c r="AS42" s="407">
        <f t="shared" si="31"/>
        <v>0</v>
      </c>
      <c r="AT42" s="407">
        <f t="shared" si="32"/>
        <v>0</v>
      </c>
      <c r="AU42" s="408">
        <f t="shared" si="32"/>
        <v>0</v>
      </c>
      <c r="AV42" s="392" t="s">
        <v>425</v>
      </c>
      <c r="AW42" s="392" t="s">
        <v>425</v>
      </c>
      <c r="AX42" s="392" t="s">
        <v>425</v>
      </c>
      <c r="AY42" s="392" t="s">
        <v>425</v>
      </c>
      <c r="AZ42" s="387" t="s">
        <v>425</v>
      </c>
      <c r="BA42" s="343"/>
      <c r="BB42" s="406">
        <f t="shared" si="20"/>
        <v>0</v>
      </c>
      <c r="BC42" s="407">
        <f t="shared" si="21"/>
        <v>0</v>
      </c>
      <c r="BD42" s="407">
        <f t="shared" si="22"/>
        <v>0</v>
      </c>
      <c r="BE42" s="407">
        <f t="shared" si="23"/>
        <v>0</v>
      </c>
      <c r="BF42" s="404">
        <f t="shared" si="33"/>
        <v>0</v>
      </c>
      <c r="BG42" s="343"/>
      <c r="BH42" s="406">
        <f t="shared" si="34"/>
        <v>0</v>
      </c>
      <c r="BI42" s="407">
        <f t="shared" si="35"/>
        <v>0</v>
      </c>
      <c r="BJ42" s="407">
        <f t="shared" si="36"/>
        <v>0</v>
      </c>
      <c r="BK42" s="407">
        <f t="shared" si="37"/>
        <v>0</v>
      </c>
      <c r="BL42" s="408">
        <f t="shared" si="38"/>
        <v>0</v>
      </c>
    </row>
    <row r="43" spans="3:64" s="335" customFormat="1" ht="22.15" customHeight="1">
      <c r="C43" s="1127"/>
      <c r="D43" s="430"/>
      <c r="E43" s="400"/>
      <c r="F43" s="401"/>
      <c r="G43" s="401"/>
      <c r="H43" s="402"/>
      <c r="I43" s="403"/>
      <c r="J43" s="338"/>
      <c r="K43" s="338"/>
      <c r="L43" s="411"/>
      <c r="M43" s="403"/>
      <c r="N43" s="338"/>
      <c r="O43" s="338"/>
      <c r="P43" s="338"/>
      <c r="Q43" s="405">
        <f t="shared" si="40"/>
        <v>0</v>
      </c>
      <c r="R43" s="403"/>
      <c r="S43" s="338"/>
      <c r="T43" s="338"/>
      <c r="U43" s="338"/>
      <c r="V43" s="404">
        <f t="shared" si="25"/>
        <v>0</v>
      </c>
      <c r="W43" s="428"/>
      <c r="X43" s="429"/>
      <c r="Y43" s="429"/>
      <c r="Z43" s="429"/>
      <c r="AA43" s="404">
        <f t="shared" si="26"/>
        <v>0</v>
      </c>
      <c r="AB43" s="700">
        <v>0</v>
      </c>
      <c r="AC43" s="701">
        <v>0</v>
      </c>
      <c r="AD43" s="701">
        <v>0</v>
      </c>
      <c r="AE43" s="701">
        <v>0</v>
      </c>
      <c r="AF43" s="404">
        <f t="shared" si="27"/>
        <v>0</v>
      </c>
      <c r="AG43" s="403"/>
      <c r="AH43" s="338"/>
      <c r="AI43" s="338"/>
      <c r="AJ43" s="338"/>
      <c r="AK43" s="404">
        <f t="shared" si="28"/>
        <v>0</v>
      </c>
      <c r="AL43" s="403"/>
      <c r="AM43" s="338"/>
      <c r="AN43" s="338"/>
      <c r="AO43" s="338"/>
      <c r="AP43" s="405">
        <f t="shared" si="29"/>
        <v>0</v>
      </c>
      <c r="AQ43" s="779">
        <f t="shared" si="39"/>
        <v>0</v>
      </c>
      <c r="AR43" s="407">
        <f t="shared" si="30"/>
        <v>0</v>
      </c>
      <c r="AS43" s="407">
        <f t="shared" si="31"/>
        <v>0</v>
      </c>
      <c r="AT43" s="407">
        <f t="shared" si="32"/>
        <v>0</v>
      </c>
      <c r="AU43" s="408">
        <f t="shared" si="32"/>
        <v>0</v>
      </c>
      <c r="AV43" s="392" t="s">
        <v>425</v>
      </c>
      <c r="AW43" s="392" t="s">
        <v>425</v>
      </c>
      <c r="AX43" s="392" t="s">
        <v>425</v>
      </c>
      <c r="AY43" s="392" t="s">
        <v>425</v>
      </c>
      <c r="AZ43" s="387" t="s">
        <v>425</v>
      </c>
      <c r="BA43" s="343"/>
      <c r="BB43" s="406">
        <f t="shared" si="20"/>
        <v>0</v>
      </c>
      <c r="BC43" s="407">
        <f t="shared" si="21"/>
        <v>0</v>
      </c>
      <c r="BD43" s="407">
        <f t="shared" si="22"/>
        <v>0</v>
      </c>
      <c r="BE43" s="407">
        <f t="shared" si="23"/>
        <v>0</v>
      </c>
      <c r="BF43" s="404">
        <f t="shared" si="33"/>
        <v>0</v>
      </c>
      <c r="BG43" s="343"/>
      <c r="BH43" s="406">
        <f t="shared" si="34"/>
        <v>0</v>
      </c>
      <c r="BI43" s="407">
        <f t="shared" si="35"/>
        <v>0</v>
      </c>
      <c r="BJ43" s="407">
        <f t="shared" si="36"/>
        <v>0</v>
      </c>
      <c r="BK43" s="407">
        <f t="shared" si="37"/>
        <v>0</v>
      </c>
      <c r="BL43" s="408">
        <f t="shared" si="38"/>
        <v>0</v>
      </c>
    </row>
    <row r="44" spans="3:64" s="431" customFormat="1" ht="30.75" customHeight="1" thickBot="1">
      <c r="C44" s="1127"/>
      <c r="D44" s="718" t="s">
        <v>507</v>
      </c>
      <c r="E44" s="417" t="s">
        <v>423</v>
      </c>
      <c r="F44" s="418" t="s">
        <v>423</v>
      </c>
      <c r="G44" s="418" t="s">
        <v>423</v>
      </c>
      <c r="H44" s="419" t="s">
        <v>423</v>
      </c>
      <c r="I44" s="796">
        <f t="shared" ref="I44:Q44" si="41">SUM(I29:I43)</f>
        <v>21.5</v>
      </c>
      <c r="J44" s="797">
        <f t="shared" si="41"/>
        <v>21.5</v>
      </c>
      <c r="K44" s="797">
        <f t="shared" si="41"/>
        <v>21.5</v>
      </c>
      <c r="L44" s="798">
        <f t="shared" si="41"/>
        <v>21.5</v>
      </c>
      <c r="M44" s="414">
        <f t="shared" si="41"/>
        <v>728100</v>
      </c>
      <c r="N44" s="414">
        <f t="shared" si="41"/>
        <v>728100</v>
      </c>
      <c r="O44" s="414">
        <f t="shared" si="41"/>
        <v>728100</v>
      </c>
      <c r="P44" s="414">
        <f t="shared" si="41"/>
        <v>728100</v>
      </c>
      <c r="Q44" s="420">
        <f t="shared" si="41"/>
        <v>2912400</v>
      </c>
      <c r="R44" s="414">
        <f>R29+R30+R31</f>
        <v>540000</v>
      </c>
      <c r="S44" s="414">
        <f>S29+S30+S31</f>
        <v>540000</v>
      </c>
      <c r="T44" s="414">
        <f>T29+T30+T31</f>
        <v>540000</v>
      </c>
      <c r="U44" s="414">
        <f>U29+U30+U31</f>
        <v>540000</v>
      </c>
      <c r="V44" s="404">
        <f t="shared" si="25"/>
        <v>2160000</v>
      </c>
      <c r="W44" s="764">
        <f>W29+W30+W31+W39</f>
        <v>712800</v>
      </c>
      <c r="X44" s="764">
        <f>X29+X30+X31+X39</f>
        <v>712800</v>
      </c>
      <c r="Y44" s="764">
        <f>Y29+Y30+Y31+Y39</f>
        <v>712800</v>
      </c>
      <c r="Z44" s="764">
        <f>Z29+Z30+Z31+Z39</f>
        <v>712800</v>
      </c>
      <c r="AA44" s="416">
        <f t="shared" ref="AA44:AT44" si="42">SUM(AA29:AA43)</f>
        <v>2851200</v>
      </c>
      <c r="AB44" s="414">
        <f t="shared" si="42"/>
        <v>14040</v>
      </c>
      <c r="AC44" s="415">
        <f t="shared" si="42"/>
        <v>14040</v>
      </c>
      <c r="AD44" s="415">
        <f t="shared" si="42"/>
        <v>14040</v>
      </c>
      <c r="AE44" s="415">
        <f t="shared" si="42"/>
        <v>14040</v>
      </c>
      <c r="AF44" s="416">
        <f t="shared" si="42"/>
        <v>56160</v>
      </c>
      <c r="AG44" s="414">
        <f t="shared" si="42"/>
        <v>0</v>
      </c>
      <c r="AH44" s="415">
        <f t="shared" si="42"/>
        <v>0</v>
      </c>
      <c r="AI44" s="415">
        <f t="shared" si="42"/>
        <v>0</v>
      </c>
      <c r="AJ44" s="415">
        <f t="shared" si="42"/>
        <v>0</v>
      </c>
      <c r="AK44" s="416">
        <f t="shared" si="42"/>
        <v>0</v>
      </c>
      <c r="AL44" s="414">
        <f t="shared" si="42"/>
        <v>0</v>
      </c>
      <c r="AM44" s="415">
        <f t="shared" si="42"/>
        <v>0</v>
      </c>
      <c r="AN44" s="415">
        <f t="shared" si="42"/>
        <v>0</v>
      </c>
      <c r="AO44" s="415">
        <f t="shared" si="42"/>
        <v>0</v>
      </c>
      <c r="AP44" s="420">
        <f t="shared" si="42"/>
        <v>0</v>
      </c>
      <c r="AQ44" s="787">
        <f t="shared" si="42"/>
        <v>1994940</v>
      </c>
      <c r="AR44" s="415">
        <f t="shared" si="42"/>
        <v>1994940</v>
      </c>
      <c r="AS44" s="415">
        <f t="shared" si="42"/>
        <v>1994940</v>
      </c>
      <c r="AT44" s="415">
        <f t="shared" si="42"/>
        <v>1994940</v>
      </c>
      <c r="AU44" s="416">
        <f>SUM(AQ44:AT44)</f>
        <v>7979760</v>
      </c>
      <c r="AV44" s="423">
        <f>900*3*3</f>
        <v>8100</v>
      </c>
      <c r="AW44" s="423">
        <f>900*3*3</f>
        <v>8100</v>
      </c>
      <c r="AX44" s="423">
        <f>900*3*3</f>
        <v>8100</v>
      </c>
      <c r="AY44" s="423">
        <f>900*3*3</f>
        <v>8100</v>
      </c>
      <c r="AZ44" s="416">
        <f>AV44+AW44+AX44+AY44</f>
        <v>32400</v>
      </c>
      <c r="BA44" s="260"/>
      <c r="BB44" s="414">
        <f>SUM(BB29:BB43)</f>
        <v>438886.80000000005</v>
      </c>
      <c r="BC44" s="415">
        <f>SUM(BC29:BC43)</f>
        <v>438886.80000000005</v>
      </c>
      <c r="BD44" s="415">
        <f>SUM(BD29:BD43)</f>
        <v>438886.80000000005</v>
      </c>
      <c r="BE44" s="415">
        <f>SUM(BE29:BE43)</f>
        <v>438886.80000000005</v>
      </c>
      <c r="BF44" s="416">
        <f>SUM(BF29:BF43)</f>
        <v>1755547.2000000002</v>
      </c>
      <c r="BG44" s="260"/>
      <c r="BH44" s="414">
        <f>SUM(BH29:BH43)</f>
        <v>389013.30000000005</v>
      </c>
      <c r="BI44" s="415">
        <f>SUM(BI29:BI43)</f>
        <v>389013.30000000005</v>
      </c>
      <c r="BJ44" s="415">
        <f>SUM(BJ29:BJ43)</f>
        <v>389013.30000000005</v>
      </c>
      <c r="BK44" s="415">
        <f>SUM(BK29:BK43)</f>
        <v>389013.30000000005</v>
      </c>
      <c r="BL44" s="416">
        <f>SUM(BL29:BL43)</f>
        <v>1556053.2000000002</v>
      </c>
    </row>
    <row r="45" spans="3:64" s="433" customFormat="1" ht="54" customHeight="1" thickBot="1">
      <c r="C45" s="1160" t="s">
        <v>567</v>
      </c>
      <c r="D45" s="688" t="s">
        <v>517</v>
      </c>
      <c r="E45" s="401">
        <v>0.22</v>
      </c>
      <c r="F45" s="401">
        <v>0.22</v>
      </c>
      <c r="G45" s="401">
        <v>0.22</v>
      </c>
      <c r="H45" s="401">
        <v>0.22</v>
      </c>
      <c r="I45" s="743">
        <v>19.5</v>
      </c>
      <c r="J45" s="743">
        <v>19.5</v>
      </c>
      <c r="K45" s="743">
        <v>19.5</v>
      </c>
      <c r="L45" s="743">
        <v>19.5</v>
      </c>
      <c r="M45" s="434">
        <f>(13500*19)*3</f>
        <v>769500</v>
      </c>
      <c r="N45" s="434">
        <f>(13500*19)*3</f>
        <v>769500</v>
      </c>
      <c r="O45" s="434">
        <f>(13500*19)*3</f>
        <v>769500</v>
      </c>
      <c r="P45" s="434">
        <f>(13500*19)*3</f>
        <v>769500</v>
      </c>
      <c r="Q45" s="394">
        <f t="shared" si="40"/>
        <v>3078000</v>
      </c>
      <c r="R45" s="434">
        <f t="shared" ref="R45:U46" si="43">M45*0.3</f>
        <v>230850</v>
      </c>
      <c r="S45" s="434">
        <f t="shared" si="43"/>
        <v>230850</v>
      </c>
      <c r="T45" s="434">
        <f t="shared" si="43"/>
        <v>230850</v>
      </c>
      <c r="U45" s="434">
        <f t="shared" si="43"/>
        <v>230850</v>
      </c>
      <c r="V45" s="404">
        <f t="shared" si="25"/>
        <v>923400</v>
      </c>
      <c r="W45" s="767">
        <v>0</v>
      </c>
      <c r="X45" s="767">
        <v>0</v>
      </c>
      <c r="Y45" s="767">
        <v>0</v>
      </c>
      <c r="Z45" s="767">
        <v>0</v>
      </c>
      <c r="AA45" s="394">
        <f>Z45+Y45+X45+W45</f>
        <v>0</v>
      </c>
      <c r="AB45" s="428">
        <v>0</v>
      </c>
      <c r="AC45" s="428">
        <v>0</v>
      </c>
      <c r="AD45" s="428">
        <v>0</v>
      </c>
      <c r="AE45" s="428">
        <v>0</v>
      </c>
      <c r="AF45" s="394">
        <f t="shared" ref="AF45:AF59" si="44">SUM(AB45:AE45)</f>
        <v>0</v>
      </c>
      <c r="AG45" s="428">
        <v>0</v>
      </c>
      <c r="AH45" s="429">
        <v>0</v>
      </c>
      <c r="AI45" s="429">
        <v>0</v>
      </c>
      <c r="AJ45" s="429">
        <v>0</v>
      </c>
      <c r="AK45" s="394">
        <f t="shared" ref="AK45:AK59" si="45">SUM(AG45:AJ45)</f>
        <v>0</v>
      </c>
      <c r="AL45" s="434">
        <v>0</v>
      </c>
      <c r="AM45" s="435">
        <v>0</v>
      </c>
      <c r="AN45" s="435">
        <v>0</v>
      </c>
      <c r="AO45" s="435">
        <v>0</v>
      </c>
      <c r="AP45" s="427">
        <f t="shared" ref="AP45:AP59" si="46">SUM(AL45:AO45)</f>
        <v>0</v>
      </c>
      <c r="AQ45" s="779">
        <f>M45+R45+W45+AB45+AG45+AL45</f>
        <v>1000350</v>
      </c>
      <c r="AR45" s="407">
        <f>N45+S45+X45+AC45+AH45+AM45</f>
        <v>1000350</v>
      </c>
      <c r="AS45" s="407">
        <f>O45+T45+Y45+AD45+AI45+AN45</f>
        <v>1000350</v>
      </c>
      <c r="AT45" s="407">
        <f>P45+U45+Z45+AE45+AJ45+AO45</f>
        <v>1000350</v>
      </c>
      <c r="AU45" s="408">
        <f>Q45+V45+AA45+AF45+AK45+AP45</f>
        <v>4001400</v>
      </c>
      <c r="AV45" s="392" t="s">
        <v>425</v>
      </c>
      <c r="AW45" s="392" t="s">
        <v>425</v>
      </c>
      <c r="AX45" s="392" t="s">
        <v>425</v>
      </c>
      <c r="AY45" s="392" t="s">
        <v>425</v>
      </c>
      <c r="AZ45" s="387" t="s">
        <v>425</v>
      </c>
      <c r="BA45" s="395"/>
      <c r="BB45" s="396">
        <f t="shared" ref="BB45:BB59" si="47">AQ45*E45/100%</f>
        <v>220077</v>
      </c>
      <c r="BC45" s="397">
        <f t="shared" ref="BC45:BC59" si="48">AR45*F45/100%</f>
        <v>220077</v>
      </c>
      <c r="BD45" s="397">
        <f t="shared" ref="BD45:BD59" si="49">AS45*G45/100%</f>
        <v>220077</v>
      </c>
      <c r="BE45" s="397">
        <f t="shared" ref="BE45:BE59" si="50">AT45*H45/100%</f>
        <v>220077</v>
      </c>
      <c r="BF45" s="387">
        <f>SUM(BB45:BE45)</f>
        <v>880308</v>
      </c>
      <c r="BG45" s="395"/>
      <c r="BH45" s="396">
        <f>AQ45*(18%+1.5%)/100%</f>
        <v>195068.25</v>
      </c>
      <c r="BI45" s="397">
        <f>AR45*(18%+1.5%)/100%</f>
        <v>195068.25</v>
      </c>
      <c r="BJ45" s="397">
        <f>AS45*(18%+1.5%)/100%</f>
        <v>195068.25</v>
      </c>
      <c r="BK45" s="397">
        <f>AT45*(18%+1.5%)/100%</f>
        <v>195068.25</v>
      </c>
      <c r="BL45" s="398">
        <f>SUM(BH45:BK45)</f>
        <v>780273</v>
      </c>
    </row>
    <row r="46" spans="3:64" s="433" customFormat="1" ht="54" customHeight="1" thickBot="1">
      <c r="C46" s="1125"/>
      <c r="D46" s="688" t="s">
        <v>517</v>
      </c>
      <c r="E46" s="401">
        <v>0.22</v>
      </c>
      <c r="F46" s="401">
        <v>0.22</v>
      </c>
      <c r="G46" s="401">
        <v>0.22</v>
      </c>
      <c r="H46" s="401">
        <v>0.22</v>
      </c>
      <c r="I46" s="744">
        <v>17</v>
      </c>
      <c r="J46" s="744">
        <v>17</v>
      </c>
      <c r="K46" s="744">
        <v>17</v>
      </c>
      <c r="L46" s="744">
        <v>17</v>
      </c>
      <c r="M46" s="434">
        <f>(13500*17)*3</f>
        <v>688500</v>
      </c>
      <c r="N46" s="434">
        <f>(13500*17)*3</f>
        <v>688500</v>
      </c>
      <c r="O46" s="434">
        <f>(13500*17)*3</f>
        <v>688500</v>
      </c>
      <c r="P46" s="434">
        <f>(13500*17)*3</f>
        <v>688500</v>
      </c>
      <c r="Q46" s="404">
        <f t="shared" si="40"/>
        <v>2754000</v>
      </c>
      <c r="R46" s="434">
        <f t="shared" si="43"/>
        <v>206550</v>
      </c>
      <c r="S46" s="434">
        <f t="shared" si="43"/>
        <v>206550</v>
      </c>
      <c r="T46" s="434">
        <f t="shared" si="43"/>
        <v>206550</v>
      </c>
      <c r="U46" s="434">
        <f t="shared" si="43"/>
        <v>206550</v>
      </c>
      <c r="V46" s="404">
        <f t="shared" si="25"/>
        <v>826200</v>
      </c>
      <c r="W46" s="767">
        <v>0</v>
      </c>
      <c r="X46" s="767">
        <v>0</v>
      </c>
      <c r="Y46" s="767">
        <v>0</v>
      </c>
      <c r="Z46" s="767">
        <v>0</v>
      </c>
      <c r="AA46" s="394">
        <f>Z46+Y46+X46+W46</f>
        <v>0</v>
      </c>
      <c r="AB46" s="428">
        <v>0</v>
      </c>
      <c r="AC46" s="428">
        <v>0</v>
      </c>
      <c r="AD46" s="428">
        <v>0</v>
      </c>
      <c r="AE46" s="428">
        <v>0</v>
      </c>
      <c r="AF46" s="404">
        <f t="shared" si="44"/>
        <v>0</v>
      </c>
      <c r="AG46" s="428">
        <v>0</v>
      </c>
      <c r="AH46" s="429">
        <v>0</v>
      </c>
      <c r="AI46" s="429">
        <v>0</v>
      </c>
      <c r="AJ46" s="429">
        <v>0</v>
      </c>
      <c r="AK46" s="404">
        <f t="shared" si="45"/>
        <v>0</v>
      </c>
      <c r="AL46" s="434">
        <v>0</v>
      </c>
      <c r="AM46" s="435">
        <v>0</v>
      </c>
      <c r="AN46" s="435">
        <v>0</v>
      </c>
      <c r="AO46" s="435">
        <v>0</v>
      </c>
      <c r="AP46" s="405">
        <f t="shared" si="46"/>
        <v>0</v>
      </c>
      <c r="AQ46" s="779">
        <f t="shared" ref="AQ46:AQ59" si="51">M46+R46+W46+AB46+AG46+AL46</f>
        <v>895050</v>
      </c>
      <c r="AR46" s="407">
        <f t="shared" ref="AR46:AR59" si="52">N46+S46+X46+AC46+AH46+AM46</f>
        <v>895050</v>
      </c>
      <c r="AS46" s="407">
        <f t="shared" ref="AS46:AS59" si="53">O46+T46+Y46+AD46+AI46+AN46</f>
        <v>895050</v>
      </c>
      <c r="AT46" s="407">
        <f t="shared" ref="AT46:AT59" si="54">P46+U46+Z46+AE46+AJ46+AO46</f>
        <v>895050</v>
      </c>
      <c r="AU46" s="408">
        <f t="shared" ref="AU46:AU59" si="55">Q46+V46+AA46+AF46+AK46+AP46</f>
        <v>3580200</v>
      </c>
      <c r="AV46" s="392" t="s">
        <v>425</v>
      </c>
      <c r="AW46" s="392" t="s">
        <v>425</v>
      </c>
      <c r="AX46" s="392" t="s">
        <v>425</v>
      </c>
      <c r="AY46" s="392" t="s">
        <v>425</v>
      </c>
      <c r="AZ46" s="387" t="s">
        <v>425</v>
      </c>
      <c r="BA46" s="395"/>
      <c r="BB46" s="406">
        <f t="shared" si="47"/>
        <v>196911</v>
      </c>
      <c r="BC46" s="407">
        <f t="shared" si="48"/>
        <v>196911</v>
      </c>
      <c r="BD46" s="407">
        <f t="shared" si="49"/>
        <v>196911</v>
      </c>
      <c r="BE46" s="407">
        <f t="shared" si="50"/>
        <v>196911</v>
      </c>
      <c r="BF46" s="404">
        <f t="shared" si="33"/>
        <v>787644</v>
      </c>
      <c r="BG46" s="395"/>
      <c r="BH46" s="406">
        <f t="shared" ref="BH46:BH59" si="56">AQ46*(18%+1.5%)/100%</f>
        <v>174534.75</v>
      </c>
      <c r="BI46" s="407">
        <f t="shared" ref="BI46:BI59" si="57">AR46*(18%+1.5%)/100%</f>
        <v>174534.75</v>
      </c>
      <c r="BJ46" s="407">
        <f t="shared" ref="BJ46:BJ59" si="58">AS46*(18%+1.5%)/100%</f>
        <v>174534.75</v>
      </c>
      <c r="BK46" s="407">
        <f t="shared" ref="BK46:BK59" si="59">AT46*(18%+1.5%)/100%</f>
        <v>174534.75</v>
      </c>
      <c r="BL46" s="408">
        <f t="shared" ref="BL46:BL59" si="60">SUM(BH46:BK46)</f>
        <v>698139</v>
      </c>
    </row>
    <row r="47" spans="3:64" s="433" customFormat="1" ht="54.75" customHeight="1" thickBot="1">
      <c r="C47" s="1125"/>
      <c r="D47" s="688" t="s">
        <v>229</v>
      </c>
      <c r="E47" s="401">
        <v>0.22</v>
      </c>
      <c r="F47" s="401">
        <v>0.22</v>
      </c>
      <c r="G47" s="401">
        <v>0.22</v>
      </c>
      <c r="H47" s="401">
        <v>0.22</v>
      </c>
      <c r="I47" s="744">
        <v>10.5</v>
      </c>
      <c r="J47" s="744">
        <v>10.5</v>
      </c>
      <c r="K47" s="744">
        <v>10.5</v>
      </c>
      <c r="L47" s="744">
        <v>10.5</v>
      </c>
      <c r="M47" s="434">
        <f>(13500*10.5)*3</f>
        <v>425250</v>
      </c>
      <c r="N47" s="434">
        <f>(13500*10.5)*3</f>
        <v>425250</v>
      </c>
      <c r="O47" s="434">
        <f>(13500*10.5)*3</f>
        <v>425250</v>
      </c>
      <c r="P47" s="434">
        <f>(13500*10.5)*3</f>
        <v>425250</v>
      </c>
      <c r="Q47" s="404">
        <f t="shared" si="40"/>
        <v>1701000</v>
      </c>
      <c r="R47" s="428">
        <v>0</v>
      </c>
      <c r="S47" s="429">
        <v>0</v>
      </c>
      <c r="T47" s="429">
        <v>0</v>
      </c>
      <c r="U47" s="429">
        <v>0</v>
      </c>
      <c r="V47" s="404">
        <f t="shared" si="25"/>
        <v>0</v>
      </c>
      <c r="W47" s="767">
        <v>0</v>
      </c>
      <c r="X47" s="767">
        <v>0</v>
      </c>
      <c r="Y47" s="767">
        <v>0</v>
      </c>
      <c r="Z47" s="767">
        <v>0</v>
      </c>
      <c r="AA47" s="394">
        <f>Z47+Y47+X47+W47</f>
        <v>0</v>
      </c>
      <c r="AB47" s="428">
        <v>0</v>
      </c>
      <c r="AC47" s="428">
        <v>0</v>
      </c>
      <c r="AD47" s="428">
        <v>0</v>
      </c>
      <c r="AE47" s="428">
        <v>0</v>
      </c>
      <c r="AF47" s="404">
        <f t="shared" si="44"/>
        <v>0</v>
      </c>
      <c r="AG47" s="428">
        <v>0</v>
      </c>
      <c r="AH47" s="429">
        <v>0</v>
      </c>
      <c r="AI47" s="429">
        <v>0</v>
      </c>
      <c r="AJ47" s="429">
        <v>0</v>
      </c>
      <c r="AK47" s="404">
        <f t="shared" si="45"/>
        <v>0</v>
      </c>
      <c r="AL47" s="434">
        <v>0</v>
      </c>
      <c r="AM47" s="435">
        <v>0</v>
      </c>
      <c r="AN47" s="435">
        <v>0</v>
      </c>
      <c r="AO47" s="435">
        <v>0</v>
      </c>
      <c r="AP47" s="405">
        <f t="shared" si="46"/>
        <v>0</v>
      </c>
      <c r="AQ47" s="779">
        <f t="shared" si="51"/>
        <v>425250</v>
      </c>
      <c r="AR47" s="407">
        <f t="shared" si="52"/>
        <v>425250</v>
      </c>
      <c r="AS47" s="407">
        <f t="shared" si="53"/>
        <v>425250</v>
      </c>
      <c r="AT47" s="407">
        <f t="shared" si="54"/>
        <v>425250</v>
      </c>
      <c r="AU47" s="408">
        <f t="shared" si="55"/>
        <v>1701000</v>
      </c>
      <c r="AV47" s="392" t="s">
        <v>425</v>
      </c>
      <c r="AW47" s="392" t="s">
        <v>425</v>
      </c>
      <c r="AX47" s="392" t="s">
        <v>425</v>
      </c>
      <c r="AY47" s="392" t="s">
        <v>425</v>
      </c>
      <c r="AZ47" s="387" t="s">
        <v>425</v>
      </c>
      <c r="BA47" s="395"/>
      <c r="BB47" s="406">
        <f t="shared" si="47"/>
        <v>93555</v>
      </c>
      <c r="BC47" s="407">
        <f t="shared" si="48"/>
        <v>93555</v>
      </c>
      <c r="BD47" s="407">
        <f t="shared" si="49"/>
        <v>93555</v>
      </c>
      <c r="BE47" s="407">
        <f t="shared" si="50"/>
        <v>93555</v>
      </c>
      <c r="BF47" s="404">
        <f t="shared" si="33"/>
        <v>374220</v>
      </c>
      <c r="BG47" s="395"/>
      <c r="BH47" s="406">
        <f t="shared" si="56"/>
        <v>82923.75</v>
      </c>
      <c r="BI47" s="407">
        <f t="shared" si="57"/>
        <v>82923.75</v>
      </c>
      <c r="BJ47" s="407">
        <f t="shared" si="58"/>
        <v>82923.75</v>
      </c>
      <c r="BK47" s="407">
        <f t="shared" si="59"/>
        <v>82923.75</v>
      </c>
      <c r="BL47" s="408">
        <f t="shared" si="60"/>
        <v>331695</v>
      </c>
    </row>
    <row r="48" spans="3:64" s="433" customFormat="1" ht="63" customHeight="1">
      <c r="C48" s="1125"/>
      <c r="D48" s="430" t="s">
        <v>189</v>
      </c>
      <c r="E48" s="401">
        <v>0.22</v>
      </c>
      <c r="F48" s="401">
        <v>0.22</v>
      </c>
      <c r="G48" s="401">
        <v>0.22</v>
      </c>
      <c r="H48" s="401">
        <v>0.22</v>
      </c>
      <c r="I48" s="715">
        <v>1</v>
      </c>
      <c r="J48" s="715">
        <v>1</v>
      </c>
      <c r="K48" s="715">
        <v>1</v>
      </c>
      <c r="L48" s="715">
        <v>1</v>
      </c>
      <c r="M48" s="457">
        <f>9000*3</f>
        <v>27000</v>
      </c>
      <c r="N48" s="457">
        <f>9000*3</f>
        <v>27000</v>
      </c>
      <c r="O48" s="457">
        <f>9000*3</f>
        <v>27000</v>
      </c>
      <c r="P48" s="457">
        <f>9000*3</f>
        <v>27000</v>
      </c>
      <c r="Q48" s="404">
        <f t="shared" si="40"/>
        <v>108000</v>
      </c>
      <c r="R48" s="428">
        <f>M48*0.5</f>
        <v>13500</v>
      </c>
      <c r="S48" s="428">
        <f>N48*0.5</f>
        <v>13500</v>
      </c>
      <c r="T48" s="428">
        <f>O48*0.5</f>
        <v>13500</v>
      </c>
      <c r="U48" s="428">
        <f>P48*0.5</f>
        <v>13500</v>
      </c>
      <c r="V48" s="404">
        <f t="shared" si="25"/>
        <v>54000</v>
      </c>
      <c r="W48" s="767">
        <v>0</v>
      </c>
      <c r="X48" s="767">
        <v>0</v>
      </c>
      <c r="Y48" s="767">
        <v>0</v>
      </c>
      <c r="Z48" s="767">
        <v>0</v>
      </c>
      <c r="AA48" s="394">
        <f>Z48+Y48+X48+W48</f>
        <v>0</v>
      </c>
      <c r="AB48" s="428">
        <v>0</v>
      </c>
      <c r="AC48" s="428">
        <v>0</v>
      </c>
      <c r="AD48" s="428">
        <v>0</v>
      </c>
      <c r="AE48" s="428">
        <v>0</v>
      </c>
      <c r="AF48" s="404">
        <f t="shared" si="44"/>
        <v>0</v>
      </c>
      <c r="AG48" s="428">
        <v>0</v>
      </c>
      <c r="AH48" s="429">
        <v>0</v>
      </c>
      <c r="AI48" s="429">
        <v>0</v>
      </c>
      <c r="AJ48" s="429">
        <v>0</v>
      </c>
      <c r="AK48" s="404">
        <f t="shared" si="45"/>
        <v>0</v>
      </c>
      <c r="AL48" s="434">
        <v>0</v>
      </c>
      <c r="AM48" s="435">
        <v>0</v>
      </c>
      <c r="AN48" s="435">
        <v>0</v>
      </c>
      <c r="AO48" s="435">
        <v>0</v>
      </c>
      <c r="AP48" s="405">
        <f t="shared" si="46"/>
        <v>0</v>
      </c>
      <c r="AQ48" s="779">
        <f t="shared" si="51"/>
        <v>40500</v>
      </c>
      <c r="AR48" s="407">
        <f t="shared" si="52"/>
        <v>40500</v>
      </c>
      <c r="AS48" s="407">
        <f t="shared" si="53"/>
        <v>40500</v>
      </c>
      <c r="AT48" s="407">
        <f t="shared" si="54"/>
        <v>40500</v>
      </c>
      <c r="AU48" s="408">
        <f t="shared" si="55"/>
        <v>162000</v>
      </c>
      <c r="AV48" s="392" t="s">
        <v>425</v>
      </c>
      <c r="AW48" s="392" t="s">
        <v>425</v>
      </c>
      <c r="AX48" s="392" t="s">
        <v>425</v>
      </c>
      <c r="AY48" s="392" t="s">
        <v>425</v>
      </c>
      <c r="AZ48" s="387" t="s">
        <v>425</v>
      </c>
      <c r="BA48" s="395"/>
      <c r="BB48" s="406">
        <f t="shared" si="47"/>
        <v>8910</v>
      </c>
      <c r="BC48" s="407">
        <f t="shared" si="48"/>
        <v>8910</v>
      </c>
      <c r="BD48" s="407">
        <f t="shared" si="49"/>
        <v>8910</v>
      </c>
      <c r="BE48" s="407">
        <f t="shared" si="50"/>
        <v>8910</v>
      </c>
      <c r="BF48" s="404">
        <f>SUM(BB48:BE48)</f>
        <v>35640</v>
      </c>
      <c r="BG48" s="395"/>
      <c r="BH48" s="406">
        <f t="shared" si="56"/>
        <v>7897.5</v>
      </c>
      <c r="BI48" s="407">
        <f t="shared" si="57"/>
        <v>7897.5</v>
      </c>
      <c r="BJ48" s="407">
        <f t="shared" si="58"/>
        <v>7897.5</v>
      </c>
      <c r="BK48" s="407">
        <f t="shared" si="59"/>
        <v>7897.5</v>
      </c>
      <c r="BL48" s="408">
        <f t="shared" si="60"/>
        <v>31590</v>
      </c>
    </row>
    <row r="49" spans="3:64" s="433" customFormat="1" ht="39.75" customHeight="1">
      <c r="C49" s="1125"/>
      <c r="D49" s="716"/>
      <c r="E49" s="401"/>
      <c r="F49" s="401"/>
      <c r="G49" s="401"/>
      <c r="H49" s="401"/>
      <c r="I49" s="717"/>
      <c r="J49" s="717"/>
      <c r="K49" s="717"/>
      <c r="L49" s="717"/>
      <c r="M49" s="428"/>
      <c r="N49" s="428"/>
      <c r="O49" s="428"/>
      <c r="P49" s="428"/>
      <c r="Q49" s="404">
        <f t="shared" si="40"/>
        <v>0</v>
      </c>
      <c r="R49" s="428"/>
      <c r="S49" s="429"/>
      <c r="T49" s="429"/>
      <c r="U49" s="429"/>
      <c r="V49" s="404">
        <f t="shared" si="25"/>
        <v>0</v>
      </c>
      <c r="W49" s="767">
        <v>0</v>
      </c>
      <c r="X49" s="768">
        <v>0</v>
      </c>
      <c r="Y49" s="768">
        <v>0</v>
      </c>
      <c r="Z49" s="768">
        <v>0</v>
      </c>
      <c r="AA49" s="404">
        <f t="shared" ref="AA49:AA59" si="61">SUM(W49:Z49)</f>
        <v>0</v>
      </c>
      <c r="AB49" s="428">
        <v>0</v>
      </c>
      <c r="AC49" s="429">
        <v>0</v>
      </c>
      <c r="AD49" s="429">
        <v>0</v>
      </c>
      <c r="AE49" s="429">
        <v>0</v>
      </c>
      <c r="AF49" s="404">
        <f t="shared" si="44"/>
        <v>0</v>
      </c>
      <c r="AG49" s="428">
        <v>0</v>
      </c>
      <c r="AH49" s="429">
        <v>0</v>
      </c>
      <c r="AI49" s="429">
        <v>0</v>
      </c>
      <c r="AJ49" s="429">
        <v>0</v>
      </c>
      <c r="AK49" s="404">
        <f t="shared" si="45"/>
        <v>0</v>
      </c>
      <c r="AL49" s="428">
        <v>0</v>
      </c>
      <c r="AM49" s="429">
        <v>0</v>
      </c>
      <c r="AN49" s="429">
        <v>0</v>
      </c>
      <c r="AO49" s="429">
        <v>0</v>
      </c>
      <c r="AP49" s="405">
        <f t="shared" si="46"/>
        <v>0</v>
      </c>
      <c r="AQ49" s="779">
        <f t="shared" si="51"/>
        <v>0</v>
      </c>
      <c r="AR49" s="407">
        <f t="shared" si="52"/>
        <v>0</v>
      </c>
      <c r="AS49" s="407">
        <f t="shared" si="53"/>
        <v>0</v>
      </c>
      <c r="AT49" s="407">
        <f t="shared" si="54"/>
        <v>0</v>
      </c>
      <c r="AU49" s="408">
        <f t="shared" si="55"/>
        <v>0</v>
      </c>
      <c r="AV49" s="392" t="s">
        <v>425</v>
      </c>
      <c r="AW49" s="392" t="s">
        <v>425</v>
      </c>
      <c r="AX49" s="392" t="s">
        <v>425</v>
      </c>
      <c r="AY49" s="392" t="s">
        <v>425</v>
      </c>
      <c r="AZ49" s="387" t="s">
        <v>425</v>
      </c>
      <c r="BA49" s="395"/>
      <c r="BB49" s="406">
        <f t="shared" si="47"/>
        <v>0</v>
      </c>
      <c r="BC49" s="407">
        <f t="shared" si="48"/>
        <v>0</v>
      </c>
      <c r="BD49" s="407">
        <f t="shared" si="49"/>
        <v>0</v>
      </c>
      <c r="BE49" s="407">
        <f t="shared" si="50"/>
        <v>0</v>
      </c>
      <c r="BF49" s="404">
        <f t="shared" si="33"/>
        <v>0</v>
      </c>
      <c r="BG49" s="395"/>
      <c r="BH49" s="406">
        <f t="shared" si="56"/>
        <v>0</v>
      </c>
      <c r="BI49" s="407">
        <f t="shared" si="57"/>
        <v>0</v>
      </c>
      <c r="BJ49" s="407">
        <f t="shared" si="58"/>
        <v>0</v>
      </c>
      <c r="BK49" s="407">
        <f t="shared" si="59"/>
        <v>0</v>
      </c>
      <c r="BL49" s="408">
        <f t="shared" si="60"/>
        <v>0</v>
      </c>
    </row>
    <row r="50" spans="3:64" s="433" customFormat="1" ht="37.5" customHeight="1">
      <c r="C50" s="1125"/>
      <c r="D50" s="716"/>
      <c r="E50" s="401"/>
      <c r="F50" s="401"/>
      <c r="G50" s="401"/>
      <c r="H50" s="401"/>
      <c r="I50" s="717"/>
      <c r="J50" s="717"/>
      <c r="K50" s="717"/>
      <c r="L50" s="717"/>
      <c r="M50" s="428"/>
      <c r="N50" s="428"/>
      <c r="O50" s="428"/>
      <c r="P50" s="428"/>
      <c r="Q50" s="404">
        <f t="shared" si="40"/>
        <v>0</v>
      </c>
      <c r="R50" s="428"/>
      <c r="S50" s="429"/>
      <c r="T50" s="429"/>
      <c r="U50" s="429"/>
      <c r="V50" s="404">
        <f t="shared" si="25"/>
        <v>0</v>
      </c>
      <c r="W50" s="767">
        <v>0</v>
      </c>
      <c r="X50" s="768">
        <v>0</v>
      </c>
      <c r="Y50" s="768">
        <v>0</v>
      </c>
      <c r="Z50" s="768">
        <v>0</v>
      </c>
      <c r="AA50" s="404">
        <f t="shared" si="61"/>
        <v>0</v>
      </c>
      <c r="AB50" s="428">
        <v>0</v>
      </c>
      <c r="AC50" s="429">
        <v>0</v>
      </c>
      <c r="AD50" s="429">
        <v>0</v>
      </c>
      <c r="AE50" s="429">
        <v>0</v>
      </c>
      <c r="AF50" s="404">
        <f t="shared" si="44"/>
        <v>0</v>
      </c>
      <c r="AG50" s="428">
        <v>0</v>
      </c>
      <c r="AH50" s="429">
        <v>0</v>
      </c>
      <c r="AI50" s="429">
        <v>0</v>
      </c>
      <c r="AJ50" s="429">
        <v>0</v>
      </c>
      <c r="AK50" s="404">
        <f t="shared" si="45"/>
        <v>0</v>
      </c>
      <c r="AL50" s="428">
        <v>0</v>
      </c>
      <c r="AM50" s="429">
        <v>0</v>
      </c>
      <c r="AN50" s="429">
        <v>0</v>
      </c>
      <c r="AO50" s="429">
        <v>0</v>
      </c>
      <c r="AP50" s="405">
        <f t="shared" si="46"/>
        <v>0</v>
      </c>
      <c r="AQ50" s="779">
        <f t="shared" si="51"/>
        <v>0</v>
      </c>
      <c r="AR50" s="407">
        <f t="shared" si="52"/>
        <v>0</v>
      </c>
      <c r="AS50" s="407">
        <f t="shared" si="53"/>
        <v>0</v>
      </c>
      <c r="AT50" s="407">
        <f t="shared" si="54"/>
        <v>0</v>
      </c>
      <c r="AU50" s="408">
        <f t="shared" si="55"/>
        <v>0</v>
      </c>
      <c r="AV50" s="392" t="s">
        <v>425</v>
      </c>
      <c r="AW50" s="392" t="s">
        <v>425</v>
      </c>
      <c r="AX50" s="392" t="s">
        <v>425</v>
      </c>
      <c r="AY50" s="392" t="s">
        <v>425</v>
      </c>
      <c r="AZ50" s="387" t="s">
        <v>425</v>
      </c>
      <c r="BA50" s="395"/>
      <c r="BB50" s="406">
        <f t="shared" si="47"/>
        <v>0</v>
      </c>
      <c r="BC50" s="407">
        <f t="shared" si="48"/>
        <v>0</v>
      </c>
      <c r="BD50" s="407">
        <f t="shared" si="49"/>
        <v>0</v>
      </c>
      <c r="BE50" s="407">
        <f t="shared" si="50"/>
        <v>0</v>
      </c>
      <c r="BF50" s="404">
        <f t="shared" si="33"/>
        <v>0</v>
      </c>
      <c r="BG50" s="395"/>
      <c r="BH50" s="406">
        <f t="shared" si="56"/>
        <v>0</v>
      </c>
      <c r="BI50" s="407">
        <f t="shared" si="57"/>
        <v>0</v>
      </c>
      <c r="BJ50" s="407">
        <f t="shared" si="58"/>
        <v>0</v>
      </c>
      <c r="BK50" s="407">
        <f t="shared" si="59"/>
        <v>0</v>
      </c>
      <c r="BL50" s="408">
        <f t="shared" si="60"/>
        <v>0</v>
      </c>
    </row>
    <row r="51" spans="3:64" s="433" customFormat="1" ht="43.5" customHeight="1">
      <c r="C51" s="1125"/>
      <c r="D51" s="716"/>
      <c r="E51" s="401"/>
      <c r="F51" s="401"/>
      <c r="G51" s="401"/>
      <c r="H51" s="401"/>
      <c r="I51" s="717"/>
      <c r="J51" s="717"/>
      <c r="K51" s="717"/>
      <c r="L51" s="717"/>
      <c r="M51" s="428"/>
      <c r="N51" s="428"/>
      <c r="O51" s="428"/>
      <c r="P51" s="428"/>
      <c r="Q51" s="404">
        <f t="shared" si="40"/>
        <v>0</v>
      </c>
      <c r="R51" s="428"/>
      <c r="S51" s="429"/>
      <c r="T51" s="429"/>
      <c r="U51" s="429"/>
      <c r="V51" s="404">
        <f t="shared" si="25"/>
        <v>0</v>
      </c>
      <c r="W51" s="767">
        <v>0</v>
      </c>
      <c r="X51" s="768">
        <v>0</v>
      </c>
      <c r="Y51" s="768">
        <v>0</v>
      </c>
      <c r="Z51" s="768">
        <v>0</v>
      </c>
      <c r="AA51" s="404">
        <f t="shared" si="61"/>
        <v>0</v>
      </c>
      <c r="AB51" s="428">
        <v>0</v>
      </c>
      <c r="AC51" s="429">
        <v>0</v>
      </c>
      <c r="AD51" s="429">
        <v>0</v>
      </c>
      <c r="AE51" s="429">
        <v>0</v>
      </c>
      <c r="AF51" s="404">
        <f>SUM(AB51:AE51)</f>
        <v>0</v>
      </c>
      <c r="AG51" s="428">
        <v>0</v>
      </c>
      <c r="AH51" s="429">
        <v>0</v>
      </c>
      <c r="AI51" s="429">
        <v>0</v>
      </c>
      <c r="AJ51" s="429">
        <v>0</v>
      </c>
      <c r="AK51" s="404">
        <f t="shared" si="45"/>
        <v>0</v>
      </c>
      <c r="AL51" s="428">
        <v>0</v>
      </c>
      <c r="AM51" s="429">
        <v>0</v>
      </c>
      <c r="AN51" s="429">
        <v>0</v>
      </c>
      <c r="AO51" s="429">
        <v>0</v>
      </c>
      <c r="AP51" s="405">
        <f t="shared" si="46"/>
        <v>0</v>
      </c>
      <c r="AQ51" s="779">
        <f t="shared" si="51"/>
        <v>0</v>
      </c>
      <c r="AR51" s="407">
        <f t="shared" si="52"/>
        <v>0</v>
      </c>
      <c r="AS51" s="407">
        <f t="shared" si="53"/>
        <v>0</v>
      </c>
      <c r="AT51" s="407">
        <f t="shared" si="54"/>
        <v>0</v>
      </c>
      <c r="AU51" s="408">
        <f t="shared" si="55"/>
        <v>0</v>
      </c>
      <c r="AV51" s="392" t="s">
        <v>425</v>
      </c>
      <c r="AW51" s="392" t="s">
        <v>425</v>
      </c>
      <c r="AX51" s="392" t="s">
        <v>425</v>
      </c>
      <c r="AY51" s="392" t="s">
        <v>425</v>
      </c>
      <c r="AZ51" s="387" t="s">
        <v>425</v>
      </c>
      <c r="BA51" s="395"/>
      <c r="BB51" s="406">
        <f t="shared" si="47"/>
        <v>0</v>
      </c>
      <c r="BC51" s="407">
        <f t="shared" si="48"/>
        <v>0</v>
      </c>
      <c r="BD51" s="407">
        <f t="shared" si="49"/>
        <v>0</v>
      </c>
      <c r="BE51" s="407">
        <f t="shared" si="50"/>
        <v>0</v>
      </c>
      <c r="BF51" s="404">
        <f t="shared" si="33"/>
        <v>0</v>
      </c>
      <c r="BG51" s="395"/>
      <c r="BH51" s="406">
        <f t="shared" si="56"/>
        <v>0</v>
      </c>
      <c r="BI51" s="407">
        <f t="shared" si="57"/>
        <v>0</v>
      </c>
      <c r="BJ51" s="407">
        <f t="shared" si="58"/>
        <v>0</v>
      </c>
      <c r="BK51" s="407">
        <f t="shared" si="59"/>
        <v>0</v>
      </c>
      <c r="BL51" s="408">
        <f t="shared" si="60"/>
        <v>0</v>
      </c>
    </row>
    <row r="52" spans="3:64" s="433" customFormat="1" ht="38.25" customHeight="1">
      <c r="C52" s="1125"/>
      <c r="D52" s="716"/>
      <c r="E52" s="401"/>
      <c r="F52" s="401"/>
      <c r="G52" s="401"/>
      <c r="H52" s="401"/>
      <c r="I52" s="717"/>
      <c r="J52" s="429"/>
      <c r="K52" s="429"/>
      <c r="L52" s="438"/>
      <c r="M52" s="428"/>
      <c r="N52" s="429"/>
      <c r="O52" s="429"/>
      <c r="P52" s="429"/>
      <c r="Q52" s="404">
        <f t="shared" si="40"/>
        <v>0</v>
      </c>
      <c r="R52" s="428"/>
      <c r="S52" s="429"/>
      <c r="T52" s="429"/>
      <c r="U52" s="429"/>
      <c r="V52" s="404">
        <f t="shared" si="25"/>
        <v>0</v>
      </c>
      <c r="W52" s="769"/>
      <c r="X52" s="770"/>
      <c r="Y52" s="770"/>
      <c r="Z52" s="770"/>
      <c r="AA52" s="404">
        <f t="shared" si="61"/>
        <v>0</v>
      </c>
      <c r="AB52" s="442"/>
      <c r="AC52" s="443"/>
      <c r="AD52" s="443"/>
      <c r="AE52" s="443"/>
      <c r="AF52" s="404">
        <f t="shared" si="44"/>
        <v>0</v>
      </c>
      <c r="AG52" s="442"/>
      <c r="AH52" s="443"/>
      <c r="AI52" s="443"/>
      <c r="AJ52" s="443"/>
      <c r="AK52" s="404">
        <f t="shared" si="45"/>
        <v>0</v>
      </c>
      <c r="AL52" s="428"/>
      <c r="AM52" s="429"/>
      <c r="AN52" s="429"/>
      <c r="AO52" s="429"/>
      <c r="AP52" s="405">
        <f t="shared" si="46"/>
        <v>0</v>
      </c>
      <c r="AQ52" s="779">
        <f t="shared" si="51"/>
        <v>0</v>
      </c>
      <c r="AR52" s="407">
        <f t="shared" si="52"/>
        <v>0</v>
      </c>
      <c r="AS52" s="407">
        <f t="shared" si="53"/>
        <v>0</v>
      </c>
      <c r="AT52" s="407">
        <f t="shared" si="54"/>
        <v>0</v>
      </c>
      <c r="AU52" s="408">
        <f t="shared" si="55"/>
        <v>0</v>
      </c>
      <c r="AV52" s="392" t="s">
        <v>425</v>
      </c>
      <c r="AW52" s="392" t="s">
        <v>425</v>
      </c>
      <c r="AX52" s="392" t="s">
        <v>425</v>
      </c>
      <c r="AY52" s="392" t="s">
        <v>425</v>
      </c>
      <c r="AZ52" s="387" t="s">
        <v>425</v>
      </c>
      <c r="BA52" s="395"/>
      <c r="BB52" s="406">
        <f t="shared" si="47"/>
        <v>0</v>
      </c>
      <c r="BC52" s="407">
        <f t="shared" si="48"/>
        <v>0</v>
      </c>
      <c r="BD52" s="407">
        <f t="shared" si="49"/>
        <v>0</v>
      </c>
      <c r="BE52" s="407">
        <f t="shared" si="50"/>
        <v>0</v>
      </c>
      <c r="BF52" s="404">
        <f t="shared" si="33"/>
        <v>0</v>
      </c>
      <c r="BG52" s="395"/>
      <c r="BH52" s="406">
        <f t="shared" si="56"/>
        <v>0</v>
      </c>
      <c r="BI52" s="407">
        <f t="shared" si="57"/>
        <v>0</v>
      </c>
      <c r="BJ52" s="407">
        <f t="shared" si="58"/>
        <v>0</v>
      </c>
      <c r="BK52" s="407">
        <f t="shared" si="59"/>
        <v>0</v>
      </c>
      <c r="BL52" s="408">
        <f t="shared" si="60"/>
        <v>0</v>
      </c>
    </row>
    <row r="53" spans="3:64" s="433" customFormat="1" ht="43.5" customHeight="1">
      <c r="C53" s="1125"/>
      <c r="D53" s="716"/>
      <c r="E53" s="401"/>
      <c r="F53" s="401"/>
      <c r="G53" s="401"/>
      <c r="H53" s="401"/>
      <c r="I53" s="717"/>
      <c r="J53" s="429"/>
      <c r="K53" s="429"/>
      <c r="L53" s="438"/>
      <c r="M53" s="428"/>
      <c r="N53" s="429"/>
      <c r="O53" s="429"/>
      <c r="P53" s="429"/>
      <c r="Q53" s="404">
        <f t="shared" si="40"/>
        <v>0</v>
      </c>
      <c r="R53" s="428"/>
      <c r="S53" s="429"/>
      <c r="T53" s="429"/>
      <c r="U53" s="429"/>
      <c r="V53" s="404">
        <f t="shared" si="25"/>
        <v>0</v>
      </c>
      <c r="W53" s="769"/>
      <c r="X53" s="770"/>
      <c r="Y53" s="770"/>
      <c r="Z53" s="770"/>
      <c r="AA53" s="404">
        <f t="shared" si="61"/>
        <v>0</v>
      </c>
      <c r="AB53" s="442"/>
      <c r="AC53" s="443"/>
      <c r="AD53" s="443"/>
      <c r="AE53" s="443"/>
      <c r="AF53" s="404">
        <f t="shared" si="44"/>
        <v>0</v>
      </c>
      <c r="AG53" s="442"/>
      <c r="AH53" s="443"/>
      <c r="AI53" s="443"/>
      <c r="AJ53" s="443"/>
      <c r="AK53" s="404">
        <f t="shared" si="45"/>
        <v>0</v>
      </c>
      <c r="AL53" s="428"/>
      <c r="AM53" s="429"/>
      <c r="AN53" s="429"/>
      <c r="AO53" s="429"/>
      <c r="AP53" s="405">
        <f t="shared" si="46"/>
        <v>0</v>
      </c>
      <c r="AQ53" s="779">
        <f t="shared" si="51"/>
        <v>0</v>
      </c>
      <c r="AR53" s="407">
        <f t="shared" si="52"/>
        <v>0</v>
      </c>
      <c r="AS53" s="407">
        <f>O53+T53+Y53+AD53+AI53+AN53</f>
        <v>0</v>
      </c>
      <c r="AT53" s="407">
        <f t="shared" si="54"/>
        <v>0</v>
      </c>
      <c r="AU53" s="408">
        <f>Q53+V53+AA53+AF53+AK53+AP53</f>
        <v>0</v>
      </c>
      <c r="AV53" s="392" t="s">
        <v>425</v>
      </c>
      <c r="AW53" s="392" t="s">
        <v>425</v>
      </c>
      <c r="AX53" s="392" t="s">
        <v>425</v>
      </c>
      <c r="AY53" s="392" t="s">
        <v>425</v>
      </c>
      <c r="AZ53" s="387" t="s">
        <v>425</v>
      </c>
      <c r="BA53" s="395"/>
      <c r="BB53" s="406">
        <f t="shared" si="47"/>
        <v>0</v>
      </c>
      <c r="BC53" s="407">
        <f t="shared" si="48"/>
        <v>0</v>
      </c>
      <c r="BD53" s="407">
        <f t="shared" si="49"/>
        <v>0</v>
      </c>
      <c r="BE53" s="407">
        <f t="shared" si="50"/>
        <v>0</v>
      </c>
      <c r="BF53" s="404">
        <f t="shared" si="33"/>
        <v>0</v>
      </c>
      <c r="BG53" s="395"/>
      <c r="BH53" s="406">
        <f t="shared" si="56"/>
        <v>0</v>
      </c>
      <c r="BI53" s="407">
        <f t="shared" si="57"/>
        <v>0</v>
      </c>
      <c r="BJ53" s="407">
        <f t="shared" si="58"/>
        <v>0</v>
      </c>
      <c r="BK53" s="407">
        <f t="shared" si="59"/>
        <v>0</v>
      </c>
      <c r="BL53" s="408">
        <f t="shared" si="60"/>
        <v>0</v>
      </c>
    </row>
    <row r="54" spans="3:64" s="433" customFormat="1" ht="17.45" customHeight="1">
      <c r="C54" s="1125"/>
      <c r="D54" s="430"/>
      <c r="E54" s="401"/>
      <c r="F54" s="401"/>
      <c r="G54" s="401"/>
      <c r="H54" s="401"/>
      <c r="I54" s="717"/>
      <c r="J54" s="429"/>
      <c r="K54" s="429"/>
      <c r="L54" s="438"/>
      <c r="M54" s="428"/>
      <c r="N54" s="429"/>
      <c r="O54" s="429"/>
      <c r="P54" s="429"/>
      <c r="Q54" s="404">
        <f t="shared" si="40"/>
        <v>0</v>
      </c>
      <c r="R54" s="428"/>
      <c r="S54" s="429"/>
      <c r="T54" s="429"/>
      <c r="U54" s="429"/>
      <c r="V54" s="404">
        <f t="shared" si="25"/>
        <v>0</v>
      </c>
      <c r="W54" s="769"/>
      <c r="X54" s="770"/>
      <c r="Y54" s="770"/>
      <c r="Z54" s="770"/>
      <c r="AA54" s="404">
        <f t="shared" si="61"/>
        <v>0</v>
      </c>
      <c r="AB54" s="442"/>
      <c r="AC54" s="443"/>
      <c r="AD54" s="443"/>
      <c r="AE54" s="443"/>
      <c r="AF54" s="404">
        <f t="shared" si="44"/>
        <v>0</v>
      </c>
      <c r="AG54" s="442"/>
      <c r="AH54" s="443"/>
      <c r="AI54" s="443"/>
      <c r="AJ54" s="443"/>
      <c r="AK54" s="404">
        <f t="shared" si="45"/>
        <v>0</v>
      </c>
      <c r="AL54" s="428"/>
      <c r="AM54" s="429"/>
      <c r="AN54" s="429"/>
      <c r="AO54" s="429"/>
      <c r="AP54" s="405">
        <f t="shared" si="46"/>
        <v>0</v>
      </c>
      <c r="AQ54" s="779">
        <f t="shared" si="51"/>
        <v>0</v>
      </c>
      <c r="AR54" s="407">
        <f>N54+S54+X54+AC54+AH54+AM54</f>
        <v>0</v>
      </c>
      <c r="AS54" s="407">
        <f t="shared" si="53"/>
        <v>0</v>
      </c>
      <c r="AT54" s="407">
        <f t="shared" si="54"/>
        <v>0</v>
      </c>
      <c r="AU54" s="408">
        <f t="shared" si="55"/>
        <v>0</v>
      </c>
      <c r="AV54" s="392" t="s">
        <v>425</v>
      </c>
      <c r="AW54" s="392" t="s">
        <v>425</v>
      </c>
      <c r="AX54" s="392" t="s">
        <v>425</v>
      </c>
      <c r="AY54" s="392" t="s">
        <v>425</v>
      </c>
      <c r="AZ54" s="387" t="s">
        <v>425</v>
      </c>
      <c r="BA54" s="395"/>
      <c r="BB54" s="406">
        <f t="shared" si="47"/>
        <v>0</v>
      </c>
      <c r="BC54" s="407">
        <f t="shared" si="48"/>
        <v>0</v>
      </c>
      <c r="BD54" s="407">
        <f t="shared" si="49"/>
        <v>0</v>
      </c>
      <c r="BE54" s="407">
        <f t="shared" si="50"/>
        <v>0</v>
      </c>
      <c r="BF54" s="404">
        <f t="shared" si="33"/>
        <v>0</v>
      </c>
      <c r="BG54" s="395"/>
      <c r="BH54" s="406">
        <f t="shared" si="56"/>
        <v>0</v>
      </c>
      <c r="BI54" s="407">
        <f t="shared" si="57"/>
        <v>0</v>
      </c>
      <c r="BJ54" s="407">
        <f t="shared" si="58"/>
        <v>0</v>
      </c>
      <c r="BK54" s="407">
        <f t="shared" si="59"/>
        <v>0</v>
      </c>
      <c r="BL54" s="408">
        <f t="shared" si="60"/>
        <v>0</v>
      </c>
    </row>
    <row r="55" spans="3:64" s="433" customFormat="1" ht="17.45" customHeight="1">
      <c r="C55" s="1125"/>
      <c r="D55" s="430"/>
      <c r="E55" s="401"/>
      <c r="F55" s="401"/>
      <c r="G55" s="401"/>
      <c r="H55" s="401"/>
      <c r="I55" s="717"/>
      <c r="J55" s="429"/>
      <c r="K55" s="429"/>
      <c r="L55" s="438"/>
      <c r="M55" s="428"/>
      <c r="N55" s="429"/>
      <c r="O55" s="429"/>
      <c r="P55" s="429"/>
      <c r="Q55" s="404">
        <f t="shared" si="40"/>
        <v>0</v>
      </c>
      <c r="R55" s="428"/>
      <c r="S55" s="429"/>
      <c r="T55" s="429"/>
      <c r="U55" s="429"/>
      <c r="V55" s="404">
        <f t="shared" si="25"/>
        <v>0</v>
      </c>
      <c r="W55" s="769"/>
      <c r="X55" s="770"/>
      <c r="Y55" s="770"/>
      <c r="Z55" s="770"/>
      <c r="AA55" s="404">
        <f t="shared" si="61"/>
        <v>0</v>
      </c>
      <c r="AB55" s="442"/>
      <c r="AC55" s="443"/>
      <c r="AD55" s="443"/>
      <c r="AE55" s="443"/>
      <c r="AF55" s="404">
        <f t="shared" si="44"/>
        <v>0</v>
      </c>
      <c r="AG55" s="442"/>
      <c r="AH55" s="443"/>
      <c r="AI55" s="443"/>
      <c r="AJ55" s="443"/>
      <c r="AK55" s="404">
        <f t="shared" si="45"/>
        <v>0</v>
      </c>
      <c r="AL55" s="428"/>
      <c r="AM55" s="429"/>
      <c r="AN55" s="429"/>
      <c r="AO55" s="429"/>
      <c r="AP55" s="405">
        <f t="shared" si="46"/>
        <v>0</v>
      </c>
      <c r="AQ55" s="779">
        <f t="shared" si="51"/>
        <v>0</v>
      </c>
      <c r="AR55" s="407">
        <f t="shared" si="52"/>
        <v>0</v>
      </c>
      <c r="AS55" s="407">
        <f t="shared" si="53"/>
        <v>0</v>
      </c>
      <c r="AT55" s="407">
        <f t="shared" si="54"/>
        <v>0</v>
      </c>
      <c r="AU55" s="408">
        <f t="shared" si="55"/>
        <v>0</v>
      </c>
      <c r="AV55" s="392" t="s">
        <v>425</v>
      </c>
      <c r="AW55" s="392" t="s">
        <v>425</v>
      </c>
      <c r="AX55" s="392" t="s">
        <v>425</v>
      </c>
      <c r="AY55" s="392" t="s">
        <v>425</v>
      </c>
      <c r="AZ55" s="387" t="s">
        <v>425</v>
      </c>
      <c r="BA55" s="395"/>
      <c r="BB55" s="406">
        <f t="shared" si="47"/>
        <v>0</v>
      </c>
      <c r="BC55" s="407">
        <f t="shared" si="48"/>
        <v>0</v>
      </c>
      <c r="BD55" s="407">
        <f t="shared" si="49"/>
        <v>0</v>
      </c>
      <c r="BE55" s="407">
        <f t="shared" si="50"/>
        <v>0</v>
      </c>
      <c r="BF55" s="404">
        <f t="shared" si="33"/>
        <v>0</v>
      </c>
      <c r="BG55" s="395"/>
      <c r="BH55" s="406">
        <f t="shared" si="56"/>
        <v>0</v>
      </c>
      <c r="BI55" s="407">
        <f t="shared" si="57"/>
        <v>0</v>
      </c>
      <c r="BJ55" s="407">
        <f t="shared" si="58"/>
        <v>0</v>
      </c>
      <c r="BK55" s="407">
        <f t="shared" si="59"/>
        <v>0</v>
      </c>
      <c r="BL55" s="408">
        <f t="shared" si="60"/>
        <v>0</v>
      </c>
    </row>
    <row r="56" spans="3:64" s="433" customFormat="1" ht="17.45" customHeight="1">
      <c r="C56" s="1125"/>
      <c r="D56" s="430"/>
      <c r="E56" s="401"/>
      <c r="F56" s="401"/>
      <c r="G56" s="401"/>
      <c r="H56" s="401"/>
      <c r="I56" s="717"/>
      <c r="J56" s="429"/>
      <c r="K56" s="429"/>
      <c r="L56" s="438"/>
      <c r="M56" s="428"/>
      <c r="N56" s="429"/>
      <c r="O56" s="429"/>
      <c r="P56" s="429"/>
      <c r="Q56" s="404">
        <f t="shared" si="40"/>
        <v>0</v>
      </c>
      <c r="R56" s="428"/>
      <c r="S56" s="429"/>
      <c r="T56" s="429"/>
      <c r="U56" s="429"/>
      <c r="V56" s="404">
        <f t="shared" si="25"/>
        <v>0</v>
      </c>
      <c r="W56" s="769"/>
      <c r="X56" s="770"/>
      <c r="Y56" s="770"/>
      <c r="Z56" s="770"/>
      <c r="AA56" s="404">
        <f t="shared" si="61"/>
        <v>0</v>
      </c>
      <c r="AB56" s="442"/>
      <c r="AC56" s="443"/>
      <c r="AD56" s="443"/>
      <c r="AE56" s="443"/>
      <c r="AF56" s="404">
        <f t="shared" si="44"/>
        <v>0</v>
      </c>
      <c r="AG56" s="442"/>
      <c r="AH56" s="443"/>
      <c r="AI56" s="443"/>
      <c r="AJ56" s="443"/>
      <c r="AK56" s="404">
        <f t="shared" si="45"/>
        <v>0</v>
      </c>
      <c r="AL56" s="428"/>
      <c r="AM56" s="429"/>
      <c r="AN56" s="429"/>
      <c r="AO56" s="429"/>
      <c r="AP56" s="405">
        <f t="shared" si="46"/>
        <v>0</v>
      </c>
      <c r="AQ56" s="779">
        <f t="shared" si="51"/>
        <v>0</v>
      </c>
      <c r="AR56" s="407">
        <f t="shared" si="52"/>
        <v>0</v>
      </c>
      <c r="AS56" s="407">
        <f t="shared" si="53"/>
        <v>0</v>
      </c>
      <c r="AT56" s="407">
        <f t="shared" si="54"/>
        <v>0</v>
      </c>
      <c r="AU56" s="408">
        <f t="shared" si="55"/>
        <v>0</v>
      </c>
      <c r="AV56" s="392" t="s">
        <v>425</v>
      </c>
      <c r="AW56" s="392" t="s">
        <v>425</v>
      </c>
      <c r="AX56" s="392" t="s">
        <v>425</v>
      </c>
      <c r="AY56" s="392" t="s">
        <v>425</v>
      </c>
      <c r="AZ56" s="387" t="s">
        <v>425</v>
      </c>
      <c r="BA56" s="395"/>
      <c r="BB56" s="406">
        <f t="shared" si="47"/>
        <v>0</v>
      </c>
      <c r="BC56" s="407">
        <f t="shared" si="48"/>
        <v>0</v>
      </c>
      <c r="BD56" s="407">
        <f t="shared" si="49"/>
        <v>0</v>
      </c>
      <c r="BE56" s="407">
        <f t="shared" si="50"/>
        <v>0</v>
      </c>
      <c r="BF56" s="404">
        <f t="shared" si="33"/>
        <v>0</v>
      </c>
      <c r="BG56" s="395"/>
      <c r="BH56" s="406">
        <f t="shared" si="56"/>
        <v>0</v>
      </c>
      <c r="BI56" s="407">
        <f t="shared" si="57"/>
        <v>0</v>
      </c>
      <c r="BJ56" s="407">
        <f t="shared" si="58"/>
        <v>0</v>
      </c>
      <c r="BK56" s="407">
        <f t="shared" si="59"/>
        <v>0</v>
      </c>
      <c r="BL56" s="408">
        <f t="shared" si="60"/>
        <v>0</v>
      </c>
    </row>
    <row r="57" spans="3:64" s="433" customFormat="1" ht="17.45" customHeight="1">
      <c r="C57" s="1125"/>
      <c r="D57" s="430"/>
      <c r="E57" s="401"/>
      <c r="F57" s="401"/>
      <c r="G57" s="401"/>
      <c r="H57" s="401"/>
      <c r="I57" s="717"/>
      <c r="J57" s="429"/>
      <c r="K57" s="429"/>
      <c r="L57" s="438"/>
      <c r="M57" s="428"/>
      <c r="N57" s="429"/>
      <c r="O57" s="429"/>
      <c r="P57" s="429"/>
      <c r="Q57" s="404">
        <f t="shared" si="40"/>
        <v>0</v>
      </c>
      <c r="R57" s="428"/>
      <c r="S57" s="429"/>
      <c r="T57" s="429"/>
      <c r="U57" s="429"/>
      <c r="V57" s="404">
        <f t="shared" si="25"/>
        <v>0</v>
      </c>
      <c r="W57" s="769"/>
      <c r="X57" s="770"/>
      <c r="Y57" s="770"/>
      <c r="Z57" s="770"/>
      <c r="AA57" s="404">
        <f t="shared" si="61"/>
        <v>0</v>
      </c>
      <c r="AB57" s="442"/>
      <c r="AC57" s="443"/>
      <c r="AD57" s="443"/>
      <c r="AE57" s="443"/>
      <c r="AF57" s="404">
        <f t="shared" si="44"/>
        <v>0</v>
      </c>
      <c r="AG57" s="442"/>
      <c r="AH57" s="443"/>
      <c r="AI57" s="443"/>
      <c r="AJ57" s="443"/>
      <c r="AK57" s="404">
        <f t="shared" si="45"/>
        <v>0</v>
      </c>
      <c r="AL57" s="428"/>
      <c r="AM57" s="429"/>
      <c r="AN57" s="429"/>
      <c r="AO57" s="429"/>
      <c r="AP57" s="405">
        <f t="shared" si="46"/>
        <v>0</v>
      </c>
      <c r="AQ57" s="779">
        <f t="shared" si="51"/>
        <v>0</v>
      </c>
      <c r="AR57" s="407">
        <f t="shared" si="52"/>
        <v>0</v>
      </c>
      <c r="AS57" s="407">
        <f t="shared" si="53"/>
        <v>0</v>
      </c>
      <c r="AT57" s="407">
        <f t="shared" si="54"/>
        <v>0</v>
      </c>
      <c r="AU57" s="408">
        <f t="shared" si="55"/>
        <v>0</v>
      </c>
      <c r="AV57" s="392" t="s">
        <v>425</v>
      </c>
      <c r="AW57" s="392" t="s">
        <v>425</v>
      </c>
      <c r="AX57" s="392" t="s">
        <v>425</v>
      </c>
      <c r="AY57" s="392" t="s">
        <v>425</v>
      </c>
      <c r="AZ57" s="387" t="s">
        <v>425</v>
      </c>
      <c r="BA57" s="395"/>
      <c r="BB57" s="406">
        <f t="shared" si="47"/>
        <v>0</v>
      </c>
      <c r="BC57" s="407">
        <f t="shared" si="48"/>
        <v>0</v>
      </c>
      <c r="BD57" s="407">
        <f t="shared" si="49"/>
        <v>0</v>
      </c>
      <c r="BE57" s="407">
        <f t="shared" si="50"/>
        <v>0</v>
      </c>
      <c r="BF57" s="404">
        <f t="shared" si="33"/>
        <v>0</v>
      </c>
      <c r="BG57" s="395"/>
      <c r="BH57" s="406">
        <f t="shared" si="56"/>
        <v>0</v>
      </c>
      <c r="BI57" s="407">
        <f t="shared" si="57"/>
        <v>0</v>
      </c>
      <c r="BJ57" s="407">
        <f t="shared" si="58"/>
        <v>0</v>
      </c>
      <c r="BK57" s="407">
        <f t="shared" si="59"/>
        <v>0</v>
      </c>
      <c r="BL57" s="408">
        <f t="shared" si="60"/>
        <v>0</v>
      </c>
    </row>
    <row r="58" spans="3:64" s="433" customFormat="1" ht="17.45" customHeight="1">
      <c r="C58" s="1125"/>
      <c r="D58" s="430"/>
      <c r="E58" s="401"/>
      <c r="F58" s="401"/>
      <c r="G58" s="401"/>
      <c r="H58" s="401"/>
      <c r="I58" s="717"/>
      <c r="J58" s="429"/>
      <c r="K58" s="429"/>
      <c r="L58" s="438"/>
      <c r="M58" s="428"/>
      <c r="N58" s="429"/>
      <c r="O58" s="429"/>
      <c r="P58" s="429"/>
      <c r="Q58" s="404">
        <f t="shared" si="40"/>
        <v>0</v>
      </c>
      <c r="R58" s="428"/>
      <c r="S58" s="429"/>
      <c r="T58" s="429"/>
      <c r="U58" s="429"/>
      <c r="V58" s="404">
        <f t="shared" si="25"/>
        <v>0</v>
      </c>
      <c r="W58" s="769"/>
      <c r="X58" s="770"/>
      <c r="Y58" s="770"/>
      <c r="Z58" s="770"/>
      <c r="AA58" s="404">
        <f t="shared" si="61"/>
        <v>0</v>
      </c>
      <c r="AB58" s="442"/>
      <c r="AC58" s="443"/>
      <c r="AD58" s="443"/>
      <c r="AE58" s="443"/>
      <c r="AF58" s="404">
        <f t="shared" si="44"/>
        <v>0</v>
      </c>
      <c r="AG58" s="442"/>
      <c r="AH58" s="443"/>
      <c r="AI58" s="443"/>
      <c r="AJ58" s="443"/>
      <c r="AK58" s="404">
        <f t="shared" si="45"/>
        <v>0</v>
      </c>
      <c r="AL58" s="428"/>
      <c r="AM58" s="429"/>
      <c r="AN58" s="429"/>
      <c r="AO58" s="429"/>
      <c r="AP58" s="405">
        <f t="shared" si="46"/>
        <v>0</v>
      </c>
      <c r="AQ58" s="779">
        <f t="shared" si="51"/>
        <v>0</v>
      </c>
      <c r="AR58" s="407">
        <f t="shared" si="52"/>
        <v>0</v>
      </c>
      <c r="AS58" s="407">
        <f t="shared" si="53"/>
        <v>0</v>
      </c>
      <c r="AT58" s="407">
        <f t="shared" si="54"/>
        <v>0</v>
      </c>
      <c r="AU58" s="408">
        <f t="shared" si="55"/>
        <v>0</v>
      </c>
      <c r="AV58" s="392" t="s">
        <v>425</v>
      </c>
      <c r="AW58" s="392" t="s">
        <v>425</v>
      </c>
      <c r="AX58" s="392" t="s">
        <v>425</v>
      </c>
      <c r="AY58" s="392" t="s">
        <v>425</v>
      </c>
      <c r="AZ58" s="387" t="s">
        <v>425</v>
      </c>
      <c r="BA58" s="395"/>
      <c r="BB58" s="406">
        <f t="shared" si="47"/>
        <v>0</v>
      </c>
      <c r="BC58" s="407">
        <f t="shared" si="48"/>
        <v>0</v>
      </c>
      <c r="BD58" s="407">
        <f t="shared" si="49"/>
        <v>0</v>
      </c>
      <c r="BE58" s="407">
        <f t="shared" si="50"/>
        <v>0</v>
      </c>
      <c r="BF58" s="404">
        <f t="shared" si="33"/>
        <v>0</v>
      </c>
      <c r="BG58" s="395"/>
      <c r="BH58" s="406">
        <f t="shared" si="56"/>
        <v>0</v>
      </c>
      <c r="BI58" s="407">
        <f t="shared" si="57"/>
        <v>0</v>
      </c>
      <c r="BJ58" s="407">
        <f t="shared" si="58"/>
        <v>0</v>
      </c>
      <c r="BK58" s="407">
        <f t="shared" si="59"/>
        <v>0</v>
      </c>
      <c r="BL58" s="408">
        <f t="shared" si="60"/>
        <v>0</v>
      </c>
    </row>
    <row r="59" spans="3:64" s="433" customFormat="1" ht="30.75" customHeight="1">
      <c r="C59" s="1125"/>
      <c r="D59" s="430"/>
      <c r="E59" s="401"/>
      <c r="F59" s="401"/>
      <c r="G59" s="401"/>
      <c r="H59" s="401"/>
      <c r="I59" s="717"/>
      <c r="J59" s="429"/>
      <c r="K59" s="429"/>
      <c r="L59" s="438"/>
      <c r="M59" s="428"/>
      <c r="N59" s="429"/>
      <c r="O59" s="429"/>
      <c r="P59" s="429"/>
      <c r="Q59" s="404">
        <f t="shared" si="40"/>
        <v>0</v>
      </c>
      <c r="R59" s="428"/>
      <c r="S59" s="429"/>
      <c r="T59" s="429"/>
      <c r="U59" s="429"/>
      <c r="V59" s="404">
        <f t="shared" si="25"/>
        <v>0</v>
      </c>
      <c r="W59" s="769"/>
      <c r="X59" s="770"/>
      <c r="Y59" s="770"/>
      <c r="Z59" s="770"/>
      <c r="AA59" s="404">
        <f t="shared" si="61"/>
        <v>0</v>
      </c>
      <c r="AB59" s="442"/>
      <c r="AC59" s="443"/>
      <c r="AD59" s="443"/>
      <c r="AE59" s="443"/>
      <c r="AF59" s="404">
        <f t="shared" si="44"/>
        <v>0</v>
      </c>
      <c r="AG59" s="442"/>
      <c r="AH59" s="443"/>
      <c r="AI59" s="443"/>
      <c r="AJ59" s="443"/>
      <c r="AK59" s="404">
        <f t="shared" si="45"/>
        <v>0</v>
      </c>
      <c r="AL59" s="428"/>
      <c r="AM59" s="429"/>
      <c r="AN59" s="429"/>
      <c r="AO59" s="429"/>
      <c r="AP59" s="405">
        <f t="shared" si="46"/>
        <v>0</v>
      </c>
      <c r="AQ59" s="779">
        <f t="shared" si="51"/>
        <v>0</v>
      </c>
      <c r="AR59" s="407">
        <f t="shared" si="52"/>
        <v>0</v>
      </c>
      <c r="AS59" s="407">
        <f t="shared" si="53"/>
        <v>0</v>
      </c>
      <c r="AT59" s="407">
        <f t="shared" si="54"/>
        <v>0</v>
      </c>
      <c r="AU59" s="408">
        <f t="shared" si="55"/>
        <v>0</v>
      </c>
      <c r="AV59" s="392" t="s">
        <v>425</v>
      </c>
      <c r="AW59" s="392" t="s">
        <v>425</v>
      </c>
      <c r="AX59" s="392" t="s">
        <v>425</v>
      </c>
      <c r="AY59" s="392" t="s">
        <v>425</v>
      </c>
      <c r="AZ59" s="387" t="s">
        <v>425</v>
      </c>
      <c r="BA59" s="395"/>
      <c r="BB59" s="406">
        <f t="shared" si="47"/>
        <v>0</v>
      </c>
      <c r="BC59" s="407">
        <f t="shared" si="48"/>
        <v>0</v>
      </c>
      <c r="BD59" s="407">
        <f t="shared" si="49"/>
        <v>0</v>
      </c>
      <c r="BE59" s="407">
        <f t="shared" si="50"/>
        <v>0</v>
      </c>
      <c r="BF59" s="404">
        <f t="shared" si="33"/>
        <v>0</v>
      </c>
      <c r="BG59" s="395"/>
      <c r="BH59" s="406">
        <f t="shared" si="56"/>
        <v>0</v>
      </c>
      <c r="BI59" s="407">
        <f t="shared" si="57"/>
        <v>0</v>
      </c>
      <c r="BJ59" s="407">
        <f t="shared" si="58"/>
        <v>0</v>
      </c>
      <c r="BK59" s="407">
        <f t="shared" si="59"/>
        <v>0</v>
      </c>
      <c r="BL59" s="408">
        <f t="shared" si="60"/>
        <v>0</v>
      </c>
    </row>
    <row r="60" spans="3:64" s="431" customFormat="1" ht="39" customHeight="1" thickBot="1">
      <c r="C60" s="1126"/>
      <c r="D60" s="432" t="s">
        <v>507</v>
      </c>
      <c r="E60" s="414" t="s">
        <v>423</v>
      </c>
      <c r="F60" s="415" t="s">
        <v>423</v>
      </c>
      <c r="G60" s="415" t="s">
        <v>423</v>
      </c>
      <c r="H60" s="416" t="s">
        <v>423</v>
      </c>
      <c r="I60" s="796">
        <f t="shared" ref="I60:U60" si="62">SUM(I45:I59)</f>
        <v>48</v>
      </c>
      <c r="J60" s="797">
        <f t="shared" si="62"/>
        <v>48</v>
      </c>
      <c r="K60" s="797">
        <f t="shared" si="62"/>
        <v>48</v>
      </c>
      <c r="L60" s="798">
        <f t="shared" si="62"/>
        <v>48</v>
      </c>
      <c r="M60" s="414">
        <f t="shared" si="62"/>
        <v>1910250</v>
      </c>
      <c r="N60" s="415">
        <f t="shared" si="62"/>
        <v>1910250</v>
      </c>
      <c r="O60" s="415">
        <f t="shared" si="62"/>
        <v>1910250</v>
      </c>
      <c r="P60" s="415">
        <f t="shared" si="62"/>
        <v>1910250</v>
      </c>
      <c r="Q60" s="416">
        <f t="shared" si="62"/>
        <v>7641000</v>
      </c>
      <c r="R60" s="414">
        <f t="shared" si="62"/>
        <v>450900</v>
      </c>
      <c r="S60" s="415">
        <f t="shared" si="62"/>
        <v>450900</v>
      </c>
      <c r="T60" s="415">
        <f t="shared" si="62"/>
        <v>450900</v>
      </c>
      <c r="U60" s="415">
        <f t="shared" si="62"/>
        <v>450900</v>
      </c>
      <c r="V60" s="404">
        <f t="shared" si="25"/>
        <v>1803600</v>
      </c>
      <c r="W60" s="764">
        <f t="shared" ref="W60:AU60" si="63">SUM(W45:W59)</f>
        <v>0</v>
      </c>
      <c r="X60" s="765">
        <f t="shared" si="63"/>
        <v>0</v>
      </c>
      <c r="Y60" s="765">
        <f t="shared" si="63"/>
        <v>0</v>
      </c>
      <c r="Z60" s="765">
        <f t="shared" si="63"/>
        <v>0</v>
      </c>
      <c r="AA60" s="416">
        <f t="shared" si="63"/>
        <v>0</v>
      </c>
      <c r="AB60" s="414">
        <f t="shared" si="63"/>
        <v>0</v>
      </c>
      <c r="AC60" s="415">
        <f t="shared" si="63"/>
        <v>0</v>
      </c>
      <c r="AD60" s="415">
        <f t="shared" si="63"/>
        <v>0</v>
      </c>
      <c r="AE60" s="415">
        <f t="shared" si="63"/>
        <v>0</v>
      </c>
      <c r="AF60" s="416">
        <f t="shared" si="63"/>
        <v>0</v>
      </c>
      <c r="AG60" s="414">
        <f t="shared" si="63"/>
        <v>0</v>
      </c>
      <c r="AH60" s="415">
        <f t="shared" si="63"/>
        <v>0</v>
      </c>
      <c r="AI60" s="415">
        <f t="shared" si="63"/>
        <v>0</v>
      </c>
      <c r="AJ60" s="415">
        <f t="shared" si="63"/>
        <v>0</v>
      </c>
      <c r="AK60" s="416">
        <f t="shared" si="63"/>
        <v>0</v>
      </c>
      <c r="AL60" s="414">
        <f t="shared" si="63"/>
        <v>0</v>
      </c>
      <c r="AM60" s="415">
        <f t="shared" si="63"/>
        <v>0</v>
      </c>
      <c r="AN60" s="415">
        <f t="shared" si="63"/>
        <v>0</v>
      </c>
      <c r="AO60" s="415">
        <f t="shared" si="63"/>
        <v>0</v>
      </c>
      <c r="AP60" s="420">
        <f t="shared" si="63"/>
        <v>0</v>
      </c>
      <c r="AQ60" s="788">
        <f t="shared" si="63"/>
        <v>2361150</v>
      </c>
      <c r="AR60" s="418">
        <f t="shared" si="63"/>
        <v>2361150</v>
      </c>
      <c r="AS60" s="418">
        <f t="shared" si="63"/>
        <v>2361150</v>
      </c>
      <c r="AT60" s="418">
        <f t="shared" si="63"/>
        <v>2361150</v>
      </c>
      <c r="AU60" s="419">
        <f t="shared" si="63"/>
        <v>9444600</v>
      </c>
      <c r="AV60" s="423">
        <f>900*3*3</f>
        <v>8100</v>
      </c>
      <c r="AW60" s="423">
        <f>900*3*3</f>
        <v>8100</v>
      </c>
      <c r="AX60" s="423">
        <f>900*3*3</f>
        <v>8100</v>
      </c>
      <c r="AY60" s="423">
        <f>900*3*3</f>
        <v>8100</v>
      </c>
      <c r="AZ60" s="416">
        <f>AV60+AW60+AX60+AY60</f>
        <v>32400</v>
      </c>
      <c r="BA60" s="260"/>
      <c r="BB60" s="414">
        <f>SUM(BB45:BB59)</f>
        <v>519453</v>
      </c>
      <c r="BC60" s="415">
        <f>SUM(BC45:BC59)</f>
        <v>519453</v>
      </c>
      <c r="BD60" s="415">
        <f>SUM(BD45:BD59)</f>
        <v>519453</v>
      </c>
      <c r="BE60" s="415">
        <f>SUM(BE45:BE59)</f>
        <v>519453</v>
      </c>
      <c r="BF60" s="416">
        <f>SUM(BF45:BF59)</f>
        <v>2077812</v>
      </c>
      <c r="BG60" s="260"/>
      <c r="BH60" s="414">
        <f>SUM(BH45:BH59)</f>
        <v>460424.25</v>
      </c>
      <c r="BI60" s="415">
        <f>SUM(BI45:BI59)</f>
        <v>460424.25</v>
      </c>
      <c r="BJ60" s="415">
        <f>SUM(BJ45:BJ59)</f>
        <v>460424.25</v>
      </c>
      <c r="BK60" s="415">
        <f>SUM(BK45:BK59)</f>
        <v>460424.25</v>
      </c>
      <c r="BL60" s="416">
        <f>SUM(BL45:BL59)</f>
        <v>1841697</v>
      </c>
    </row>
    <row r="61" spans="3:64" s="433" customFormat="1" ht="50.45" customHeight="1">
      <c r="C61" s="1124" t="s">
        <v>568</v>
      </c>
      <c r="D61" s="444" t="s">
        <v>518</v>
      </c>
      <c r="E61" s="426">
        <v>0.22</v>
      </c>
      <c r="F61" s="426">
        <v>0.22</v>
      </c>
      <c r="G61" s="426">
        <v>0.22</v>
      </c>
      <c r="H61" s="426">
        <v>0.22</v>
      </c>
      <c r="I61" s="799">
        <v>8.75</v>
      </c>
      <c r="J61" s="799">
        <v>8.75</v>
      </c>
      <c r="K61" s="799">
        <v>8.75</v>
      </c>
      <c r="L61" s="799">
        <v>8.75</v>
      </c>
      <c r="M61" s="434">
        <f>(7500*8.75)*3</f>
        <v>196875</v>
      </c>
      <c r="N61" s="434">
        <f>(7500*8.75)*3</f>
        <v>196875</v>
      </c>
      <c r="O61" s="434">
        <f>(7500*8.75)*3</f>
        <v>196875</v>
      </c>
      <c r="P61" s="434">
        <f>(7500*8.75)*3</f>
        <v>196875</v>
      </c>
      <c r="Q61" s="394">
        <f t="shared" si="40"/>
        <v>787500</v>
      </c>
      <c r="R61" s="434">
        <v>0</v>
      </c>
      <c r="S61" s="435">
        <v>0</v>
      </c>
      <c r="T61" s="435">
        <v>0</v>
      </c>
      <c r="U61" s="435">
        <v>0</v>
      </c>
      <c r="V61" s="404">
        <f t="shared" si="25"/>
        <v>0</v>
      </c>
      <c r="W61" s="767">
        <f>M61*0.3</f>
        <v>59062.5</v>
      </c>
      <c r="X61" s="767">
        <f>N61*0.3</f>
        <v>59062.5</v>
      </c>
      <c r="Y61" s="767">
        <f>O61*0.3</f>
        <v>59062.5</v>
      </c>
      <c r="Z61" s="767">
        <f>P61*0.3</f>
        <v>59062.5</v>
      </c>
      <c r="AA61" s="394">
        <f>Z61+Y61+X61+W61</f>
        <v>236250</v>
      </c>
      <c r="AB61" s="428">
        <f>M61*0.1</f>
        <v>19687.5</v>
      </c>
      <c r="AC61" s="428">
        <f>N61*0.1</f>
        <v>19687.5</v>
      </c>
      <c r="AD61" s="428">
        <f>O61*0.1</f>
        <v>19687.5</v>
      </c>
      <c r="AE61" s="428">
        <f>P61*0.1</f>
        <v>19687.5</v>
      </c>
      <c r="AF61" s="394">
        <f t="shared" ref="AF61:AF72" si="64">SUM(AB61:AE61)</f>
        <v>78750</v>
      </c>
      <c r="AG61" s="428">
        <v>0</v>
      </c>
      <c r="AH61" s="428">
        <v>0</v>
      </c>
      <c r="AI61" s="428">
        <v>0</v>
      </c>
      <c r="AJ61" s="428">
        <v>0</v>
      </c>
      <c r="AK61" s="394">
        <v>0</v>
      </c>
      <c r="AL61" s="434">
        <v>0</v>
      </c>
      <c r="AM61" s="435">
        <v>0</v>
      </c>
      <c r="AN61" s="435">
        <v>0</v>
      </c>
      <c r="AO61" s="435">
        <v>0</v>
      </c>
      <c r="AP61" s="427">
        <f t="shared" ref="AP61:AP72" si="65">SUM(AL61:AO61)</f>
        <v>0</v>
      </c>
      <c r="AQ61" s="778">
        <f>M61+R61+W61+AB61+AG61+AL61</f>
        <v>275625</v>
      </c>
      <c r="AR61" s="390">
        <f>N61+S61+X61+AC61+AH61+AM61</f>
        <v>275625</v>
      </c>
      <c r="AS61" s="390">
        <f>O61+T61+Y61+AD61+AI61+AN61</f>
        <v>275625</v>
      </c>
      <c r="AT61" s="390">
        <f>P61+U61+Z61+AE61+AJ61+AO61</f>
        <v>275625</v>
      </c>
      <c r="AU61" s="391">
        <f>Q61+V61+AA61+AF61+AK61+AP61</f>
        <v>1102500</v>
      </c>
      <c r="AV61" s="392" t="s">
        <v>425</v>
      </c>
      <c r="AW61" s="392" t="s">
        <v>425</v>
      </c>
      <c r="AX61" s="392" t="s">
        <v>425</v>
      </c>
      <c r="AY61" s="392" t="s">
        <v>425</v>
      </c>
      <c r="AZ61" s="387" t="s">
        <v>425</v>
      </c>
      <c r="BA61" s="395"/>
      <c r="BB61" s="396">
        <f t="shared" ref="BB61:BB72" si="66">AQ61*E61/100%</f>
        <v>60637.5</v>
      </c>
      <c r="BC61" s="397">
        <f t="shared" ref="BC61:BC72" si="67">AR61*F61/100%</f>
        <v>60637.5</v>
      </c>
      <c r="BD61" s="397">
        <f t="shared" ref="BD61:BD72" si="68">AS61*G61/100%</f>
        <v>60637.5</v>
      </c>
      <c r="BE61" s="397">
        <f t="shared" ref="BE61:BE72" si="69">AT61*H61/100%</f>
        <v>60637.5</v>
      </c>
      <c r="BF61" s="387">
        <f>SUM(BB61:BE61)</f>
        <v>242550</v>
      </c>
      <c r="BG61" s="395"/>
      <c r="BH61" s="396">
        <f>AQ61*(18%+1.5%)/100%</f>
        <v>53746.875</v>
      </c>
      <c r="BI61" s="397">
        <f>AR61*(18%+1.5%)/100%</f>
        <v>53746.875</v>
      </c>
      <c r="BJ61" s="397">
        <f>AS61*(18%+1.5%)/100%</f>
        <v>53746.875</v>
      </c>
      <c r="BK61" s="397">
        <f>AT61*(18%+1.5%)/100%</f>
        <v>53746.875</v>
      </c>
      <c r="BL61" s="398">
        <f>SUM(BH61:BK61)</f>
        <v>214987.5</v>
      </c>
    </row>
    <row r="62" spans="3:64" s="433" customFormat="1" ht="33" customHeight="1">
      <c r="C62" s="1125"/>
      <c r="D62" s="445"/>
      <c r="E62" s="400"/>
      <c r="F62" s="401"/>
      <c r="G62" s="401"/>
      <c r="H62" s="402"/>
      <c r="I62" s="428"/>
      <c r="J62" s="429"/>
      <c r="K62" s="429"/>
      <c r="L62" s="438"/>
      <c r="M62" s="428"/>
      <c r="N62" s="429"/>
      <c r="O62" s="429"/>
      <c r="P62" s="429"/>
      <c r="Q62" s="404">
        <f t="shared" si="40"/>
        <v>0</v>
      </c>
      <c r="R62" s="428"/>
      <c r="S62" s="429"/>
      <c r="T62" s="429"/>
      <c r="U62" s="429"/>
      <c r="V62" s="404">
        <f t="shared" si="25"/>
        <v>0</v>
      </c>
      <c r="W62" s="767"/>
      <c r="X62" s="768"/>
      <c r="Y62" s="768"/>
      <c r="Z62" s="768"/>
      <c r="AA62" s="404">
        <f t="shared" ref="AA62:AA72" si="70">SUM(W62:Z62)</f>
        <v>0</v>
      </c>
      <c r="AB62" s="428"/>
      <c r="AC62" s="429"/>
      <c r="AD62" s="429"/>
      <c r="AE62" s="429"/>
      <c r="AF62" s="404">
        <f t="shared" si="64"/>
        <v>0</v>
      </c>
      <c r="AG62" s="428"/>
      <c r="AH62" s="429"/>
      <c r="AI62" s="429"/>
      <c r="AJ62" s="429"/>
      <c r="AK62" s="404">
        <f t="shared" ref="AK62:AK72" si="71">SUM(AG62:AJ62)</f>
        <v>0</v>
      </c>
      <c r="AL62" s="428"/>
      <c r="AM62" s="429"/>
      <c r="AN62" s="429"/>
      <c r="AO62" s="429"/>
      <c r="AP62" s="405">
        <f t="shared" si="65"/>
        <v>0</v>
      </c>
      <c r="AQ62" s="779">
        <f t="shared" ref="AQ62:AQ74" si="72">M62+R62+W62+AB62+AG62+AL62</f>
        <v>0</v>
      </c>
      <c r="AR62" s="407">
        <f t="shared" ref="AR62:AR72" si="73">N62+S62+X62+AC62+AH62+AM62</f>
        <v>0</v>
      </c>
      <c r="AS62" s="407">
        <f t="shared" ref="AS62:AS72" si="74">O62+T62+Y62+AD62+AI62+AN62</f>
        <v>0</v>
      </c>
      <c r="AT62" s="407">
        <f t="shared" ref="AT62:AT72" si="75">P62+U62+Z62+AE62+AJ62+AO62</f>
        <v>0</v>
      </c>
      <c r="AU62" s="408">
        <f t="shared" ref="AU62:AU72" si="76">Q62+V62+AA62+AF62+AK62+AP62</f>
        <v>0</v>
      </c>
      <c r="AV62" s="392" t="s">
        <v>425</v>
      </c>
      <c r="AW62" s="392" t="s">
        <v>425</v>
      </c>
      <c r="AX62" s="392" t="s">
        <v>425</v>
      </c>
      <c r="AY62" s="392" t="s">
        <v>425</v>
      </c>
      <c r="AZ62" s="387" t="s">
        <v>425</v>
      </c>
      <c r="BA62" s="395"/>
      <c r="BB62" s="406">
        <f t="shared" si="66"/>
        <v>0</v>
      </c>
      <c r="BC62" s="407">
        <f t="shared" si="67"/>
        <v>0</v>
      </c>
      <c r="BD62" s="407">
        <f t="shared" si="68"/>
        <v>0</v>
      </c>
      <c r="BE62" s="407">
        <f t="shared" si="69"/>
        <v>0</v>
      </c>
      <c r="BF62" s="404">
        <f t="shared" ref="BF62:BF72" si="77">AU62*I62/100%</f>
        <v>0</v>
      </c>
      <c r="BG62" s="395"/>
      <c r="BH62" s="406">
        <f t="shared" ref="BH62:BH72" si="78">AQ62*(18%+1.5%)/100%</f>
        <v>0</v>
      </c>
      <c r="BI62" s="407">
        <f t="shared" ref="BI62:BI72" si="79">AR62*(18%+1.5%)/100%</f>
        <v>0</v>
      </c>
      <c r="BJ62" s="407">
        <f t="shared" ref="BJ62:BJ72" si="80">AS62*(18%+1.5%)/100%</f>
        <v>0</v>
      </c>
      <c r="BK62" s="407">
        <f t="shared" ref="BK62:BK72" si="81">AT62*(18%+1.5%)/100%</f>
        <v>0</v>
      </c>
      <c r="BL62" s="408">
        <f t="shared" ref="BL62:BL72" si="82">SUM(BH62:BK62)</f>
        <v>0</v>
      </c>
    </row>
    <row r="63" spans="3:64" s="433" customFormat="1" ht="17.45" customHeight="1">
      <c r="C63" s="1125"/>
      <c r="D63" s="446"/>
      <c r="E63" s="439"/>
      <c r="F63" s="440"/>
      <c r="G63" s="440"/>
      <c r="H63" s="441"/>
      <c r="I63" s="428"/>
      <c r="J63" s="429"/>
      <c r="K63" s="429"/>
      <c r="L63" s="438"/>
      <c r="M63" s="428"/>
      <c r="N63" s="429"/>
      <c r="O63" s="429"/>
      <c r="P63" s="429"/>
      <c r="Q63" s="404">
        <f t="shared" si="40"/>
        <v>0</v>
      </c>
      <c r="R63" s="428"/>
      <c r="S63" s="429"/>
      <c r="T63" s="429"/>
      <c r="U63" s="429"/>
      <c r="V63" s="404">
        <f t="shared" si="25"/>
        <v>0</v>
      </c>
      <c r="W63" s="769"/>
      <c r="X63" s="770"/>
      <c r="Y63" s="770"/>
      <c r="Z63" s="770"/>
      <c r="AA63" s="404">
        <f t="shared" si="70"/>
        <v>0</v>
      </c>
      <c r="AB63" s="442"/>
      <c r="AC63" s="443"/>
      <c r="AD63" s="443"/>
      <c r="AE63" s="443"/>
      <c r="AF63" s="404">
        <f t="shared" si="64"/>
        <v>0</v>
      </c>
      <c r="AG63" s="442"/>
      <c r="AH63" s="443"/>
      <c r="AI63" s="443"/>
      <c r="AJ63" s="443"/>
      <c r="AK63" s="404">
        <f t="shared" si="71"/>
        <v>0</v>
      </c>
      <c r="AL63" s="428"/>
      <c r="AM63" s="429"/>
      <c r="AN63" s="429"/>
      <c r="AO63" s="429"/>
      <c r="AP63" s="405">
        <f t="shared" si="65"/>
        <v>0</v>
      </c>
      <c r="AQ63" s="779">
        <f t="shared" si="72"/>
        <v>0</v>
      </c>
      <c r="AR63" s="407">
        <f t="shared" si="73"/>
        <v>0</v>
      </c>
      <c r="AS63" s="407">
        <f t="shared" si="74"/>
        <v>0</v>
      </c>
      <c r="AT63" s="407">
        <f t="shared" si="75"/>
        <v>0</v>
      </c>
      <c r="AU63" s="408">
        <f t="shared" si="76"/>
        <v>0</v>
      </c>
      <c r="AV63" s="392" t="s">
        <v>425</v>
      </c>
      <c r="AW63" s="392" t="s">
        <v>425</v>
      </c>
      <c r="AX63" s="392" t="s">
        <v>425</v>
      </c>
      <c r="AY63" s="392" t="s">
        <v>425</v>
      </c>
      <c r="AZ63" s="387" t="s">
        <v>425</v>
      </c>
      <c r="BA63" s="395"/>
      <c r="BB63" s="406">
        <f t="shared" si="66"/>
        <v>0</v>
      </c>
      <c r="BC63" s="407">
        <f t="shared" si="67"/>
        <v>0</v>
      </c>
      <c r="BD63" s="407">
        <f t="shared" si="68"/>
        <v>0</v>
      </c>
      <c r="BE63" s="407">
        <f t="shared" si="69"/>
        <v>0</v>
      </c>
      <c r="BF63" s="404">
        <f t="shared" si="77"/>
        <v>0</v>
      </c>
      <c r="BG63" s="395"/>
      <c r="BH63" s="406">
        <f t="shared" si="78"/>
        <v>0</v>
      </c>
      <c r="BI63" s="407">
        <f t="shared" si="79"/>
        <v>0</v>
      </c>
      <c r="BJ63" s="407">
        <f t="shared" si="80"/>
        <v>0</v>
      </c>
      <c r="BK63" s="407">
        <f t="shared" si="81"/>
        <v>0</v>
      </c>
      <c r="BL63" s="408">
        <f t="shared" si="82"/>
        <v>0</v>
      </c>
    </row>
    <row r="64" spans="3:64" s="433" customFormat="1" ht="17.45" customHeight="1">
      <c r="C64" s="1125"/>
      <c r="D64" s="446"/>
      <c r="E64" s="439"/>
      <c r="F64" s="440"/>
      <c r="G64" s="440"/>
      <c r="H64" s="441"/>
      <c r="I64" s="428"/>
      <c r="J64" s="429"/>
      <c r="K64" s="429"/>
      <c r="L64" s="438"/>
      <c r="M64" s="428"/>
      <c r="N64" s="429"/>
      <c r="O64" s="429"/>
      <c r="P64" s="429"/>
      <c r="Q64" s="404">
        <f t="shared" si="40"/>
        <v>0</v>
      </c>
      <c r="R64" s="428"/>
      <c r="S64" s="429"/>
      <c r="T64" s="429"/>
      <c r="U64" s="429"/>
      <c r="V64" s="404">
        <f t="shared" si="25"/>
        <v>0</v>
      </c>
      <c r="W64" s="769"/>
      <c r="X64" s="770"/>
      <c r="Y64" s="770"/>
      <c r="Z64" s="770"/>
      <c r="AA64" s="404">
        <f t="shared" si="70"/>
        <v>0</v>
      </c>
      <c r="AB64" s="442"/>
      <c r="AC64" s="443"/>
      <c r="AD64" s="443"/>
      <c r="AE64" s="443"/>
      <c r="AF64" s="404">
        <f t="shared" si="64"/>
        <v>0</v>
      </c>
      <c r="AG64" s="442"/>
      <c r="AH64" s="443"/>
      <c r="AI64" s="443"/>
      <c r="AJ64" s="443"/>
      <c r="AK64" s="404">
        <f t="shared" si="71"/>
        <v>0</v>
      </c>
      <c r="AL64" s="428"/>
      <c r="AM64" s="429"/>
      <c r="AN64" s="429"/>
      <c r="AO64" s="429"/>
      <c r="AP64" s="405">
        <f t="shared" si="65"/>
        <v>0</v>
      </c>
      <c r="AQ64" s="779">
        <f t="shared" si="72"/>
        <v>0</v>
      </c>
      <c r="AR64" s="407">
        <f t="shared" si="73"/>
        <v>0</v>
      </c>
      <c r="AS64" s="407">
        <f t="shared" si="74"/>
        <v>0</v>
      </c>
      <c r="AT64" s="407">
        <f t="shared" si="75"/>
        <v>0</v>
      </c>
      <c r="AU64" s="408">
        <f t="shared" si="76"/>
        <v>0</v>
      </c>
      <c r="AV64" s="392" t="s">
        <v>425</v>
      </c>
      <c r="AW64" s="392" t="s">
        <v>425</v>
      </c>
      <c r="AX64" s="392" t="s">
        <v>425</v>
      </c>
      <c r="AY64" s="392" t="s">
        <v>425</v>
      </c>
      <c r="AZ64" s="387" t="s">
        <v>425</v>
      </c>
      <c r="BA64" s="395"/>
      <c r="BB64" s="406">
        <f t="shared" si="66"/>
        <v>0</v>
      </c>
      <c r="BC64" s="407">
        <f t="shared" si="67"/>
        <v>0</v>
      </c>
      <c r="BD64" s="407">
        <f t="shared" si="68"/>
        <v>0</v>
      </c>
      <c r="BE64" s="407">
        <f t="shared" si="69"/>
        <v>0</v>
      </c>
      <c r="BF64" s="404">
        <f t="shared" si="77"/>
        <v>0</v>
      </c>
      <c r="BG64" s="395"/>
      <c r="BH64" s="406">
        <f t="shared" si="78"/>
        <v>0</v>
      </c>
      <c r="BI64" s="407">
        <f t="shared" si="79"/>
        <v>0</v>
      </c>
      <c r="BJ64" s="407">
        <f t="shared" si="80"/>
        <v>0</v>
      </c>
      <c r="BK64" s="407">
        <f t="shared" si="81"/>
        <v>0</v>
      </c>
      <c r="BL64" s="408">
        <f t="shared" si="82"/>
        <v>0</v>
      </c>
    </row>
    <row r="65" spans="3:64" s="433" customFormat="1" ht="17.45" customHeight="1">
      <c r="C65" s="1125"/>
      <c r="D65" s="446"/>
      <c r="E65" s="439"/>
      <c r="F65" s="440"/>
      <c r="G65" s="440"/>
      <c r="H65" s="441"/>
      <c r="I65" s="428"/>
      <c r="J65" s="429"/>
      <c r="K65" s="429"/>
      <c r="L65" s="438"/>
      <c r="M65" s="428"/>
      <c r="N65" s="429"/>
      <c r="O65" s="429"/>
      <c r="P65" s="429"/>
      <c r="Q65" s="404">
        <f t="shared" si="40"/>
        <v>0</v>
      </c>
      <c r="R65" s="428"/>
      <c r="S65" s="429"/>
      <c r="T65" s="429"/>
      <c r="U65" s="429"/>
      <c r="V65" s="404">
        <f t="shared" si="25"/>
        <v>0</v>
      </c>
      <c r="W65" s="769"/>
      <c r="X65" s="770"/>
      <c r="Y65" s="770"/>
      <c r="Z65" s="770"/>
      <c r="AA65" s="404">
        <f t="shared" si="70"/>
        <v>0</v>
      </c>
      <c r="AB65" s="442"/>
      <c r="AC65" s="443"/>
      <c r="AD65" s="443"/>
      <c r="AE65" s="443"/>
      <c r="AF65" s="404">
        <f t="shared" si="64"/>
        <v>0</v>
      </c>
      <c r="AG65" s="442"/>
      <c r="AH65" s="443"/>
      <c r="AI65" s="443"/>
      <c r="AJ65" s="443"/>
      <c r="AK65" s="404">
        <f t="shared" si="71"/>
        <v>0</v>
      </c>
      <c r="AL65" s="428"/>
      <c r="AM65" s="429"/>
      <c r="AN65" s="429"/>
      <c r="AO65" s="429"/>
      <c r="AP65" s="405">
        <f t="shared" si="65"/>
        <v>0</v>
      </c>
      <c r="AQ65" s="779">
        <f t="shared" si="72"/>
        <v>0</v>
      </c>
      <c r="AR65" s="407">
        <f t="shared" si="73"/>
        <v>0</v>
      </c>
      <c r="AS65" s="407">
        <f t="shared" si="74"/>
        <v>0</v>
      </c>
      <c r="AT65" s="407">
        <f t="shared" si="75"/>
        <v>0</v>
      </c>
      <c r="AU65" s="408">
        <f t="shared" si="76"/>
        <v>0</v>
      </c>
      <c r="AV65" s="392" t="s">
        <v>425</v>
      </c>
      <c r="AW65" s="392" t="s">
        <v>425</v>
      </c>
      <c r="AX65" s="392" t="s">
        <v>425</v>
      </c>
      <c r="AY65" s="392" t="s">
        <v>425</v>
      </c>
      <c r="AZ65" s="387" t="s">
        <v>425</v>
      </c>
      <c r="BA65" s="395"/>
      <c r="BB65" s="406">
        <f t="shared" si="66"/>
        <v>0</v>
      </c>
      <c r="BC65" s="407">
        <f t="shared" si="67"/>
        <v>0</v>
      </c>
      <c r="BD65" s="407">
        <f t="shared" si="68"/>
        <v>0</v>
      </c>
      <c r="BE65" s="407">
        <f t="shared" si="69"/>
        <v>0</v>
      </c>
      <c r="BF65" s="404">
        <f t="shared" si="77"/>
        <v>0</v>
      </c>
      <c r="BG65" s="395"/>
      <c r="BH65" s="406">
        <f t="shared" si="78"/>
        <v>0</v>
      </c>
      <c r="BI65" s="407">
        <f t="shared" si="79"/>
        <v>0</v>
      </c>
      <c r="BJ65" s="407">
        <f t="shared" si="80"/>
        <v>0</v>
      </c>
      <c r="BK65" s="407">
        <f t="shared" si="81"/>
        <v>0</v>
      </c>
      <c r="BL65" s="408">
        <f t="shared" si="82"/>
        <v>0</v>
      </c>
    </row>
    <row r="66" spans="3:64" s="433" customFormat="1" ht="17.45" customHeight="1">
      <c r="C66" s="1125"/>
      <c r="D66" s="446"/>
      <c r="E66" s="439"/>
      <c r="F66" s="440"/>
      <c r="G66" s="440"/>
      <c r="H66" s="441"/>
      <c r="I66" s="428"/>
      <c r="J66" s="429"/>
      <c r="K66" s="429"/>
      <c r="L66" s="438"/>
      <c r="M66" s="428"/>
      <c r="N66" s="429"/>
      <c r="O66" s="429"/>
      <c r="P66" s="429"/>
      <c r="Q66" s="404">
        <f t="shared" si="40"/>
        <v>0</v>
      </c>
      <c r="R66" s="428"/>
      <c r="S66" s="429"/>
      <c r="T66" s="429"/>
      <c r="U66" s="429"/>
      <c r="V66" s="404">
        <f t="shared" si="25"/>
        <v>0</v>
      </c>
      <c r="W66" s="769"/>
      <c r="X66" s="770"/>
      <c r="Y66" s="770"/>
      <c r="Z66" s="770"/>
      <c r="AA66" s="404">
        <f t="shared" si="70"/>
        <v>0</v>
      </c>
      <c r="AB66" s="442"/>
      <c r="AC66" s="443"/>
      <c r="AD66" s="443"/>
      <c r="AE66" s="443"/>
      <c r="AF66" s="404">
        <f t="shared" si="64"/>
        <v>0</v>
      </c>
      <c r="AG66" s="442"/>
      <c r="AH66" s="443"/>
      <c r="AI66" s="443"/>
      <c r="AJ66" s="443"/>
      <c r="AK66" s="404">
        <f t="shared" si="71"/>
        <v>0</v>
      </c>
      <c r="AL66" s="428"/>
      <c r="AM66" s="429"/>
      <c r="AN66" s="429"/>
      <c r="AO66" s="429"/>
      <c r="AP66" s="405">
        <f t="shared" si="65"/>
        <v>0</v>
      </c>
      <c r="AQ66" s="779">
        <f t="shared" si="72"/>
        <v>0</v>
      </c>
      <c r="AR66" s="407">
        <f t="shared" si="73"/>
        <v>0</v>
      </c>
      <c r="AS66" s="407">
        <f t="shared" si="74"/>
        <v>0</v>
      </c>
      <c r="AT66" s="407">
        <f t="shared" si="75"/>
        <v>0</v>
      </c>
      <c r="AU66" s="408">
        <f t="shared" si="76"/>
        <v>0</v>
      </c>
      <c r="AV66" s="392" t="s">
        <v>425</v>
      </c>
      <c r="AW66" s="392" t="s">
        <v>425</v>
      </c>
      <c r="AX66" s="392" t="s">
        <v>425</v>
      </c>
      <c r="AY66" s="392" t="s">
        <v>425</v>
      </c>
      <c r="AZ66" s="387" t="s">
        <v>425</v>
      </c>
      <c r="BA66" s="395"/>
      <c r="BB66" s="406">
        <f t="shared" si="66"/>
        <v>0</v>
      </c>
      <c r="BC66" s="407">
        <f t="shared" si="67"/>
        <v>0</v>
      </c>
      <c r="BD66" s="407">
        <f t="shared" si="68"/>
        <v>0</v>
      </c>
      <c r="BE66" s="407">
        <f t="shared" si="69"/>
        <v>0</v>
      </c>
      <c r="BF66" s="404">
        <f t="shared" si="77"/>
        <v>0</v>
      </c>
      <c r="BG66" s="395"/>
      <c r="BH66" s="406">
        <f t="shared" si="78"/>
        <v>0</v>
      </c>
      <c r="BI66" s="407">
        <f t="shared" si="79"/>
        <v>0</v>
      </c>
      <c r="BJ66" s="407">
        <f t="shared" si="80"/>
        <v>0</v>
      </c>
      <c r="BK66" s="407">
        <f t="shared" si="81"/>
        <v>0</v>
      </c>
      <c r="BL66" s="408">
        <f t="shared" si="82"/>
        <v>0</v>
      </c>
    </row>
    <row r="67" spans="3:64" s="433" customFormat="1" ht="17.45" customHeight="1">
      <c r="C67" s="1125"/>
      <c r="D67" s="446"/>
      <c r="E67" s="439"/>
      <c r="F67" s="440"/>
      <c r="G67" s="440"/>
      <c r="H67" s="441"/>
      <c r="I67" s="428"/>
      <c r="J67" s="429"/>
      <c r="K67" s="429"/>
      <c r="L67" s="438"/>
      <c r="M67" s="428"/>
      <c r="N67" s="429"/>
      <c r="O67" s="429"/>
      <c r="P67" s="429"/>
      <c r="Q67" s="404">
        <f t="shared" si="40"/>
        <v>0</v>
      </c>
      <c r="R67" s="428"/>
      <c r="S67" s="429"/>
      <c r="T67" s="429"/>
      <c r="U67" s="429"/>
      <c r="V67" s="404">
        <f t="shared" si="25"/>
        <v>0</v>
      </c>
      <c r="W67" s="769"/>
      <c r="X67" s="770"/>
      <c r="Y67" s="770"/>
      <c r="Z67" s="770"/>
      <c r="AA67" s="404">
        <f t="shared" si="70"/>
        <v>0</v>
      </c>
      <c r="AB67" s="442"/>
      <c r="AC67" s="443"/>
      <c r="AD67" s="443"/>
      <c r="AE67" s="443"/>
      <c r="AF67" s="404">
        <f t="shared" si="64"/>
        <v>0</v>
      </c>
      <c r="AG67" s="442"/>
      <c r="AH67" s="443"/>
      <c r="AI67" s="443"/>
      <c r="AJ67" s="443"/>
      <c r="AK67" s="404">
        <f t="shared" si="71"/>
        <v>0</v>
      </c>
      <c r="AL67" s="428"/>
      <c r="AM67" s="429"/>
      <c r="AN67" s="429"/>
      <c r="AO67" s="429"/>
      <c r="AP67" s="405">
        <f t="shared" si="65"/>
        <v>0</v>
      </c>
      <c r="AQ67" s="779">
        <f t="shared" si="72"/>
        <v>0</v>
      </c>
      <c r="AR67" s="407">
        <f t="shared" si="73"/>
        <v>0</v>
      </c>
      <c r="AS67" s="407">
        <f t="shared" si="74"/>
        <v>0</v>
      </c>
      <c r="AT67" s="407">
        <f t="shared" si="75"/>
        <v>0</v>
      </c>
      <c r="AU67" s="408">
        <f t="shared" si="76"/>
        <v>0</v>
      </c>
      <c r="AV67" s="392" t="s">
        <v>425</v>
      </c>
      <c r="AW67" s="392" t="s">
        <v>425</v>
      </c>
      <c r="AX67" s="392" t="s">
        <v>425</v>
      </c>
      <c r="AY67" s="392" t="s">
        <v>425</v>
      </c>
      <c r="AZ67" s="387" t="s">
        <v>425</v>
      </c>
      <c r="BA67" s="395"/>
      <c r="BB67" s="406">
        <f t="shared" si="66"/>
        <v>0</v>
      </c>
      <c r="BC67" s="407">
        <f t="shared" si="67"/>
        <v>0</v>
      </c>
      <c r="BD67" s="407">
        <f t="shared" si="68"/>
        <v>0</v>
      </c>
      <c r="BE67" s="407">
        <f t="shared" si="69"/>
        <v>0</v>
      </c>
      <c r="BF67" s="404">
        <f t="shared" si="77"/>
        <v>0</v>
      </c>
      <c r="BG67" s="395"/>
      <c r="BH67" s="406">
        <f t="shared" si="78"/>
        <v>0</v>
      </c>
      <c r="BI67" s="407">
        <f t="shared" si="79"/>
        <v>0</v>
      </c>
      <c r="BJ67" s="407">
        <f t="shared" si="80"/>
        <v>0</v>
      </c>
      <c r="BK67" s="407">
        <f t="shared" si="81"/>
        <v>0</v>
      </c>
      <c r="BL67" s="408">
        <f t="shared" si="82"/>
        <v>0</v>
      </c>
    </row>
    <row r="68" spans="3:64" s="433" customFormat="1" ht="17.45" customHeight="1">
      <c r="C68" s="1125"/>
      <c r="D68" s="446"/>
      <c r="E68" s="439"/>
      <c r="F68" s="440"/>
      <c r="G68" s="440"/>
      <c r="H68" s="441"/>
      <c r="I68" s="428"/>
      <c r="J68" s="429"/>
      <c r="K68" s="429"/>
      <c r="L68" s="438"/>
      <c r="M68" s="428"/>
      <c r="N68" s="429"/>
      <c r="O68" s="429"/>
      <c r="P68" s="429"/>
      <c r="Q68" s="404">
        <f t="shared" si="40"/>
        <v>0</v>
      </c>
      <c r="R68" s="428"/>
      <c r="S68" s="429"/>
      <c r="T68" s="429"/>
      <c r="U68" s="429"/>
      <c r="V68" s="404">
        <f t="shared" si="25"/>
        <v>0</v>
      </c>
      <c r="W68" s="769"/>
      <c r="X68" s="770"/>
      <c r="Y68" s="770"/>
      <c r="Z68" s="770"/>
      <c r="AA68" s="404">
        <f t="shared" si="70"/>
        <v>0</v>
      </c>
      <c r="AB68" s="442"/>
      <c r="AC68" s="443"/>
      <c r="AD68" s="443"/>
      <c r="AE68" s="443"/>
      <c r="AF68" s="404">
        <f t="shared" si="64"/>
        <v>0</v>
      </c>
      <c r="AG68" s="442"/>
      <c r="AH68" s="443"/>
      <c r="AI68" s="443"/>
      <c r="AJ68" s="443"/>
      <c r="AK68" s="404">
        <f t="shared" si="71"/>
        <v>0</v>
      </c>
      <c r="AL68" s="428"/>
      <c r="AM68" s="429"/>
      <c r="AN68" s="429"/>
      <c r="AO68" s="429"/>
      <c r="AP68" s="405">
        <f t="shared" si="65"/>
        <v>0</v>
      </c>
      <c r="AQ68" s="779">
        <f t="shared" si="72"/>
        <v>0</v>
      </c>
      <c r="AR68" s="407">
        <f t="shared" si="73"/>
        <v>0</v>
      </c>
      <c r="AS68" s="407">
        <f t="shared" si="74"/>
        <v>0</v>
      </c>
      <c r="AT68" s="407">
        <f t="shared" si="75"/>
        <v>0</v>
      </c>
      <c r="AU68" s="408">
        <f t="shared" si="76"/>
        <v>0</v>
      </c>
      <c r="AV68" s="392" t="s">
        <v>425</v>
      </c>
      <c r="AW68" s="392" t="s">
        <v>425</v>
      </c>
      <c r="AX68" s="392" t="s">
        <v>425</v>
      </c>
      <c r="AY68" s="392" t="s">
        <v>425</v>
      </c>
      <c r="AZ68" s="387" t="s">
        <v>425</v>
      </c>
      <c r="BA68" s="395"/>
      <c r="BB68" s="406">
        <f t="shared" si="66"/>
        <v>0</v>
      </c>
      <c r="BC68" s="407">
        <f t="shared" si="67"/>
        <v>0</v>
      </c>
      <c r="BD68" s="407">
        <f t="shared" si="68"/>
        <v>0</v>
      </c>
      <c r="BE68" s="407">
        <f t="shared" si="69"/>
        <v>0</v>
      </c>
      <c r="BF68" s="404">
        <f t="shared" si="77"/>
        <v>0</v>
      </c>
      <c r="BG68" s="395"/>
      <c r="BH68" s="406">
        <f t="shared" si="78"/>
        <v>0</v>
      </c>
      <c r="BI68" s="407">
        <f t="shared" si="79"/>
        <v>0</v>
      </c>
      <c r="BJ68" s="407">
        <f t="shared" si="80"/>
        <v>0</v>
      </c>
      <c r="BK68" s="407">
        <f t="shared" si="81"/>
        <v>0</v>
      </c>
      <c r="BL68" s="408">
        <f t="shared" si="82"/>
        <v>0</v>
      </c>
    </row>
    <row r="69" spans="3:64" s="433" customFormat="1" ht="17.45" customHeight="1">
      <c r="C69" s="1125"/>
      <c r="D69" s="446"/>
      <c r="E69" s="439"/>
      <c r="F69" s="440"/>
      <c r="G69" s="440"/>
      <c r="H69" s="441"/>
      <c r="I69" s="428"/>
      <c r="J69" s="429"/>
      <c r="K69" s="429"/>
      <c r="L69" s="438"/>
      <c r="M69" s="428"/>
      <c r="N69" s="429"/>
      <c r="O69" s="429"/>
      <c r="P69" s="429"/>
      <c r="Q69" s="404">
        <f t="shared" si="40"/>
        <v>0</v>
      </c>
      <c r="R69" s="428"/>
      <c r="S69" s="429"/>
      <c r="T69" s="429"/>
      <c r="U69" s="429"/>
      <c r="V69" s="404">
        <f t="shared" si="25"/>
        <v>0</v>
      </c>
      <c r="W69" s="769"/>
      <c r="X69" s="770"/>
      <c r="Y69" s="770"/>
      <c r="Z69" s="770"/>
      <c r="AA69" s="404">
        <f t="shared" si="70"/>
        <v>0</v>
      </c>
      <c r="AB69" s="442"/>
      <c r="AC69" s="443"/>
      <c r="AD69" s="443"/>
      <c r="AE69" s="443"/>
      <c r="AF69" s="404">
        <f t="shared" si="64"/>
        <v>0</v>
      </c>
      <c r="AG69" s="442"/>
      <c r="AH69" s="443"/>
      <c r="AI69" s="443"/>
      <c r="AJ69" s="443"/>
      <c r="AK69" s="404">
        <f t="shared" si="71"/>
        <v>0</v>
      </c>
      <c r="AL69" s="428"/>
      <c r="AM69" s="429"/>
      <c r="AN69" s="429"/>
      <c r="AO69" s="429"/>
      <c r="AP69" s="405">
        <f t="shared" si="65"/>
        <v>0</v>
      </c>
      <c r="AQ69" s="779">
        <f t="shared" si="72"/>
        <v>0</v>
      </c>
      <c r="AR69" s="407">
        <f t="shared" si="73"/>
        <v>0</v>
      </c>
      <c r="AS69" s="407">
        <f t="shared" si="74"/>
        <v>0</v>
      </c>
      <c r="AT69" s="407">
        <f t="shared" si="75"/>
        <v>0</v>
      </c>
      <c r="AU69" s="408">
        <f t="shared" si="76"/>
        <v>0</v>
      </c>
      <c r="AV69" s="392" t="s">
        <v>425</v>
      </c>
      <c r="AW69" s="392" t="s">
        <v>425</v>
      </c>
      <c r="AX69" s="392" t="s">
        <v>425</v>
      </c>
      <c r="AY69" s="392" t="s">
        <v>425</v>
      </c>
      <c r="AZ69" s="387" t="s">
        <v>425</v>
      </c>
      <c r="BA69" s="395"/>
      <c r="BB69" s="406">
        <f t="shared" si="66"/>
        <v>0</v>
      </c>
      <c r="BC69" s="407">
        <f t="shared" si="67"/>
        <v>0</v>
      </c>
      <c r="BD69" s="407">
        <f t="shared" si="68"/>
        <v>0</v>
      </c>
      <c r="BE69" s="407">
        <f t="shared" si="69"/>
        <v>0</v>
      </c>
      <c r="BF69" s="404">
        <f t="shared" si="77"/>
        <v>0</v>
      </c>
      <c r="BG69" s="395"/>
      <c r="BH69" s="406">
        <f t="shared" si="78"/>
        <v>0</v>
      </c>
      <c r="BI69" s="407">
        <f t="shared" si="79"/>
        <v>0</v>
      </c>
      <c r="BJ69" s="407">
        <f t="shared" si="80"/>
        <v>0</v>
      </c>
      <c r="BK69" s="407">
        <f t="shared" si="81"/>
        <v>0</v>
      </c>
      <c r="BL69" s="408">
        <f t="shared" si="82"/>
        <v>0</v>
      </c>
    </row>
    <row r="70" spans="3:64" s="433" customFormat="1" ht="17.45" customHeight="1">
      <c r="C70" s="1125"/>
      <c r="D70" s="446"/>
      <c r="E70" s="439"/>
      <c r="F70" s="440"/>
      <c r="G70" s="440"/>
      <c r="H70" s="441"/>
      <c r="I70" s="428"/>
      <c r="J70" s="429"/>
      <c r="K70" s="429"/>
      <c r="L70" s="438"/>
      <c r="M70" s="428"/>
      <c r="N70" s="429"/>
      <c r="O70" s="429"/>
      <c r="P70" s="429"/>
      <c r="Q70" s="404">
        <f t="shared" si="40"/>
        <v>0</v>
      </c>
      <c r="R70" s="428"/>
      <c r="S70" s="429"/>
      <c r="T70" s="429"/>
      <c r="U70" s="429"/>
      <c r="V70" s="404">
        <f t="shared" si="25"/>
        <v>0</v>
      </c>
      <c r="W70" s="769"/>
      <c r="X70" s="770"/>
      <c r="Y70" s="770"/>
      <c r="Z70" s="770"/>
      <c r="AA70" s="404">
        <f t="shared" si="70"/>
        <v>0</v>
      </c>
      <c r="AB70" s="442"/>
      <c r="AC70" s="443"/>
      <c r="AD70" s="443"/>
      <c r="AE70" s="443"/>
      <c r="AF70" s="404">
        <f t="shared" si="64"/>
        <v>0</v>
      </c>
      <c r="AG70" s="442"/>
      <c r="AH70" s="443"/>
      <c r="AI70" s="443"/>
      <c r="AJ70" s="443"/>
      <c r="AK70" s="404">
        <f t="shared" si="71"/>
        <v>0</v>
      </c>
      <c r="AL70" s="428"/>
      <c r="AM70" s="429"/>
      <c r="AN70" s="429"/>
      <c r="AO70" s="429"/>
      <c r="AP70" s="405">
        <f t="shared" si="65"/>
        <v>0</v>
      </c>
      <c r="AQ70" s="779">
        <f t="shared" si="72"/>
        <v>0</v>
      </c>
      <c r="AR70" s="407">
        <f t="shared" si="73"/>
        <v>0</v>
      </c>
      <c r="AS70" s="407">
        <f t="shared" si="74"/>
        <v>0</v>
      </c>
      <c r="AT70" s="407">
        <f t="shared" si="75"/>
        <v>0</v>
      </c>
      <c r="AU70" s="408">
        <f t="shared" si="76"/>
        <v>0</v>
      </c>
      <c r="AV70" s="392" t="s">
        <v>425</v>
      </c>
      <c r="AW70" s="392" t="s">
        <v>425</v>
      </c>
      <c r="AX70" s="392" t="s">
        <v>425</v>
      </c>
      <c r="AY70" s="392" t="s">
        <v>425</v>
      </c>
      <c r="AZ70" s="387" t="s">
        <v>425</v>
      </c>
      <c r="BA70" s="395"/>
      <c r="BB70" s="406">
        <f t="shared" si="66"/>
        <v>0</v>
      </c>
      <c r="BC70" s="407">
        <f t="shared" si="67"/>
        <v>0</v>
      </c>
      <c r="BD70" s="407">
        <f t="shared" si="68"/>
        <v>0</v>
      </c>
      <c r="BE70" s="407">
        <f t="shared" si="69"/>
        <v>0</v>
      </c>
      <c r="BF70" s="404">
        <f t="shared" si="77"/>
        <v>0</v>
      </c>
      <c r="BG70" s="395"/>
      <c r="BH70" s="406">
        <f t="shared" si="78"/>
        <v>0</v>
      </c>
      <c r="BI70" s="407">
        <f t="shared" si="79"/>
        <v>0</v>
      </c>
      <c r="BJ70" s="407">
        <f t="shared" si="80"/>
        <v>0</v>
      </c>
      <c r="BK70" s="407">
        <f t="shared" si="81"/>
        <v>0</v>
      </c>
      <c r="BL70" s="408">
        <f t="shared" si="82"/>
        <v>0</v>
      </c>
    </row>
    <row r="71" spans="3:64" s="433" customFormat="1" ht="17.45" customHeight="1">
      <c r="C71" s="1125"/>
      <c r="D71" s="446"/>
      <c r="E71" s="439"/>
      <c r="F71" s="440"/>
      <c r="G71" s="440"/>
      <c r="H71" s="441"/>
      <c r="I71" s="428"/>
      <c r="J71" s="429"/>
      <c r="K71" s="429"/>
      <c r="L71" s="438"/>
      <c r="M71" s="428"/>
      <c r="N71" s="429"/>
      <c r="O71" s="429"/>
      <c r="P71" s="429"/>
      <c r="Q71" s="404">
        <f t="shared" si="40"/>
        <v>0</v>
      </c>
      <c r="R71" s="428"/>
      <c r="S71" s="429"/>
      <c r="T71" s="429"/>
      <c r="U71" s="429"/>
      <c r="V71" s="404">
        <f t="shared" si="25"/>
        <v>0</v>
      </c>
      <c r="W71" s="769"/>
      <c r="X71" s="770"/>
      <c r="Y71" s="770"/>
      <c r="Z71" s="770"/>
      <c r="AA71" s="404">
        <f t="shared" si="70"/>
        <v>0</v>
      </c>
      <c r="AB71" s="442"/>
      <c r="AC71" s="443"/>
      <c r="AD71" s="443"/>
      <c r="AE71" s="443"/>
      <c r="AF71" s="404">
        <f t="shared" si="64"/>
        <v>0</v>
      </c>
      <c r="AG71" s="442"/>
      <c r="AH71" s="443"/>
      <c r="AI71" s="443"/>
      <c r="AJ71" s="443"/>
      <c r="AK71" s="404">
        <f t="shared" si="71"/>
        <v>0</v>
      </c>
      <c r="AL71" s="428"/>
      <c r="AM71" s="429"/>
      <c r="AN71" s="429"/>
      <c r="AO71" s="429"/>
      <c r="AP71" s="405">
        <f t="shared" si="65"/>
        <v>0</v>
      </c>
      <c r="AQ71" s="779">
        <f t="shared" si="72"/>
        <v>0</v>
      </c>
      <c r="AR71" s="407">
        <f t="shared" si="73"/>
        <v>0</v>
      </c>
      <c r="AS71" s="407">
        <f t="shared" si="74"/>
        <v>0</v>
      </c>
      <c r="AT71" s="407">
        <f t="shared" si="75"/>
        <v>0</v>
      </c>
      <c r="AU71" s="408">
        <f t="shared" si="76"/>
        <v>0</v>
      </c>
      <c r="AV71" s="392" t="s">
        <v>425</v>
      </c>
      <c r="AW71" s="392" t="s">
        <v>425</v>
      </c>
      <c r="AX71" s="392" t="s">
        <v>425</v>
      </c>
      <c r="AY71" s="392" t="s">
        <v>425</v>
      </c>
      <c r="AZ71" s="387" t="s">
        <v>425</v>
      </c>
      <c r="BA71" s="395"/>
      <c r="BB71" s="406">
        <f t="shared" si="66"/>
        <v>0</v>
      </c>
      <c r="BC71" s="407">
        <f t="shared" si="67"/>
        <v>0</v>
      </c>
      <c r="BD71" s="407">
        <f t="shared" si="68"/>
        <v>0</v>
      </c>
      <c r="BE71" s="407">
        <f t="shared" si="69"/>
        <v>0</v>
      </c>
      <c r="BF71" s="404">
        <f t="shared" si="77"/>
        <v>0</v>
      </c>
      <c r="BG71" s="395"/>
      <c r="BH71" s="406">
        <f t="shared" si="78"/>
        <v>0</v>
      </c>
      <c r="BI71" s="407">
        <f t="shared" si="79"/>
        <v>0</v>
      </c>
      <c r="BJ71" s="407">
        <f t="shared" si="80"/>
        <v>0</v>
      </c>
      <c r="BK71" s="407">
        <f t="shared" si="81"/>
        <v>0</v>
      </c>
      <c r="BL71" s="408">
        <f t="shared" si="82"/>
        <v>0</v>
      </c>
    </row>
    <row r="72" spans="3:64" s="433" customFormat="1" ht="17.45" customHeight="1">
      <c r="C72" s="1125"/>
      <c r="D72" s="446"/>
      <c r="E72" s="439"/>
      <c r="F72" s="440"/>
      <c r="G72" s="440"/>
      <c r="H72" s="441"/>
      <c r="I72" s="428"/>
      <c r="J72" s="429"/>
      <c r="K72" s="429"/>
      <c r="L72" s="438"/>
      <c r="M72" s="428"/>
      <c r="N72" s="429"/>
      <c r="O72" s="429"/>
      <c r="P72" s="429"/>
      <c r="Q72" s="404">
        <f t="shared" si="40"/>
        <v>0</v>
      </c>
      <c r="R72" s="428"/>
      <c r="S72" s="429"/>
      <c r="T72" s="429"/>
      <c r="U72" s="429"/>
      <c r="V72" s="404">
        <f t="shared" si="25"/>
        <v>0</v>
      </c>
      <c r="W72" s="769"/>
      <c r="X72" s="770"/>
      <c r="Y72" s="770"/>
      <c r="Z72" s="770"/>
      <c r="AA72" s="404">
        <f t="shared" si="70"/>
        <v>0</v>
      </c>
      <c r="AB72" s="442"/>
      <c r="AC72" s="443"/>
      <c r="AD72" s="443"/>
      <c r="AE72" s="443"/>
      <c r="AF72" s="404">
        <f t="shared" si="64"/>
        <v>0</v>
      </c>
      <c r="AG72" s="442"/>
      <c r="AH72" s="443"/>
      <c r="AI72" s="443"/>
      <c r="AJ72" s="443"/>
      <c r="AK72" s="404">
        <f t="shared" si="71"/>
        <v>0</v>
      </c>
      <c r="AL72" s="428"/>
      <c r="AM72" s="429"/>
      <c r="AN72" s="429"/>
      <c r="AO72" s="429"/>
      <c r="AP72" s="405">
        <f t="shared" si="65"/>
        <v>0</v>
      </c>
      <c r="AQ72" s="779">
        <f t="shared" si="72"/>
        <v>0</v>
      </c>
      <c r="AR72" s="407">
        <f t="shared" si="73"/>
        <v>0</v>
      </c>
      <c r="AS72" s="407">
        <f t="shared" si="74"/>
        <v>0</v>
      </c>
      <c r="AT72" s="407">
        <f t="shared" si="75"/>
        <v>0</v>
      </c>
      <c r="AU72" s="408">
        <f t="shared" si="76"/>
        <v>0</v>
      </c>
      <c r="AV72" s="392" t="s">
        <v>425</v>
      </c>
      <c r="AW72" s="392" t="s">
        <v>425</v>
      </c>
      <c r="AX72" s="392" t="s">
        <v>425</v>
      </c>
      <c r="AY72" s="392" t="s">
        <v>425</v>
      </c>
      <c r="AZ72" s="387" t="s">
        <v>425</v>
      </c>
      <c r="BA72" s="395"/>
      <c r="BB72" s="406">
        <f t="shared" si="66"/>
        <v>0</v>
      </c>
      <c r="BC72" s="407">
        <f t="shared" si="67"/>
        <v>0</v>
      </c>
      <c r="BD72" s="407">
        <f t="shared" si="68"/>
        <v>0</v>
      </c>
      <c r="BE72" s="407">
        <f t="shared" si="69"/>
        <v>0</v>
      </c>
      <c r="BF72" s="404">
        <f t="shared" si="77"/>
        <v>0</v>
      </c>
      <c r="BG72" s="395"/>
      <c r="BH72" s="406">
        <f t="shared" si="78"/>
        <v>0</v>
      </c>
      <c r="BI72" s="407">
        <f t="shared" si="79"/>
        <v>0</v>
      </c>
      <c r="BJ72" s="407">
        <f t="shared" si="80"/>
        <v>0</v>
      </c>
      <c r="BK72" s="407">
        <f t="shared" si="81"/>
        <v>0</v>
      </c>
      <c r="BL72" s="408">
        <f t="shared" si="82"/>
        <v>0</v>
      </c>
    </row>
    <row r="73" spans="3:64" s="431" customFormat="1" ht="30" customHeight="1" thickBot="1">
      <c r="C73" s="1126"/>
      <c r="D73" s="447" t="s">
        <v>507</v>
      </c>
      <c r="E73" s="417" t="s">
        <v>423</v>
      </c>
      <c r="F73" s="418" t="s">
        <v>423</v>
      </c>
      <c r="G73" s="418" t="s">
        <v>423</v>
      </c>
      <c r="H73" s="419" t="s">
        <v>423</v>
      </c>
      <c r="I73" s="816">
        <f t="shared" ref="I73:U73" si="83">SUM(I61:I72)</f>
        <v>8.75</v>
      </c>
      <c r="J73" s="817">
        <f t="shared" si="83"/>
        <v>8.75</v>
      </c>
      <c r="K73" s="817">
        <f t="shared" si="83"/>
        <v>8.75</v>
      </c>
      <c r="L73" s="818">
        <f t="shared" si="83"/>
        <v>8.75</v>
      </c>
      <c r="M73" s="414">
        <f t="shared" si="83"/>
        <v>196875</v>
      </c>
      <c r="N73" s="415">
        <f t="shared" si="83"/>
        <v>196875</v>
      </c>
      <c r="O73" s="415">
        <f t="shared" si="83"/>
        <v>196875</v>
      </c>
      <c r="P73" s="415">
        <f t="shared" si="83"/>
        <v>196875</v>
      </c>
      <c r="Q73" s="416">
        <f t="shared" si="83"/>
        <v>787500</v>
      </c>
      <c r="R73" s="414">
        <f t="shared" si="83"/>
        <v>0</v>
      </c>
      <c r="S73" s="415">
        <f t="shared" si="83"/>
        <v>0</v>
      </c>
      <c r="T73" s="415">
        <f t="shared" si="83"/>
        <v>0</v>
      </c>
      <c r="U73" s="415">
        <f t="shared" si="83"/>
        <v>0</v>
      </c>
      <c r="V73" s="404">
        <f t="shared" si="25"/>
        <v>0</v>
      </c>
      <c r="W73" s="764">
        <f t="shared" ref="W73:AU73" si="84">SUM(W61:W72)</f>
        <v>59062.5</v>
      </c>
      <c r="X73" s="765">
        <f t="shared" si="84"/>
        <v>59062.5</v>
      </c>
      <c r="Y73" s="765">
        <f t="shared" si="84"/>
        <v>59062.5</v>
      </c>
      <c r="Z73" s="765">
        <f t="shared" si="84"/>
        <v>59062.5</v>
      </c>
      <c r="AA73" s="416">
        <f t="shared" si="84"/>
        <v>236250</v>
      </c>
      <c r="AB73" s="414">
        <f t="shared" si="84"/>
        <v>19687.5</v>
      </c>
      <c r="AC73" s="415">
        <f t="shared" si="84"/>
        <v>19687.5</v>
      </c>
      <c r="AD73" s="415">
        <f t="shared" si="84"/>
        <v>19687.5</v>
      </c>
      <c r="AE73" s="415">
        <f t="shared" si="84"/>
        <v>19687.5</v>
      </c>
      <c r="AF73" s="416">
        <f t="shared" si="84"/>
        <v>78750</v>
      </c>
      <c r="AG73" s="414">
        <f t="shared" si="84"/>
        <v>0</v>
      </c>
      <c r="AH73" s="415">
        <f t="shared" si="84"/>
        <v>0</v>
      </c>
      <c r="AI73" s="415">
        <f t="shared" si="84"/>
        <v>0</v>
      </c>
      <c r="AJ73" s="415">
        <f t="shared" si="84"/>
        <v>0</v>
      </c>
      <c r="AK73" s="416">
        <f t="shared" si="84"/>
        <v>0</v>
      </c>
      <c r="AL73" s="414">
        <f t="shared" si="84"/>
        <v>0</v>
      </c>
      <c r="AM73" s="415">
        <f t="shared" si="84"/>
        <v>0</v>
      </c>
      <c r="AN73" s="415">
        <f t="shared" si="84"/>
        <v>0</v>
      </c>
      <c r="AO73" s="415">
        <f t="shared" si="84"/>
        <v>0</v>
      </c>
      <c r="AP73" s="420">
        <f t="shared" si="84"/>
        <v>0</v>
      </c>
      <c r="AQ73" s="788">
        <f t="shared" si="84"/>
        <v>275625</v>
      </c>
      <c r="AR73" s="418">
        <f t="shared" si="84"/>
        <v>275625</v>
      </c>
      <c r="AS73" s="418">
        <f t="shared" si="84"/>
        <v>275625</v>
      </c>
      <c r="AT73" s="418">
        <f t="shared" si="84"/>
        <v>275625</v>
      </c>
      <c r="AU73" s="419">
        <f t="shared" si="84"/>
        <v>1102500</v>
      </c>
      <c r="AV73" s="423"/>
      <c r="AW73" s="424"/>
      <c r="AX73" s="424"/>
      <c r="AY73" s="424"/>
      <c r="AZ73" s="416">
        <f>AV73+AW73+AX73+AY73</f>
        <v>0</v>
      </c>
      <c r="BA73" s="260"/>
      <c r="BB73" s="414">
        <f>SUM(BB61:BB72)</f>
        <v>60637.5</v>
      </c>
      <c r="BC73" s="415">
        <f>SUM(BC61:BC72)</f>
        <v>60637.5</v>
      </c>
      <c r="BD73" s="415">
        <f>SUM(BD61:BD72)</f>
        <v>60637.5</v>
      </c>
      <c r="BE73" s="415">
        <f>SUM(BE61:BE72)</f>
        <v>60637.5</v>
      </c>
      <c r="BF73" s="416">
        <f>SUM(BF61:BF72)</f>
        <v>242550</v>
      </c>
      <c r="BG73" s="260"/>
      <c r="BH73" s="414">
        <f>SUM(BH61:BH72)</f>
        <v>53746.875</v>
      </c>
      <c r="BI73" s="415">
        <f>SUM(BI61:BI72)</f>
        <v>53746.875</v>
      </c>
      <c r="BJ73" s="415">
        <f>SUM(BJ61:BJ72)</f>
        <v>53746.875</v>
      </c>
      <c r="BK73" s="415">
        <f>SUM(BK61:BK72)</f>
        <v>53746.875</v>
      </c>
      <c r="BL73" s="416">
        <f>SUM(BL61:BL72)</f>
        <v>214987.5</v>
      </c>
    </row>
    <row r="74" spans="3:64" s="335" customFormat="1" ht="35.25" customHeight="1" thickBot="1">
      <c r="C74" s="1124" t="s">
        <v>569</v>
      </c>
      <c r="D74" s="425" t="s">
        <v>180</v>
      </c>
      <c r="E74" s="401">
        <v>0.22</v>
      </c>
      <c r="F74" s="401">
        <v>0.22</v>
      </c>
      <c r="G74" s="401">
        <v>0.22</v>
      </c>
      <c r="H74" s="401">
        <v>0.22</v>
      </c>
      <c r="I74" s="715">
        <v>1</v>
      </c>
      <c r="J74" s="715">
        <v>1</v>
      </c>
      <c r="K74" s="715">
        <v>1</v>
      </c>
      <c r="L74" s="715">
        <v>1</v>
      </c>
      <c r="M74" s="455">
        <f>18000*3</f>
        <v>54000</v>
      </c>
      <c r="N74" s="455">
        <f>18000*3</f>
        <v>54000</v>
      </c>
      <c r="O74" s="455">
        <f>18000*3</f>
        <v>54000</v>
      </c>
      <c r="P74" s="455">
        <f>18000*3</f>
        <v>54000</v>
      </c>
      <c r="Q74" s="394">
        <f t="shared" si="40"/>
        <v>216000</v>
      </c>
      <c r="R74" s="448">
        <v>0</v>
      </c>
      <c r="S74" s="449">
        <v>0</v>
      </c>
      <c r="T74" s="449">
        <v>0</v>
      </c>
      <c r="U74" s="449">
        <v>0</v>
      </c>
      <c r="V74" s="404">
        <f t="shared" si="25"/>
        <v>0</v>
      </c>
      <c r="W74" s="767">
        <f>M74*0.5</f>
        <v>27000</v>
      </c>
      <c r="X74" s="767">
        <f t="shared" ref="X74:Z77" si="85">N74*0.5</f>
        <v>27000</v>
      </c>
      <c r="Y74" s="767">
        <f t="shared" si="85"/>
        <v>27000</v>
      </c>
      <c r="Z74" s="767">
        <f t="shared" si="85"/>
        <v>27000</v>
      </c>
      <c r="AA74" s="394">
        <f t="shared" ref="AA74:AA100" si="86">SUM(W74:Z74)</f>
        <v>108000</v>
      </c>
      <c r="AB74" s="448">
        <v>0</v>
      </c>
      <c r="AC74" s="449">
        <v>0</v>
      </c>
      <c r="AD74" s="449">
        <v>0</v>
      </c>
      <c r="AE74" s="449">
        <v>0</v>
      </c>
      <c r="AF74" s="394">
        <f t="shared" ref="AF74:AF100" si="87">SUM(AB74:AE74)</f>
        <v>0</v>
      </c>
      <c r="AG74" s="428">
        <f t="shared" ref="AG74:AJ77" si="88">M74*0.3</f>
        <v>16200</v>
      </c>
      <c r="AH74" s="428">
        <f t="shared" si="88"/>
        <v>16200</v>
      </c>
      <c r="AI74" s="428">
        <f t="shared" si="88"/>
        <v>16200</v>
      </c>
      <c r="AJ74" s="428">
        <f t="shared" si="88"/>
        <v>16200</v>
      </c>
      <c r="AK74" s="394">
        <f t="shared" ref="AK74:AK100" si="89">SUM(AG74:AJ74)</f>
        <v>64800</v>
      </c>
      <c r="AL74" s="448">
        <v>0</v>
      </c>
      <c r="AM74" s="449">
        <v>0</v>
      </c>
      <c r="AN74" s="449">
        <v>0</v>
      </c>
      <c r="AO74" s="449">
        <v>0</v>
      </c>
      <c r="AP74" s="427">
        <f t="shared" ref="AP74:AP100" si="90">SUM(AL74:AO74)</f>
        <v>0</v>
      </c>
      <c r="AQ74" s="778">
        <f t="shared" si="72"/>
        <v>97200</v>
      </c>
      <c r="AR74" s="390">
        <f>N74+S74+X74+AC74+AH74+AM74</f>
        <v>97200</v>
      </c>
      <c r="AS74" s="390">
        <f>O74+T74+Y74+AD74+AI74+AN74</f>
        <v>97200</v>
      </c>
      <c r="AT74" s="390">
        <f>P74+U74+Z74+AE74+AJ74+AO74</f>
        <v>97200</v>
      </c>
      <c r="AU74" s="391">
        <f>Q74+V74+AA74+AF74+AK74+AP74</f>
        <v>388800</v>
      </c>
      <c r="AV74" s="392" t="s">
        <v>425</v>
      </c>
      <c r="AW74" s="392" t="s">
        <v>425</v>
      </c>
      <c r="AX74" s="392" t="s">
        <v>425</v>
      </c>
      <c r="AY74" s="392" t="s">
        <v>425</v>
      </c>
      <c r="AZ74" s="387" t="s">
        <v>425</v>
      </c>
      <c r="BA74" s="343"/>
      <c r="BB74" s="396">
        <f t="shared" ref="BB74:BB100" si="91">AQ74*E74/100%</f>
        <v>21384</v>
      </c>
      <c r="BC74" s="397">
        <f t="shared" ref="BC74:BC100" si="92">AR74*F74/100%</f>
        <v>21384</v>
      </c>
      <c r="BD74" s="397">
        <f t="shared" ref="BD74:BD100" si="93">AS74*G74/100%</f>
        <v>21384</v>
      </c>
      <c r="BE74" s="397">
        <f t="shared" ref="BE74:BE100" si="94">AT74*H74/100%</f>
        <v>21384</v>
      </c>
      <c r="BF74" s="387">
        <f>SUM(BB74:BE74)</f>
        <v>85536</v>
      </c>
      <c r="BG74" s="343"/>
      <c r="BH74" s="396">
        <f>AQ74*(18%+1.5%)/100%</f>
        <v>18954</v>
      </c>
      <c r="BI74" s="397">
        <f>AR74*(18%+1.5%)/100%</f>
        <v>18954</v>
      </c>
      <c r="BJ74" s="397">
        <f>AS74*(18%+1.5%)/100%</f>
        <v>18954</v>
      </c>
      <c r="BK74" s="397">
        <f>AT74*(18%+1.5%)/100%</f>
        <v>18954</v>
      </c>
      <c r="BL74" s="398">
        <f>SUM(BH74:BK74)</f>
        <v>75816</v>
      </c>
    </row>
    <row r="75" spans="3:64" s="335" customFormat="1" ht="27" customHeight="1" thickBot="1">
      <c r="C75" s="1125"/>
      <c r="D75" s="430" t="s">
        <v>514</v>
      </c>
      <c r="E75" s="714">
        <v>8.4000000000000005E-2</v>
      </c>
      <c r="F75" s="714">
        <v>8.4000000000000005E-2</v>
      </c>
      <c r="G75" s="714">
        <v>8.4000000000000005E-2</v>
      </c>
      <c r="H75" s="714">
        <v>8.4000000000000005E-2</v>
      </c>
      <c r="I75" s="715">
        <v>1</v>
      </c>
      <c r="J75" s="715">
        <v>1</v>
      </c>
      <c r="K75" s="715">
        <v>1</v>
      </c>
      <c r="L75" s="715">
        <v>1</v>
      </c>
      <c r="M75" s="457">
        <f>15000*3</f>
        <v>45000</v>
      </c>
      <c r="N75" s="457">
        <f>15000*3</f>
        <v>45000</v>
      </c>
      <c r="O75" s="457">
        <f>15000*3</f>
        <v>45000</v>
      </c>
      <c r="P75" s="457">
        <f>15000*3</f>
        <v>45000</v>
      </c>
      <c r="Q75" s="404">
        <f t="shared" si="40"/>
        <v>180000</v>
      </c>
      <c r="R75" s="448">
        <v>0</v>
      </c>
      <c r="S75" s="449">
        <v>0</v>
      </c>
      <c r="T75" s="449">
        <v>0</v>
      </c>
      <c r="U75" s="449">
        <v>0</v>
      </c>
      <c r="V75" s="404">
        <f t="shared" si="25"/>
        <v>0</v>
      </c>
      <c r="W75" s="767">
        <f>M75*0.3</f>
        <v>13500</v>
      </c>
      <c r="X75" s="767">
        <f>N75*0.3</f>
        <v>13500</v>
      </c>
      <c r="Y75" s="767">
        <f>O75*0.3</f>
        <v>13500</v>
      </c>
      <c r="Z75" s="767">
        <f>P75*0.3</f>
        <v>13500</v>
      </c>
      <c r="AA75" s="404">
        <f t="shared" si="86"/>
        <v>54000</v>
      </c>
      <c r="AB75" s="448">
        <v>0</v>
      </c>
      <c r="AC75" s="449">
        <v>0</v>
      </c>
      <c r="AD75" s="449">
        <v>0</v>
      </c>
      <c r="AE75" s="449">
        <v>0</v>
      </c>
      <c r="AF75" s="404">
        <f t="shared" si="87"/>
        <v>0</v>
      </c>
      <c r="AG75" s="428">
        <f t="shared" si="88"/>
        <v>13500</v>
      </c>
      <c r="AH75" s="428">
        <f t="shared" si="88"/>
        <v>13500</v>
      </c>
      <c r="AI75" s="428">
        <f t="shared" si="88"/>
        <v>13500</v>
      </c>
      <c r="AJ75" s="428">
        <f t="shared" si="88"/>
        <v>13500</v>
      </c>
      <c r="AK75" s="404">
        <f t="shared" si="89"/>
        <v>54000</v>
      </c>
      <c r="AL75" s="448">
        <v>0</v>
      </c>
      <c r="AM75" s="449">
        <v>0</v>
      </c>
      <c r="AN75" s="449">
        <v>0</v>
      </c>
      <c r="AO75" s="449">
        <v>0</v>
      </c>
      <c r="AP75" s="405">
        <f t="shared" si="90"/>
        <v>0</v>
      </c>
      <c r="AQ75" s="779">
        <f t="shared" ref="AQ75:AQ102" si="95">M75+R75+W75+AB75+AG75+AL75</f>
        <v>72000</v>
      </c>
      <c r="AR75" s="407">
        <f t="shared" ref="AR75:AR100" si="96">N75+S75+X75+AC75+AH75+AM75</f>
        <v>72000</v>
      </c>
      <c r="AS75" s="407">
        <f t="shared" ref="AS75:AS100" si="97">O75+T75+Y75+AD75+AI75+AN75</f>
        <v>72000</v>
      </c>
      <c r="AT75" s="407">
        <f t="shared" ref="AT75:AT100" si="98">P75+U75+Z75+AE75+AJ75+AO75</f>
        <v>72000</v>
      </c>
      <c r="AU75" s="408">
        <f t="shared" ref="AU75:AU100" si="99">Q75+V75+AA75+AF75+AK75+AP75</f>
        <v>288000</v>
      </c>
      <c r="AV75" s="392" t="s">
        <v>425</v>
      </c>
      <c r="AW75" s="392" t="s">
        <v>425</v>
      </c>
      <c r="AX75" s="392" t="s">
        <v>425</v>
      </c>
      <c r="AY75" s="392" t="s">
        <v>425</v>
      </c>
      <c r="AZ75" s="387" t="s">
        <v>425</v>
      </c>
      <c r="BA75" s="343"/>
      <c r="BB75" s="406">
        <f t="shared" si="91"/>
        <v>6048</v>
      </c>
      <c r="BC75" s="407">
        <f t="shared" si="92"/>
        <v>6048</v>
      </c>
      <c r="BD75" s="407">
        <f t="shared" si="93"/>
        <v>6048</v>
      </c>
      <c r="BE75" s="407">
        <f t="shared" si="94"/>
        <v>6048</v>
      </c>
      <c r="BF75" s="387">
        <f t="shared" ref="BF75:BF100" si="100">SUM(BB75:BE75)</f>
        <v>24192</v>
      </c>
      <c r="BG75" s="343"/>
      <c r="BH75" s="406">
        <f t="shared" ref="BH75:BH100" si="101">AQ75*(18%+1.5%)/100%</f>
        <v>14040</v>
      </c>
      <c r="BI75" s="407">
        <f t="shared" ref="BI75:BI100" si="102">AR75*(18%+1.5%)/100%</f>
        <v>14040</v>
      </c>
      <c r="BJ75" s="407">
        <f t="shared" ref="BJ75:BJ100" si="103">AS75*(18%+1.5%)/100%</f>
        <v>14040</v>
      </c>
      <c r="BK75" s="407">
        <f t="shared" ref="BK75:BK100" si="104">AT75*(18%+1.5%)/100%</f>
        <v>14040</v>
      </c>
      <c r="BL75" s="408">
        <f t="shared" ref="BL75:BL100" si="105">SUM(BH75:BK75)</f>
        <v>56160</v>
      </c>
    </row>
    <row r="76" spans="3:64" s="335" customFormat="1" ht="26.25" customHeight="1" thickBot="1">
      <c r="C76" s="1125"/>
      <c r="D76" s="430" t="s">
        <v>515</v>
      </c>
      <c r="E76" s="401">
        <v>0.22</v>
      </c>
      <c r="F76" s="401">
        <v>0.22</v>
      </c>
      <c r="G76" s="401">
        <v>0.22</v>
      </c>
      <c r="H76" s="401">
        <v>0.22</v>
      </c>
      <c r="I76" s="715">
        <v>1</v>
      </c>
      <c r="J76" s="715">
        <v>1</v>
      </c>
      <c r="K76" s="715">
        <v>1</v>
      </c>
      <c r="L76" s="715">
        <v>1</v>
      </c>
      <c r="M76" s="457">
        <f>16000*3</f>
        <v>48000</v>
      </c>
      <c r="N76" s="457">
        <f>16000*3</f>
        <v>48000</v>
      </c>
      <c r="O76" s="457">
        <f>16000*3</f>
        <v>48000</v>
      </c>
      <c r="P76" s="457">
        <f>16000*3</f>
        <v>48000</v>
      </c>
      <c r="Q76" s="404">
        <f t="shared" si="40"/>
        <v>192000</v>
      </c>
      <c r="R76" s="448">
        <v>0</v>
      </c>
      <c r="S76" s="449">
        <v>0</v>
      </c>
      <c r="T76" s="449">
        <v>0</v>
      </c>
      <c r="U76" s="449">
        <v>0</v>
      </c>
      <c r="V76" s="404">
        <f t="shared" si="25"/>
        <v>0</v>
      </c>
      <c r="W76" s="767">
        <f>M76*0.5</f>
        <v>24000</v>
      </c>
      <c r="X76" s="767">
        <f t="shared" si="85"/>
        <v>24000</v>
      </c>
      <c r="Y76" s="767">
        <f t="shared" si="85"/>
        <v>24000</v>
      </c>
      <c r="Z76" s="767">
        <f t="shared" si="85"/>
        <v>24000</v>
      </c>
      <c r="AA76" s="404">
        <f t="shared" si="86"/>
        <v>96000</v>
      </c>
      <c r="AB76" s="448">
        <v>0</v>
      </c>
      <c r="AC76" s="449">
        <v>0</v>
      </c>
      <c r="AD76" s="449">
        <v>0</v>
      </c>
      <c r="AE76" s="449">
        <v>0</v>
      </c>
      <c r="AF76" s="404">
        <f t="shared" si="87"/>
        <v>0</v>
      </c>
      <c r="AG76" s="428">
        <f t="shared" si="88"/>
        <v>14400</v>
      </c>
      <c r="AH76" s="428">
        <f t="shared" si="88"/>
        <v>14400</v>
      </c>
      <c r="AI76" s="428">
        <f t="shared" si="88"/>
        <v>14400</v>
      </c>
      <c r="AJ76" s="428">
        <f t="shared" si="88"/>
        <v>14400</v>
      </c>
      <c r="AK76" s="404">
        <f t="shared" si="89"/>
        <v>57600</v>
      </c>
      <c r="AL76" s="448">
        <v>0</v>
      </c>
      <c r="AM76" s="449">
        <v>0</v>
      </c>
      <c r="AN76" s="449">
        <v>0</v>
      </c>
      <c r="AO76" s="449">
        <v>0</v>
      </c>
      <c r="AP76" s="405">
        <f t="shared" si="90"/>
        <v>0</v>
      </c>
      <c r="AQ76" s="779">
        <f t="shared" si="95"/>
        <v>86400</v>
      </c>
      <c r="AR76" s="407">
        <f t="shared" si="96"/>
        <v>86400</v>
      </c>
      <c r="AS76" s="407">
        <f t="shared" si="97"/>
        <v>86400</v>
      </c>
      <c r="AT76" s="407">
        <f t="shared" si="98"/>
        <v>86400</v>
      </c>
      <c r="AU76" s="408">
        <f t="shared" si="99"/>
        <v>345600</v>
      </c>
      <c r="AV76" s="392" t="s">
        <v>425</v>
      </c>
      <c r="AW76" s="392" t="s">
        <v>425</v>
      </c>
      <c r="AX76" s="392" t="s">
        <v>425</v>
      </c>
      <c r="AY76" s="392" t="s">
        <v>425</v>
      </c>
      <c r="AZ76" s="387" t="s">
        <v>425</v>
      </c>
      <c r="BA76" s="343"/>
      <c r="BB76" s="406">
        <f t="shared" si="91"/>
        <v>19008</v>
      </c>
      <c r="BC76" s="407">
        <f t="shared" si="92"/>
        <v>19008</v>
      </c>
      <c r="BD76" s="407">
        <f t="shared" si="93"/>
        <v>19008</v>
      </c>
      <c r="BE76" s="407">
        <f t="shared" si="94"/>
        <v>19008</v>
      </c>
      <c r="BF76" s="387">
        <f t="shared" si="100"/>
        <v>76032</v>
      </c>
      <c r="BG76" s="343"/>
      <c r="BH76" s="406">
        <f t="shared" si="101"/>
        <v>16848</v>
      </c>
      <c r="BI76" s="407">
        <f t="shared" si="102"/>
        <v>16848</v>
      </c>
      <c r="BJ76" s="407">
        <f t="shared" si="103"/>
        <v>16848</v>
      </c>
      <c r="BK76" s="407">
        <f t="shared" si="104"/>
        <v>16848</v>
      </c>
      <c r="BL76" s="408">
        <f t="shared" si="105"/>
        <v>67392</v>
      </c>
    </row>
    <row r="77" spans="3:64" s="335" customFormat="1" ht="23.25" customHeight="1" thickBot="1">
      <c r="C77" s="1125"/>
      <c r="D77" s="430" t="s">
        <v>181</v>
      </c>
      <c r="E77" s="401">
        <v>0.22</v>
      </c>
      <c r="F77" s="401">
        <v>0.22</v>
      </c>
      <c r="G77" s="401">
        <v>0.22</v>
      </c>
      <c r="H77" s="401">
        <v>0.22</v>
      </c>
      <c r="I77" s="715">
        <v>1</v>
      </c>
      <c r="J77" s="715">
        <v>1</v>
      </c>
      <c r="K77" s="715">
        <v>1</v>
      </c>
      <c r="L77" s="715">
        <v>1</v>
      </c>
      <c r="M77" s="457">
        <f>15000*3</f>
        <v>45000</v>
      </c>
      <c r="N77" s="457">
        <f>15000*3</f>
        <v>45000</v>
      </c>
      <c r="O77" s="457">
        <f>15000*3</f>
        <v>45000</v>
      </c>
      <c r="P77" s="457">
        <f>15000*3</f>
        <v>45000</v>
      </c>
      <c r="Q77" s="404">
        <f t="shared" si="40"/>
        <v>180000</v>
      </c>
      <c r="R77" s="448">
        <v>0</v>
      </c>
      <c r="S77" s="449">
        <v>0</v>
      </c>
      <c r="T77" s="449">
        <v>0</v>
      </c>
      <c r="U77" s="449">
        <v>0</v>
      </c>
      <c r="V77" s="404">
        <f t="shared" si="25"/>
        <v>0</v>
      </c>
      <c r="W77" s="767">
        <f>M77*0.5</f>
        <v>22500</v>
      </c>
      <c r="X77" s="767">
        <f t="shared" si="85"/>
        <v>22500</v>
      </c>
      <c r="Y77" s="767">
        <f t="shared" si="85"/>
        <v>22500</v>
      </c>
      <c r="Z77" s="767">
        <f t="shared" si="85"/>
        <v>22500</v>
      </c>
      <c r="AA77" s="404">
        <f t="shared" si="86"/>
        <v>90000</v>
      </c>
      <c r="AB77" s="448">
        <v>0</v>
      </c>
      <c r="AC77" s="449">
        <v>0</v>
      </c>
      <c r="AD77" s="449">
        <v>0</v>
      </c>
      <c r="AE77" s="449">
        <v>0</v>
      </c>
      <c r="AF77" s="404">
        <f t="shared" si="87"/>
        <v>0</v>
      </c>
      <c r="AG77" s="428">
        <f t="shared" si="88"/>
        <v>13500</v>
      </c>
      <c r="AH77" s="428">
        <f t="shared" si="88"/>
        <v>13500</v>
      </c>
      <c r="AI77" s="428">
        <f t="shared" si="88"/>
        <v>13500</v>
      </c>
      <c r="AJ77" s="428">
        <f t="shared" si="88"/>
        <v>13500</v>
      </c>
      <c r="AK77" s="404">
        <f t="shared" si="89"/>
        <v>54000</v>
      </c>
      <c r="AL77" s="448">
        <v>0</v>
      </c>
      <c r="AM77" s="449">
        <v>0</v>
      </c>
      <c r="AN77" s="449">
        <v>0</v>
      </c>
      <c r="AO77" s="449">
        <v>0</v>
      </c>
      <c r="AP77" s="405">
        <f t="shared" si="90"/>
        <v>0</v>
      </c>
      <c r="AQ77" s="779">
        <f t="shared" si="95"/>
        <v>81000</v>
      </c>
      <c r="AR77" s="407">
        <f t="shared" si="96"/>
        <v>81000</v>
      </c>
      <c r="AS77" s="407">
        <f t="shared" si="97"/>
        <v>81000</v>
      </c>
      <c r="AT77" s="407">
        <f t="shared" si="98"/>
        <v>81000</v>
      </c>
      <c r="AU77" s="408">
        <f t="shared" si="99"/>
        <v>324000</v>
      </c>
      <c r="AV77" s="392" t="s">
        <v>425</v>
      </c>
      <c r="AW77" s="392" t="s">
        <v>425</v>
      </c>
      <c r="AX77" s="392" t="s">
        <v>425</v>
      </c>
      <c r="AY77" s="392" t="s">
        <v>425</v>
      </c>
      <c r="AZ77" s="387" t="s">
        <v>425</v>
      </c>
      <c r="BA77" s="343"/>
      <c r="BB77" s="406">
        <f t="shared" si="91"/>
        <v>17820</v>
      </c>
      <c r="BC77" s="407">
        <f t="shared" si="92"/>
        <v>17820</v>
      </c>
      <c r="BD77" s="407">
        <f t="shared" si="93"/>
        <v>17820</v>
      </c>
      <c r="BE77" s="407">
        <f t="shared" si="94"/>
        <v>17820</v>
      </c>
      <c r="BF77" s="387">
        <f t="shared" si="100"/>
        <v>71280</v>
      </c>
      <c r="BG77" s="343"/>
      <c r="BH77" s="406">
        <f t="shared" si="101"/>
        <v>15795</v>
      </c>
      <c r="BI77" s="407">
        <f t="shared" si="102"/>
        <v>15795</v>
      </c>
      <c r="BJ77" s="407">
        <f t="shared" si="103"/>
        <v>15795</v>
      </c>
      <c r="BK77" s="407">
        <f t="shared" si="104"/>
        <v>15795</v>
      </c>
      <c r="BL77" s="408">
        <f t="shared" si="105"/>
        <v>63180</v>
      </c>
    </row>
    <row r="78" spans="3:64" s="335" customFormat="1" ht="32.25" customHeight="1" thickBot="1">
      <c r="C78" s="1125"/>
      <c r="D78" s="430" t="s">
        <v>182</v>
      </c>
      <c r="E78" s="401">
        <v>0.22</v>
      </c>
      <c r="F78" s="401">
        <v>0.22</v>
      </c>
      <c r="G78" s="401">
        <v>0.22</v>
      </c>
      <c r="H78" s="401">
        <v>0.22</v>
      </c>
      <c r="I78" s="715">
        <v>0.5</v>
      </c>
      <c r="J78" s="715">
        <v>0.5</v>
      </c>
      <c r="K78" s="715">
        <v>0.5</v>
      </c>
      <c r="L78" s="715">
        <v>0.5</v>
      </c>
      <c r="M78" s="457">
        <f>9500*3</f>
        <v>28500</v>
      </c>
      <c r="N78" s="457">
        <f>9500*3</f>
        <v>28500</v>
      </c>
      <c r="O78" s="457">
        <f>9500*3</f>
        <v>28500</v>
      </c>
      <c r="P78" s="457">
        <f>9500*3</f>
        <v>28500</v>
      </c>
      <c r="Q78" s="404">
        <f t="shared" si="40"/>
        <v>114000</v>
      </c>
      <c r="R78" s="448">
        <v>0</v>
      </c>
      <c r="S78" s="449">
        <v>0</v>
      </c>
      <c r="T78" s="449">
        <v>0</v>
      </c>
      <c r="U78" s="449">
        <v>0</v>
      </c>
      <c r="V78" s="404">
        <f t="shared" si="25"/>
        <v>0</v>
      </c>
      <c r="W78" s="767">
        <f>M78*0.1</f>
        <v>2850</v>
      </c>
      <c r="X78" s="767">
        <f>N78*0.1</f>
        <v>2850</v>
      </c>
      <c r="Y78" s="767">
        <f>O78*0.1</f>
        <v>2850</v>
      </c>
      <c r="Z78" s="767">
        <f>P78*0.1</f>
        <v>2850</v>
      </c>
      <c r="AA78" s="404">
        <f t="shared" si="86"/>
        <v>11400</v>
      </c>
      <c r="AB78" s="448">
        <v>0</v>
      </c>
      <c r="AC78" s="449">
        <v>0</v>
      </c>
      <c r="AD78" s="449">
        <v>0</v>
      </c>
      <c r="AE78" s="449">
        <v>0</v>
      </c>
      <c r="AF78" s="404">
        <f t="shared" si="87"/>
        <v>0</v>
      </c>
      <c r="AG78" s="428">
        <v>0</v>
      </c>
      <c r="AH78" s="428">
        <v>0</v>
      </c>
      <c r="AI78" s="428">
        <v>0</v>
      </c>
      <c r="AJ78" s="428">
        <v>0</v>
      </c>
      <c r="AK78" s="404">
        <f t="shared" si="89"/>
        <v>0</v>
      </c>
      <c r="AL78" s="448">
        <v>0</v>
      </c>
      <c r="AM78" s="449">
        <v>0</v>
      </c>
      <c r="AN78" s="449">
        <v>0</v>
      </c>
      <c r="AO78" s="449">
        <v>0</v>
      </c>
      <c r="AP78" s="405">
        <f t="shared" si="90"/>
        <v>0</v>
      </c>
      <c r="AQ78" s="779">
        <f t="shared" si="95"/>
        <v>31350</v>
      </c>
      <c r="AR78" s="407">
        <f t="shared" si="96"/>
        <v>31350</v>
      </c>
      <c r="AS78" s="407">
        <f t="shared" si="97"/>
        <v>31350</v>
      </c>
      <c r="AT78" s="407">
        <f t="shared" si="98"/>
        <v>31350</v>
      </c>
      <c r="AU78" s="408">
        <f t="shared" si="99"/>
        <v>125400</v>
      </c>
      <c r="AV78" s="392" t="s">
        <v>425</v>
      </c>
      <c r="AW78" s="392" t="s">
        <v>425</v>
      </c>
      <c r="AX78" s="392" t="s">
        <v>425</v>
      </c>
      <c r="AY78" s="392" t="s">
        <v>425</v>
      </c>
      <c r="AZ78" s="387" t="s">
        <v>425</v>
      </c>
      <c r="BA78" s="343"/>
      <c r="BB78" s="406">
        <f t="shared" si="91"/>
        <v>6897</v>
      </c>
      <c r="BC78" s="407">
        <f t="shared" si="92"/>
        <v>6897</v>
      </c>
      <c r="BD78" s="407">
        <f t="shared" si="93"/>
        <v>6897</v>
      </c>
      <c r="BE78" s="407">
        <f t="shared" si="94"/>
        <v>6897</v>
      </c>
      <c r="BF78" s="387">
        <f t="shared" si="100"/>
        <v>27588</v>
      </c>
      <c r="BG78" s="343"/>
      <c r="BH78" s="406">
        <f t="shared" si="101"/>
        <v>6113.25</v>
      </c>
      <c r="BI78" s="407">
        <f t="shared" si="102"/>
        <v>6113.25</v>
      </c>
      <c r="BJ78" s="407">
        <f t="shared" si="103"/>
        <v>6113.25</v>
      </c>
      <c r="BK78" s="407">
        <f t="shared" si="104"/>
        <v>6113.25</v>
      </c>
      <c r="BL78" s="408">
        <f t="shared" si="105"/>
        <v>24453</v>
      </c>
    </row>
    <row r="79" spans="3:64" s="335" customFormat="1" ht="40.5" customHeight="1" thickBot="1">
      <c r="C79" s="1125"/>
      <c r="D79" s="430" t="s">
        <v>183</v>
      </c>
      <c r="E79" s="401">
        <v>0.22</v>
      </c>
      <c r="F79" s="401">
        <v>0.22</v>
      </c>
      <c r="G79" s="401">
        <v>0.22</v>
      </c>
      <c r="H79" s="401">
        <v>0.22</v>
      </c>
      <c r="I79" s="715">
        <v>0.5</v>
      </c>
      <c r="J79" s="715">
        <v>0.5</v>
      </c>
      <c r="K79" s="715">
        <v>0.5</v>
      </c>
      <c r="L79" s="715">
        <v>0.5</v>
      </c>
      <c r="M79" s="457">
        <f>8000*3</f>
        <v>24000</v>
      </c>
      <c r="N79" s="457">
        <f t="shared" ref="N79:P80" si="106">8000*3</f>
        <v>24000</v>
      </c>
      <c r="O79" s="457">
        <f t="shared" si="106"/>
        <v>24000</v>
      </c>
      <c r="P79" s="457">
        <f t="shared" si="106"/>
        <v>24000</v>
      </c>
      <c r="Q79" s="404">
        <f t="shared" si="40"/>
        <v>96000</v>
      </c>
      <c r="R79" s="448">
        <v>0</v>
      </c>
      <c r="S79" s="449">
        <v>0</v>
      </c>
      <c r="T79" s="449">
        <v>0</v>
      </c>
      <c r="U79" s="449">
        <v>0</v>
      </c>
      <c r="V79" s="404">
        <f t="shared" si="25"/>
        <v>0</v>
      </c>
      <c r="W79" s="767">
        <v>0</v>
      </c>
      <c r="X79" s="767">
        <v>0</v>
      </c>
      <c r="Y79" s="767">
        <v>0</v>
      </c>
      <c r="Z79" s="767">
        <v>0</v>
      </c>
      <c r="AA79" s="404">
        <f t="shared" si="86"/>
        <v>0</v>
      </c>
      <c r="AB79" s="448">
        <v>0</v>
      </c>
      <c r="AC79" s="449">
        <v>0</v>
      </c>
      <c r="AD79" s="449">
        <v>0</v>
      </c>
      <c r="AE79" s="449">
        <v>0</v>
      </c>
      <c r="AF79" s="404">
        <f t="shared" si="87"/>
        <v>0</v>
      </c>
      <c r="AG79" s="428">
        <v>0</v>
      </c>
      <c r="AH79" s="428">
        <v>0</v>
      </c>
      <c r="AI79" s="428">
        <v>0</v>
      </c>
      <c r="AJ79" s="428">
        <v>0</v>
      </c>
      <c r="AK79" s="404">
        <f t="shared" si="89"/>
        <v>0</v>
      </c>
      <c r="AL79" s="448">
        <v>0</v>
      </c>
      <c r="AM79" s="449">
        <v>0</v>
      </c>
      <c r="AN79" s="449">
        <v>0</v>
      </c>
      <c r="AO79" s="449">
        <v>0</v>
      </c>
      <c r="AP79" s="405">
        <f t="shared" si="90"/>
        <v>0</v>
      </c>
      <c r="AQ79" s="779">
        <f t="shared" si="95"/>
        <v>24000</v>
      </c>
      <c r="AR79" s="407">
        <f t="shared" si="96"/>
        <v>24000</v>
      </c>
      <c r="AS79" s="407">
        <f t="shared" si="97"/>
        <v>24000</v>
      </c>
      <c r="AT79" s="407">
        <f t="shared" si="98"/>
        <v>24000</v>
      </c>
      <c r="AU79" s="408">
        <f t="shared" si="99"/>
        <v>96000</v>
      </c>
      <c r="AV79" s="392" t="s">
        <v>425</v>
      </c>
      <c r="AW79" s="392" t="s">
        <v>425</v>
      </c>
      <c r="AX79" s="392" t="s">
        <v>425</v>
      </c>
      <c r="AY79" s="392" t="s">
        <v>425</v>
      </c>
      <c r="AZ79" s="387" t="s">
        <v>425</v>
      </c>
      <c r="BA79" s="343"/>
      <c r="BB79" s="406">
        <f t="shared" si="91"/>
        <v>5280</v>
      </c>
      <c r="BC79" s="407">
        <f t="shared" si="92"/>
        <v>5280</v>
      </c>
      <c r="BD79" s="407">
        <f t="shared" si="93"/>
        <v>5280</v>
      </c>
      <c r="BE79" s="407">
        <f t="shared" si="94"/>
        <v>5280</v>
      </c>
      <c r="BF79" s="387">
        <f t="shared" si="100"/>
        <v>21120</v>
      </c>
      <c r="BG79" s="343"/>
      <c r="BH79" s="406">
        <f t="shared" si="101"/>
        <v>4680</v>
      </c>
      <c r="BI79" s="407">
        <f t="shared" si="102"/>
        <v>4680</v>
      </c>
      <c r="BJ79" s="407">
        <f t="shared" si="103"/>
        <v>4680</v>
      </c>
      <c r="BK79" s="407">
        <f t="shared" si="104"/>
        <v>4680</v>
      </c>
      <c r="BL79" s="408">
        <f t="shared" si="105"/>
        <v>18720</v>
      </c>
    </row>
    <row r="80" spans="3:64" s="335" customFormat="1" ht="39" customHeight="1" thickBot="1">
      <c r="C80" s="1125"/>
      <c r="D80" s="430" t="s">
        <v>184</v>
      </c>
      <c r="E80" s="401">
        <v>0.22</v>
      </c>
      <c r="F80" s="401">
        <v>0.22</v>
      </c>
      <c r="G80" s="401">
        <v>0.22</v>
      </c>
      <c r="H80" s="401">
        <v>0.22</v>
      </c>
      <c r="I80" s="715">
        <v>0.5</v>
      </c>
      <c r="J80" s="715">
        <v>0.5</v>
      </c>
      <c r="K80" s="715">
        <v>0.5</v>
      </c>
      <c r="L80" s="715">
        <v>0.5</v>
      </c>
      <c r="M80" s="457">
        <f>8000*3</f>
        <v>24000</v>
      </c>
      <c r="N80" s="457">
        <f t="shared" si="106"/>
        <v>24000</v>
      </c>
      <c r="O80" s="457">
        <f t="shared" si="106"/>
        <v>24000</v>
      </c>
      <c r="P80" s="457">
        <f t="shared" si="106"/>
        <v>24000</v>
      </c>
      <c r="Q80" s="404">
        <f t="shared" si="40"/>
        <v>96000</v>
      </c>
      <c r="R80" s="448">
        <v>0</v>
      </c>
      <c r="S80" s="449">
        <v>0</v>
      </c>
      <c r="T80" s="449">
        <v>0</v>
      </c>
      <c r="U80" s="449">
        <v>0</v>
      </c>
      <c r="V80" s="404">
        <f t="shared" si="25"/>
        <v>0</v>
      </c>
      <c r="W80" s="767">
        <f>M80*0.5</f>
        <v>12000</v>
      </c>
      <c r="X80" s="767">
        <f>N80*0.5</f>
        <v>12000</v>
      </c>
      <c r="Y80" s="767">
        <f>O80*0.5</f>
        <v>12000</v>
      </c>
      <c r="Z80" s="767">
        <f>P80*0.5</f>
        <v>12000</v>
      </c>
      <c r="AA80" s="404">
        <f t="shared" si="86"/>
        <v>48000</v>
      </c>
      <c r="AB80" s="448">
        <v>0</v>
      </c>
      <c r="AC80" s="449">
        <v>0</v>
      </c>
      <c r="AD80" s="449">
        <v>0</v>
      </c>
      <c r="AE80" s="449">
        <v>0</v>
      </c>
      <c r="AF80" s="404">
        <f t="shared" si="87"/>
        <v>0</v>
      </c>
      <c r="AG80" s="428">
        <v>0</v>
      </c>
      <c r="AH80" s="428">
        <v>0</v>
      </c>
      <c r="AI80" s="428">
        <v>0</v>
      </c>
      <c r="AJ80" s="428">
        <v>0</v>
      </c>
      <c r="AK80" s="404">
        <f t="shared" si="89"/>
        <v>0</v>
      </c>
      <c r="AL80" s="448">
        <v>0</v>
      </c>
      <c r="AM80" s="449">
        <v>0</v>
      </c>
      <c r="AN80" s="449">
        <v>0</v>
      </c>
      <c r="AO80" s="449">
        <v>0</v>
      </c>
      <c r="AP80" s="405">
        <f t="shared" si="90"/>
        <v>0</v>
      </c>
      <c r="AQ80" s="779">
        <f t="shared" si="95"/>
        <v>36000</v>
      </c>
      <c r="AR80" s="407">
        <f t="shared" si="96"/>
        <v>36000</v>
      </c>
      <c r="AS80" s="407">
        <f t="shared" si="97"/>
        <v>36000</v>
      </c>
      <c r="AT80" s="407">
        <f t="shared" si="98"/>
        <v>36000</v>
      </c>
      <c r="AU80" s="408">
        <f t="shared" si="99"/>
        <v>144000</v>
      </c>
      <c r="AV80" s="392" t="s">
        <v>425</v>
      </c>
      <c r="AW80" s="392" t="s">
        <v>425</v>
      </c>
      <c r="AX80" s="392" t="s">
        <v>425</v>
      </c>
      <c r="AY80" s="392" t="s">
        <v>425</v>
      </c>
      <c r="AZ80" s="387" t="s">
        <v>425</v>
      </c>
      <c r="BA80" s="343"/>
      <c r="BB80" s="406">
        <f t="shared" si="91"/>
        <v>7920</v>
      </c>
      <c r="BC80" s="407">
        <f t="shared" si="92"/>
        <v>7920</v>
      </c>
      <c r="BD80" s="407">
        <f t="shared" si="93"/>
        <v>7920</v>
      </c>
      <c r="BE80" s="407">
        <f t="shared" si="94"/>
        <v>7920</v>
      </c>
      <c r="BF80" s="387">
        <f t="shared" si="100"/>
        <v>31680</v>
      </c>
      <c r="BG80" s="343"/>
      <c r="BH80" s="406">
        <f t="shared" si="101"/>
        <v>7020</v>
      </c>
      <c r="BI80" s="407">
        <f t="shared" si="102"/>
        <v>7020</v>
      </c>
      <c r="BJ80" s="407">
        <f t="shared" si="103"/>
        <v>7020</v>
      </c>
      <c r="BK80" s="407">
        <f t="shared" si="104"/>
        <v>7020</v>
      </c>
      <c r="BL80" s="408">
        <f t="shared" si="105"/>
        <v>28080</v>
      </c>
    </row>
    <row r="81" spans="3:64" s="335" customFormat="1" ht="25.9" customHeight="1" thickBot="1">
      <c r="C81" s="1125"/>
      <c r="D81" s="430" t="s">
        <v>521</v>
      </c>
      <c r="E81" s="401">
        <v>0.22</v>
      </c>
      <c r="F81" s="401">
        <v>0.22</v>
      </c>
      <c r="G81" s="401">
        <v>0.22</v>
      </c>
      <c r="H81" s="401">
        <v>0.22</v>
      </c>
      <c r="I81" s="715">
        <v>1</v>
      </c>
      <c r="J81" s="715">
        <v>1</v>
      </c>
      <c r="K81" s="715">
        <v>1</v>
      </c>
      <c r="L81" s="715">
        <v>1</v>
      </c>
      <c r="M81" s="457">
        <f>16000*3</f>
        <v>48000</v>
      </c>
      <c r="N81" s="457">
        <f>16000*3</f>
        <v>48000</v>
      </c>
      <c r="O81" s="457">
        <f>16000*3</f>
        <v>48000</v>
      </c>
      <c r="P81" s="457">
        <f>16000*3</f>
        <v>48000</v>
      </c>
      <c r="Q81" s="404">
        <f t="shared" si="40"/>
        <v>192000</v>
      </c>
      <c r="R81" s="448">
        <v>0</v>
      </c>
      <c r="S81" s="449">
        <v>0</v>
      </c>
      <c r="T81" s="449">
        <v>0</v>
      </c>
      <c r="U81" s="449">
        <v>0</v>
      </c>
      <c r="V81" s="404">
        <f t="shared" si="25"/>
        <v>0</v>
      </c>
      <c r="W81" s="767">
        <f>M81*0.8</f>
        <v>38400</v>
      </c>
      <c r="X81" s="767">
        <f>N81*0.8</f>
        <v>38400</v>
      </c>
      <c r="Y81" s="767">
        <f>O81*0.8</f>
        <v>38400</v>
      </c>
      <c r="Z81" s="767">
        <f>P81*0.8</f>
        <v>38400</v>
      </c>
      <c r="AA81" s="404">
        <f t="shared" si="86"/>
        <v>153600</v>
      </c>
      <c r="AB81" s="448">
        <v>0</v>
      </c>
      <c r="AC81" s="449">
        <v>0</v>
      </c>
      <c r="AD81" s="449">
        <v>0</v>
      </c>
      <c r="AE81" s="449">
        <v>0</v>
      </c>
      <c r="AF81" s="404">
        <f t="shared" si="87"/>
        <v>0</v>
      </c>
      <c r="AG81" s="428">
        <v>0</v>
      </c>
      <c r="AH81" s="428">
        <v>0</v>
      </c>
      <c r="AI81" s="428">
        <v>0</v>
      </c>
      <c r="AJ81" s="428">
        <v>0</v>
      </c>
      <c r="AK81" s="404">
        <f t="shared" si="89"/>
        <v>0</v>
      </c>
      <c r="AL81" s="448">
        <v>0</v>
      </c>
      <c r="AM81" s="449">
        <v>0</v>
      </c>
      <c r="AN81" s="449">
        <v>0</v>
      </c>
      <c r="AO81" s="449">
        <v>0</v>
      </c>
      <c r="AP81" s="405">
        <f t="shared" si="90"/>
        <v>0</v>
      </c>
      <c r="AQ81" s="779">
        <f t="shared" si="95"/>
        <v>86400</v>
      </c>
      <c r="AR81" s="407">
        <f t="shared" si="96"/>
        <v>86400</v>
      </c>
      <c r="AS81" s="407">
        <f t="shared" si="97"/>
        <v>86400</v>
      </c>
      <c r="AT81" s="407">
        <f t="shared" si="98"/>
        <v>86400</v>
      </c>
      <c r="AU81" s="408">
        <f t="shared" si="99"/>
        <v>345600</v>
      </c>
      <c r="AV81" s="392" t="s">
        <v>425</v>
      </c>
      <c r="AW81" s="392" t="s">
        <v>425</v>
      </c>
      <c r="AX81" s="392" t="s">
        <v>425</v>
      </c>
      <c r="AY81" s="392" t="s">
        <v>425</v>
      </c>
      <c r="AZ81" s="387" t="s">
        <v>425</v>
      </c>
      <c r="BA81" s="343"/>
      <c r="BB81" s="406">
        <f t="shared" si="91"/>
        <v>19008</v>
      </c>
      <c r="BC81" s="407">
        <f t="shared" si="92"/>
        <v>19008</v>
      </c>
      <c r="BD81" s="407">
        <f t="shared" si="93"/>
        <v>19008</v>
      </c>
      <c r="BE81" s="407">
        <f t="shared" si="94"/>
        <v>19008</v>
      </c>
      <c r="BF81" s="387">
        <f t="shared" si="100"/>
        <v>76032</v>
      </c>
      <c r="BG81" s="343"/>
      <c r="BH81" s="406">
        <f t="shared" si="101"/>
        <v>16848</v>
      </c>
      <c r="BI81" s="407">
        <f t="shared" si="102"/>
        <v>16848</v>
      </c>
      <c r="BJ81" s="407">
        <f t="shared" si="103"/>
        <v>16848</v>
      </c>
      <c r="BK81" s="407">
        <f t="shared" si="104"/>
        <v>16848</v>
      </c>
      <c r="BL81" s="408">
        <f t="shared" si="105"/>
        <v>67392</v>
      </c>
    </row>
    <row r="82" spans="3:64" s="335" customFormat="1" ht="25.9" customHeight="1" thickBot="1">
      <c r="C82" s="1125"/>
      <c r="D82" s="430" t="s">
        <v>516</v>
      </c>
      <c r="E82" s="714">
        <v>8.4000000000000005E-2</v>
      </c>
      <c r="F82" s="714">
        <v>8.4000000000000005E-2</v>
      </c>
      <c r="G82" s="714">
        <v>8.4000000000000005E-2</v>
      </c>
      <c r="H82" s="714">
        <v>8.4000000000000005E-2</v>
      </c>
      <c r="I82" s="715">
        <v>1</v>
      </c>
      <c r="J82" s="715">
        <v>1</v>
      </c>
      <c r="K82" s="715">
        <v>1</v>
      </c>
      <c r="L82" s="715">
        <v>1</v>
      </c>
      <c r="M82" s="457">
        <f>8000*3</f>
        <v>24000</v>
      </c>
      <c r="N82" s="457">
        <f>8000*3</f>
        <v>24000</v>
      </c>
      <c r="O82" s="457">
        <f>8000*3</f>
        <v>24000</v>
      </c>
      <c r="P82" s="457">
        <f>8000*3</f>
        <v>24000</v>
      </c>
      <c r="Q82" s="404">
        <f t="shared" si="40"/>
        <v>96000</v>
      </c>
      <c r="R82" s="448">
        <v>0</v>
      </c>
      <c r="S82" s="449">
        <v>0</v>
      </c>
      <c r="T82" s="449">
        <v>0</v>
      </c>
      <c r="U82" s="449">
        <v>0</v>
      </c>
      <c r="V82" s="404">
        <f t="shared" si="25"/>
        <v>0</v>
      </c>
      <c r="W82" s="767">
        <f>M82*0.5</f>
        <v>12000</v>
      </c>
      <c r="X82" s="767">
        <f>N82*0.5</f>
        <v>12000</v>
      </c>
      <c r="Y82" s="767">
        <f>O82*0.5</f>
        <v>12000</v>
      </c>
      <c r="Z82" s="767">
        <f>P82*0.5</f>
        <v>12000</v>
      </c>
      <c r="AA82" s="404">
        <f t="shared" si="86"/>
        <v>48000</v>
      </c>
      <c r="AB82" s="448">
        <v>0</v>
      </c>
      <c r="AC82" s="449">
        <v>0</v>
      </c>
      <c r="AD82" s="449">
        <v>0</v>
      </c>
      <c r="AE82" s="449">
        <v>0</v>
      </c>
      <c r="AF82" s="404">
        <f t="shared" si="87"/>
        <v>0</v>
      </c>
      <c r="AG82" s="428">
        <v>0</v>
      </c>
      <c r="AH82" s="428">
        <v>0</v>
      </c>
      <c r="AI82" s="428">
        <v>0</v>
      </c>
      <c r="AJ82" s="428">
        <v>0</v>
      </c>
      <c r="AK82" s="404">
        <f t="shared" si="89"/>
        <v>0</v>
      </c>
      <c r="AL82" s="448">
        <v>0</v>
      </c>
      <c r="AM82" s="449">
        <v>0</v>
      </c>
      <c r="AN82" s="449">
        <v>0</v>
      </c>
      <c r="AO82" s="449">
        <v>0</v>
      </c>
      <c r="AP82" s="405">
        <f t="shared" si="90"/>
        <v>0</v>
      </c>
      <c r="AQ82" s="779">
        <f t="shared" si="95"/>
        <v>36000</v>
      </c>
      <c r="AR82" s="407">
        <f t="shared" si="96"/>
        <v>36000</v>
      </c>
      <c r="AS82" s="407">
        <f t="shared" si="97"/>
        <v>36000</v>
      </c>
      <c r="AT82" s="407">
        <f t="shared" si="98"/>
        <v>36000</v>
      </c>
      <c r="AU82" s="408">
        <f t="shared" si="99"/>
        <v>144000</v>
      </c>
      <c r="AV82" s="392" t="s">
        <v>425</v>
      </c>
      <c r="AW82" s="392" t="s">
        <v>425</v>
      </c>
      <c r="AX82" s="392" t="s">
        <v>425</v>
      </c>
      <c r="AY82" s="392" t="s">
        <v>425</v>
      </c>
      <c r="AZ82" s="387" t="s">
        <v>425</v>
      </c>
      <c r="BA82" s="343"/>
      <c r="BB82" s="406">
        <f t="shared" si="91"/>
        <v>3024</v>
      </c>
      <c r="BC82" s="407">
        <f t="shared" si="92"/>
        <v>3024</v>
      </c>
      <c r="BD82" s="407">
        <f t="shared" si="93"/>
        <v>3024</v>
      </c>
      <c r="BE82" s="407">
        <f t="shared" si="94"/>
        <v>3024</v>
      </c>
      <c r="BF82" s="387">
        <f t="shared" si="100"/>
        <v>12096</v>
      </c>
      <c r="BG82" s="343"/>
      <c r="BH82" s="406">
        <f t="shared" si="101"/>
        <v>7020</v>
      </c>
      <c r="BI82" s="407">
        <f t="shared" si="102"/>
        <v>7020</v>
      </c>
      <c r="BJ82" s="407">
        <f t="shared" si="103"/>
        <v>7020</v>
      </c>
      <c r="BK82" s="407">
        <f t="shared" si="104"/>
        <v>7020</v>
      </c>
      <c r="BL82" s="408">
        <f t="shared" si="105"/>
        <v>28080</v>
      </c>
    </row>
    <row r="83" spans="3:64" s="335" customFormat="1" ht="25.9" customHeight="1" thickBot="1">
      <c r="C83" s="1125"/>
      <c r="D83" s="430" t="s">
        <v>516</v>
      </c>
      <c r="E83" s="401">
        <v>0.22</v>
      </c>
      <c r="F83" s="401">
        <v>0.22</v>
      </c>
      <c r="G83" s="401">
        <v>0.22</v>
      </c>
      <c r="H83" s="401">
        <v>0.22</v>
      </c>
      <c r="I83" s="715">
        <v>2</v>
      </c>
      <c r="J83" s="715">
        <v>2</v>
      </c>
      <c r="K83" s="715">
        <v>2</v>
      </c>
      <c r="L83" s="715">
        <v>2</v>
      </c>
      <c r="M83" s="457">
        <f>8000*2*3</f>
        <v>48000</v>
      </c>
      <c r="N83" s="457">
        <f>8000*2*3</f>
        <v>48000</v>
      </c>
      <c r="O83" s="457">
        <f>8000*2*3</f>
        <v>48000</v>
      </c>
      <c r="P83" s="457">
        <f>8000*2*3</f>
        <v>48000</v>
      </c>
      <c r="Q83" s="404">
        <f t="shared" si="40"/>
        <v>192000</v>
      </c>
      <c r="R83" s="448">
        <v>0</v>
      </c>
      <c r="S83" s="449">
        <v>0</v>
      </c>
      <c r="T83" s="449">
        <v>0</v>
      </c>
      <c r="U83" s="449">
        <v>0</v>
      </c>
      <c r="V83" s="404">
        <f t="shared" si="25"/>
        <v>0</v>
      </c>
      <c r="W83" s="767">
        <f>M83*0.3</f>
        <v>14400</v>
      </c>
      <c r="X83" s="767">
        <f>N83*0.3</f>
        <v>14400</v>
      </c>
      <c r="Y83" s="767">
        <f>O83*0.3</f>
        <v>14400</v>
      </c>
      <c r="Z83" s="767">
        <f>P83*0.3</f>
        <v>14400</v>
      </c>
      <c r="AA83" s="404">
        <f t="shared" si="86"/>
        <v>57600</v>
      </c>
      <c r="AB83" s="448">
        <v>0</v>
      </c>
      <c r="AC83" s="449">
        <v>0</v>
      </c>
      <c r="AD83" s="449">
        <v>0</v>
      </c>
      <c r="AE83" s="449">
        <v>0</v>
      </c>
      <c r="AF83" s="404">
        <f t="shared" si="87"/>
        <v>0</v>
      </c>
      <c r="AG83" s="428">
        <v>0</v>
      </c>
      <c r="AH83" s="428">
        <v>0</v>
      </c>
      <c r="AI83" s="428">
        <v>0</v>
      </c>
      <c r="AJ83" s="428">
        <v>0</v>
      </c>
      <c r="AK83" s="404">
        <f t="shared" si="89"/>
        <v>0</v>
      </c>
      <c r="AL83" s="448">
        <v>0</v>
      </c>
      <c r="AM83" s="449">
        <v>0</v>
      </c>
      <c r="AN83" s="449">
        <v>0</v>
      </c>
      <c r="AO83" s="449">
        <v>0</v>
      </c>
      <c r="AP83" s="405">
        <f t="shared" si="90"/>
        <v>0</v>
      </c>
      <c r="AQ83" s="779">
        <f t="shared" si="95"/>
        <v>62400</v>
      </c>
      <c r="AR83" s="407">
        <f t="shared" si="96"/>
        <v>62400</v>
      </c>
      <c r="AS83" s="407">
        <f t="shared" si="97"/>
        <v>62400</v>
      </c>
      <c r="AT83" s="407">
        <f t="shared" si="98"/>
        <v>62400</v>
      </c>
      <c r="AU83" s="408">
        <f t="shared" si="99"/>
        <v>249600</v>
      </c>
      <c r="AV83" s="392" t="s">
        <v>425</v>
      </c>
      <c r="AW83" s="392" t="s">
        <v>425</v>
      </c>
      <c r="AX83" s="392" t="s">
        <v>425</v>
      </c>
      <c r="AY83" s="392" t="s">
        <v>425</v>
      </c>
      <c r="AZ83" s="387" t="s">
        <v>425</v>
      </c>
      <c r="BA83" s="343"/>
      <c r="BB83" s="406">
        <f t="shared" si="91"/>
        <v>13728</v>
      </c>
      <c r="BC83" s="407">
        <f t="shared" si="92"/>
        <v>13728</v>
      </c>
      <c r="BD83" s="407">
        <f t="shared" si="93"/>
        <v>13728</v>
      </c>
      <c r="BE83" s="407">
        <f t="shared" si="94"/>
        <v>13728</v>
      </c>
      <c r="BF83" s="387">
        <f t="shared" si="100"/>
        <v>54912</v>
      </c>
      <c r="BG83" s="343"/>
      <c r="BH83" s="406">
        <f t="shared" si="101"/>
        <v>12168</v>
      </c>
      <c r="BI83" s="407">
        <f t="shared" si="102"/>
        <v>12168</v>
      </c>
      <c r="BJ83" s="407">
        <f t="shared" si="103"/>
        <v>12168</v>
      </c>
      <c r="BK83" s="407">
        <f t="shared" si="104"/>
        <v>12168</v>
      </c>
      <c r="BL83" s="408">
        <f t="shared" si="105"/>
        <v>48672</v>
      </c>
    </row>
    <row r="84" spans="3:64" s="335" customFormat="1" ht="25.9" customHeight="1" thickBot="1">
      <c r="C84" s="1125"/>
      <c r="D84" s="430" t="s">
        <v>520</v>
      </c>
      <c r="E84" s="401">
        <v>0.22</v>
      </c>
      <c r="F84" s="401">
        <v>0.22</v>
      </c>
      <c r="G84" s="401">
        <v>0.22</v>
      </c>
      <c r="H84" s="401">
        <v>0.22</v>
      </c>
      <c r="I84" s="715">
        <v>1</v>
      </c>
      <c r="J84" s="715">
        <v>1</v>
      </c>
      <c r="K84" s="715">
        <v>1</v>
      </c>
      <c r="L84" s="715">
        <v>1</v>
      </c>
      <c r="M84" s="457">
        <f>13500*3</f>
        <v>40500</v>
      </c>
      <c r="N84" s="457">
        <f>13500*3</f>
        <v>40500</v>
      </c>
      <c r="O84" s="457">
        <f>13500*3</f>
        <v>40500</v>
      </c>
      <c r="P84" s="457">
        <f>13500*3</f>
        <v>40500</v>
      </c>
      <c r="Q84" s="404">
        <f t="shared" si="40"/>
        <v>162000</v>
      </c>
      <c r="R84" s="448">
        <v>0</v>
      </c>
      <c r="S84" s="449">
        <v>0</v>
      </c>
      <c r="T84" s="449">
        <v>0</v>
      </c>
      <c r="U84" s="449">
        <v>0</v>
      </c>
      <c r="V84" s="404">
        <f t="shared" si="25"/>
        <v>0</v>
      </c>
      <c r="W84" s="767">
        <v>0</v>
      </c>
      <c r="X84" s="767">
        <v>0</v>
      </c>
      <c r="Y84" s="767">
        <v>0</v>
      </c>
      <c r="Z84" s="767">
        <v>0</v>
      </c>
      <c r="AA84" s="404">
        <f t="shared" si="86"/>
        <v>0</v>
      </c>
      <c r="AB84" s="448">
        <v>0</v>
      </c>
      <c r="AC84" s="449">
        <v>0</v>
      </c>
      <c r="AD84" s="449">
        <v>0</v>
      </c>
      <c r="AE84" s="449">
        <v>0</v>
      </c>
      <c r="AF84" s="404">
        <f t="shared" si="87"/>
        <v>0</v>
      </c>
      <c r="AG84" s="428">
        <v>0</v>
      </c>
      <c r="AH84" s="428">
        <v>0</v>
      </c>
      <c r="AI84" s="428">
        <v>0</v>
      </c>
      <c r="AJ84" s="428">
        <v>0</v>
      </c>
      <c r="AK84" s="404">
        <f t="shared" si="89"/>
        <v>0</v>
      </c>
      <c r="AL84" s="448">
        <v>0</v>
      </c>
      <c r="AM84" s="449">
        <v>0</v>
      </c>
      <c r="AN84" s="449">
        <v>0</v>
      </c>
      <c r="AO84" s="449">
        <v>0</v>
      </c>
      <c r="AP84" s="405">
        <f t="shared" si="90"/>
        <v>0</v>
      </c>
      <c r="AQ84" s="779">
        <f t="shared" si="95"/>
        <v>40500</v>
      </c>
      <c r="AR84" s="407">
        <f t="shared" si="96"/>
        <v>40500</v>
      </c>
      <c r="AS84" s="407">
        <f t="shared" si="97"/>
        <v>40500</v>
      </c>
      <c r="AT84" s="407">
        <f t="shared" si="98"/>
        <v>40500</v>
      </c>
      <c r="AU84" s="408">
        <f t="shared" si="99"/>
        <v>162000</v>
      </c>
      <c r="AV84" s="392" t="s">
        <v>425</v>
      </c>
      <c r="AW84" s="392" t="s">
        <v>425</v>
      </c>
      <c r="AX84" s="392" t="s">
        <v>425</v>
      </c>
      <c r="AY84" s="392" t="s">
        <v>425</v>
      </c>
      <c r="AZ84" s="387" t="s">
        <v>425</v>
      </c>
      <c r="BA84" s="343"/>
      <c r="BB84" s="406">
        <f t="shared" si="91"/>
        <v>8910</v>
      </c>
      <c r="BC84" s="407">
        <f t="shared" si="92"/>
        <v>8910</v>
      </c>
      <c r="BD84" s="407">
        <f t="shared" si="93"/>
        <v>8910</v>
      </c>
      <c r="BE84" s="407">
        <f t="shared" si="94"/>
        <v>8910</v>
      </c>
      <c r="BF84" s="387">
        <f t="shared" si="100"/>
        <v>35640</v>
      </c>
      <c r="BG84" s="343"/>
      <c r="BH84" s="406">
        <f t="shared" si="101"/>
        <v>7897.5</v>
      </c>
      <c r="BI84" s="407">
        <f t="shared" si="102"/>
        <v>7897.5</v>
      </c>
      <c r="BJ84" s="407">
        <f t="shared" si="103"/>
        <v>7897.5</v>
      </c>
      <c r="BK84" s="407">
        <f t="shared" si="104"/>
        <v>7897.5</v>
      </c>
      <c r="BL84" s="408">
        <f t="shared" si="105"/>
        <v>31590</v>
      </c>
    </row>
    <row r="85" spans="3:64" s="335" customFormat="1" ht="25.9" customHeight="1" thickBot="1">
      <c r="C85" s="1125"/>
      <c r="D85" s="430"/>
      <c r="E85" s="401"/>
      <c r="F85" s="401"/>
      <c r="G85" s="401"/>
      <c r="H85" s="401"/>
      <c r="I85" s="715"/>
      <c r="J85" s="715"/>
      <c r="K85" s="715"/>
      <c r="L85" s="715"/>
      <c r="M85" s="457"/>
      <c r="N85" s="457"/>
      <c r="O85" s="457"/>
      <c r="P85" s="457"/>
      <c r="Q85" s="404">
        <f t="shared" si="40"/>
        <v>0</v>
      </c>
      <c r="R85" s="448">
        <v>0</v>
      </c>
      <c r="S85" s="449">
        <v>0</v>
      </c>
      <c r="T85" s="449">
        <v>0</v>
      </c>
      <c r="U85" s="449">
        <v>0</v>
      </c>
      <c r="V85" s="404">
        <f t="shared" si="25"/>
        <v>0</v>
      </c>
      <c r="W85" s="767">
        <v>0</v>
      </c>
      <c r="X85" s="767">
        <v>0</v>
      </c>
      <c r="Y85" s="767">
        <v>0</v>
      </c>
      <c r="Z85" s="767">
        <v>0</v>
      </c>
      <c r="AA85" s="404">
        <f t="shared" si="86"/>
        <v>0</v>
      </c>
      <c r="AB85" s="448">
        <v>0</v>
      </c>
      <c r="AC85" s="449">
        <v>0</v>
      </c>
      <c r="AD85" s="449">
        <v>0</v>
      </c>
      <c r="AE85" s="449">
        <v>0</v>
      </c>
      <c r="AF85" s="404">
        <f t="shared" si="87"/>
        <v>0</v>
      </c>
      <c r="AG85" s="428">
        <v>0</v>
      </c>
      <c r="AH85" s="429">
        <v>0</v>
      </c>
      <c r="AI85" s="429">
        <v>0</v>
      </c>
      <c r="AJ85" s="429">
        <v>0</v>
      </c>
      <c r="AK85" s="404">
        <f t="shared" si="89"/>
        <v>0</v>
      </c>
      <c r="AL85" s="450">
        <v>0</v>
      </c>
      <c r="AM85" s="451">
        <v>0</v>
      </c>
      <c r="AN85" s="451">
        <v>0</v>
      </c>
      <c r="AO85" s="451">
        <v>0</v>
      </c>
      <c r="AP85" s="405">
        <f t="shared" si="90"/>
        <v>0</v>
      </c>
      <c r="AQ85" s="779">
        <f t="shared" si="95"/>
        <v>0</v>
      </c>
      <c r="AR85" s="407">
        <f t="shared" si="96"/>
        <v>0</v>
      </c>
      <c r="AS85" s="407">
        <f t="shared" si="97"/>
        <v>0</v>
      </c>
      <c r="AT85" s="407">
        <f t="shared" si="98"/>
        <v>0</v>
      </c>
      <c r="AU85" s="408">
        <f t="shared" si="99"/>
        <v>0</v>
      </c>
      <c r="AV85" s="392" t="s">
        <v>425</v>
      </c>
      <c r="AW85" s="392" t="s">
        <v>425</v>
      </c>
      <c r="AX85" s="392" t="s">
        <v>425</v>
      </c>
      <c r="AY85" s="392" t="s">
        <v>425</v>
      </c>
      <c r="AZ85" s="387" t="s">
        <v>425</v>
      </c>
      <c r="BA85" s="343"/>
      <c r="BB85" s="406">
        <f t="shared" si="91"/>
        <v>0</v>
      </c>
      <c r="BC85" s="407">
        <f t="shared" si="92"/>
        <v>0</v>
      </c>
      <c r="BD85" s="407">
        <f t="shared" si="93"/>
        <v>0</v>
      </c>
      <c r="BE85" s="407">
        <f t="shared" si="94"/>
        <v>0</v>
      </c>
      <c r="BF85" s="387">
        <f t="shared" si="100"/>
        <v>0</v>
      </c>
      <c r="BG85" s="343"/>
      <c r="BH85" s="406">
        <f t="shared" si="101"/>
        <v>0</v>
      </c>
      <c r="BI85" s="407">
        <f t="shared" si="102"/>
        <v>0</v>
      </c>
      <c r="BJ85" s="407">
        <f t="shared" si="103"/>
        <v>0</v>
      </c>
      <c r="BK85" s="407">
        <f t="shared" si="104"/>
        <v>0</v>
      </c>
      <c r="BL85" s="408">
        <f t="shared" si="105"/>
        <v>0</v>
      </c>
    </row>
    <row r="86" spans="3:64" s="335" customFormat="1" ht="25.9" customHeight="1">
      <c r="C86" s="1125"/>
      <c r="D86" s="430"/>
      <c r="E86" s="401"/>
      <c r="F86" s="401"/>
      <c r="G86" s="401"/>
      <c r="H86" s="401"/>
      <c r="I86" s="451"/>
      <c r="J86" s="451"/>
      <c r="K86" s="451"/>
      <c r="L86" s="451"/>
      <c r="M86" s="457"/>
      <c r="N86" s="450"/>
      <c r="O86" s="450"/>
      <c r="P86" s="450"/>
      <c r="Q86" s="404">
        <f t="shared" si="40"/>
        <v>0</v>
      </c>
      <c r="R86" s="448">
        <v>0</v>
      </c>
      <c r="S86" s="449">
        <v>0</v>
      </c>
      <c r="T86" s="449">
        <v>0</v>
      </c>
      <c r="U86" s="449">
        <v>0</v>
      </c>
      <c r="V86" s="404">
        <f t="shared" si="25"/>
        <v>0</v>
      </c>
      <c r="W86" s="767">
        <v>0</v>
      </c>
      <c r="X86" s="768">
        <v>0</v>
      </c>
      <c r="Y86" s="768">
        <v>0</v>
      </c>
      <c r="Z86" s="768">
        <v>0</v>
      </c>
      <c r="AA86" s="404">
        <f t="shared" si="86"/>
        <v>0</v>
      </c>
      <c r="AB86" s="450">
        <v>0</v>
      </c>
      <c r="AC86" s="451">
        <v>0</v>
      </c>
      <c r="AD86" s="451">
        <v>0</v>
      </c>
      <c r="AE86" s="451">
        <v>0</v>
      </c>
      <c r="AF86" s="404">
        <f t="shared" si="87"/>
        <v>0</v>
      </c>
      <c r="AG86" s="428">
        <v>0</v>
      </c>
      <c r="AH86" s="429">
        <v>0</v>
      </c>
      <c r="AI86" s="429">
        <v>0</v>
      </c>
      <c r="AJ86" s="429">
        <v>0</v>
      </c>
      <c r="AK86" s="404">
        <f t="shared" si="89"/>
        <v>0</v>
      </c>
      <c r="AL86" s="450">
        <v>0</v>
      </c>
      <c r="AM86" s="451">
        <v>0</v>
      </c>
      <c r="AN86" s="451">
        <v>0</v>
      </c>
      <c r="AO86" s="451">
        <v>0</v>
      </c>
      <c r="AP86" s="405">
        <f t="shared" si="90"/>
        <v>0</v>
      </c>
      <c r="AQ86" s="779">
        <f t="shared" si="95"/>
        <v>0</v>
      </c>
      <c r="AR86" s="407">
        <f t="shared" si="96"/>
        <v>0</v>
      </c>
      <c r="AS86" s="407">
        <f t="shared" si="97"/>
        <v>0</v>
      </c>
      <c r="AT86" s="407">
        <f t="shared" si="98"/>
        <v>0</v>
      </c>
      <c r="AU86" s="408">
        <f t="shared" si="99"/>
        <v>0</v>
      </c>
      <c r="AV86" s="392" t="s">
        <v>425</v>
      </c>
      <c r="AW86" s="392" t="s">
        <v>425</v>
      </c>
      <c r="AX86" s="392" t="s">
        <v>425</v>
      </c>
      <c r="AY86" s="392" t="s">
        <v>425</v>
      </c>
      <c r="AZ86" s="387" t="s">
        <v>425</v>
      </c>
      <c r="BA86" s="343"/>
      <c r="BB86" s="406">
        <f t="shared" si="91"/>
        <v>0</v>
      </c>
      <c r="BC86" s="407">
        <f t="shared" si="92"/>
        <v>0</v>
      </c>
      <c r="BD86" s="407">
        <f t="shared" si="93"/>
        <v>0</v>
      </c>
      <c r="BE86" s="407">
        <f t="shared" si="94"/>
        <v>0</v>
      </c>
      <c r="BF86" s="387">
        <f t="shared" si="100"/>
        <v>0</v>
      </c>
      <c r="BG86" s="343"/>
      <c r="BH86" s="406">
        <f t="shared" si="101"/>
        <v>0</v>
      </c>
      <c r="BI86" s="407">
        <f t="shared" si="102"/>
        <v>0</v>
      </c>
      <c r="BJ86" s="407">
        <f t="shared" si="103"/>
        <v>0</v>
      </c>
      <c r="BK86" s="407">
        <f t="shared" si="104"/>
        <v>0</v>
      </c>
      <c r="BL86" s="408">
        <f t="shared" si="105"/>
        <v>0</v>
      </c>
    </row>
    <row r="87" spans="3:64" s="335" customFormat="1" ht="25.9" customHeight="1">
      <c r="C87" s="1125"/>
      <c r="D87" s="446"/>
      <c r="E87" s="400"/>
      <c r="F87" s="401"/>
      <c r="G87" s="401"/>
      <c r="H87" s="402"/>
      <c r="I87" s="450"/>
      <c r="J87" s="451"/>
      <c r="K87" s="451"/>
      <c r="L87" s="452"/>
      <c r="M87" s="450"/>
      <c r="N87" s="451"/>
      <c r="O87" s="451"/>
      <c r="P87" s="451"/>
      <c r="Q87" s="404">
        <f t="shared" si="40"/>
        <v>0</v>
      </c>
      <c r="R87" s="450"/>
      <c r="S87" s="451"/>
      <c r="T87" s="451"/>
      <c r="U87" s="451"/>
      <c r="V87" s="404">
        <f t="shared" si="25"/>
        <v>0</v>
      </c>
      <c r="W87" s="767"/>
      <c r="X87" s="768"/>
      <c r="Y87" s="768"/>
      <c r="Z87" s="768"/>
      <c r="AA87" s="404">
        <f t="shared" si="86"/>
        <v>0</v>
      </c>
      <c r="AB87" s="450"/>
      <c r="AC87" s="451"/>
      <c r="AD87" s="451"/>
      <c r="AE87" s="451"/>
      <c r="AF87" s="404">
        <f t="shared" si="87"/>
        <v>0</v>
      </c>
      <c r="AG87" s="428"/>
      <c r="AH87" s="429"/>
      <c r="AI87" s="429"/>
      <c r="AJ87" s="429"/>
      <c r="AK87" s="404">
        <f t="shared" si="89"/>
        <v>0</v>
      </c>
      <c r="AL87" s="450"/>
      <c r="AM87" s="451"/>
      <c r="AN87" s="451"/>
      <c r="AO87" s="451"/>
      <c r="AP87" s="405">
        <f t="shared" si="90"/>
        <v>0</v>
      </c>
      <c r="AQ87" s="779">
        <f t="shared" si="95"/>
        <v>0</v>
      </c>
      <c r="AR87" s="407">
        <f t="shared" si="96"/>
        <v>0</v>
      </c>
      <c r="AS87" s="407">
        <f t="shared" si="97"/>
        <v>0</v>
      </c>
      <c r="AT87" s="407">
        <f t="shared" si="98"/>
        <v>0</v>
      </c>
      <c r="AU87" s="408">
        <f t="shared" si="99"/>
        <v>0</v>
      </c>
      <c r="AV87" s="392" t="s">
        <v>425</v>
      </c>
      <c r="AW87" s="392" t="s">
        <v>425</v>
      </c>
      <c r="AX87" s="392" t="s">
        <v>425</v>
      </c>
      <c r="AY87" s="392" t="s">
        <v>425</v>
      </c>
      <c r="AZ87" s="387" t="s">
        <v>425</v>
      </c>
      <c r="BA87" s="343"/>
      <c r="BB87" s="406">
        <f t="shared" si="91"/>
        <v>0</v>
      </c>
      <c r="BC87" s="407">
        <f t="shared" si="92"/>
        <v>0</v>
      </c>
      <c r="BD87" s="407">
        <f t="shared" si="93"/>
        <v>0</v>
      </c>
      <c r="BE87" s="407">
        <f t="shared" si="94"/>
        <v>0</v>
      </c>
      <c r="BF87" s="387">
        <f t="shared" si="100"/>
        <v>0</v>
      </c>
      <c r="BG87" s="343"/>
      <c r="BH87" s="406">
        <f t="shared" si="101"/>
        <v>0</v>
      </c>
      <c r="BI87" s="407">
        <f t="shared" si="102"/>
        <v>0</v>
      </c>
      <c r="BJ87" s="407">
        <f t="shared" si="103"/>
        <v>0</v>
      </c>
      <c r="BK87" s="407">
        <f t="shared" si="104"/>
        <v>0</v>
      </c>
      <c r="BL87" s="408">
        <f t="shared" si="105"/>
        <v>0</v>
      </c>
    </row>
    <row r="88" spans="3:64" s="335" customFormat="1" ht="25.9" customHeight="1">
      <c r="C88" s="1125"/>
      <c r="D88" s="446"/>
      <c r="E88" s="400"/>
      <c r="F88" s="401"/>
      <c r="G88" s="401"/>
      <c r="H88" s="402"/>
      <c r="I88" s="450"/>
      <c r="J88" s="451"/>
      <c r="K88" s="451"/>
      <c r="L88" s="452"/>
      <c r="M88" s="450"/>
      <c r="N88" s="451"/>
      <c r="O88" s="451"/>
      <c r="P88" s="451"/>
      <c r="Q88" s="404">
        <f t="shared" ref="Q88:Q100" si="107">SUM(M88:P88)</f>
        <v>0</v>
      </c>
      <c r="R88" s="450"/>
      <c r="S88" s="451"/>
      <c r="T88" s="451"/>
      <c r="U88" s="451"/>
      <c r="V88" s="404">
        <f t="shared" ref="V88:V126" si="108">SUM(R88:U88)</f>
        <v>0</v>
      </c>
      <c r="W88" s="767"/>
      <c r="X88" s="768"/>
      <c r="Y88" s="768"/>
      <c r="Z88" s="768"/>
      <c r="AA88" s="404">
        <f t="shared" si="86"/>
        <v>0</v>
      </c>
      <c r="AB88" s="450"/>
      <c r="AC88" s="451"/>
      <c r="AD88" s="451"/>
      <c r="AE88" s="451"/>
      <c r="AF88" s="404">
        <f t="shared" si="87"/>
        <v>0</v>
      </c>
      <c r="AG88" s="428"/>
      <c r="AH88" s="429"/>
      <c r="AI88" s="429"/>
      <c r="AJ88" s="429"/>
      <c r="AK88" s="404">
        <f t="shared" si="89"/>
        <v>0</v>
      </c>
      <c r="AL88" s="450"/>
      <c r="AM88" s="451"/>
      <c r="AN88" s="451"/>
      <c r="AO88" s="451"/>
      <c r="AP88" s="405">
        <f t="shared" si="90"/>
        <v>0</v>
      </c>
      <c r="AQ88" s="779">
        <f t="shared" si="95"/>
        <v>0</v>
      </c>
      <c r="AR88" s="407">
        <f t="shared" si="96"/>
        <v>0</v>
      </c>
      <c r="AS88" s="407">
        <f t="shared" si="97"/>
        <v>0</v>
      </c>
      <c r="AT88" s="407">
        <f t="shared" si="98"/>
        <v>0</v>
      </c>
      <c r="AU88" s="408">
        <f t="shared" si="99"/>
        <v>0</v>
      </c>
      <c r="AV88" s="392" t="s">
        <v>425</v>
      </c>
      <c r="AW88" s="392" t="s">
        <v>425</v>
      </c>
      <c r="AX88" s="392" t="s">
        <v>425</v>
      </c>
      <c r="AY88" s="392" t="s">
        <v>425</v>
      </c>
      <c r="AZ88" s="387" t="s">
        <v>425</v>
      </c>
      <c r="BA88" s="343"/>
      <c r="BB88" s="406">
        <f t="shared" si="91"/>
        <v>0</v>
      </c>
      <c r="BC88" s="407">
        <f t="shared" si="92"/>
        <v>0</v>
      </c>
      <c r="BD88" s="407">
        <f t="shared" si="93"/>
        <v>0</v>
      </c>
      <c r="BE88" s="407">
        <f t="shared" si="94"/>
        <v>0</v>
      </c>
      <c r="BF88" s="387">
        <f t="shared" si="100"/>
        <v>0</v>
      </c>
      <c r="BG88" s="343"/>
      <c r="BH88" s="406">
        <f t="shared" si="101"/>
        <v>0</v>
      </c>
      <c r="BI88" s="407">
        <f t="shared" si="102"/>
        <v>0</v>
      </c>
      <c r="BJ88" s="407">
        <f t="shared" si="103"/>
        <v>0</v>
      </c>
      <c r="BK88" s="407">
        <f t="shared" si="104"/>
        <v>0</v>
      </c>
      <c r="BL88" s="408">
        <f t="shared" si="105"/>
        <v>0</v>
      </c>
    </row>
    <row r="89" spans="3:64" s="335" customFormat="1" ht="25.9" customHeight="1">
      <c r="C89" s="1125"/>
      <c r="D89" s="446"/>
      <c r="E89" s="400"/>
      <c r="F89" s="401"/>
      <c r="G89" s="401"/>
      <c r="H89" s="402"/>
      <c r="I89" s="450"/>
      <c r="J89" s="451"/>
      <c r="K89" s="451"/>
      <c r="L89" s="452"/>
      <c r="M89" s="450"/>
      <c r="N89" s="451"/>
      <c r="O89" s="451"/>
      <c r="P89" s="451"/>
      <c r="Q89" s="404">
        <f t="shared" si="107"/>
        <v>0</v>
      </c>
      <c r="R89" s="450"/>
      <c r="S89" s="451"/>
      <c r="T89" s="451"/>
      <c r="U89" s="451"/>
      <c r="V89" s="404">
        <f t="shared" si="108"/>
        <v>0</v>
      </c>
      <c r="W89" s="767"/>
      <c r="X89" s="768"/>
      <c r="Y89" s="768"/>
      <c r="Z89" s="768"/>
      <c r="AA89" s="404">
        <f t="shared" si="86"/>
        <v>0</v>
      </c>
      <c r="AB89" s="450"/>
      <c r="AC89" s="451"/>
      <c r="AD89" s="451"/>
      <c r="AE89" s="451"/>
      <c r="AF89" s="404">
        <f t="shared" si="87"/>
        <v>0</v>
      </c>
      <c r="AG89" s="428"/>
      <c r="AH89" s="429"/>
      <c r="AI89" s="429"/>
      <c r="AJ89" s="429"/>
      <c r="AK89" s="404">
        <f t="shared" si="89"/>
        <v>0</v>
      </c>
      <c r="AL89" s="450"/>
      <c r="AM89" s="451"/>
      <c r="AN89" s="451"/>
      <c r="AO89" s="451"/>
      <c r="AP89" s="405">
        <f t="shared" si="90"/>
        <v>0</v>
      </c>
      <c r="AQ89" s="779">
        <f t="shared" si="95"/>
        <v>0</v>
      </c>
      <c r="AR89" s="407">
        <f t="shared" si="96"/>
        <v>0</v>
      </c>
      <c r="AS89" s="407">
        <f t="shared" si="97"/>
        <v>0</v>
      </c>
      <c r="AT89" s="407">
        <f t="shared" si="98"/>
        <v>0</v>
      </c>
      <c r="AU89" s="408">
        <f t="shared" si="99"/>
        <v>0</v>
      </c>
      <c r="AV89" s="392" t="s">
        <v>425</v>
      </c>
      <c r="AW89" s="392" t="s">
        <v>425</v>
      </c>
      <c r="AX89" s="392" t="s">
        <v>425</v>
      </c>
      <c r="AY89" s="392" t="s">
        <v>425</v>
      </c>
      <c r="AZ89" s="387" t="s">
        <v>425</v>
      </c>
      <c r="BA89" s="343"/>
      <c r="BB89" s="406">
        <f t="shared" si="91"/>
        <v>0</v>
      </c>
      <c r="BC89" s="407">
        <f t="shared" si="92"/>
        <v>0</v>
      </c>
      <c r="BD89" s="407">
        <f t="shared" si="93"/>
        <v>0</v>
      </c>
      <c r="BE89" s="407">
        <f t="shared" si="94"/>
        <v>0</v>
      </c>
      <c r="BF89" s="387">
        <f t="shared" si="100"/>
        <v>0</v>
      </c>
      <c r="BG89" s="343"/>
      <c r="BH89" s="406">
        <f t="shared" si="101"/>
        <v>0</v>
      </c>
      <c r="BI89" s="407">
        <f t="shared" si="102"/>
        <v>0</v>
      </c>
      <c r="BJ89" s="407">
        <f t="shared" si="103"/>
        <v>0</v>
      </c>
      <c r="BK89" s="407">
        <f t="shared" si="104"/>
        <v>0</v>
      </c>
      <c r="BL89" s="408">
        <f t="shared" si="105"/>
        <v>0</v>
      </c>
    </row>
    <row r="90" spans="3:64" s="335" customFormat="1" ht="25.9" customHeight="1">
      <c r="C90" s="1125"/>
      <c r="D90" s="446"/>
      <c r="E90" s="400"/>
      <c r="F90" s="401"/>
      <c r="G90" s="401"/>
      <c r="H90" s="402"/>
      <c r="I90" s="450"/>
      <c r="J90" s="451"/>
      <c r="K90" s="451"/>
      <c r="L90" s="452"/>
      <c r="M90" s="450"/>
      <c r="N90" s="451"/>
      <c r="O90" s="451"/>
      <c r="P90" s="451"/>
      <c r="Q90" s="404">
        <f t="shared" si="107"/>
        <v>0</v>
      </c>
      <c r="R90" s="450"/>
      <c r="S90" s="451"/>
      <c r="T90" s="451"/>
      <c r="U90" s="451"/>
      <c r="V90" s="404">
        <f t="shared" si="108"/>
        <v>0</v>
      </c>
      <c r="W90" s="767"/>
      <c r="X90" s="768"/>
      <c r="Y90" s="768"/>
      <c r="Z90" s="768"/>
      <c r="AA90" s="404">
        <f t="shared" si="86"/>
        <v>0</v>
      </c>
      <c r="AB90" s="450"/>
      <c r="AC90" s="451"/>
      <c r="AD90" s="451"/>
      <c r="AE90" s="451"/>
      <c r="AF90" s="404">
        <f t="shared" si="87"/>
        <v>0</v>
      </c>
      <c r="AG90" s="428"/>
      <c r="AH90" s="429"/>
      <c r="AI90" s="429"/>
      <c r="AJ90" s="429"/>
      <c r="AK90" s="404">
        <f t="shared" si="89"/>
        <v>0</v>
      </c>
      <c r="AL90" s="450"/>
      <c r="AM90" s="451"/>
      <c r="AN90" s="451"/>
      <c r="AO90" s="451"/>
      <c r="AP90" s="405">
        <f t="shared" si="90"/>
        <v>0</v>
      </c>
      <c r="AQ90" s="779">
        <f t="shared" si="95"/>
        <v>0</v>
      </c>
      <c r="AR90" s="407">
        <f t="shared" si="96"/>
        <v>0</v>
      </c>
      <c r="AS90" s="407">
        <f t="shared" si="97"/>
        <v>0</v>
      </c>
      <c r="AT90" s="407">
        <f t="shared" si="98"/>
        <v>0</v>
      </c>
      <c r="AU90" s="408">
        <f t="shared" si="99"/>
        <v>0</v>
      </c>
      <c r="AV90" s="392" t="s">
        <v>425</v>
      </c>
      <c r="AW90" s="392" t="s">
        <v>425</v>
      </c>
      <c r="AX90" s="392" t="s">
        <v>425</v>
      </c>
      <c r="AY90" s="392" t="s">
        <v>425</v>
      </c>
      <c r="AZ90" s="387" t="s">
        <v>425</v>
      </c>
      <c r="BA90" s="343"/>
      <c r="BB90" s="406">
        <f t="shared" si="91"/>
        <v>0</v>
      </c>
      <c r="BC90" s="407">
        <f t="shared" si="92"/>
        <v>0</v>
      </c>
      <c r="BD90" s="407">
        <f t="shared" si="93"/>
        <v>0</v>
      </c>
      <c r="BE90" s="407">
        <f t="shared" si="94"/>
        <v>0</v>
      </c>
      <c r="BF90" s="387">
        <f t="shared" si="100"/>
        <v>0</v>
      </c>
      <c r="BG90" s="343"/>
      <c r="BH90" s="406">
        <f t="shared" si="101"/>
        <v>0</v>
      </c>
      <c r="BI90" s="407">
        <f t="shared" si="102"/>
        <v>0</v>
      </c>
      <c r="BJ90" s="407">
        <f t="shared" si="103"/>
        <v>0</v>
      </c>
      <c r="BK90" s="407">
        <f t="shared" si="104"/>
        <v>0</v>
      </c>
      <c r="BL90" s="408">
        <f t="shared" si="105"/>
        <v>0</v>
      </c>
    </row>
    <row r="91" spans="3:64" s="335" customFormat="1" ht="18" customHeight="1">
      <c r="C91" s="1125"/>
      <c r="D91" s="446"/>
      <c r="E91" s="400"/>
      <c r="F91" s="401"/>
      <c r="G91" s="401"/>
      <c r="H91" s="402"/>
      <c r="I91" s="450"/>
      <c r="J91" s="451"/>
      <c r="K91" s="451"/>
      <c r="L91" s="452"/>
      <c r="M91" s="450"/>
      <c r="N91" s="451"/>
      <c r="O91" s="451"/>
      <c r="P91" s="451"/>
      <c r="Q91" s="404">
        <f t="shared" si="107"/>
        <v>0</v>
      </c>
      <c r="R91" s="450"/>
      <c r="S91" s="451"/>
      <c r="T91" s="451"/>
      <c r="U91" s="451"/>
      <c r="V91" s="404">
        <f t="shared" si="108"/>
        <v>0</v>
      </c>
      <c r="W91" s="771"/>
      <c r="X91" s="772"/>
      <c r="Y91" s="772"/>
      <c r="Z91" s="772"/>
      <c r="AA91" s="404">
        <f t="shared" si="86"/>
        <v>0</v>
      </c>
      <c r="AB91" s="450"/>
      <c r="AC91" s="451"/>
      <c r="AD91" s="451"/>
      <c r="AE91" s="451"/>
      <c r="AF91" s="404">
        <f t="shared" si="87"/>
        <v>0</v>
      </c>
      <c r="AG91" s="450"/>
      <c r="AH91" s="451"/>
      <c r="AI91" s="451"/>
      <c r="AJ91" s="451"/>
      <c r="AK91" s="404">
        <f t="shared" si="89"/>
        <v>0</v>
      </c>
      <c r="AL91" s="450"/>
      <c r="AM91" s="451"/>
      <c r="AN91" s="451"/>
      <c r="AO91" s="451"/>
      <c r="AP91" s="405">
        <f t="shared" si="90"/>
        <v>0</v>
      </c>
      <c r="AQ91" s="779">
        <f t="shared" si="95"/>
        <v>0</v>
      </c>
      <c r="AR91" s="407">
        <f t="shared" si="96"/>
        <v>0</v>
      </c>
      <c r="AS91" s="407">
        <f t="shared" si="97"/>
        <v>0</v>
      </c>
      <c r="AT91" s="407">
        <f t="shared" si="98"/>
        <v>0</v>
      </c>
      <c r="AU91" s="408">
        <f t="shared" si="99"/>
        <v>0</v>
      </c>
      <c r="AV91" s="392" t="s">
        <v>425</v>
      </c>
      <c r="AW91" s="392" t="s">
        <v>425</v>
      </c>
      <c r="AX91" s="392" t="s">
        <v>425</v>
      </c>
      <c r="AY91" s="392" t="s">
        <v>425</v>
      </c>
      <c r="AZ91" s="387" t="s">
        <v>425</v>
      </c>
      <c r="BA91" s="343"/>
      <c r="BB91" s="406">
        <f t="shared" si="91"/>
        <v>0</v>
      </c>
      <c r="BC91" s="407">
        <f t="shared" si="92"/>
        <v>0</v>
      </c>
      <c r="BD91" s="407">
        <f t="shared" si="93"/>
        <v>0</v>
      </c>
      <c r="BE91" s="407">
        <f t="shared" si="94"/>
        <v>0</v>
      </c>
      <c r="BF91" s="387">
        <f t="shared" si="100"/>
        <v>0</v>
      </c>
      <c r="BG91" s="343"/>
      <c r="BH91" s="406">
        <f t="shared" si="101"/>
        <v>0</v>
      </c>
      <c r="BI91" s="407">
        <f t="shared" si="102"/>
        <v>0</v>
      </c>
      <c r="BJ91" s="407">
        <f t="shared" si="103"/>
        <v>0</v>
      </c>
      <c r="BK91" s="407">
        <f t="shared" si="104"/>
        <v>0</v>
      </c>
      <c r="BL91" s="408">
        <f t="shared" si="105"/>
        <v>0</v>
      </c>
    </row>
    <row r="92" spans="3:64" s="335" customFormat="1" ht="18" customHeight="1">
      <c r="C92" s="1125"/>
      <c r="D92" s="446"/>
      <c r="E92" s="400"/>
      <c r="F92" s="401"/>
      <c r="G92" s="401"/>
      <c r="H92" s="402"/>
      <c r="I92" s="450"/>
      <c r="J92" s="451"/>
      <c r="K92" s="451"/>
      <c r="L92" s="452"/>
      <c r="M92" s="450"/>
      <c r="N92" s="451"/>
      <c r="O92" s="451"/>
      <c r="P92" s="451"/>
      <c r="Q92" s="404">
        <f t="shared" si="107"/>
        <v>0</v>
      </c>
      <c r="R92" s="450"/>
      <c r="S92" s="451"/>
      <c r="T92" s="451"/>
      <c r="U92" s="451"/>
      <c r="V92" s="404">
        <f t="shared" si="108"/>
        <v>0</v>
      </c>
      <c r="W92" s="771"/>
      <c r="X92" s="772"/>
      <c r="Y92" s="772"/>
      <c r="Z92" s="772"/>
      <c r="AA92" s="404">
        <f t="shared" si="86"/>
        <v>0</v>
      </c>
      <c r="AB92" s="450"/>
      <c r="AC92" s="451"/>
      <c r="AD92" s="451"/>
      <c r="AE92" s="451"/>
      <c r="AF92" s="404">
        <f t="shared" si="87"/>
        <v>0</v>
      </c>
      <c r="AG92" s="450"/>
      <c r="AH92" s="451"/>
      <c r="AI92" s="451"/>
      <c r="AJ92" s="451"/>
      <c r="AK92" s="404">
        <f t="shared" si="89"/>
        <v>0</v>
      </c>
      <c r="AL92" s="450"/>
      <c r="AM92" s="451"/>
      <c r="AN92" s="451"/>
      <c r="AO92" s="451"/>
      <c r="AP92" s="405">
        <f t="shared" si="90"/>
        <v>0</v>
      </c>
      <c r="AQ92" s="779">
        <f t="shared" si="95"/>
        <v>0</v>
      </c>
      <c r="AR92" s="407">
        <f t="shared" si="96"/>
        <v>0</v>
      </c>
      <c r="AS92" s="407">
        <f t="shared" si="97"/>
        <v>0</v>
      </c>
      <c r="AT92" s="407">
        <f t="shared" si="98"/>
        <v>0</v>
      </c>
      <c r="AU92" s="408">
        <f t="shared" si="99"/>
        <v>0</v>
      </c>
      <c r="AV92" s="392" t="s">
        <v>425</v>
      </c>
      <c r="AW92" s="392" t="s">
        <v>425</v>
      </c>
      <c r="AX92" s="392" t="s">
        <v>425</v>
      </c>
      <c r="AY92" s="392" t="s">
        <v>425</v>
      </c>
      <c r="AZ92" s="387" t="s">
        <v>425</v>
      </c>
      <c r="BA92" s="343"/>
      <c r="BB92" s="406">
        <f t="shared" si="91"/>
        <v>0</v>
      </c>
      <c r="BC92" s="407">
        <f t="shared" si="92"/>
        <v>0</v>
      </c>
      <c r="BD92" s="407">
        <f t="shared" si="93"/>
        <v>0</v>
      </c>
      <c r="BE92" s="407">
        <f t="shared" si="94"/>
        <v>0</v>
      </c>
      <c r="BF92" s="387">
        <f t="shared" si="100"/>
        <v>0</v>
      </c>
      <c r="BG92" s="343"/>
      <c r="BH92" s="406">
        <f t="shared" si="101"/>
        <v>0</v>
      </c>
      <c r="BI92" s="407">
        <f t="shared" si="102"/>
        <v>0</v>
      </c>
      <c r="BJ92" s="407">
        <f t="shared" si="103"/>
        <v>0</v>
      </c>
      <c r="BK92" s="407">
        <f t="shared" si="104"/>
        <v>0</v>
      </c>
      <c r="BL92" s="408">
        <f t="shared" si="105"/>
        <v>0</v>
      </c>
    </row>
    <row r="93" spans="3:64" s="335" customFormat="1" ht="18" customHeight="1">
      <c r="C93" s="1125"/>
      <c r="D93" s="446"/>
      <c r="E93" s="400"/>
      <c r="F93" s="401"/>
      <c r="G93" s="401"/>
      <c r="H93" s="402"/>
      <c r="I93" s="450"/>
      <c r="J93" s="451"/>
      <c r="K93" s="451"/>
      <c r="L93" s="452"/>
      <c r="M93" s="450"/>
      <c r="N93" s="451"/>
      <c r="O93" s="451"/>
      <c r="P93" s="451"/>
      <c r="Q93" s="404">
        <f t="shared" si="107"/>
        <v>0</v>
      </c>
      <c r="R93" s="450"/>
      <c r="S93" s="451"/>
      <c r="T93" s="451"/>
      <c r="U93" s="451"/>
      <c r="V93" s="404">
        <f t="shared" si="108"/>
        <v>0</v>
      </c>
      <c r="W93" s="771"/>
      <c r="X93" s="772"/>
      <c r="Y93" s="772"/>
      <c r="Z93" s="772"/>
      <c r="AA93" s="404">
        <f t="shared" si="86"/>
        <v>0</v>
      </c>
      <c r="AB93" s="450"/>
      <c r="AC93" s="451"/>
      <c r="AD93" s="451"/>
      <c r="AE93" s="451"/>
      <c r="AF93" s="404">
        <f t="shared" si="87"/>
        <v>0</v>
      </c>
      <c r="AG93" s="450"/>
      <c r="AH93" s="451"/>
      <c r="AI93" s="451"/>
      <c r="AJ93" s="451"/>
      <c r="AK93" s="404">
        <f t="shared" si="89"/>
        <v>0</v>
      </c>
      <c r="AL93" s="450"/>
      <c r="AM93" s="451"/>
      <c r="AN93" s="451"/>
      <c r="AO93" s="451"/>
      <c r="AP93" s="405">
        <f t="shared" si="90"/>
        <v>0</v>
      </c>
      <c r="AQ93" s="779">
        <f t="shared" si="95"/>
        <v>0</v>
      </c>
      <c r="AR93" s="407">
        <f t="shared" si="96"/>
        <v>0</v>
      </c>
      <c r="AS93" s="407">
        <f t="shared" si="97"/>
        <v>0</v>
      </c>
      <c r="AT93" s="407">
        <f t="shared" si="98"/>
        <v>0</v>
      </c>
      <c r="AU93" s="408">
        <f t="shared" si="99"/>
        <v>0</v>
      </c>
      <c r="AV93" s="392" t="s">
        <v>425</v>
      </c>
      <c r="AW93" s="392" t="s">
        <v>425</v>
      </c>
      <c r="AX93" s="392" t="s">
        <v>425</v>
      </c>
      <c r="AY93" s="392" t="s">
        <v>425</v>
      </c>
      <c r="AZ93" s="387" t="s">
        <v>425</v>
      </c>
      <c r="BA93" s="343"/>
      <c r="BB93" s="406">
        <f t="shared" si="91"/>
        <v>0</v>
      </c>
      <c r="BC93" s="407">
        <f t="shared" si="92"/>
        <v>0</v>
      </c>
      <c r="BD93" s="407">
        <f t="shared" si="93"/>
        <v>0</v>
      </c>
      <c r="BE93" s="407">
        <f t="shared" si="94"/>
        <v>0</v>
      </c>
      <c r="BF93" s="387">
        <f t="shared" si="100"/>
        <v>0</v>
      </c>
      <c r="BG93" s="343"/>
      <c r="BH93" s="406">
        <f t="shared" si="101"/>
        <v>0</v>
      </c>
      <c r="BI93" s="407">
        <f t="shared" si="102"/>
        <v>0</v>
      </c>
      <c r="BJ93" s="407">
        <f t="shared" si="103"/>
        <v>0</v>
      </c>
      <c r="BK93" s="407">
        <f t="shared" si="104"/>
        <v>0</v>
      </c>
      <c r="BL93" s="408">
        <f t="shared" si="105"/>
        <v>0</v>
      </c>
    </row>
    <row r="94" spans="3:64" s="335" customFormat="1" ht="18" customHeight="1">
      <c r="C94" s="1125"/>
      <c r="D94" s="446"/>
      <c r="E94" s="400"/>
      <c r="F94" s="401"/>
      <c r="G94" s="401"/>
      <c r="H94" s="402"/>
      <c r="I94" s="450"/>
      <c r="J94" s="451"/>
      <c r="K94" s="451"/>
      <c r="L94" s="452"/>
      <c r="M94" s="450"/>
      <c r="N94" s="451"/>
      <c r="O94" s="451"/>
      <c r="P94" s="451"/>
      <c r="Q94" s="404">
        <f t="shared" si="107"/>
        <v>0</v>
      </c>
      <c r="R94" s="450"/>
      <c r="S94" s="451"/>
      <c r="T94" s="451"/>
      <c r="U94" s="451"/>
      <c r="V94" s="404">
        <f t="shared" si="108"/>
        <v>0</v>
      </c>
      <c r="W94" s="771"/>
      <c r="X94" s="772"/>
      <c r="Y94" s="772"/>
      <c r="Z94" s="772"/>
      <c r="AA94" s="404">
        <f t="shared" si="86"/>
        <v>0</v>
      </c>
      <c r="AB94" s="450"/>
      <c r="AC94" s="451"/>
      <c r="AD94" s="451"/>
      <c r="AE94" s="451"/>
      <c r="AF94" s="404">
        <f t="shared" si="87"/>
        <v>0</v>
      </c>
      <c r="AG94" s="450"/>
      <c r="AH94" s="451"/>
      <c r="AI94" s="451"/>
      <c r="AJ94" s="451"/>
      <c r="AK94" s="404">
        <f t="shared" si="89"/>
        <v>0</v>
      </c>
      <c r="AL94" s="450"/>
      <c r="AM94" s="451"/>
      <c r="AN94" s="451"/>
      <c r="AO94" s="451"/>
      <c r="AP94" s="405">
        <f t="shared" si="90"/>
        <v>0</v>
      </c>
      <c r="AQ94" s="779">
        <f t="shared" si="95"/>
        <v>0</v>
      </c>
      <c r="AR94" s="407">
        <f t="shared" si="96"/>
        <v>0</v>
      </c>
      <c r="AS94" s="407">
        <f t="shared" si="97"/>
        <v>0</v>
      </c>
      <c r="AT94" s="407">
        <f t="shared" si="98"/>
        <v>0</v>
      </c>
      <c r="AU94" s="408">
        <f t="shared" si="99"/>
        <v>0</v>
      </c>
      <c r="AV94" s="392" t="s">
        <v>425</v>
      </c>
      <c r="AW94" s="392" t="s">
        <v>425</v>
      </c>
      <c r="AX94" s="392" t="s">
        <v>425</v>
      </c>
      <c r="AY94" s="392" t="s">
        <v>425</v>
      </c>
      <c r="AZ94" s="387" t="s">
        <v>425</v>
      </c>
      <c r="BA94" s="343"/>
      <c r="BB94" s="406">
        <f t="shared" si="91"/>
        <v>0</v>
      </c>
      <c r="BC94" s="407">
        <f t="shared" si="92"/>
        <v>0</v>
      </c>
      <c r="BD94" s="407">
        <f t="shared" si="93"/>
        <v>0</v>
      </c>
      <c r="BE94" s="407">
        <f t="shared" si="94"/>
        <v>0</v>
      </c>
      <c r="BF94" s="387">
        <f t="shared" si="100"/>
        <v>0</v>
      </c>
      <c r="BG94" s="343"/>
      <c r="BH94" s="406">
        <f t="shared" si="101"/>
        <v>0</v>
      </c>
      <c r="BI94" s="407">
        <f t="shared" si="102"/>
        <v>0</v>
      </c>
      <c r="BJ94" s="407">
        <f t="shared" si="103"/>
        <v>0</v>
      </c>
      <c r="BK94" s="407">
        <f t="shared" si="104"/>
        <v>0</v>
      </c>
      <c r="BL94" s="408">
        <f t="shared" si="105"/>
        <v>0</v>
      </c>
    </row>
    <row r="95" spans="3:64" s="335" customFormat="1" ht="18" customHeight="1">
      <c r="C95" s="1125"/>
      <c r="D95" s="446"/>
      <c r="E95" s="400"/>
      <c r="F95" s="401"/>
      <c r="G95" s="401"/>
      <c r="H95" s="402"/>
      <c r="I95" s="450"/>
      <c r="J95" s="451"/>
      <c r="K95" s="451"/>
      <c r="L95" s="452"/>
      <c r="M95" s="450"/>
      <c r="N95" s="451"/>
      <c r="O95" s="451"/>
      <c r="P95" s="451"/>
      <c r="Q95" s="404">
        <f t="shared" si="107"/>
        <v>0</v>
      </c>
      <c r="R95" s="450"/>
      <c r="S95" s="451"/>
      <c r="T95" s="451"/>
      <c r="U95" s="451"/>
      <c r="V95" s="404">
        <f t="shared" si="108"/>
        <v>0</v>
      </c>
      <c r="W95" s="771"/>
      <c r="X95" s="772"/>
      <c r="Y95" s="772"/>
      <c r="Z95" s="772"/>
      <c r="AA95" s="404">
        <f t="shared" si="86"/>
        <v>0</v>
      </c>
      <c r="AB95" s="450"/>
      <c r="AC95" s="451"/>
      <c r="AD95" s="451"/>
      <c r="AE95" s="451"/>
      <c r="AF95" s="404">
        <f t="shared" si="87"/>
        <v>0</v>
      </c>
      <c r="AG95" s="450"/>
      <c r="AH95" s="451"/>
      <c r="AI95" s="451"/>
      <c r="AJ95" s="451"/>
      <c r="AK95" s="404">
        <f t="shared" si="89"/>
        <v>0</v>
      </c>
      <c r="AL95" s="450"/>
      <c r="AM95" s="451"/>
      <c r="AN95" s="451"/>
      <c r="AO95" s="451"/>
      <c r="AP95" s="405">
        <f t="shared" si="90"/>
        <v>0</v>
      </c>
      <c r="AQ95" s="779">
        <f t="shared" si="95"/>
        <v>0</v>
      </c>
      <c r="AR95" s="407">
        <f t="shared" si="96"/>
        <v>0</v>
      </c>
      <c r="AS95" s="407">
        <f t="shared" si="97"/>
        <v>0</v>
      </c>
      <c r="AT95" s="407">
        <f t="shared" si="98"/>
        <v>0</v>
      </c>
      <c r="AU95" s="408">
        <f t="shared" si="99"/>
        <v>0</v>
      </c>
      <c r="AV95" s="392" t="s">
        <v>425</v>
      </c>
      <c r="AW95" s="392" t="s">
        <v>425</v>
      </c>
      <c r="AX95" s="392" t="s">
        <v>425</v>
      </c>
      <c r="AY95" s="392" t="s">
        <v>425</v>
      </c>
      <c r="AZ95" s="387" t="s">
        <v>425</v>
      </c>
      <c r="BA95" s="343"/>
      <c r="BB95" s="406">
        <f t="shared" si="91"/>
        <v>0</v>
      </c>
      <c r="BC95" s="407">
        <f t="shared" si="92"/>
        <v>0</v>
      </c>
      <c r="BD95" s="407">
        <f t="shared" si="93"/>
        <v>0</v>
      </c>
      <c r="BE95" s="407">
        <f t="shared" si="94"/>
        <v>0</v>
      </c>
      <c r="BF95" s="387">
        <f t="shared" si="100"/>
        <v>0</v>
      </c>
      <c r="BG95" s="343"/>
      <c r="BH95" s="406">
        <f t="shared" si="101"/>
        <v>0</v>
      </c>
      <c r="BI95" s="407">
        <f t="shared" si="102"/>
        <v>0</v>
      </c>
      <c r="BJ95" s="407">
        <f t="shared" si="103"/>
        <v>0</v>
      </c>
      <c r="BK95" s="407">
        <f t="shared" si="104"/>
        <v>0</v>
      </c>
      <c r="BL95" s="408">
        <f t="shared" si="105"/>
        <v>0</v>
      </c>
    </row>
    <row r="96" spans="3:64" s="335" customFormat="1" ht="18" customHeight="1">
      <c r="C96" s="1125"/>
      <c r="D96" s="446"/>
      <c r="E96" s="400"/>
      <c r="F96" s="401"/>
      <c r="G96" s="401"/>
      <c r="H96" s="402"/>
      <c r="I96" s="450"/>
      <c r="J96" s="451"/>
      <c r="K96" s="451"/>
      <c r="L96" s="452"/>
      <c r="M96" s="450"/>
      <c r="N96" s="451"/>
      <c r="O96" s="451"/>
      <c r="P96" s="451"/>
      <c r="Q96" s="404">
        <f t="shared" si="107"/>
        <v>0</v>
      </c>
      <c r="R96" s="450"/>
      <c r="S96" s="451"/>
      <c r="T96" s="451"/>
      <c r="U96" s="451"/>
      <c r="V96" s="404">
        <f t="shared" si="108"/>
        <v>0</v>
      </c>
      <c r="W96" s="771"/>
      <c r="X96" s="772"/>
      <c r="Y96" s="772"/>
      <c r="Z96" s="772"/>
      <c r="AA96" s="404">
        <f t="shared" si="86"/>
        <v>0</v>
      </c>
      <c r="AB96" s="450"/>
      <c r="AC96" s="451"/>
      <c r="AD96" s="451"/>
      <c r="AE96" s="451"/>
      <c r="AF96" s="404">
        <f t="shared" si="87"/>
        <v>0</v>
      </c>
      <c r="AG96" s="450"/>
      <c r="AH96" s="451"/>
      <c r="AI96" s="451"/>
      <c r="AJ96" s="451"/>
      <c r="AK96" s="404">
        <f t="shared" si="89"/>
        <v>0</v>
      </c>
      <c r="AL96" s="450"/>
      <c r="AM96" s="451"/>
      <c r="AN96" s="451"/>
      <c r="AO96" s="451"/>
      <c r="AP96" s="405">
        <f t="shared" si="90"/>
        <v>0</v>
      </c>
      <c r="AQ96" s="779">
        <f t="shared" si="95"/>
        <v>0</v>
      </c>
      <c r="AR96" s="407">
        <f t="shared" si="96"/>
        <v>0</v>
      </c>
      <c r="AS96" s="407">
        <f t="shared" si="97"/>
        <v>0</v>
      </c>
      <c r="AT96" s="407">
        <f t="shared" si="98"/>
        <v>0</v>
      </c>
      <c r="AU96" s="408">
        <f t="shared" si="99"/>
        <v>0</v>
      </c>
      <c r="AV96" s="392" t="s">
        <v>425</v>
      </c>
      <c r="AW96" s="392" t="s">
        <v>425</v>
      </c>
      <c r="AX96" s="392" t="s">
        <v>425</v>
      </c>
      <c r="AY96" s="392" t="s">
        <v>425</v>
      </c>
      <c r="AZ96" s="387" t="s">
        <v>425</v>
      </c>
      <c r="BA96" s="343"/>
      <c r="BB96" s="406">
        <f t="shared" si="91"/>
        <v>0</v>
      </c>
      <c r="BC96" s="407">
        <f t="shared" si="92"/>
        <v>0</v>
      </c>
      <c r="BD96" s="407">
        <f t="shared" si="93"/>
        <v>0</v>
      </c>
      <c r="BE96" s="407">
        <f t="shared" si="94"/>
        <v>0</v>
      </c>
      <c r="BF96" s="387">
        <f t="shared" si="100"/>
        <v>0</v>
      </c>
      <c r="BG96" s="343"/>
      <c r="BH96" s="406">
        <f t="shared" si="101"/>
        <v>0</v>
      </c>
      <c r="BI96" s="407">
        <f t="shared" si="102"/>
        <v>0</v>
      </c>
      <c r="BJ96" s="407">
        <f t="shared" si="103"/>
        <v>0</v>
      </c>
      <c r="BK96" s="407">
        <f t="shared" si="104"/>
        <v>0</v>
      </c>
      <c r="BL96" s="408">
        <f t="shared" si="105"/>
        <v>0</v>
      </c>
    </row>
    <row r="97" spans="3:64" s="335" customFormat="1" ht="18" customHeight="1">
      <c r="C97" s="1125"/>
      <c r="D97" s="446"/>
      <c r="E97" s="400"/>
      <c r="F97" s="401"/>
      <c r="G97" s="401"/>
      <c r="H97" s="402"/>
      <c r="I97" s="450"/>
      <c r="J97" s="451"/>
      <c r="K97" s="451"/>
      <c r="L97" s="452"/>
      <c r="M97" s="450"/>
      <c r="N97" s="451"/>
      <c r="O97" s="451"/>
      <c r="P97" s="451"/>
      <c r="Q97" s="404">
        <f t="shared" si="107"/>
        <v>0</v>
      </c>
      <c r="R97" s="450"/>
      <c r="S97" s="451"/>
      <c r="T97" s="451"/>
      <c r="U97" s="451"/>
      <c r="V97" s="404">
        <f t="shared" si="108"/>
        <v>0</v>
      </c>
      <c r="W97" s="771"/>
      <c r="X97" s="772"/>
      <c r="Y97" s="772"/>
      <c r="Z97" s="772"/>
      <c r="AA97" s="404">
        <f t="shared" si="86"/>
        <v>0</v>
      </c>
      <c r="AB97" s="450"/>
      <c r="AC97" s="451"/>
      <c r="AD97" s="451"/>
      <c r="AE97" s="451"/>
      <c r="AF97" s="404">
        <f t="shared" si="87"/>
        <v>0</v>
      </c>
      <c r="AG97" s="450"/>
      <c r="AH97" s="451"/>
      <c r="AI97" s="451"/>
      <c r="AJ97" s="451"/>
      <c r="AK97" s="404">
        <f t="shared" si="89"/>
        <v>0</v>
      </c>
      <c r="AL97" s="450"/>
      <c r="AM97" s="451"/>
      <c r="AN97" s="451"/>
      <c r="AO97" s="451"/>
      <c r="AP97" s="405">
        <f t="shared" si="90"/>
        <v>0</v>
      </c>
      <c r="AQ97" s="779">
        <f t="shared" si="95"/>
        <v>0</v>
      </c>
      <c r="AR97" s="407">
        <f t="shared" si="96"/>
        <v>0</v>
      </c>
      <c r="AS97" s="407">
        <f t="shared" si="97"/>
        <v>0</v>
      </c>
      <c r="AT97" s="407">
        <f t="shared" si="98"/>
        <v>0</v>
      </c>
      <c r="AU97" s="408">
        <f t="shared" si="99"/>
        <v>0</v>
      </c>
      <c r="AV97" s="392" t="s">
        <v>425</v>
      </c>
      <c r="AW97" s="392" t="s">
        <v>425</v>
      </c>
      <c r="AX97" s="392" t="s">
        <v>425</v>
      </c>
      <c r="AY97" s="392" t="s">
        <v>425</v>
      </c>
      <c r="AZ97" s="387" t="s">
        <v>425</v>
      </c>
      <c r="BA97" s="343"/>
      <c r="BB97" s="406">
        <f t="shared" si="91"/>
        <v>0</v>
      </c>
      <c r="BC97" s="407">
        <f t="shared" si="92"/>
        <v>0</v>
      </c>
      <c r="BD97" s="407">
        <f t="shared" si="93"/>
        <v>0</v>
      </c>
      <c r="BE97" s="407">
        <f t="shared" si="94"/>
        <v>0</v>
      </c>
      <c r="BF97" s="387">
        <f t="shared" si="100"/>
        <v>0</v>
      </c>
      <c r="BG97" s="343"/>
      <c r="BH97" s="406">
        <f t="shared" si="101"/>
        <v>0</v>
      </c>
      <c r="BI97" s="407">
        <f t="shared" si="102"/>
        <v>0</v>
      </c>
      <c r="BJ97" s="407">
        <f t="shared" si="103"/>
        <v>0</v>
      </c>
      <c r="BK97" s="407">
        <f t="shared" si="104"/>
        <v>0</v>
      </c>
      <c r="BL97" s="408">
        <f t="shared" si="105"/>
        <v>0</v>
      </c>
    </row>
    <row r="98" spans="3:64" s="335" customFormat="1" ht="18" customHeight="1">
      <c r="C98" s="1125"/>
      <c r="D98" s="446"/>
      <c r="E98" s="400"/>
      <c r="F98" s="401"/>
      <c r="G98" s="401"/>
      <c r="H98" s="402"/>
      <c r="I98" s="450"/>
      <c r="J98" s="451"/>
      <c r="K98" s="451"/>
      <c r="L98" s="452"/>
      <c r="M98" s="450"/>
      <c r="N98" s="451"/>
      <c r="O98" s="451"/>
      <c r="P98" s="451"/>
      <c r="Q98" s="404">
        <f t="shared" si="107"/>
        <v>0</v>
      </c>
      <c r="R98" s="450"/>
      <c r="S98" s="451"/>
      <c r="T98" s="451"/>
      <c r="U98" s="451"/>
      <c r="V98" s="404">
        <f t="shared" si="108"/>
        <v>0</v>
      </c>
      <c r="W98" s="771"/>
      <c r="X98" s="772"/>
      <c r="Y98" s="772"/>
      <c r="Z98" s="772"/>
      <c r="AA98" s="404">
        <f t="shared" si="86"/>
        <v>0</v>
      </c>
      <c r="AB98" s="450"/>
      <c r="AC98" s="451"/>
      <c r="AD98" s="451"/>
      <c r="AE98" s="451"/>
      <c r="AF98" s="404">
        <f t="shared" si="87"/>
        <v>0</v>
      </c>
      <c r="AG98" s="450"/>
      <c r="AH98" s="451"/>
      <c r="AI98" s="451"/>
      <c r="AJ98" s="451"/>
      <c r="AK98" s="404">
        <f t="shared" si="89"/>
        <v>0</v>
      </c>
      <c r="AL98" s="450"/>
      <c r="AM98" s="451"/>
      <c r="AN98" s="451"/>
      <c r="AO98" s="451"/>
      <c r="AP98" s="405">
        <f t="shared" si="90"/>
        <v>0</v>
      </c>
      <c r="AQ98" s="779">
        <f t="shared" si="95"/>
        <v>0</v>
      </c>
      <c r="AR98" s="407">
        <f t="shared" si="96"/>
        <v>0</v>
      </c>
      <c r="AS98" s="407">
        <f t="shared" si="97"/>
        <v>0</v>
      </c>
      <c r="AT98" s="407">
        <f t="shared" si="98"/>
        <v>0</v>
      </c>
      <c r="AU98" s="408">
        <f t="shared" si="99"/>
        <v>0</v>
      </c>
      <c r="AV98" s="392" t="s">
        <v>425</v>
      </c>
      <c r="AW98" s="392" t="s">
        <v>425</v>
      </c>
      <c r="AX98" s="392" t="s">
        <v>425</v>
      </c>
      <c r="AY98" s="392" t="s">
        <v>425</v>
      </c>
      <c r="AZ98" s="387" t="s">
        <v>425</v>
      </c>
      <c r="BA98" s="343"/>
      <c r="BB98" s="406">
        <f t="shared" si="91"/>
        <v>0</v>
      </c>
      <c r="BC98" s="407">
        <f t="shared" si="92"/>
        <v>0</v>
      </c>
      <c r="BD98" s="407">
        <f t="shared" si="93"/>
        <v>0</v>
      </c>
      <c r="BE98" s="407">
        <f t="shared" si="94"/>
        <v>0</v>
      </c>
      <c r="BF98" s="387">
        <f t="shared" si="100"/>
        <v>0</v>
      </c>
      <c r="BG98" s="343"/>
      <c r="BH98" s="406">
        <f t="shared" si="101"/>
        <v>0</v>
      </c>
      <c r="BI98" s="407">
        <f t="shared" si="102"/>
        <v>0</v>
      </c>
      <c r="BJ98" s="407">
        <f t="shared" si="103"/>
        <v>0</v>
      </c>
      <c r="BK98" s="407">
        <f t="shared" si="104"/>
        <v>0</v>
      </c>
      <c r="BL98" s="408">
        <f t="shared" si="105"/>
        <v>0</v>
      </c>
    </row>
    <row r="99" spans="3:64" s="335" customFormat="1" ht="18" customHeight="1">
      <c r="C99" s="1125"/>
      <c r="D99" s="446"/>
      <c r="E99" s="400"/>
      <c r="F99" s="401"/>
      <c r="G99" s="401"/>
      <c r="H99" s="402"/>
      <c r="I99" s="450"/>
      <c r="J99" s="451"/>
      <c r="K99" s="451"/>
      <c r="L99" s="452"/>
      <c r="M99" s="450"/>
      <c r="N99" s="451"/>
      <c r="O99" s="451"/>
      <c r="P99" s="451"/>
      <c r="Q99" s="404">
        <f t="shared" si="107"/>
        <v>0</v>
      </c>
      <c r="R99" s="450"/>
      <c r="S99" s="451"/>
      <c r="T99" s="451"/>
      <c r="U99" s="451"/>
      <c r="V99" s="404">
        <f t="shared" si="108"/>
        <v>0</v>
      </c>
      <c r="W99" s="771"/>
      <c r="X99" s="772"/>
      <c r="Y99" s="772"/>
      <c r="Z99" s="772"/>
      <c r="AA99" s="404">
        <f t="shared" si="86"/>
        <v>0</v>
      </c>
      <c r="AB99" s="450"/>
      <c r="AC99" s="451"/>
      <c r="AD99" s="451"/>
      <c r="AE99" s="451"/>
      <c r="AF99" s="404">
        <f t="shared" si="87"/>
        <v>0</v>
      </c>
      <c r="AG99" s="450"/>
      <c r="AH99" s="451"/>
      <c r="AI99" s="451"/>
      <c r="AJ99" s="451"/>
      <c r="AK99" s="404">
        <f t="shared" si="89"/>
        <v>0</v>
      </c>
      <c r="AL99" s="450"/>
      <c r="AM99" s="451"/>
      <c r="AN99" s="451"/>
      <c r="AO99" s="451"/>
      <c r="AP99" s="405">
        <f t="shared" si="90"/>
        <v>0</v>
      </c>
      <c r="AQ99" s="779">
        <f t="shared" si="95"/>
        <v>0</v>
      </c>
      <c r="AR99" s="407">
        <f t="shared" si="96"/>
        <v>0</v>
      </c>
      <c r="AS99" s="407">
        <f t="shared" si="97"/>
        <v>0</v>
      </c>
      <c r="AT99" s="407">
        <f t="shared" si="98"/>
        <v>0</v>
      </c>
      <c r="AU99" s="408">
        <f t="shared" si="99"/>
        <v>0</v>
      </c>
      <c r="AV99" s="392" t="s">
        <v>425</v>
      </c>
      <c r="AW99" s="392" t="s">
        <v>425</v>
      </c>
      <c r="AX99" s="392" t="s">
        <v>425</v>
      </c>
      <c r="AY99" s="392" t="s">
        <v>425</v>
      </c>
      <c r="AZ99" s="387" t="s">
        <v>425</v>
      </c>
      <c r="BA99" s="343"/>
      <c r="BB99" s="406">
        <f t="shared" si="91"/>
        <v>0</v>
      </c>
      <c r="BC99" s="407">
        <f t="shared" si="92"/>
        <v>0</v>
      </c>
      <c r="BD99" s="407">
        <f t="shared" si="93"/>
        <v>0</v>
      </c>
      <c r="BE99" s="407">
        <f t="shared" si="94"/>
        <v>0</v>
      </c>
      <c r="BF99" s="387">
        <f t="shared" si="100"/>
        <v>0</v>
      </c>
      <c r="BG99" s="343"/>
      <c r="BH99" s="406">
        <f t="shared" si="101"/>
        <v>0</v>
      </c>
      <c r="BI99" s="407">
        <f t="shared" si="102"/>
        <v>0</v>
      </c>
      <c r="BJ99" s="407">
        <f t="shared" si="103"/>
        <v>0</v>
      </c>
      <c r="BK99" s="407">
        <f t="shared" si="104"/>
        <v>0</v>
      </c>
      <c r="BL99" s="408">
        <f t="shared" si="105"/>
        <v>0</v>
      </c>
    </row>
    <row r="100" spans="3:64" s="335" customFormat="1" ht="18.600000000000001" customHeight="1">
      <c r="C100" s="1125"/>
      <c r="D100" s="446"/>
      <c r="E100" s="400"/>
      <c r="F100" s="401"/>
      <c r="G100" s="401"/>
      <c r="H100" s="402"/>
      <c r="I100" s="450"/>
      <c r="J100" s="451"/>
      <c r="K100" s="451"/>
      <c r="L100" s="452"/>
      <c r="M100" s="450"/>
      <c r="N100" s="451"/>
      <c r="O100" s="451"/>
      <c r="P100" s="451"/>
      <c r="Q100" s="404">
        <f t="shared" si="107"/>
        <v>0</v>
      </c>
      <c r="R100" s="450"/>
      <c r="S100" s="451"/>
      <c r="T100" s="451"/>
      <c r="U100" s="451"/>
      <c r="V100" s="404">
        <f t="shared" si="108"/>
        <v>0</v>
      </c>
      <c r="W100" s="771"/>
      <c r="X100" s="772"/>
      <c r="Y100" s="772"/>
      <c r="Z100" s="772"/>
      <c r="AA100" s="404">
        <f t="shared" si="86"/>
        <v>0</v>
      </c>
      <c r="AB100" s="450"/>
      <c r="AC100" s="451"/>
      <c r="AD100" s="451"/>
      <c r="AE100" s="451"/>
      <c r="AF100" s="404">
        <f t="shared" si="87"/>
        <v>0</v>
      </c>
      <c r="AG100" s="450"/>
      <c r="AH100" s="451"/>
      <c r="AI100" s="451"/>
      <c r="AJ100" s="451"/>
      <c r="AK100" s="404">
        <f t="shared" si="89"/>
        <v>0</v>
      </c>
      <c r="AL100" s="450"/>
      <c r="AM100" s="451"/>
      <c r="AN100" s="451"/>
      <c r="AO100" s="451"/>
      <c r="AP100" s="405">
        <f t="shared" si="90"/>
        <v>0</v>
      </c>
      <c r="AQ100" s="779">
        <f t="shared" si="95"/>
        <v>0</v>
      </c>
      <c r="AR100" s="407">
        <f t="shared" si="96"/>
        <v>0</v>
      </c>
      <c r="AS100" s="407">
        <f t="shared" si="97"/>
        <v>0</v>
      </c>
      <c r="AT100" s="407">
        <f t="shared" si="98"/>
        <v>0</v>
      </c>
      <c r="AU100" s="408">
        <f t="shared" si="99"/>
        <v>0</v>
      </c>
      <c r="AV100" s="392" t="s">
        <v>425</v>
      </c>
      <c r="AW100" s="392" t="s">
        <v>425</v>
      </c>
      <c r="AX100" s="392" t="s">
        <v>425</v>
      </c>
      <c r="AY100" s="392" t="s">
        <v>425</v>
      </c>
      <c r="AZ100" s="387" t="s">
        <v>425</v>
      </c>
      <c r="BA100" s="343"/>
      <c r="BB100" s="406">
        <f t="shared" si="91"/>
        <v>0</v>
      </c>
      <c r="BC100" s="407">
        <f t="shared" si="92"/>
        <v>0</v>
      </c>
      <c r="BD100" s="407">
        <f t="shared" si="93"/>
        <v>0</v>
      </c>
      <c r="BE100" s="407">
        <f t="shared" si="94"/>
        <v>0</v>
      </c>
      <c r="BF100" s="387">
        <f t="shared" si="100"/>
        <v>0</v>
      </c>
      <c r="BG100" s="343"/>
      <c r="BH100" s="406">
        <f t="shared" si="101"/>
        <v>0</v>
      </c>
      <c r="BI100" s="407">
        <f t="shared" si="102"/>
        <v>0</v>
      </c>
      <c r="BJ100" s="407">
        <f t="shared" si="103"/>
        <v>0</v>
      </c>
      <c r="BK100" s="407">
        <f t="shared" si="104"/>
        <v>0</v>
      </c>
      <c r="BL100" s="408">
        <f t="shared" si="105"/>
        <v>0</v>
      </c>
    </row>
    <row r="101" spans="3:64" s="453" customFormat="1" ht="27.75" customHeight="1" thickBot="1">
      <c r="C101" s="1126"/>
      <c r="D101" s="447" t="s">
        <v>507</v>
      </c>
      <c r="E101" s="417" t="s">
        <v>423</v>
      </c>
      <c r="F101" s="418" t="s">
        <v>423</v>
      </c>
      <c r="G101" s="418" t="s">
        <v>423</v>
      </c>
      <c r="H101" s="419" t="s">
        <v>423</v>
      </c>
      <c r="I101" s="800">
        <f t="shared" ref="I101:U101" si="109">SUM(I74:I100)</f>
        <v>10.5</v>
      </c>
      <c r="J101" s="801">
        <f t="shared" si="109"/>
        <v>10.5</v>
      </c>
      <c r="K101" s="801">
        <f t="shared" si="109"/>
        <v>10.5</v>
      </c>
      <c r="L101" s="802">
        <f t="shared" si="109"/>
        <v>10.5</v>
      </c>
      <c r="M101" s="417">
        <f t="shared" si="109"/>
        <v>429000</v>
      </c>
      <c r="N101" s="418">
        <f t="shared" si="109"/>
        <v>429000</v>
      </c>
      <c r="O101" s="418">
        <f t="shared" si="109"/>
        <v>429000</v>
      </c>
      <c r="P101" s="418">
        <f t="shared" si="109"/>
        <v>429000</v>
      </c>
      <c r="Q101" s="416">
        <f t="shared" si="109"/>
        <v>1716000</v>
      </c>
      <c r="R101" s="414">
        <f t="shared" si="109"/>
        <v>0</v>
      </c>
      <c r="S101" s="415">
        <f t="shared" si="109"/>
        <v>0</v>
      </c>
      <c r="T101" s="415">
        <f t="shared" si="109"/>
        <v>0</v>
      </c>
      <c r="U101" s="415">
        <f t="shared" si="109"/>
        <v>0</v>
      </c>
      <c r="V101" s="404">
        <f t="shared" si="108"/>
        <v>0</v>
      </c>
      <c r="W101" s="764">
        <f t="shared" ref="W101:AU101" si="110">SUM(W74:W100)</f>
        <v>166650</v>
      </c>
      <c r="X101" s="765">
        <f t="shared" si="110"/>
        <v>166650</v>
      </c>
      <c r="Y101" s="765">
        <f t="shared" si="110"/>
        <v>166650</v>
      </c>
      <c r="Z101" s="765">
        <f t="shared" si="110"/>
        <v>166650</v>
      </c>
      <c r="AA101" s="416">
        <f t="shared" si="110"/>
        <v>666600</v>
      </c>
      <c r="AB101" s="414">
        <f t="shared" si="110"/>
        <v>0</v>
      </c>
      <c r="AC101" s="415">
        <f t="shared" si="110"/>
        <v>0</v>
      </c>
      <c r="AD101" s="415">
        <f t="shared" si="110"/>
        <v>0</v>
      </c>
      <c r="AE101" s="415">
        <f t="shared" si="110"/>
        <v>0</v>
      </c>
      <c r="AF101" s="416">
        <f t="shared" si="110"/>
        <v>0</v>
      </c>
      <c r="AG101" s="414">
        <f t="shared" si="110"/>
        <v>57600</v>
      </c>
      <c r="AH101" s="415">
        <f t="shared" si="110"/>
        <v>57600</v>
      </c>
      <c r="AI101" s="415">
        <f t="shared" si="110"/>
        <v>57600</v>
      </c>
      <c r="AJ101" s="415">
        <f t="shared" si="110"/>
        <v>57600</v>
      </c>
      <c r="AK101" s="416">
        <f t="shared" si="110"/>
        <v>230400</v>
      </c>
      <c r="AL101" s="414">
        <f t="shared" si="110"/>
        <v>0</v>
      </c>
      <c r="AM101" s="415">
        <f t="shared" si="110"/>
        <v>0</v>
      </c>
      <c r="AN101" s="415">
        <f t="shared" si="110"/>
        <v>0</v>
      </c>
      <c r="AO101" s="415">
        <f t="shared" si="110"/>
        <v>0</v>
      </c>
      <c r="AP101" s="420">
        <f t="shared" si="110"/>
        <v>0</v>
      </c>
      <c r="AQ101" s="790">
        <f t="shared" si="110"/>
        <v>653250</v>
      </c>
      <c r="AR101" s="415">
        <f t="shared" si="110"/>
        <v>653250</v>
      </c>
      <c r="AS101" s="415">
        <f t="shared" si="110"/>
        <v>653250</v>
      </c>
      <c r="AT101" s="415">
        <f t="shared" si="110"/>
        <v>653250</v>
      </c>
      <c r="AU101" s="416">
        <f t="shared" si="110"/>
        <v>2613000</v>
      </c>
      <c r="AV101" s="423">
        <v>900</v>
      </c>
      <c r="AW101" s="423">
        <v>900</v>
      </c>
      <c r="AX101" s="423">
        <v>900</v>
      </c>
      <c r="AY101" s="423">
        <v>900</v>
      </c>
      <c r="AZ101" s="416">
        <f>AV101+AW101+AX101+AY101</f>
        <v>3600</v>
      </c>
      <c r="BA101" s="75"/>
      <c r="BB101" s="414">
        <f>SUM(BB74:BB100)</f>
        <v>129027</v>
      </c>
      <c r="BC101" s="415">
        <f>SUM(BC74:BC100)</f>
        <v>129027</v>
      </c>
      <c r="BD101" s="415">
        <f>SUM(BD74:BD100)</f>
        <v>129027</v>
      </c>
      <c r="BE101" s="415">
        <f>SUM(BE74:BE100)</f>
        <v>129027</v>
      </c>
      <c r="BF101" s="416">
        <f>SUM(BF74:BF100)</f>
        <v>516108</v>
      </c>
      <c r="BG101" s="75"/>
      <c r="BH101" s="414">
        <f>SUM(BH74:BH100)</f>
        <v>127383.75</v>
      </c>
      <c r="BI101" s="415">
        <f>SUM(BI74:BI100)</f>
        <v>127383.75</v>
      </c>
      <c r="BJ101" s="415">
        <f>SUM(BJ74:BJ100)</f>
        <v>127383.75</v>
      </c>
      <c r="BK101" s="415">
        <f>SUM(BK74:BK100)</f>
        <v>127383.75</v>
      </c>
      <c r="BL101" s="416">
        <f>SUM(BL74:BL100)</f>
        <v>509535</v>
      </c>
    </row>
    <row r="102" spans="3:64" s="335" customFormat="1" ht="24.75" customHeight="1" thickBot="1">
      <c r="C102" s="1124" t="s">
        <v>570</v>
      </c>
      <c r="D102" s="454" t="s">
        <v>185</v>
      </c>
      <c r="E102" s="401">
        <v>0.22</v>
      </c>
      <c r="F102" s="401">
        <v>0.22</v>
      </c>
      <c r="G102" s="401">
        <v>0.22</v>
      </c>
      <c r="H102" s="401">
        <v>0.22</v>
      </c>
      <c r="I102" s="715">
        <v>1</v>
      </c>
      <c r="J102" s="715">
        <v>1</v>
      </c>
      <c r="K102" s="715">
        <v>1</v>
      </c>
      <c r="L102" s="715">
        <v>1</v>
      </c>
      <c r="M102" s="455">
        <f>12000*3</f>
        <v>36000</v>
      </c>
      <c r="N102" s="455">
        <f>12000*3</f>
        <v>36000</v>
      </c>
      <c r="O102" s="455">
        <f>12000*3</f>
        <v>36000</v>
      </c>
      <c r="P102" s="455">
        <f>12000*3</f>
        <v>36000</v>
      </c>
      <c r="Q102" s="456">
        <f>SUM(M102:P102)</f>
        <v>144000</v>
      </c>
      <c r="R102" s="448">
        <v>0</v>
      </c>
      <c r="S102" s="449">
        <v>0</v>
      </c>
      <c r="T102" s="449">
        <v>0</v>
      </c>
      <c r="U102" s="449">
        <v>0</v>
      </c>
      <c r="V102" s="404">
        <f t="shared" si="108"/>
        <v>0</v>
      </c>
      <c r="W102" s="773">
        <f>M102*0.3</f>
        <v>10800</v>
      </c>
      <c r="X102" s="773">
        <f>N102*0.3</f>
        <v>10800</v>
      </c>
      <c r="Y102" s="773">
        <f>O102*0.3</f>
        <v>10800</v>
      </c>
      <c r="Z102" s="773">
        <f>P102*0.3</f>
        <v>10800</v>
      </c>
      <c r="AA102" s="394">
        <f>SUM(W102:Z102)</f>
        <v>43200</v>
      </c>
      <c r="AB102" s="450">
        <v>0</v>
      </c>
      <c r="AC102" s="451">
        <v>0</v>
      </c>
      <c r="AD102" s="451">
        <v>0</v>
      </c>
      <c r="AE102" s="451">
        <v>0</v>
      </c>
      <c r="AF102" s="394">
        <f>SUM(AB102:AE102)</f>
        <v>0</v>
      </c>
      <c r="AG102" s="428">
        <f>M102*0.5</f>
        <v>18000</v>
      </c>
      <c r="AH102" s="428">
        <f>N102*0.5</f>
        <v>18000</v>
      </c>
      <c r="AI102" s="428">
        <f>O102*0.5</f>
        <v>18000</v>
      </c>
      <c r="AJ102" s="428">
        <f>P102*0.5</f>
        <v>18000</v>
      </c>
      <c r="AK102" s="394">
        <f>SUM(AG102:AJ102)</f>
        <v>72000</v>
      </c>
      <c r="AL102" s="448">
        <v>0</v>
      </c>
      <c r="AM102" s="449">
        <v>0</v>
      </c>
      <c r="AN102" s="449">
        <v>0</v>
      </c>
      <c r="AO102" s="449">
        <v>0</v>
      </c>
      <c r="AP102" s="427">
        <f>SUM(AL102:AO102)</f>
        <v>0</v>
      </c>
      <c r="AQ102" s="779">
        <f t="shared" si="95"/>
        <v>64800</v>
      </c>
      <c r="AR102" s="407">
        <f>N102+S102+X102+AC102+AH102+AM102</f>
        <v>64800</v>
      </c>
      <c r="AS102" s="407">
        <f>O102+T102+Y102+AD102+AI102+AN102</f>
        <v>64800</v>
      </c>
      <c r="AT102" s="407">
        <f>P102+U102+Z102+AE102+AJ102+AO102</f>
        <v>64800</v>
      </c>
      <c r="AU102" s="408">
        <f>Q102+V102+AA102+AF102+AK102+AP102</f>
        <v>259200</v>
      </c>
      <c r="AV102" s="392" t="s">
        <v>425</v>
      </c>
      <c r="AW102" s="392" t="s">
        <v>425</v>
      </c>
      <c r="AX102" s="392" t="s">
        <v>425</v>
      </c>
      <c r="AY102" s="392" t="s">
        <v>425</v>
      </c>
      <c r="AZ102" s="387" t="s">
        <v>425</v>
      </c>
      <c r="BA102" s="343"/>
      <c r="BB102" s="396">
        <f t="shared" ref="BB102:BB126" si="111">AQ102*E102/100%</f>
        <v>14256</v>
      </c>
      <c r="BC102" s="397">
        <f t="shared" ref="BC102:BC126" si="112">AR102*F102/100%</f>
        <v>14256</v>
      </c>
      <c r="BD102" s="397">
        <f t="shared" ref="BD102:BD126" si="113">AS102*G102/100%</f>
        <v>14256</v>
      </c>
      <c r="BE102" s="397">
        <f t="shared" ref="BE102:BE126" si="114">AT102*H102/100%</f>
        <v>14256</v>
      </c>
      <c r="BF102" s="387">
        <f>SUM(BB102:BE102)</f>
        <v>57024</v>
      </c>
      <c r="BG102" s="343"/>
      <c r="BH102" s="396">
        <f>AQ102*(18%+1.5%)/100%</f>
        <v>12636</v>
      </c>
      <c r="BI102" s="397">
        <f>AR102*(18%+1.5%)/100%</f>
        <v>12636</v>
      </c>
      <c r="BJ102" s="397">
        <f>AS102*(18%+1.5%)/100%</f>
        <v>12636</v>
      </c>
      <c r="BK102" s="397">
        <f>AT102*(18%+1.5%)/100%</f>
        <v>12636</v>
      </c>
      <c r="BL102" s="398">
        <f>SUM(BH102:BK102)</f>
        <v>50544</v>
      </c>
    </row>
    <row r="103" spans="3:64" s="335" customFormat="1" ht="30.75" customHeight="1" thickBot="1">
      <c r="C103" s="1125"/>
      <c r="D103" s="409" t="s">
        <v>186</v>
      </c>
      <c r="E103" s="401">
        <v>0.22</v>
      </c>
      <c r="F103" s="401">
        <v>0.22</v>
      </c>
      <c r="G103" s="401">
        <v>0.22</v>
      </c>
      <c r="H103" s="401">
        <v>0.22</v>
      </c>
      <c r="I103" s="715">
        <v>1</v>
      </c>
      <c r="J103" s="715">
        <v>1</v>
      </c>
      <c r="K103" s="715">
        <v>1</v>
      </c>
      <c r="L103" s="715">
        <v>1</v>
      </c>
      <c r="M103" s="457">
        <f>7500*3</f>
        <v>22500</v>
      </c>
      <c r="N103" s="457">
        <f>7500*3</f>
        <v>22500</v>
      </c>
      <c r="O103" s="457">
        <f>7500*3</f>
        <v>22500</v>
      </c>
      <c r="P103" s="457">
        <f>7500*3</f>
        <v>22500</v>
      </c>
      <c r="Q103" s="459">
        <f t="shared" ref="Q103:Q126" si="115">SUM(M103:P103)</f>
        <v>90000</v>
      </c>
      <c r="R103" s="448">
        <v>0</v>
      </c>
      <c r="S103" s="449">
        <v>0</v>
      </c>
      <c r="T103" s="449">
        <v>0</v>
      </c>
      <c r="U103" s="449">
        <v>0</v>
      </c>
      <c r="V103" s="404">
        <f t="shared" si="108"/>
        <v>0</v>
      </c>
      <c r="W103" s="773">
        <v>0</v>
      </c>
      <c r="X103" s="773">
        <v>0</v>
      </c>
      <c r="Y103" s="773">
        <v>0</v>
      </c>
      <c r="Z103" s="773">
        <v>0</v>
      </c>
      <c r="AA103" s="404">
        <f t="shared" ref="AA103:AA126" si="116">SUM(W103:Z103)</f>
        <v>0</v>
      </c>
      <c r="AB103" s="450">
        <v>0</v>
      </c>
      <c r="AC103" s="451">
        <v>0</v>
      </c>
      <c r="AD103" s="451">
        <v>0</v>
      </c>
      <c r="AE103" s="451">
        <v>0</v>
      </c>
      <c r="AF103" s="404">
        <f t="shared" ref="AF103:AF126" si="117">SUM(AB103:AE103)</f>
        <v>0</v>
      </c>
      <c r="AG103" s="428"/>
      <c r="AH103" s="429">
        <v>0</v>
      </c>
      <c r="AI103" s="429">
        <v>0</v>
      </c>
      <c r="AJ103" s="429">
        <v>0</v>
      </c>
      <c r="AK103" s="404">
        <f t="shared" ref="AK103:AK126" si="118">SUM(AG103:AJ103)</f>
        <v>0</v>
      </c>
      <c r="AL103" s="448">
        <v>0</v>
      </c>
      <c r="AM103" s="449">
        <v>0</v>
      </c>
      <c r="AN103" s="449">
        <v>0</v>
      </c>
      <c r="AO103" s="449">
        <v>0</v>
      </c>
      <c r="AP103" s="405">
        <f t="shared" ref="AP103:AP126" si="119">SUM(AL103:AO103)</f>
        <v>0</v>
      </c>
      <c r="AQ103" s="779">
        <f t="shared" ref="AQ103:AQ126" si="120">M103+R103+W103+AB103+AG103+AL103</f>
        <v>22500</v>
      </c>
      <c r="AR103" s="407">
        <f t="shared" ref="AR103:AR126" si="121">N103+S103+X103+AC103+AH103+AM103</f>
        <v>22500</v>
      </c>
      <c r="AS103" s="407">
        <f t="shared" ref="AS103:AS126" si="122">O103+T103+Y103+AD103+AI103+AN103</f>
        <v>22500</v>
      </c>
      <c r="AT103" s="407">
        <f t="shared" ref="AT103:AT126" si="123">P103+U103+Z103+AE103+AJ103+AO103</f>
        <v>22500</v>
      </c>
      <c r="AU103" s="408">
        <f t="shared" ref="AU103:AU126" si="124">Q103+V103+AA103+AF103+AK103+AP103</f>
        <v>90000</v>
      </c>
      <c r="AV103" s="392" t="s">
        <v>425</v>
      </c>
      <c r="AW103" s="392" t="s">
        <v>425</v>
      </c>
      <c r="AX103" s="392" t="s">
        <v>425</v>
      </c>
      <c r="AY103" s="392" t="s">
        <v>425</v>
      </c>
      <c r="AZ103" s="387" t="s">
        <v>425</v>
      </c>
      <c r="BA103" s="343"/>
      <c r="BB103" s="406">
        <f t="shared" si="111"/>
        <v>4950</v>
      </c>
      <c r="BC103" s="407">
        <f t="shared" si="112"/>
        <v>4950</v>
      </c>
      <c r="BD103" s="407">
        <f t="shared" si="113"/>
        <v>4950</v>
      </c>
      <c r="BE103" s="407">
        <f t="shared" si="114"/>
        <v>4950</v>
      </c>
      <c r="BF103" s="387">
        <f t="shared" ref="BF103:BF126" si="125">SUM(BB103:BE103)</f>
        <v>19800</v>
      </c>
      <c r="BG103" s="343"/>
      <c r="BH103" s="406">
        <f t="shared" ref="BH103:BH126" si="126">AQ103*(18%+1.5%)/100%</f>
        <v>4387.5</v>
      </c>
      <c r="BI103" s="407">
        <f t="shared" ref="BI103:BI126" si="127">AR103*(18%+1.5%)/100%</f>
        <v>4387.5</v>
      </c>
      <c r="BJ103" s="407">
        <f t="shared" ref="BJ103:BJ126" si="128">AS103*(18%+1.5%)/100%</f>
        <v>4387.5</v>
      </c>
      <c r="BK103" s="407">
        <f t="shared" ref="BK103:BK126" si="129">AT103*(18%+1.5%)/100%</f>
        <v>4387.5</v>
      </c>
      <c r="BL103" s="408">
        <f t="shared" ref="BL103:BL126" si="130">SUM(BH103:BK103)</f>
        <v>17550</v>
      </c>
    </row>
    <row r="104" spans="3:64" s="335" customFormat="1" ht="66" customHeight="1" thickBot="1">
      <c r="C104" s="1125"/>
      <c r="D104" s="409" t="s">
        <v>88</v>
      </c>
      <c r="E104" s="401">
        <v>0.22</v>
      </c>
      <c r="F104" s="401">
        <v>0.22</v>
      </c>
      <c r="G104" s="401">
        <v>0.22</v>
      </c>
      <c r="H104" s="401">
        <v>0.22</v>
      </c>
      <c r="I104" s="804">
        <v>0.25</v>
      </c>
      <c r="J104" s="804">
        <v>0.25</v>
      </c>
      <c r="K104" s="804">
        <v>0.25</v>
      </c>
      <c r="L104" s="804">
        <v>0.25</v>
      </c>
      <c r="M104" s="457">
        <f>(7500*0.25)*3</f>
        <v>5625</v>
      </c>
      <c r="N104" s="457">
        <f>(7500*0.25)*3</f>
        <v>5625</v>
      </c>
      <c r="O104" s="457">
        <f>(7500*0.25)*3</f>
        <v>5625</v>
      </c>
      <c r="P104" s="457">
        <f>(7500*0.25)*3</f>
        <v>5625</v>
      </c>
      <c r="Q104" s="459">
        <f t="shared" si="115"/>
        <v>22500</v>
      </c>
      <c r="R104" s="448">
        <v>0</v>
      </c>
      <c r="S104" s="449">
        <v>0</v>
      </c>
      <c r="T104" s="449">
        <v>0</v>
      </c>
      <c r="U104" s="449">
        <v>0</v>
      </c>
      <c r="V104" s="404">
        <f t="shared" si="108"/>
        <v>0</v>
      </c>
      <c r="W104" s="773">
        <v>0</v>
      </c>
      <c r="X104" s="773">
        <v>0</v>
      </c>
      <c r="Y104" s="773">
        <v>0</v>
      </c>
      <c r="Z104" s="773">
        <v>0</v>
      </c>
      <c r="AA104" s="404">
        <f t="shared" si="116"/>
        <v>0</v>
      </c>
      <c r="AB104" s="450">
        <v>0</v>
      </c>
      <c r="AC104" s="451">
        <v>0</v>
      </c>
      <c r="AD104" s="451">
        <v>0</v>
      </c>
      <c r="AE104" s="451">
        <v>0</v>
      </c>
      <c r="AF104" s="404">
        <f t="shared" si="117"/>
        <v>0</v>
      </c>
      <c r="AG104" s="428"/>
      <c r="AH104" s="429">
        <v>0</v>
      </c>
      <c r="AI104" s="429">
        <v>0</v>
      </c>
      <c r="AJ104" s="429">
        <v>0</v>
      </c>
      <c r="AK104" s="404">
        <f t="shared" si="118"/>
        <v>0</v>
      </c>
      <c r="AL104" s="448">
        <v>0</v>
      </c>
      <c r="AM104" s="449">
        <v>0</v>
      </c>
      <c r="AN104" s="449">
        <v>0</v>
      </c>
      <c r="AO104" s="449">
        <v>0</v>
      </c>
      <c r="AP104" s="405">
        <f t="shared" si="119"/>
        <v>0</v>
      </c>
      <c r="AQ104" s="779">
        <f t="shared" si="120"/>
        <v>5625</v>
      </c>
      <c r="AR104" s="407">
        <f t="shared" si="121"/>
        <v>5625</v>
      </c>
      <c r="AS104" s="407">
        <f t="shared" si="122"/>
        <v>5625</v>
      </c>
      <c r="AT104" s="407">
        <f t="shared" si="123"/>
        <v>5625</v>
      </c>
      <c r="AU104" s="408">
        <f t="shared" si="124"/>
        <v>22500</v>
      </c>
      <c r="AV104" s="392" t="s">
        <v>425</v>
      </c>
      <c r="AW104" s="392" t="s">
        <v>425</v>
      </c>
      <c r="AX104" s="392" t="s">
        <v>425</v>
      </c>
      <c r="AY104" s="392" t="s">
        <v>425</v>
      </c>
      <c r="AZ104" s="387" t="s">
        <v>425</v>
      </c>
      <c r="BA104" s="343"/>
      <c r="BB104" s="406">
        <f t="shared" si="111"/>
        <v>1237.5</v>
      </c>
      <c r="BC104" s="407">
        <f t="shared" si="112"/>
        <v>1237.5</v>
      </c>
      <c r="BD104" s="407">
        <f t="shared" si="113"/>
        <v>1237.5</v>
      </c>
      <c r="BE104" s="407">
        <f t="shared" si="114"/>
        <v>1237.5</v>
      </c>
      <c r="BF104" s="387">
        <f t="shared" si="125"/>
        <v>4950</v>
      </c>
      <c r="BG104" s="343"/>
      <c r="BH104" s="406">
        <f t="shared" si="126"/>
        <v>1096.875</v>
      </c>
      <c r="BI104" s="407">
        <f t="shared" si="127"/>
        <v>1096.875</v>
      </c>
      <c r="BJ104" s="407">
        <f t="shared" si="128"/>
        <v>1096.875</v>
      </c>
      <c r="BK104" s="407">
        <f t="shared" si="129"/>
        <v>1096.875</v>
      </c>
      <c r="BL104" s="408">
        <f t="shared" si="130"/>
        <v>4387.5</v>
      </c>
    </row>
    <row r="105" spans="3:64" s="335" customFormat="1" ht="27.75" customHeight="1" thickBot="1">
      <c r="C105" s="1125"/>
      <c r="D105" s="409" t="s">
        <v>187</v>
      </c>
      <c r="E105" s="401">
        <v>0.22</v>
      </c>
      <c r="F105" s="401">
        <v>0.22</v>
      </c>
      <c r="G105" s="401">
        <v>0.22</v>
      </c>
      <c r="H105" s="401">
        <v>0.22</v>
      </c>
      <c r="I105" s="715">
        <v>4</v>
      </c>
      <c r="J105" s="715">
        <v>4</v>
      </c>
      <c r="K105" s="715">
        <v>4</v>
      </c>
      <c r="L105" s="715">
        <v>4</v>
      </c>
      <c r="M105" s="457">
        <f>(7500*4)*3</f>
        <v>90000</v>
      </c>
      <c r="N105" s="457">
        <f>(7500*4)*3</f>
        <v>90000</v>
      </c>
      <c r="O105" s="457">
        <f>(7500*4)*3</f>
        <v>90000</v>
      </c>
      <c r="P105" s="457">
        <f>(7500*4)*3</f>
        <v>90000</v>
      </c>
      <c r="Q105" s="459">
        <f t="shared" si="115"/>
        <v>360000</v>
      </c>
      <c r="R105" s="448">
        <v>0</v>
      </c>
      <c r="S105" s="449">
        <v>0</v>
      </c>
      <c r="T105" s="449">
        <v>0</v>
      </c>
      <c r="U105" s="449">
        <v>0</v>
      </c>
      <c r="V105" s="404">
        <f t="shared" si="108"/>
        <v>0</v>
      </c>
      <c r="W105" s="773">
        <f>(M105*0.1*1.5)*2</f>
        <v>27000</v>
      </c>
      <c r="X105" s="773">
        <f>(N105*0.1*1.5)*2</f>
        <v>27000</v>
      </c>
      <c r="Y105" s="773">
        <f>(O105*0.1*1.5)*2</f>
        <v>27000</v>
      </c>
      <c r="Z105" s="773">
        <f>(P105*0.1*1.5)*2</f>
        <v>27000</v>
      </c>
      <c r="AA105" s="404">
        <f t="shared" si="116"/>
        <v>108000</v>
      </c>
      <c r="AB105" s="450">
        <v>0</v>
      </c>
      <c r="AC105" s="451">
        <v>0</v>
      </c>
      <c r="AD105" s="451">
        <v>0</v>
      </c>
      <c r="AE105" s="451">
        <v>0</v>
      </c>
      <c r="AF105" s="404">
        <f t="shared" si="117"/>
        <v>0</v>
      </c>
      <c r="AG105" s="428">
        <f>M105*0.5</f>
        <v>45000</v>
      </c>
      <c r="AH105" s="428">
        <f>N105*0.5</f>
        <v>45000</v>
      </c>
      <c r="AI105" s="428">
        <f>O105*0.5</f>
        <v>45000</v>
      </c>
      <c r="AJ105" s="428">
        <f>P105*0.5</f>
        <v>45000</v>
      </c>
      <c r="AK105" s="404">
        <f t="shared" si="118"/>
        <v>180000</v>
      </c>
      <c r="AL105" s="448">
        <v>0</v>
      </c>
      <c r="AM105" s="449">
        <v>0</v>
      </c>
      <c r="AN105" s="449">
        <v>0</v>
      </c>
      <c r="AO105" s="449">
        <v>0</v>
      </c>
      <c r="AP105" s="405">
        <f t="shared" si="119"/>
        <v>0</v>
      </c>
      <c r="AQ105" s="779">
        <f t="shared" si="120"/>
        <v>162000</v>
      </c>
      <c r="AR105" s="407">
        <f t="shared" si="121"/>
        <v>162000</v>
      </c>
      <c r="AS105" s="407">
        <f t="shared" si="122"/>
        <v>162000</v>
      </c>
      <c r="AT105" s="407">
        <f t="shared" si="123"/>
        <v>162000</v>
      </c>
      <c r="AU105" s="408">
        <f t="shared" si="124"/>
        <v>648000</v>
      </c>
      <c r="AV105" s="392" t="s">
        <v>425</v>
      </c>
      <c r="AW105" s="392" t="s">
        <v>425</v>
      </c>
      <c r="AX105" s="392" t="s">
        <v>425</v>
      </c>
      <c r="AY105" s="392" t="s">
        <v>425</v>
      </c>
      <c r="AZ105" s="387" t="s">
        <v>425</v>
      </c>
      <c r="BA105" s="343"/>
      <c r="BB105" s="406">
        <f t="shared" si="111"/>
        <v>35640</v>
      </c>
      <c r="BC105" s="407">
        <f t="shared" si="112"/>
        <v>35640</v>
      </c>
      <c r="BD105" s="407">
        <f t="shared" si="113"/>
        <v>35640</v>
      </c>
      <c r="BE105" s="407">
        <f t="shared" si="114"/>
        <v>35640</v>
      </c>
      <c r="BF105" s="387">
        <f t="shared" si="125"/>
        <v>142560</v>
      </c>
      <c r="BG105" s="343"/>
      <c r="BH105" s="406">
        <f t="shared" si="126"/>
        <v>31590</v>
      </c>
      <c r="BI105" s="407">
        <f t="shared" si="127"/>
        <v>31590</v>
      </c>
      <c r="BJ105" s="407">
        <f t="shared" si="128"/>
        <v>31590</v>
      </c>
      <c r="BK105" s="407">
        <f t="shared" si="129"/>
        <v>31590</v>
      </c>
      <c r="BL105" s="408">
        <f t="shared" si="130"/>
        <v>126360</v>
      </c>
    </row>
    <row r="106" spans="3:64" s="335" customFormat="1" ht="21.75" customHeight="1">
      <c r="C106" s="1125"/>
      <c r="D106" s="409" t="s">
        <v>188</v>
      </c>
      <c r="E106" s="401">
        <v>0.22</v>
      </c>
      <c r="F106" s="401">
        <v>0.22</v>
      </c>
      <c r="G106" s="401">
        <v>0.22</v>
      </c>
      <c r="H106" s="401">
        <v>0.22</v>
      </c>
      <c r="I106" s="715">
        <v>6</v>
      </c>
      <c r="J106" s="715">
        <v>6</v>
      </c>
      <c r="K106" s="715">
        <v>6</v>
      </c>
      <c r="L106" s="715">
        <v>6</v>
      </c>
      <c r="M106" s="457">
        <f>(7500*6)*3</f>
        <v>135000</v>
      </c>
      <c r="N106" s="457">
        <f>(7500*6)*3</f>
        <v>135000</v>
      </c>
      <c r="O106" s="457">
        <f>(7500*6)*3</f>
        <v>135000</v>
      </c>
      <c r="P106" s="457">
        <f>(7500*6)*3</f>
        <v>135000</v>
      </c>
      <c r="Q106" s="459">
        <f t="shared" si="115"/>
        <v>540000</v>
      </c>
      <c r="R106" s="448">
        <v>0</v>
      </c>
      <c r="S106" s="449">
        <v>0</v>
      </c>
      <c r="T106" s="449">
        <v>0</v>
      </c>
      <c r="U106" s="449">
        <v>0</v>
      </c>
      <c r="V106" s="404">
        <f t="shared" si="108"/>
        <v>0</v>
      </c>
      <c r="W106" s="773">
        <v>0</v>
      </c>
      <c r="X106" s="773">
        <v>0</v>
      </c>
      <c r="Y106" s="773">
        <v>0</v>
      </c>
      <c r="Z106" s="773">
        <v>0</v>
      </c>
      <c r="AA106" s="404">
        <f t="shared" si="116"/>
        <v>0</v>
      </c>
      <c r="AB106" s="450">
        <v>0</v>
      </c>
      <c r="AC106" s="451">
        <v>0</v>
      </c>
      <c r="AD106" s="451">
        <v>0</v>
      </c>
      <c r="AE106" s="451">
        <v>0</v>
      </c>
      <c r="AF106" s="404">
        <f t="shared" si="117"/>
        <v>0</v>
      </c>
      <c r="AG106" s="428">
        <v>0</v>
      </c>
      <c r="AH106" s="429">
        <v>0</v>
      </c>
      <c r="AI106" s="429">
        <v>0</v>
      </c>
      <c r="AJ106" s="429">
        <v>0</v>
      </c>
      <c r="AK106" s="404">
        <f t="shared" si="118"/>
        <v>0</v>
      </c>
      <c r="AL106" s="448">
        <v>0</v>
      </c>
      <c r="AM106" s="449">
        <v>0</v>
      </c>
      <c r="AN106" s="449">
        <v>0</v>
      </c>
      <c r="AO106" s="449">
        <v>0</v>
      </c>
      <c r="AP106" s="405">
        <f t="shared" si="119"/>
        <v>0</v>
      </c>
      <c r="AQ106" s="779">
        <f t="shared" si="120"/>
        <v>135000</v>
      </c>
      <c r="AR106" s="407">
        <f t="shared" si="121"/>
        <v>135000</v>
      </c>
      <c r="AS106" s="407">
        <f t="shared" si="122"/>
        <v>135000</v>
      </c>
      <c r="AT106" s="407">
        <f t="shared" si="123"/>
        <v>135000</v>
      </c>
      <c r="AU106" s="408">
        <f t="shared" si="124"/>
        <v>540000</v>
      </c>
      <c r="AV106" s="392" t="s">
        <v>425</v>
      </c>
      <c r="AW106" s="392" t="s">
        <v>425</v>
      </c>
      <c r="AX106" s="392" t="s">
        <v>425</v>
      </c>
      <c r="AY106" s="392" t="s">
        <v>425</v>
      </c>
      <c r="AZ106" s="387" t="s">
        <v>425</v>
      </c>
      <c r="BA106" s="343"/>
      <c r="BB106" s="406">
        <f t="shared" si="111"/>
        <v>29700</v>
      </c>
      <c r="BC106" s="407">
        <f t="shared" si="112"/>
        <v>29700</v>
      </c>
      <c r="BD106" s="407">
        <f t="shared" si="113"/>
        <v>29700</v>
      </c>
      <c r="BE106" s="407">
        <f t="shared" si="114"/>
        <v>29700</v>
      </c>
      <c r="BF106" s="387">
        <f t="shared" si="125"/>
        <v>118800</v>
      </c>
      <c r="BG106" s="343"/>
      <c r="BH106" s="406">
        <f t="shared" si="126"/>
        <v>26325</v>
      </c>
      <c r="BI106" s="407">
        <f t="shared" si="127"/>
        <v>26325</v>
      </c>
      <c r="BJ106" s="407">
        <f t="shared" si="128"/>
        <v>26325</v>
      </c>
      <c r="BK106" s="407">
        <f t="shared" si="129"/>
        <v>26325</v>
      </c>
      <c r="BL106" s="408">
        <f t="shared" si="130"/>
        <v>105300</v>
      </c>
    </row>
    <row r="107" spans="3:64" s="335" customFormat="1">
      <c r="C107" s="1125"/>
      <c r="D107" s="409"/>
      <c r="E107" s="400"/>
      <c r="F107" s="401"/>
      <c r="G107" s="401"/>
      <c r="H107" s="402"/>
      <c r="I107" s="457"/>
      <c r="J107" s="451"/>
      <c r="K107" s="451"/>
      <c r="L107" s="458"/>
      <c r="M107" s="450"/>
      <c r="N107" s="451"/>
      <c r="O107" s="451"/>
      <c r="P107" s="452"/>
      <c r="Q107" s="459">
        <f t="shared" si="115"/>
        <v>0</v>
      </c>
      <c r="R107" s="450"/>
      <c r="S107" s="451"/>
      <c r="T107" s="451"/>
      <c r="U107" s="451"/>
      <c r="V107" s="404">
        <f t="shared" si="108"/>
        <v>0</v>
      </c>
      <c r="W107" s="767"/>
      <c r="X107" s="768"/>
      <c r="Y107" s="768"/>
      <c r="Z107" s="768"/>
      <c r="AA107" s="404">
        <f t="shared" si="116"/>
        <v>0</v>
      </c>
      <c r="AB107" s="450"/>
      <c r="AC107" s="451"/>
      <c r="AD107" s="451"/>
      <c r="AE107" s="451"/>
      <c r="AF107" s="404">
        <f t="shared" si="117"/>
        <v>0</v>
      </c>
      <c r="AG107" s="428"/>
      <c r="AH107" s="429"/>
      <c r="AI107" s="429"/>
      <c r="AJ107" s="429"/>
      <c r="AK107" s="404">
        <f t="shared" si="118"/>
        <v>0</v>
      </c>
      <c r="AL107" s="436"/>
      <c r="AM107" s="437"/>
      <c r="AN107" s="437"/>
      <c r="AO107" s="437"/>
      <c r="AP107" s="405">
        <f t="shared" si="119"/>
        <v>0</v>
      </c>
      <c r="AQ107" s="779">
        <f t="shared" si="120"/>
        <v>0</v>
      </c>
      <c r="AR107" s="407">
        <f t="shared" si="121"/>
        <v>0</v>
      </c>
      <c r="AS107" s="407">
        <f t="shared" si="122"/>
        <v>0</v>
      </c>
      <c r="AT107" s="407">
        <f t="shared" si="123"/>
        <v>0</v>
      </c>
      <c r="AU107" s="408">
        <f t="shared" si="124"/>
        <v>0</v>
      </c>
      <c r="AV107" s="392" t="s">
        <v>425</v>
      </c>
      <c r="AW107" s="392" t="s">
        <v>425</v>
      </c>
      <c r="AX107" s="392" t="s">
        <v>425</v>
      </c>
      <c r="AY107" s="392" t="s">
        <v>425</v>
      </c>
      <c r="AZ107" s="387" t="s">
        <v>425</v>
      </c>
      <c r="BA107" s="343"/>
      <c r="BB107" s="406">
        <f t="shared" si="111"/>
        <v>0</v>
      </c>
      <c r="BC107" s="407">
        <f t="shared" si="112"/>
        <v>0</v>
      </c>
      <c r="BD107" s="407">
        <f t="shared" si="113"/>
        <v>0</v>
      </c>
      <c r="BE107" s="407">
        <f t="shared" si="114"/>
        <v>0</v>
      </c>
      <c r="BF107" s="387">
        <f t="shared" si="125"/>
        <v>0</v>
      </c>
      <c r="BG107" s="343"/>
      <c r="BH107" s="406">
        <f t="shared" si="126"/>
        <v>0</v>
      </c>
      <c r="BI107" s="407">
        <f t="shared" si="127"/>
        <v>0</v>
      </c>
      <c r="BJ107" s="407">
        <f t="shared" si="128"/>
        <v>0</v>
      </c>
      <c r="BK107" s="407">
        <f t="shared" si="129"/>
        <v>0</v>
      </c>
      <c r="BL107" s="408">
        <f t="shared" si="130"/>
        <v>0</v>
      </c>
    </row>
    <row r="108" spans="3:64" s="335" customFormat="1">
      <c r="C108" s="1125"/>
      <c r="D108" s="409"/>
      <c r="E108" s="400"/>
      <c r="F108" s="401"/>
      <c r="G108" s="401"/>
      <c r="H108" s="402"/>
      <c r="I108" s="457"/>
      <c r="J108" s="451"/>
      <c r="K108" s="451"/>
      <c r="L108" s="458"/>
      <c r="M108" s="450"/>
      <c r="N108" s="451"/>
      <c r="O108" s="451"/>
      <c r="P108" s="452"/>
      <c r="Q108" s="459">
        <f t="shared" si="115"/>
        <v>0</v>
      </c>
      <c r="R108" s="450"/>
      <c r="S108" s="451"/>
      <c r="T108" s="451"/>
      <c r="U108" s="451"/>
      <c r="V108" s="404">
        <f t="shared" si="108"/>
        <v>0</v>
      </c>
      <c r="W108" s="767"/>
      <c r="X108" s="768"/>
      <c r="Y108" s="768"/>
      <c r="Z108" s="768"/>
      <c r="AA108" s="404">
        <f t="shared" si="116"/>
        <v>0</v>
      </c>
      <c r="AB108" s="450"/>
      <c r="AC108" s="451"/>
      <c r="AD108" s="451"/>
      <c r="AE108" s="451"/>
      <c r="AF108" s="404">
        <f t="shared" si="117"/>
        <v>0</v>
      </c>
      <c r="AG108" s="428"/>
      <c r="AH108" s="429"/>
      <c r="AI108" s="429"/>
      <c r="AJ108" s="429"/>
      <c r="AK108" s="404">
        <f t="shared" si="118"/>
        <v>0</v>
      </c>
      <c r="AL108" s="436"/>
      <c r="AM108" s="437"/>
      <c r="AN108" s="437"/>
      <c r="AO108" s="437"/>
      <c r="AP108" s="405">
        <f t="shared" si="119"/>
        <v>0</v>
      </c>
      <c r="AQ108" s="779">
        <f t="shared" si="120"/>
        <v>0</v>
      </c>
      <c r="AR108" s="407">
        <f t="shared" si="121"/>
        <v>0</v>
      </c>
      <c r="AS108" s="407">
        <f t="shared" si="122"/>
        <v>0</v>
      </c>
      <c r="AT108" s="407">
        <f t="shared" si="123"/>
        <v>0</v>
      </c>
      <c r="AU108" s="408">
        <f t="shared" si="124"/>
        <v>0</v>
      </c>
      <c r="AV108" s="392" t="s">
        <v>425</v>
      </c>
      <c r="AW108" s="392" t="s">
        <v>425</v>
      </c>
      <c r="AX108" s="392" t="s">
        <v>425</v>
      </c>
      <c r="AY108" s="392" t="s">
        <v>425</v>
      </c>
      <c r="AZ108" s="387" t="s">
        <v>425</v>
      </c>
      <c r="BA108" s="343"/>
      <c r="BB108" s="406">
        <f t="shared" si="111"/>
        <v>0</v>
      </c>
      <c r="BC108" s="407">
        <f t="shared" si="112"/>
        <v>0</v>
      </c>
      <c r="BD108" s="407">
        <f t="shared" si="113"/>
        <v>0</v>
      </c>
      <c r="BE108" s="407">
        <f t="shared" si="114"/>
        <v>0</v>
      </c>
      <c r="BF108" s="387">
        <f t="shared" si="125"/>
        <v>0</v>
      </c>
      <c r="BG108" s="343"/>
      <c r="BH108" s="406">
        <f t="shared" si="126"/>
        <v>0</v>
      </c>
      <c r="BI108" s="407">
        <f t="shared" si="127"/>
        <v>0</v>
      </c>
      <c r="BJ108" s="407">
        <f t="shared" si="128"/>
        <v>0</v>
      </c>
      <c r="BK108" s="407">
        <f t="shared" si="129"/>
        <v>0</v>
      </c>
      <c r="BL108" s="408">
        <f t="shared" si="130"/>
        <v>0</v>
      </c>
    </row>
    <row r="109" spans="3:64" s="335" customFormat="1">
      <c r="C109" s="1125"/>
      <c r="D109" s="409"/>
      <c r="E109" s="400"/>
      <c r="F109" s="401"/>
      <c r="G109" s="401"/>
      <c r="H109" s="402"/>
      <c r="I109" s="457"/>
      <c r="J109" s="451"/>
      <c r="K109" s="451"/>
      <c r="L109" s="458"/>
      <c r="M109" s="450"/>
      <c r="N109" s="451"/>
      <c r="O109" s="451"/>
      <c r="P109" s="452"/>
      <c r="Q109" s="459">
        <f t="shared" si="115"/>
        <v>0</v>
      </c>
      <c r="R109" s="436"/>
      <c r="S109" s="437"/>
      <c r="T109" s="437"/>
      <c r="U109" s="437"/>
      <c r="V109" s="404">
        <f t="shared" si="108"/>
        <v>0</v>
      </c>
      <c r="W109" s="767"/>
      <c r="X109" s="768"/>
      <c r="Y109" s="768"/>
      <c r="Z109" s="768"/>
      <c r="AA109" s="404">
        <f t="shared" si="116"/>
        <v>0</v>
      </c>
      <c r="AB109" s="450"/>
      <c r="AC109" s="451"/>
      <c r="AD109" s="451"/>
      <c r="AE109" s="451"/>
      <c r="AF109" s="404">
        <f t="shared" si="117"/>
        <v>0</v>
      </c>
      <c r="AG109" s="428"/>
      <c r="AH109" s="429"/>
      <c r="AI109" s="429"/>
      <c r="AJ109" s="429"/>
      <c r="AK109" s="404">
        <f t="shared" si="118"/>
        <v>0</v>
      </c>
      <c r="AL109" s="436"/>
      <c r="AM109" s="437"/>
      <c r="AN109" s="437"/>
      <c r="AO109" s="437"/>
      <c r="AP109" s="405">
        <f t="shared" si="119"/>
        <v>0</v>
      </c>
      <c r="AQ109" s="779">
        <f t="shared" si="120"/>
        <v>0</v>
      </c>
      <c r="AR109" s="407">
        <f t="shared" si="121"/>
        <v>0</v>
      </c>
      <c r="AS109" s="407">
        <f t="shared" si="122"/>
        <v>0</v>
      </c>
      <c r="AT109" s="407">
        <f t="shared" si="123"/>
        <v>0</v>
      </c>
      <c r="AU109" s="408">
        <f t="shared" si="124"/>
        <v>0</v>
      </c>
      <c r="AV109" s="392" t="s">
        <v>425</v>
      </c>
      <c r="AW109" s="392" t="s">
        <v>425</v>
      </c>
      <c r="AX109" s="392" t="s">
        <v>425</v>
      </c>
      <c r="AY109" s="392" t="s">
        <v>425</v>
      </c>
      <c r="AZ109" s="387" t="s">
        <v>425</v>
      </c>
      <c r="BA109" s="343"/>
      <c r="BB109" s="406">
        <f t="shared" si="111"/>
        <v>0</v>
      </c>
      <c r="BC109" s="407">
        <f t="shared" si="112"/>
        <v>0</v>
      </c>
      <c r="BD109" s="407">
        <f t="shared" si="113"/>
        <v>0</v>
      </c>
      <c r="BE109" s="407">
        <f t="shared" si="114"/>
        <v>0</v>
      </c>
      <c r="BF109" s="387">
        <f t="shared" si="125"/>
        <v>0</v>
      </c>
      <c r="BG109" s="343"/>
      <c r="BH109" s="406">
        <f t="shared" si="126"/>
        <v>0</v>
      </c>
      <c r="BI109" s="407">
        <f t="shared" si="127"/>
        <v>0</v>
      </c>
      <c r="BJ109" s="407">
        <f t="shared" si="128"/>
        <v>0</v>
      </c>
      <c r="BK109" s="407">
        <f t="shared" si="129"/>
        <v>0</v>
      </c>
      <c r="BL109" s="408">
        <f t="shared" si="130"/>
        <v>0</v>
      </c>
    </row>
    <row r="110" spans="3:64" s="335" customFormat="1" ht="18" customHeight="1">
      <c r="C110" s="1125"/>
      <c r="D110" s="409"/>
      <c r="E110" s="400"/>
      <c r="F110" s="401"/>
      <c r="G110" s="401"/>
      <c r="H110" s="402"/>
      <c r="I110" s="457"/>
      <c r="J110" s="451"/>
      <c r="K110" s="451"/>
      <c r="L110" s="458"/>
      <c r="M110" s="450"/>
      <c r="N110" s="451"/>
      <c r="O110" s="451"/>
      <c r="P110" s="452"/>
      <c r="Q110" s="459">
        <f t="shared" si="115"/>
        <v>0</v>
      </c>
      <c r="R110" s="436"/>
      <c r="S110" s="437"/>
      <c r="T110" s="437"/>
      <c r="U110" s="437"/>
      <c r="V110" s="404">
        <f t="shared" si="108"/>
        <v>0</v>
      </c>
      <c r="W110" s="767"/>
      <c r="X110" s="768"/>
      <c r="Y110" s="768"/>
      <c r="Z110" s="768"/>
      <c r="AA110" s="404">
        <f t="shared" si="116"/>
        <v>0</v>
      </c>
      <c r="AB110" s="450"/>
      <c r="AC110" s="451"/>
      <c r="AD110" s="451"/>
      <c r="AE110" s="451"/>
      <c r="AF110" s="404">
        <f t="shared" si="117"/>
        <v>0</v>
      </c>
      <c r="AG110" s="428"/>
      <c r="AH110" s="429"/>
      <c r="AI110" s="429"/>
      <c r="AJ110" s="429"/>
      <c r="AK110" s="404">
        <f t="shared" si="118"/>
        <v>0</v>
      </c>
      <c r="AL110" s="436"/>
      <c r="AM110" s="437"/>
      <c r="AN110" s="437"/>
      <c r="AO110" s="437"/>
      <c r="AP110" s="405">
        <f t="shared" si="119"/>
        <v>0</v>
      </c>
      <c r="AQ110" s="779">
        <f t="shared" si="120"/>
        <v>0</v>
      </c>
      <c r="AR110" s="407">
        <f t="shared" si="121"/>
        <v>0</v>
      </c>
      <c r="AS110" s="407">
        <f t="shared" si="122"/>
        <v>0</v>
      </c>
      <c r="AT110" s="407">
        <f t="shared" si="123"/>
        <v>0</v>
      </c>
      <c r="AU110" s="408">
        <f t="shared" si="124"/>
        <v>0</v>
      </c>
      <c r="AV110" s="392" t="s">
        <v>425</v>
      </c>
      <c r="AW110" s="392" t="s">
        <v>425</v>
      </c>
      <c r="AX110" s="392" t="s">
        <v>425</v>
      </c>
      <c r="AY110" s="392" t="s">
        <v>425</v>
      </c>
      <c r="AZ110" s="387" t="s">
        <v>425</v>
      </c>
      <c r="BA110" s="343"/>
      <c r="BB110" s="406">
        <f t="shared" si="111"/>
        <v>0</v>
      </c>
      <c r="BC110" s="407">
        <f t="shared" si="112"/>
        <v>0</v>
      </c>
      <c r="BD110" s="407">
        <f t="shared" si="113"/>
        <v>0</v>
      </c>
      <c r="BE110" s="407">
        <f t="shared" si="114"/>
        <v>0</v>
      </c>
      <c r="BF110" s="387">
        <f t="shared" si="125"/>
        <v>0</v>
      </c>
      <c r="BG110" s="343"/>
      <c r="BH110" s="406">
        <f t="shared" si="126"/>
        <v>0</v>
      </c>
      <c r="BI110" s="407">
        <f t="shared" si="127"/>
        <v>0</v>
      </c>
      <c r="BJ110" s="407">
        <f t="shared" si="128"/>
        <v>0</v>
      </c>
      <c r="BK110" s="407">
        <f t="shared" si="129"/>
        <v>0</v>
      </c>
      <c r="BL110" s="408">
        <f t="shared" si="130"/>
        <v>0</v>
      </c>
    </row>
    <row r="111" spans="3:64" s="335" customFormat="1">
      <c r="C111" s="1125"/>
      <c r="D111" s="409"/>
      <c r="E111" s="400"/>
      <c r="F111" s="401"/>
      <c r="G111" s="401"/>
      <c r="H111" s="402"/>
      <c r="I111" s="457"/>
      <c r="J111" s="451"/>
      <c r="K111" s="451"/>
      <c r="L111" s="458"/>
      <c r="M111" s="450"/>
      <c r="N111" s="451"/>
      <c r="O111" s="451"/>
      <c r="P111" s="452"/>
      <c r="Q111" s="459">
        <f t="shared" si="115"/>
        <v>0</v>
      </c>
      <c r="R111" s="436"/>
      <c r="S111" s="437"/>
      <c r="T111" s="437"/>
      <c r="U111" s="437"/>
      <c r="V111" s="404">
        <f t="shared" si="108"/>
        <v>0</v>
      </c>
      <c r="W111" s="767"/>
      <c r="X111" s="768"/>
      <c r="Y111" s="768"/>
      <c r="Z111" s="768"/>
      <c r="AA111" s="404">
        <f t="shared" si="116"/>
        <v>0</v>
      </c>
      <c r="AB111" s="450"/>
      <c r="AC111" s="451"/>
      <c r="AD111" s="451"/>
      <c r="AE111" s="451"/>
      <c r="AF111" s="404">
        <f t="shared" si="117"/>
        <v>0</v>
      </c>
      <c r="AG111" s="428"/>
      <c r="AH111" s="429"/>
      <c r="AI111" s="429"/>
      <c r="AJ111" s="429"/>
      <c r="AK111" s="404">
        <f t="shared" si="118"/>
        <v>0</v>
      </c>
      <c r="AL111" s="436"/>
      <c r="AM111" s="437"/>
      <c r="AN111" s="437"/>
      <c r="AO111" s="437"/>
      <c r="AP111" s="405">
        <f t="shared" si="119"/>
        <v>0</v>
      </c>
      <c r="AQ111" s="779">
        <f t="shared" si="120"/>
        <v>0</v>
      </c>
      <c r="AR111" s="407">
        <f t="shared" si="121"/>
        <v>0</v>
      </c>
      <c r="AS111" s="407">
        <f t="shared" si="122"/>
        <v>0</v>
      </c>
      <c r="AT111" s="407">
        <f t="shared" si="123"/>
        <v>0</v>
      </c>
      <c r="AU111" s="408">
        <f t="shared" si="124"/>
        <v>0</v>
      </c>
      <c r="AV111" s="392" t="s">
        <v>425</v>
      </c>
      <c r="AW111" s="392" t="s">
        <v>425</v>
      </c>
      <c r="AX111" s="392" t="s">
        <v>425</v>
      </c>
      <c r="AY111" s="392" t="s">
        <v>425</v>
      </c>
      <c r="AZ111" s="387" t="s">
        <v>425</v>
      </c>
      <c r="BA111" s="343"/>
      <c r="BB111" s="406">
        <f t="shared" si="111"/>
        <v>0</v>
      </c>
      <c r="BC111" s="407">
        <f t="shared" si="112"/>
        <v>0</v>
      </c>
      <c r="BD111" s="407">
        <f t="shared" si="113"/>
        <v>0</v>
      </c>
      <c r="BE111" s="407">
        <f t="shared" si="114"/>
        <v>0</v>
      </c>
      <c r="BF111" s="387">
        <f t="shared" si="125"/>
        <v>0</v>
      </c>
      <c r="BG111" s="343"/>
      <c r="BH111" s="406">
        <f t="shared" si="126"/>
        <v>0</v>
      </c>
      <c r="BI111" s="407">
        <f t="shared" si="127"/>
        <v>0</v>
      </c>
      <c r="BJ111" s="407">
        <f t="shared" si="128"/>
        <v>0</v>
      </c>
      <c r="BK111" s="407">
        <f t="shared" si="129"/>
        <v>0</v>
      </c>
      <c r="BL111" s="408">
        <f t="shared" si="130"/>
        <v>0</v>
      </c>
    </row>
    <row r="112" spans="3:64" s="335" customFormat="1">
      <c r="C112" s="1125"/>
      <c r="D112" s="409"/>
      <c r="E112" s="400"/>
      <c r="F112" s="401"/>
      <c r="G112" s="401"/>
      <c r="H112" s="402"/>
      <c r="I112" s="457"/>
      <c r="J112" s="451"/>
      <c r="K112" s="451"/>
      <c r="L112" s="458"/>
      <c r="M112" s="450"/>
      <c r="N112" s="451"/>
      <c r="O112" s="451"/>
      <c r="P112" s="452"/>
      <c r="Q112" s="459">
        <f t="shared" si="115"/>
        <v>0</v>
      </c>
      <c r="R112" s="450"/>
      <c r="S112" s="451"/>
      <c r="T112" s="451"/>
      <c r="U112" s="451"/>
      <c r="V112" s="404">
        <f t="shared" si="108"/>
        <v>0</v>
      </c>
      <c r="W112" s="767"/>
      <c r="X112" s="768"/>
      <c r="Y112" s="768"/>
      <c r="Z112" s="768"/>
      <c r="AA112" s="404">
        <f t="shared" si="116"/>
        <v>0</v>
      </c>
      <c r="AB112" s="450"/>
      <c r="AC112" s="451"/>
      <c r="AD112" s="451"/>
      <c r="AE112" s="451"/>
      <c r="AF112" s="404">
        <f t="shared" si="117"/>
        <v>0</v>
      </c>
      <c r="AG112" s="428"/>
      <c r="AH112" s="429"/>
      <c r="AI112" s="429"/>
      <c r="AJ112" s="429"/>
      <c r="AK112" s="404">
        <f t="shared" si="118"/>
        <v>0</v>
      </c>
      <c r="AL112" s="436"/>
      <c r="AM112" s="437"/>
      <c r="AN112" s="437"/>
      <c r="AO112" s="437"/>
      <c r="AP112" s="405">
        <f t="shared" si="119"/>
        <v>0</v>
      </c>
      <c r="AQ112" s="779">
        <f t="shared" si="120"/>
        <v>0</v>
      </c>
      <c r="AR112" s="407">
        <f t="shared" si="121"/>
        <v>0</v>
      </c>
      <c r="AS112" s="407">
        <f t="shared" si="122"/>
        <v>0</v>
      </c>
      <c r="AT112" s="407">
        <f t="shared" si="123"/>
        <v>0</v>
      </c>
      <c r="AU112" s="408">
        <f t="shared" si="124"/>
        <v>0</v>
      </c>
      <c r="AV112" s="392" t="s">
        <v>425</v>
      </c>
      <c r="AW112" s="392" t="s">
        <v>425</v>
      </c>
      <c r="AX112" s="392" t="s">
        <v>425</v>
      </c>
      <c r="AY112" s="392" t="s">
        <v>425</v>
      </c>
      <c r="AZ112" s="387" t="s">
        <v>425</v>
      </c>
      <c r="BA112" s="343"/>
      <c r="BB112" s="406">
        <f t="shared" si="111"/>
        <v>0</v>
      </c>
      <c r="BC112" s="407">
        <f t="shared" si="112"/>
        <v>0</v>
      </c>
      <c r="BD112" s="407">
        <f t="shared" si="113"/>
        <v>0</v>
      </c>
      <c r="BE112" s="407">
        <f t="shared" si="114"/>
        <v>0</v>
      </c>
      <c r="BF112" s="387">
        <f t="shared" si="125"/>
        <v>0</v>
      </c>
      <c r="BG112" s="343"/>
      <c r="BH112" s="406">
        <f t="shared" si="126"/>
        <v>0</v>
      </c>
      <c r="BI112" s="407">
        <f t="shared" si="127"/>
        <v>0</v>
      </c>
      <c r="BJ112" s="407">
        <f t="shared" si="128"/>
        <v>0</v>
      </c>
      <c r="BK112" s="407">
        <f t="shared" si="129"/>
        <v>0</v>
      </c>
      <c r="BL112" s="408">
        <f t="shared" si="130"/>
        <v>0</v>
      </c>
    </row>
    <row r="113" spans="3:64" s="335" customFormat="1" ht="18" customHeight="1">
      <c r="C113" s="1125"/>
      <c r="D113" s="409"/>
      <c r="E113" s="400"/>
      <c r="F113" s="401"/>
      <c r="G113" s="401"/>
      <c r="H113" s="402"/>
      <c r="I113" s="457"/>
      <c r="J113" s="451"/>
      <c r="K113" s="451"/>
      <c r="L113" s="458"/>
      <c r="M113" s="450"/>
      <c r="N113" s="451"/>
      <c r="O113" s="451"/>
      <c r="P113" s="452"/>
      <c r="Q113" s="459">
        <f t="shared" si="115"/>
        <v>0</v>
      </c>
      <c r="R113" s="436"/>
      <c r="S113" s="437"/>
      <c r="T113" s="437"/>
      <c r="U113" s="437"/>
      <c r="V113" s="404">
        <f t="shared" si="108"/>
        <v>0</v>
      </c>
      <c r="W113" s="767"/>
      <c r="X113" s="768"/>
      <c r="Y113" s="768"/>
      <c r="Z113" s="768"/>
      <c r="AA113" s="404">
        <f t="shared" si="116"/>
        <v>0</v>
      </c>
      <c r="AB113" s="450"/>
      <c r="AC113" s="451"/>
      <c r="AD113" s="451"/>
      <c r="AE113" s="451"/>
      <c r="AF113" s="404">
        <f t="shared" si="117"/>
        <v>0</v>
      </c>
      <c r="AG113" s="428"/>
      <c r="AH113" s="429"/>
      <c r="AI113" s="429"/>
      <c r="AJ113" s="429"/>
      <c r="AK113" s="404">
        <f t="shared" si="118"/>
        <v>0</v>
      </c>
      <c r="AL113" s="436"/>
      <c r="AM113" s="437"/>
      <c r="AN113" s="437"/>
      <c r="AO113" s="437"/>
      <c r="AP113" s="405">
        <f t="shared" si="119"/>
        <v>0</v>
      </c>
      <c r="AQ113" s="779">
        <f t="shared" si="120"/>
        <v>0</v>
      </c>
      <c r="AR113" s="407">
        <f t="shared" si="121"/>
        <v>0</v>
      </c>
      <c r="AS113" s="407">
        <f t="shared" si="122"/>
        <v>0</v>
      </c>
      <c r="AT113" s="407">
        <f t="shared" si="123"/>
        <v>0</v>
      </c>
      <c r="AU113" s="408">
        <f t="shared" si="124"/>
        <v>0</v>
      </c>
      <c r="AV113" s="392" t="s">
        <v>425</v>
      </c>
      <c r="AW113" s="392" t="s">
        <v>425</v>
      </c>
      <c r="AX113" s="392" t="s">
        <v>425</v>
      </c>
      <c r="AY113" s="392" t="s">
        <v>425</v>
      </c>
      <c r="AZ113" s="387" t="s">
        <v>425</v>
      </c>
      <c r="BA113" s="343"/>
      <c r="BB113" s="406">
        <f t="shared" si="111"/>
        <v>0</v>
      </c>
      <c r="BC113" s="407">
        <f t="shared" si="112"/>
        <v>0</v>
      </c>
      <c r="BD113" s="407">
        <f t="shared" si="113"/>
        <v>0</v>
      </c>
      <c r="BE113" s="407">
        <f t="shared" si="114"/>
        <v>0</v>
      </c>
      <c r="BF113" s="387">
        <f t="shared" si="125"/>
        <v>0</v>
      </c>
      <c r="BG113" s="343"/>
      <c r="BH113" s="406">
        <f t="shared" si="126"/>
        <v>0</v>
      </c>
      <c r="BI113" s="407">
        <f t="shared" si="127"/>
        <v>0</v>
      </c>
      <c r="BJ113" s="407">
        <f t="shared" si="128"/>
        <v>0</v>
      </c>
      <c r="BK113" s="407">
        <f t="shared" si="129"/>
        <v>0</v>
      </c>
      <c r="BL113" s="408">
        <f t="shared" si="130"/>
        <v>0</v>
      </c>
    </row>
    <row r="114" spans="3:64" s="335" customFormat="1">
      <c r="C114" s="1125"/>
      <c r="D114" s="409"/>
      <c r="E114" s="400"/>
      <c r="F114" s="401"/>
      <c r="G114" s="401"/>
      <c r="H114" s="402"/>
      <c r="I114" s="457"/>
      <c r="J114" s="451"/>
      <c r="K114" s="451"/>
      <c r="L114" s="458"/>
      <c r="M114" s="450"/>
      <c r="N114" s="451"/>
      <c r="O114" s="451"/>
      <c r="P114" s="452"/>
      <c r="Q114" s="459">
        <f t="shared" si="115"/>
        <v>0</v>
      </c>
      <c r="R114" s="450"/>
      <c r="S114" s="451"/>
      <c r="T114" s="451"/>
      <c r="U114" s="451"/>
      <c r="V114" s="404">
        <f t="shared" si="108"/>
        <v>0</v>
      </c>
      <c r="W114" s="767"/>
      <c r="X114" s="768"/>
      <c r="Y114" s="768"/>
      <c r="Z114" s="768"/>
      <c r="AA114" s="404">
        <f t="shared" si="116"/>
        <v>0</v>
      </c>
      <c r="AB114" s="450"/>
      <c r="AC114" s="451"/>
      <c r="AD114" s="451"/>
      <c r="AE114" s="451"/>
      <c r="AF114" s="404">
        <f t="shared" si="117"/>
        <v>0</v>
      </c>
      <c r="AG114" s="428"/>
      <c r="AH114" s="429"/>
      <c r="AI114" s="429"/>
      <c r="AJ114" s="429"/>
      <c r="AK114" s="404">
        <f t="shared" si="118"/>
        <v>0</v>
      </c>
      <c r="AL114" s="436"/>
      <c r="AM114" s="437"/>
      <c r="AN114" s="437"/>
      <c r="AO114" s="437"/>
      <c r="AP114" s="405">
        <f t="shared" si="119"/>
        <v>0</v>
      </c>
      <c r="AQ114" s="779">
        <f t="shared" si="120"/>
        <v>0</v>
      </c>
      <c r="AR114" s="407">
        <f t="shared" si="121"/>
        <v>0</v>
      </c>
      <c r="AS114" s="407">
        <f t="shared" si="122"/>
        <v>0</v>
      </c>
      <c r="AT114" s="407">
        <f t="shared" si="123"/>
        <v>0</v>
      </c>
      <c r="AU114" s="408">
        <f t="shared" si="124"/>
        <v>0</v>
      </c>
      <c r="AV114" s="392" t="s">
        <v>425</v>
      </c>
      <c r="AW114" s="392" t="s">
        <v>425</v>
      </c>
      <c r="AX114" s="392" t="s">
        <v>425</v>
      </c>
      <c r="AY114" s="392" t="s">
        <v>425</v>
      </c>
      <c r="AZ114" s="387" t="s">
        <v>425</v>
      </c>
      <c r="BA114" s="343"/>
      <c r="BB114" s="406">
        <f t="shared" si="111"/>
        <v>0</v>
      </c>
      <c r="BC114" s="407">
        <f t="shared" si="112"/>
        <v>0</v>
      </c>
      <c r="BD114" s="407">
        <f t="shared" si="113"/>
        <v>0</v>
      </c>
      <c r="BE114" s="407">
        <f t="shared" si="114"/>
        <v>0</v>
      </c>
      <c r="BF114" s="387">
        <f t="shared" si="125"/>
        <v>0</v>
      </c>
      <c r="BG114" s="343"/>
      <c r="BH114" s="406">
        <f t="shared" si="126"/>
        <v>0</v>
      </c>
      <c r="BI114" s="407">
        <f t="shared" si="127"/>
        <v>0</v>
      </c>
      <c r="BJ114" s="407">
        <f t="shared" si="128"/>
        <v>0</v>
      </c>
      <c r="BK114" s="407">
        <f t="shared" si="129"/>
        <v>0</v>
      </c>
      <c r="BL114" s="408">
        <f t="shared" si="130"/>
        <v>0</v>
      </c>
    </row>
    <row r="115" spans="3:64" s="335" customFormat="1" ht="18" customHeight="1">
      <c r="C115" s="1125"/>
      <c r="D115" s="409"/>
      <c r="E115" s="400"/>
      <c r="F115" s="401"/>
      <c r="G115" s="401"/>
      <c r="H115" s="402"/>
      <c r="I115" s="457"/>
      <c r="J115" s="451"/>
      <c r="K115" s="451"/>
      <c r="L115" s="458"/>
      <c r="M115" s="450"/>
      <c r="N115" s="451"/>
      <c r="O115" s="451"/>
      <c r="P115" s="452"/>
      <c r="Q115" s="459">
        <f t="shared" si="115"/>
        <v>0</v>
      </c>
      <c r="R115" s="436"/>
      <c r="S115" s="437"/>
      <c r="T115" s="437"/>
      <c r="U115" s="437"/>
      <c r="V115" s="404">
        <f t="shared" si="108"/>
        <v>0</v>
      </c>
      <c r="W115" s="767"/>
      <c r="X115" s="768"/>
      <c r="Y115" s="768"/>
      <c r="Z115" s="768"/>
      <c r="AA115" s="404">
        <f t="shared" si="116"/>
        <v>0</v>
      </c>
      <c r="AB115" s="450"/>
      <c r="AC115" s="451"/>
      <c r="AD115" s="451"/>
      <c r="AE115" s="451"/>
      <c r="AF115" s="404">
        <f t="shared" si="117"/>
        <v>0</v>
      </c>
      <c r="AG115" s="428"/>
      <c r="AH115" s="429"/>
      <c r="AI115" s="429"/>
      <c r="AJ115" s="429"/>
      <c r="AK115" s="404">
        <f t="shared" si="118"/>
        <v>0</v>
      </c>
      <c r="AL115" s="436"/>
      <c r="AM115" s="437"/>
      <c r="AN115" s="437"/>
      <c r="AO115" s="437"/>
      <c r="AP115" s="405">
        <f t="shared" si="119"/>
        <v>0</v>
      </c>
      <c r="AQ115" s="779">
        <f t="shared" si="120"/>
        <v>0</v>
      </c>
      <c r="AR115" s="407">
        <f t="shared" si="121"/>
        <v>0</v>
      </c>
      <c r="AS115" s="407">
        <f t="shared" si="122"/>
        <v>0</v>
      </c>
      <c r="AT115" s="407">
        <f t="shared" si="123"/>
        <v>0</v>
      </c>
      <c r="AU115" s="408">
        <f t="shared" si="124"/>
        <v>0</v>
      </c>
      <c r="AV115" s="392" t="s">
        <v>425</v>
      </c>
      <c r="AW115" s="392" t="s">
        <v>425</v>
      </c>
      <c r="AX115" s="392" t="s">
        <v>425</v>
      </c>
      <c r="AY115" s="392" t="s">
        <v>425</v>
      </c>
      <c r="AZ115" s="387" t="s">
        <v>425</v>
      </c>
      <c r="BA115" s="343"/>
      <c r="BB115" s="406">
        <f t="shared" si="111"/>
        <v>0</v>
      </c>
      <c r="BC115" s="407">
        <f t="shared" si="112"/>
        <v>0</v>
      </c>
      <c r="BD115" s="407">
        <f t="shared" si="113"/>
        <v>0</v>
      </c>
      <c r="BE115" s="407">
        <f t="shared" si="114"/>
        <v>0</v>
      </c>
      <c r="BF115" s="387">
        <f t="shared" si="125"/>
        <v>0</v>
      </c>
      <c r="BG115" s="343"/>
      <c r="BH115" s="406">
        <f t="shared" si="126"/>
        <v>0</v>
      </c>
      <c r="BI115" s="407">
        <f t="shared" si="127"/>
        <v>0</v>
      </c>
      <c r="BJ115" s="407">
        <f t="shared" si="128"/>
        <v>0</v>
      </c>
      <c r="BK115" s="407">
        <f t="shared" si="129"/>
        <v>0</v>
      </c>
      <c r="BL115" s="408">
        <f t="shared" si="130"/>
        <v>0</v>
      </c>
    </row>
    <row r="116" spans="3:64" s="335" customFormat="1" ht="18" customHeight="1">
      <c r="C116" s="1125"/>
      <c r="D116" s="409"/>
      <c r="E116" s="400"/>
      <c r="F116" s="401"/>
      <c r="G116" s="401"/>
      <c r="H116" s="402"/>
      <c r="I116" s="457"/>
      <c r="J116" s="451"/>
      <c r="K116" s="451"/>
      <c r="L116" s="458"/>
      <c r="M116" s="450"/>
      <c r="N116" s="451"/>
      <c r="O116" s="451"/>
      <c r="P116" s="452"/>
      <c r="Q116" s="459">
        <f t="shared" si="115"/>
        <v>0</v>
      </c>
      <c r="R116" s="450"/>
      <c r="S116" s="451"/>
      <c r="T116" s="451"/>
      <c r="U116" s="451"/>
      <c r="V116" s="404">
        <f t="shared" si="108"/>
        <v>0</v>
      </c>
      <c r="W116" s="767"/>
      <c r="X116" s="768"/>
      <c r="Y116" s="768"/>
      <c r="Z116" s="768"/>
      <c r="AA116" s="404">
        <f t="shared" si="116"/>
        <v>0</v>
      </c>
      <c r="AB116" s="450"/>
      <c r="AC116" s="451"/>
      <c r="AD116" s="451"/>
      <c r="AE116" s="451"/>
      <c r="AF116" s="404">
        <f t="shared" si="117"/>
        <v>0</v>
      </c>
      <c r="AG116" s="428"/>
      <c r="AH116" s="429"/>
      <c r="AI116" s="429"/>
      <c r="AJ116" s="429"/>
      <c r="AK116" s="404">
        <f t="shared" si="118"/>
        <v>0</v>
      </c>
      <c r="AL116" s="436"/>
      <c r="AM116" s="437"/>
      <c r="AN116" s="437"/>
      <c r="AO116" s="437"/>
      <c r="AP116" s="405">
        <f t="shared" si="119"/>
        <v>0</v>
      </c>
      <c r="AQ116" s="779">
        <f t="shared" si="120"/>
        <v>0</v>
      </c>
      <c r="AR116" s="407">
        <f t="shared" si="121"/>
        <v>0</v>
      </c>
      <c r="AS116" s="407">
        <f t="shared" si="122"/>
        <v>0</v>
      </c>
      <c r="AT116" s="407">
        <f t="shared" si="123"/>
        <v>0</v>
      </c>
      <c r="AU116" s="408">
        <f t="shared" si="124"/>
        <v>0</v>
      </c>
      <c r="AV116" s="392" t="s">
        <v>425</v>
      </c>
      <c r="AW116" s="392" t="s">
        <v>425</v>
      </c>
      <c r="AX116" s="392" t="s">
        <v>425</v>
      </c>
      <c r="AY116" s="392" t="s">
        <v>425</v>
      </c>
      <c r="AZ116" s="387" t="s">
        <v>425</v>
      </c>
      <c r="BA116" s="343"/>
      <c r="BB116" s="406">
        <f t="shared" si="111"/>
        <v>0</v>
      </c>
      <c r="BC116" s="407">
        <f t="shared" si="112"/>
        <v>0</v>
      </c>
      <c r="BD116" s="407">
        <f t="shared" si="113"/>
        <v>0</v>
      </c>
      <c r="BE116" s="407">
        <f t="shared" si="114"/>
        <v>0</v>
      </c>
      <c r="BF116" s="387">
        <f t="shared" si="125"/>
        <v>0</v>
      </c>
      <c r="BG116" s="343"/>
      <c r="BH116" s="406">
        <f t="shared" si="126"/>
        <v>0</v>
      </c>
      <c r="BI116" s="407">
        <f t="shared" si="127"/>
        <v>0</v>
      </c>
      <c r="BJ116" s="407">
        <f t="shared" si="128"/>
        <v>0</v>
      </c>
      <c r="BK116" s="407">
        <f t="shared" si="129"/>
        <v>0</v>
      </c>
      <c r="BL116" s="408">
        <f t="shared" si="130"/>
        <v>0</v>
      </c>
    </row>
    <row r="117" spans="3:64" s="335" customFormat="1" ht="18" customHeight="1">
      <c r="C117" s="1125"/>
      <c r="D117" s="409"/>
      <c r="E117" s="400"/>
      <c r="F117" s="401"/>
      <c r="G117" s="401"/>
      <c r="H117" s="402"/>
      <c r="I117" s="457"/>
      <c r="J117" s="451"/>
      <c r="K117" s="451"/>
      <c r="L117" s="458"/>
      <c r="M117" s="450"/>
      <c r="N117" s="451"/>
      <c r="O117" s="451"/>
      <c r="P117" s="452"/>
      <c r="Q117" s="459">
        <f t="shared" si="115"/>
        <v>0</v>
      </c>
      <c r="R117" s="436"/>
      <c r="S117" s="437"/>
      <c r="T117" s="437"/>
      <c r="U117" s="437"/>
      <c r="V117" s="404">
        <f t="shared" si="108"/>
        <v>0</v>
      </c>
      <c r="W117" s="767"/>
      <c r="X117" s="768"/>
      <c r="Y117" s="768"/>
      <c r="Z117" s="768"/>
      <c r="AA117" s="404">
        <f t="shared" si="116"/>
        <v>0</v>
      </c>
      <c r="AB117" s="436"/>
      <c r="AC117" s="437"/>
      <c r="AD117" s="437"/>
      <c r="AE117" s="437"/>
      <c r="AF117" s="404">
        <f t="shared" si="117"/>
        <v>0</v>
      </c>
      <c r="AG117" s="436"/>
      <c r="AH117" s="437"/>
      <c r="AI117" s="437"/>
      <c r="AJ117" s="437"/>
      <c r="AK117" s="404">
        <f t="shared" si="118"/>
        <v>0</v>
      </c>
      <c r="AL117" s="436"/>
      <c r="AM117" s="437"/>
      <c r="AN117" s="437"/>
      <c r="AO117" s="437"/>
      <c r="AP117" s="405">
        <f t="shared" si="119"/>
        <v>0</v>
      </c>
      <c r="AQ117" s="779">
        <f t="shared" si="120"/>
        <v>0</v>
      </c>
      <c r="AR117" s="407">
        <f t="shared" si="121"/>
        <v>0</v>
      </c>
      <c r="AS117" s="407">
        <f t="shared" si="122"/>
        <v>0</v>
      </c>
      <c r="AT117" s="407">
        <f t="shared" si="123"/>
        <v>0</v>
      </c>
      <c r="AU117" s="408">
        <f t="shared" si="124"/>
        <v>0</v>
      </c>
      <c r="AV117" s="392" t="s">
        <v>425</v>
      </c>
      <c r="AW117" s="392" t="s">
        <v>425</v>
      </c>
      <c r="AX117" s="392" t="s">
        <v>425</v>
      </c>
      <c r="AY117" s="392" t="s">
        <v>425</v>
      </c>
      <c r="AZ117" s="387" t="s">
        <v>425</v>
      </c>
      <c r="BA117" s="343"/>
      <c r="BB117" s="406">
        <f t="shared" si="111"/>
        <v>0</v>
      </c>
      <c r="BC117" s="407">
        <f t="shared" si="112"/>
        <v>0</v>
      </c>
      <c r="BD117" s="407">
        <f t="shared" si="113"/>
        <v>0</v>
      </c>
      <c r="BE117" s="407">
        <f t="shared" si="114"/>
        <v>0</v>
      </c>
      <c r="BF117" s="387">
        <f t="shared" si="125"/>
        <v>0</v>
      </c>
      <c r="BG117" s="343"/>
      <c r="BH117" s="406">
        <f t="shared" si="126"/>
        <v>0</v>
      </c>
      <c r="BI117" s="407">
        <f t="shared" si="127"/>
        <v>0</v>
      </c>
      <c r="BJ117" s="407">
        <f t="shared" si="128"/>
        <v>0</v>
      </c>
      <c r="BK117" s="407">
        <f t="shared" si="129"/>
        <v>0</v>
      </c>
      <c r="BL117" s="408">
        <f t="shared" si="130"/>
        <v>0</v>
      </c>
    </row>
    <row r="118" spans="3:64" s="335" customFormat="1" ht="18" customHeight="1">
      <c r="C118" s="1125"/>
      <c r="D118" s="460"/>
      <c r="E118" s="400"/>
      <c r="F118" s="401"/>
      <c r="G118" s="401"/>
      <c r="H118" s="402"/>
      <c r="I118" s="457"/>
      <c r="J118" s="451"/>
      <c r="K118" s="451"/>
      <c r="L118" s="458"/>
      <c r="M118" s="450"/>
      <c r="N118" s="451"/>
      <c r="O118" s="451"/>
      <c r="P118" s="452"/>
      <c r="Q118" s="459">
        <f t="shared" si="115"/>
        <v>0</v>
      </c>
      <c r="R118" s="436"/>
      <c r="S118" s="437"/>
      <c r="T118" s="437"/>
      <c r="U118" s="437"/>
      <c r="V118" s="404">
        <f t="shared" si="108"/>
        <v>0</v>
      </c>
      <c r="W118" s="767"/>
      <c r="X118" s="768"/>
      <c r="Y118" s="768"/>
      <c r="Z118" s="768"/>
      <c r="AA118" s="404">
        <f t="shared" si="116"/>
        <v>0</v>
      </c>
      <c r="AB118" s="436"/>
      <c r="AC118" s="437"/>
      <c r="AD118" s="437"/>
      <c r="AE118" s="437"/>
      <c r="AF118" s="404">
        <f t="shared" si="117"/>
        <v>0</v>
      </c>
      <c r="AG118" s="436"/>
      <c r="AH118" s="437"/>
      <c r="AI118" s="437"/>
      <c r="AJ118" s="437"/>
      <c r="AK118" s="404">
        <f t="shared" si="118"/>
        <v>0</v>
      </c>
      <c r="AL118" s="436"/>
      <c r="AM118" s="437"/>
      <c r="AN118" s="437"/>
      <c r="AO118" s="437"/>
      <c r="AP118" s="405">
        <f t="shared" si="119"/>
        <v>0</v>
      </c>
      <c r="AQ118" s="779">
        <f t="shared" si="120"/>
        <v>0</v>
      </c>
      <c r="AR118" s="407">
        <f t="shared" si="121"/>
        <v>0</v>
      </c>
      <c r="AS118" s="407">
        <f t="shared" si="122"/>
        <v>0</v>
      </c>
      <c r="AT118" s="407">
        <f t="shared" si="123"/>
        <v>0</v>
      </c>
      <c r="AU118" s="408">
        <f t="shared" si="124"/>
        <v>0</v>
      </c>
      <c r="AV118" s="392" t="s">
        <v>425</v>
      </c>
      <c r="AW118" s="392" t="s">
        <v>425</v>
      </c>
      <c r="AX118" s="392" t="s">
        <v>425</v>
      </c>
      <c r="AY118" s="392" t="s">
        <v>425</v>
      </c>
      <c r="AZ118" s="387" t="s">
        <v>425</v>
      </c>
      <c r="BA118" s="343"/>
      <c r="BB118" s="406">
        <f t="shared" si="111"/>
        <v>0</v>
      </c>
      <c r="BC118" s="407">
        <f t="shared" si="112"/>
        <v>0</v>
      </c>
      <c r="BD118" s="407">
        <f t="shared" si="113"/>
        <v>0</v>
      </c>
      <c r="BE118" s="407">
        <f t="shared" si="114"/>
        <v>0</v>
      </c>
      <c r="BF118" s="387">
        <f t="shared" si="125"/>
        <v>0</v>
      </c>
      <c r="BG118" s="343"/>
      <c r="BH118" s="406">
        <f t="shared" si="126"/>
        <v>0</v>
      </c>
      <c r="BI118" s="407">
        <f t="shared" si="127"/>
        <v>0</v>
      </c>
      <c r="BJ118" s="407">
        <f t="shared" si="128"/>
        <v>0</v>
      </c>
      <c r="BK118" s="407">
        <f t="shared" si="129"/>
        <v>0</v>
      </c>
      <c r="BL118" s="408">
        <f t="shared" si="130"/>
        <v>0</v>
      </c>
    </row>
    <row r="119" spans="3:64" s="335" customFormat="1" ht="18" customHeight="1">
      <c r="C119" s="1125"/>
      <c r="D119" s="460"/>
      <c r="E119" s="400"/>
      <c r="F119" s="401"/>
      <c r="G119" s="401"/>
      <c r="H119" s="402"/>
      <c r="I119" s="457"/>
      <c r="J119" s="451"/>
      <c r="K119" s="451"/>
      <c r="L119" s="458"/>
      <c r="M119" s="450"/>
      <c r="N119" s="451"/>
      <c r="O119" s="451"/>
      <c r="P119" s="452"/>
      <c r="Q119" s="459">
        <f t="shared" si="115"/>
        <v>0</v>
      </c>
      <c r="R119" s="436"/>
      <c r="S119" s="437"/>
      <c r="T119" s="437"/>
      <c r="U119" s="437"/>
      <c r="V119" s="404">
        <f t="shared" si="108"/>
        <v>0</v>
      </c>
      <c r="W119" s="767"/>
      <c r="X119" s="768"/>
      <c r="Y119" s="768"/>
      <c r="Z119" s="768"/>
      <c r="AA119" s="404">
        <f t="shared" si="116"/>
        <v>0</v>
      </c>
      <c r="AB119" s="436"/>
      <c r="AC119" s="437"/>
      <c r="AD119" s="437"/>
      <c r="AE119" s="437"/>
      <c r="AF119" s="404">
        <f t="shared" si="117"/>
        <v>0</v>
      </c>
      <c r="AG119" s="436"/>
      <c r="AH119" s="437"/>
      <c r="AI119" s="437"/>
      <c r="AJ119" s="437"/>
      <c r="AK119" s="404">
        <f t="shared" si="118"/>
        <v>0</v>
      </c>
      <c r="AL119" s="436"/>
      <c r="AM119" s="437"/>
      <c r="AN119" s="437"/>
      <c r="AO119" s="437"/>
      <c r="AP119" s="405">
        <f t="shared" si="119"/>
        <v>0</v>
      </c>
      <c r="AQ119" s="779">
        <f t="shared" si="120"/>
        <v>0</v>
      </c>
      <c r="AR119" s="407">
        <f t="shared" si="121"/>
        <v>0</v>
      </c>
      <c r="AS119" s="407">
        <f t="shared" si="122"/>
        <v>0</v>
      </c>
      <c r="AT119" s="407">
        <f t="shared" si="123"/>
        <v>0</v>
      </c>
      <c r="AU119" s="408">
        <f t="shared" si="124"/>
        <v>0</v>
      </c>
      <c r="AV119" s="392" t="s">
        <v>425</v>
      </c>
      <c r="AW119" s="392" t="s">
        <v>425</v>
      </c>
      <c r="AX119" s="392" t="s">
        <v>425</v>
      </c>
      <c r="AY119" s="392" t="s">
        <v>425</v>
      </c>
      <c r="AZ119" s="387" t="s">
        <v>425</v>
      </c>
      <c r="BA119" s="343"/>
      <c r="BB119" s="406">
        <f t="shared" si="111"/>
        <v>0</v>
      </c>
      <c r="BC119" s="407">
        <f t="shared" si="112"/>
        <v>0</v>
      </c>
      <c r="BD119" s="407">
        <f t="shared" si="113"/>
        <v>0</v>
      </c>
      <c r="BE119" s="407">
        <f t="shared" si="114"/>
        <v>0</v>
      </c>
      <c r="BF119" s="387">
        <f t="shared" si="125"/>
        <v>0</v>
      </c>
      <c r="BG119" s="343"/>
      <c r="BH119" s="406">
        <f t="shared" si="126"/>
        <v>0</v>
      </c>
      <c r="BI119" s="407">
        <f t="shared" si="127"/>
        <v>0</v>
      </c>
      <c r="BJ119" s="407">
        <f t="shared" si="128"/>
        <v>0</v>
      </c>
      <c r="BK119" s="407">
        <f t="shared" si="129"/>
        <v>0</v>
      </c>
      <c r="BL119" s="408">
        <f t="shared" si="130"/>
        <v>0</v>
      </c>
    </row>
    <row r="120" spans="3:64" s="335" customFormat="1" ht="18" customHeight="1">
      <c r="C120" s="1125"/>
      <c r="D120" s="460"/>
      <c r="E120" s="400"/>
      <c r="F120" s="401"/>
      <c r="G120" s="401"/>
      <c r="H120" s="402"/>
      <c r="I120" s="457"/>
      <c r="J120" s="451"/>
      <c r="K120" s="451"/>
      <c r="L120" s="458"/>
      <c r="M120" s="450"/>
      <c r="N120" s="451"/>
      <c r="O120" s="451"/>
      <c r="P120" s="452"/>
      <c r="Q120" s="459">
        <f t="shared" si="115"/>
        <v>0</v>
      </c>
      <c r="R120" s="436"/>
      <c r="S120" s="437"/>
      <c r="T120" s="437"/>
      <c r="U120" s="437"/>
      <c r="V120" s="404">
        <f t="shared" si="108"/>
        <v>0</v>
      </c>
      <c r="W120" s="767"/>
      <c r="X120" s="768"/>
      <c r="Y120" s="768"/>
      <c r="Z120" s="768"/>
      <c r="AA120" s="404">
        <f t="shared" si="116"/>
        <v>0</v>
      </c>
      <c r="AB120" s="436"/>
      <c r="AC120" s="437"/>
      <c r="AD120" s="437"/>
      <c r="AE120" s="437"/>
      <c r="AF120" s="404">
        <f t="shared" si="117"/>
        <v>0</v>
      </c>
      <c r="AG120" s="436"/>
      <c r="AH120" s="437"/>
      <c r="AI120" s="437"/>
      <c r="AJ120" s="437"/>
      <c r="AK120" s="404">
        <f t="shared" si="118"/>
        <v>0</v>
      </c>
      <c r="AL120" s="436"/>
      <c r="AM120" s="437"/>
      <c r="AN120" s="437"/>
      <c r="AO120" s="437"/>
      <c r="AP120" s="405">
        <f t="shared" si="119"/>
        <v>0</v>
      </c>
      <c r="AQ120" s="779">
        <f t="shared" si="120"/>
        <v>0</v>
      </c>
      <c r="AR120" s="407">
        <f t="shared" si="121"/>
        <v>0</v>
      </c>
      <c r="AS120" s="407">
        <f t="shared" si="122"/>
        <v>0</v>
      </c>
      <c r="AT120" s="407">
        <f t="shared" si="123"/>
        <v>0</v>
      </c>
      <c r="AU120" s="408">
        <f t="shared" si="124"/>
        <v>0</v>
      </c>
      <c r="AV120" s="392" t="s">
        <v>425</v>
      </c>
      <c r="AW120" s="392" t="s">
        <v>425</v>
      </c>
      <c r="AX120" s="392" t="s">
        <v>425</v>
      </c>
      <c r="AY120" s="392" t="s">
        <v>425</v>
      </c>
      <c r="AZ120" s="387" t="s">
        <v>425</v>
      </c>
      <c r="BA120" s="343"/>
      <c r="BB120" s="406">
        <f t="shared" si="111"/>
        <v>0</v>
      </c>
      <c r="BC120" s="407">
        <f t="shared" si="112"/>
        <v>0</v>
      </c>
      <c r="BD120" s="407">
        <f t="shared" si="113"/>
        <v>0</v>
      </c>
      <c r="BE120" s="407">
        <f t="shared" si="114"/>
        <v>0</v>
      </c>
      <c r="BF120" s="387">
        <f t="shared" si="125"/>
        <v>0</v>
      </c>
      <c r="BG120" s="343"/>
      <c r="BH120" s="406">
        <f t="shared" si="126"/>
        <v>0</v>
      </c>
      <c r="BI120" s="407">
        <f t="shared" si="127"/>
        <v>0</v>
      </c>
      <c r="BJ120" s="407">
        <f t="shared" si="128"/>
        <v>0</v>
      </c>
      <c r="BK120" s="407">
        <f t="shared" si="129"/>
        <v>0</v>
      </c>
      <c r="BL120" s="408">
        <f t="shared" si="130"/>
        <v>0</v>
      </c>
    </row>
    <row r="121" spans="3:64" s="335" customFormat="1" ht="18" customHeight="1">
      <c r="C121" s="1125"/>
      <c r="D121" s="460"/>
      <c r="E121" s="400"/>
      <c r="F121" s="401"/>
      <c r="G121" s="401"/>
      <c r="H121" s="402"/>
      <c r="I121" s="457"/>
      <c r="J121" s="451"/>
      <c r="K121" s="451"/>
      <c r="L121" s="458"/>
      <c r="M121" s="450"/>
      <c r="N121" s="451"/>
      <c r="O121" s="451"/>
      <c r="P121" s="452"/>
      <c r="Q121" s="459">
        <f t="shared" si="115"/>
        <v>0</v>
      </c>
      <c r="R121" s="436"/>
      <c r="S121" s="437"/>
      <c r="T121" s="437"/>
      <c r="U121" s="437"/>
      <c r="V121" s="404">
        <f t="shared" si="108"/>
        <v>0</v>
      </c>
      <c r="W121" s="767"/>
      <c r="X121" s="768"/>
      <c r="Y121" s="768"/>
      <c r="Z121" s="768"/>
      <c r="AA121" s="404">
        <f t="shared" si="116"/>
        <v>0</v>
      </c>
      <c r="AB121" s="436"/>
      <c r="AC121" s="437"/>
      <c r="AD121" s="437"/>
      <c r="AE121" s="437"/>
      <c r="AF121" s="404">
        <f t="shared" si="117"/>
        <v>0</v>
      </c>
      <c r="AG121" s="436"/>
      <c r="AH121" s="437"/>
      <c r="AI121" s="437"/>
      <c r="AJ121" s="437"/>
      <c r="AK121" s="404">
        <f t="shared" si="118"/>
        <v>0</v>
      </c>
      <c r="AL121" s="436"/>
      <c r="AM121" s="437"/>
      <c r="AN121" s="437"/>
      <c r="AO121" s="437"/>
      <c r="AP121" s="405">
        <f t="shared" si="119"/>
        <v>0</v>
      </c>
      <c r="AQ121" s="779">
        <f t="shared" si="120"/>
        <v>0</v>
      </c>
      <c r="AR121" s="407">
        <f t="shared" si="121"/>
        <v>0</v>
      </c>
      <c r="AS121" s="407">
        <f t="shared" si="122"/>
        <v>0</v>
      </c>
      <c r="AT121" s="407">
        <f t="shared" si="123"/>
        <v>0</v>
      </c>
      <c r="AU121" s="408">
        <f t="shared" si="124"/>
        <v>0</v>
      </c>
      <c r="AV121" s="392" t="s">
        <v>425</v>
      </c>
      <c r="AW121" s="392" t="s">
        <v>425</v>
      </c>
      <c r="AX121" s="392" t="s">
        <v>425</v>
      </c>
      <c r="AY121" s="392" t="s">
        <v>425</v>
      </c>
      <c r="AZ121" s="387" t="s">
        <v>425</v>
      </c>
      <c r="BA121" s="343"/>
      <c r="BB121" s="406">
        <f t="shared" si="111"/>
        <v>0</v>
      </c>
      <c r="BC121" s="407">
        <f t="shared" si="112"/>
        <v>0</v>
      </c>
      <c r="BD121" s="407">
        <f t="shared" si="113"/>
        <v>0</v>
      </c>
      <c r="BE121" s="407">
        <f t="shared" si="114"/>
        <v>0</v>
      </c>
      <c r="BF121" s="387">
        <f t="shared" si="125"/>
        <v>0</v>
      </c>
      <c r="BG121" s="343"/>
      <c r="BH121" s="406">
        <f t="shared" si="126"/>
        <v>0</v>
      </c>
      <c r="BI121" s="407">
        <f t="shared" si="127"/>
        <v>0</v>
      </c>
      <c r="BJ121" s="407">
        <f t="shared" si="128"/>
        <v>0</v>
      </c>
      <c r="BK121" s="407">
        <f t="shared" si="129"/>
        <v>0</v>
      </c>
      <c r="BL121" s="408">
        <f t="shared" si="130"/>
        <v>0</v>
      </c>
    </row>
    <row r="122" spans="3:64" s="335" customFormat="1" ht="18" customHeight="1">
      <c r="C122" s="1125"/>
      <c r="D122" s="460"/>
      <c r="E122" s="400"/>
      <c r="F122" s="401"/>
      <c r="G122" s="401"/>
      <c r="H122" s="402"/>
      <c r="I122" s="457"/>
      <c r="J122" s="451"/>
      <c r="K122" s="451"/>
      <c r="L122" s="458"/>
      <c r="M122" s="450"/>
      <c r="N122" s="451"/>
      <c r="O122" s="451"/>
      <c r="P122" s="452"/>
      <c r="Q122" s="459">
        <f t="shared" si="115"/>
        <v>0</v>
      </c>
      <c r="R122" s="436"/>
      <c r="S122" s="437"/>
      <c r="T122" s="437"/>
      <c r="U122" s="437"/>
      <c r="V122" s="404">
        <f t="shared" si="108"/>
        <v>0</v>
      </c>
      <c r="W122" s="767"/>
      <c r="X122" s="768"/>
      <c r="Y122" s="768"/>
      <c r="Z122" s="768"/>
      <c r="AA122" s="404">
        <f t="shared" si="116"/>
        <v>0</v>
      </c>
      <c r="AB122" s="436"/>
      <c r="AC122" s="437"/>
      <c r="AD122" s="437"/>
      <c r="AE122" s="437"/>
      <c r="AF122" s="404">
        <f t="shared" si="117"/>
        <v>0</v>
      </c>
      <c r="AG122" s="436"/>
      <c r="AH122" s="437"/>
      <c r="AI122" s="437"/>
      <c r="AJ122" s="437"/>
      <c r="AK122" s="404">
        <f t="shared" si="118"/>
        <v>0</v>
      </c>
      <c r="AL122" s="436"/>
      <c r="AM122" s="437"/>
      <c r="AN122" s="437"/>
      <c r="AO122" s="437"/>
      <c r="AP122" s="405">
        <f t="shared" si="119"/>
        <v>0</v>
      </c>
      <c r="AQ122" s="779">
        <f t="shared" si="120"/>
        <v>0</v>
      </c>
      <c r="AR122" s="407">
        <f t="shared" si="121"/>
        <v>0</v>
      </c>
      <c r="AS122" s="407">
        <f t="shared" si="122"/>
        <v>0</v>
      </c>
      <c r="AT122" s="407">
        <f t="shared" si="123"/>
        <v>0</v>
      </c>
      <c r="AU122" s="408">
        <f t="shared" si="124"/>
        <v>0</v>
      </c>
      <c r="AV122" s="392" t="s">
        <v>425</v>
      </c>
      <c r="AW122" s="392" t="s">
        <v>425</v>
      </c>
      <c r="AX122" s="392" t="s">
        <v>425</v>
      </c>
      <c r="AY122" s="392" t="s">
        <v>425</v>
      </c>
      <c r="AZ122" s="387" t="s">
        <v>425</v>
      </c>
      <c r="BA122" s="343"/>
      <c r="BB122" s="406">
        <f t="shared" si="111"/>
        <v>0</v>
      </c>
      <c r="BC122" s="407">
        <f t="shared" si="112"/>
        <v>0</v>
      </c>
      <c r="BD122" s="407">
        <f t="shared" si="113"/>
        <v>0</v>
      </c>
      <c r="BE122" s="407">
        <f t="shared" si="114"/>
        <v>0</v>
      </c>
      <c r="BF122" s="387">
        <f t="shared" si="125"/>
        <v>0</v>
      </c>
      <c r="BG122" s="343"/>
      <c r="BH122" s="406">
        <f t="shared" si="126"/>
        <v>0</v>
      </c>
      <c r="BI122" s="407">
        <f t="shared" si="127"/>
        <v>0</v>
      </c>
      <c r="BJ122" s="407">
        <f t="shared" si="128"/>
        <v>0</v>
      </c>
      <c r="BK122" s="407">
        <f t="shared" si="129"/>
        <v>0</v>
      </c>
      <c r="BL122" s="408">
        <f t="shared" si="130"/>
        <v>0</v>
      </c>
    </row>
    <row r="123" spans="3:64" s="335" customFormat="1" ht="18" customHeight="1">
      <c r="C123" s="1125"/>
      <c r="D123" s="460"/>
      <c r="E123" s="400"/>
      <c r="F123" s="401"/>
      <c r="G123" s="401"/>
      <c r="H123" s="402"/>
      <c r="I123" s="457"/>
      <c r="J123" s="451"/>
      <c r="K123" s="451"/>
      <c r="L123" s="458"/>
      <c r="M123" s="450"/>
      <c r="N123" s="451"/>
      <c r="O123" s="451"/>
      <c r="P123" s="452"/>
      <c r="Q123" s="459">
        <f t="shared" si="115"/>
        <v>0</v>
      </c>
      <c r="R123" s="436"/>
      <c r="S123" s="437"/>
      <c r="T123" s="437"/>
      <c r="U123" s="437"/>
      <c r="V123" s="404">
        <f t="shared" si="108"/>
        <v>0</v>
      </c>
      <c r="W123" s="767"/>
      <c r="X123" s="768"/>
      <c r="Y123" s="768"/>
      <c r="Z123" s="768"/>
      <c r="AA123" s="404">
        <f t="shared" si="116"/>
        <v>0</v>
      </c>
      <c r="AB123" s="436"/>
      <c r="AC123" s="437"/>
      <c r="AD123" s="437"/>
      <c r="AE123" s="437"/>
      <c r="AF123" s="404">
        <f t="shared" si="117"/>
        <v>0</v>
      </c>
      <c r="AG123" s="436"/>
      <c r="AH123" s="437"/>
      <c r="AI123" s="437"/>
      <c r="AJ123" s="437"/>
      <c r="AK123" s="404">
        <f t="shared" si="118"/>
        <v>0</v>
      </c>
      <c r="AL123" s="436"/>
      <c r="AM123" s="437"/>
      <c r="AN123" s="437"/>
      <c r="AO123" s="437"/>
      <c r="AP123" s="405">
        <f t="shared" si="119"/>
        <v>0</v>
      </c>
      <c r="AQ123" s="779">
        <f t="shared" si="120"/>
        <v>0</v>
      </c>
      <c r="AR123" s="407">
        <f>N123+S123+X123+AC123+AH123+AM123</f>
        <v>0</v>
      </c>
      <c r="AS123" s="407">
        <f t="shared" si="122"/>
        <v>0</v>
      </c>
      <c r="AT123" s="407">
        <f t="shared" si="123"/>
        <v>0</v>
      </c>
      <c r="AU123" s="408">
        <f t="shared" si="124"/>
        <v>0</v>
      </c>
      <c r="AV123" s="392" t="s">
        <v>425</v>
      </c>
      <c r="AW123" s="392" t="s">
        <v>425</v>
      </c>
      <c r="AX123" s="392" t="s">
        <v>425</v>
      </c>
      <c r="AY123" s="392" t="s">
        <v>425</v>
      </c>
      <c r="AZ123" s="387" t="s">
        <v>425</v>
      </c>
      <c r="BA123" s="343"/>
      <c r="BB123" s="406">
        <f t="shared" si="111"/>
        <v>0</v>
      </c>
      <c r="BC123" s="407">
        <f t="shared" si="112"/>
        <v>0</v>
      </c>
      <c r="BD123" s="407">
        <f t="shared" si="113"/>
        <v>0</v>
      </c>
      <c r="BE123" s="407">
        <f t="shared" si="114"/>
        <v>0</v>
      </c>
      <c r="BF123" s="387">
        <f t="shared" si="125"/>
        <v>0</v>
      </c>
      <c r="BG123" s="343"/>
      <c r="BH123" s="406">
        <f t="shared" si="126"/>
        <v>0</v>
      </c>
      <c r="BI123" s="407">
        <f t="shared" si="127"/>
        <v>0</v>
      </c>
      <c r="BJ123" s="407">
        <f t="shared" si="128"/>
        <v>0</v>
      </c>
      <c r="BK123" s="407">
        <f t="shared" si="129"/>
        <v>0</v>
      </c>
      <c r="BL123" s="408">
        <f t="shared" si="130"/>
        <v>0</v>
      </c>
    </row>
    <row r="124" spans="3:64" s="335" customFormat="1" ht="18" customHeight="1">
      <c r="C124" s="1125"/>
      <c r="D124" s="460"/>
      <c r="E124" s="400"/>
      <c r="F124" s="401"/>
      <c r="G124" s="401"/>
      <c r="H124" s="402"/>
      <c r="I124" s="457"/>
      <c r="J124" s="451"/>
      <c r="K124" s="451"/>
      <c r="L124" s="458"/>
      <c r="M124" s="450"/>
      <c r="N124" s="451"/>
      <c r="O124" s="451"/>
      <c r="P124" s="452"/>
      <c r="Q124" s="459">
        <f t="shared" si="115"/>
        <v>0</v>
      </c>
      <c r="R124" s="436"/>
      <c r="S124" s="437"/>
      <c r="T124" s="437"/>
      <c r="U124" s="437"/>
      <c r="V124" s="404">
        <f t="shared" si="108"/>
        <v>0</v>
      </c>
      <c r="W124" s="767"/>
      <c r="X124" s="768"/>
      <c r="Y124" s="768"/>
      <c r="Z124" s="768"/>
      <c r="AA124" s="404">
        <f t="shared" si="116"/>
        <v>0</v>
      </c>
      <c r="AB124" s="436"/>
      <c r="AC124" s="437"/>
      <c r="AD124" s="437"/>
      <c r="AE124" s="437"/>
      <c r="AF124" s="404">
        <f t="shared" si="117"/>
        <v>0</v>
      </c>
      <c r="AG124" s="436"/>
      <c r="AH124" s="437"/>
      <c r="AI124" s="437"/>
      <c r="AJ124" s="437"/>
      <c r="AK124" s="404">
        <f t="shared" si="118"/>
        <v>0</v>
      </c>
      <c r="AL124" s="436"/>
      <c r="AM124" s="437"/>
      <c r="AN124" s="437"/>
      <c r="AO124" s="437"/>
      <c r="AP124" s="405">
        <f t="shared" si="119"/>
        <v>0</v>
      </c>
      <c r="AQ124" s="779">
        <f t="shared" si="120"/>
        <v>0</v>
      </c>
      <c r="AR124" s="407">
        <f t="shared" si="121"/>
        <v>0</v>
      </c>
      <c r="AS124" s="407">
        <f t="shared" si="122"/>
        <v>0</v>
      </c>
      <c r="AT124" s="407">
        <f t="shared" si="123"/>
        <v>0</v>
      </c>
      <c r="AU124" s="408">
        <f t="shared" si="124"/>
        <v>0</v>
      </c>
      <c r="AV124" s="392" t="s">
        <v>425</v>
      </c>
      <c r="AW124" s="392" t="s">
        <v>425</v>
      </c>
      <c r="AX124" s="392" t="s">
        <v>425</v>
      </c>
      <c r="AY124" s="392" t="s">
        <v>425</v>
      </c>
      <c r="AZ124" s="387" t="s">
        <v>425</v>
      </c>
      <c r="BA124" s="343"/>
      <c r="BB124" s="406">
        <f t="shared" si="111"/>
        <v>0</v>
      </c>
      <c r="BC124" s="407">
        <f t="shared" si="112"/>
        <v>0</v>
      </c>
      <c r="BD124" s="407">
        <f t="shared" si="113"/>
        <v>0</v>
      </c>
      <c r="BE124" s="407">
        <f t="shared" si="114"/>
        <v>0</v>
      </c>
      <c r="BF124" s="387">
        <f t="shared" si="125"/>
        <v>0</v>
      </c>
      <c r="BG124" s="343"/>
      <c r="BH124" s="406">
        <f t="shared" si="126"/>
        <v>0</v>
      </c>
      <c r="BI124" s="407">
        <f t="shared" si="127"/>
        <v>0</v>
      </c>
      <c r="BJ124" s="407">
        <f t="shared" si="128"/>
        <v>0</v>
      </c>
      <c r="BK124" s="407">
        <f t="shared" si="129"/>
        <v>0</v>
      </c>
      <c r="BL124" s="408">
        <f t="shared" si="130"/>
        <v>0</v>
      </c>
    </row>
    <row r="125" spans="3:64" s="335" customFormat="1" ht="18" customHeight="1">
      <c r="C125" s="1125"/>
      <c r="D125" s="460"/>
      <c r="E125" s="400"/>
      <c r="F125" s="401"/>
      <c r="G125" s="401"/>
      <c r="H125" s="402"/>
      <c r="I125" s="457"/>
      <c r="J125" s="451"/>
      <c r="K125" s="451"/>
      <c r="L125" s="458"/>
      <c r="M125" s="450"/>
      <c r="N125" s="451"/>
      <c r="O125" s="451"/>
      <c r="P125" s="452"/>
      <c r="Q125" s="459">
        <f t="shared" si="115"/>
        <v>0</v>
      </c>
      <c r="R125" s="436"/>
      <c r="S125" s="437"/>
      <c r="T125" s="437"/>
      <c r="U125" s="437"/>
      <c r="V125" s="404">
        <f t="shared" si="108"/>
        <v>0</v>
      </c>
      <c r="W125" s="767"/>
      <c r="X125" s="768"/>
      <c r="Y125" s="768"/>
      <c r="Z125" s="768"/>
      <c r="AA125" s="404">
        <f t="shared" si="116"/>
        <v>0</v>
      </c>
      <c r="AB125" s="436"/>
      <c r="AC125" s="437"/>
      <c r="AD125" s="437"/>
      <c r="AE125" s="437"/>
      <c r="AF125" s="404">
        <f t="shared" si="117"/>
        <v>0</v>
      </c>
      <c r="AG125" s="436"/>
      <c r="AH125" s="437"/>
      <c r="AI125" s="437"/>
      <c r="AJ125" s="437"/>
      <c r="AK125" s="404">
        <f t="shared" si="118"/>
        <v>0</v>
      </c>
      <c r="AL125" s="436"/>
      <c r="AM125" s="437"/>
      <c r="AN125" s="437"/>
      <c r="AO125" s="437"/>
      <c r="AP125" s="405">
        <f t="shared" si="119"/>
        <v>0</v>
      </c>
      <c r="AQ125" s="779">
        <f t="shared" si="120"/>
        <v>0</v>
      </c>
      <c r="AR125" s="407">
        <f t="shared" si="121"/>
        <v>0</v>
      </c>
      <c r="AS125" s="407">
        <f t="shared" si="122"/>
        <v>0</v>
      </c>
      <c r="AT125" s="407">
        <f t="shared" si="123"/>
        <v>0</v>
      </c>
      <c r="AU125" s="408">
        <f t="shared" si="124"/>
        <v>0</v>
      </c>
      <c r="AV125" s="392" t="s">
        <v>425</v>
      </c>
      <c r="AW125" s="392" t="s">
        <v>425</v>
      </c>
      <c r="AX125" s="392" t="s">
        <v>425</v>
      </c>
      <c r="AY125" s="392" t="s">
        <v>425</v>
      </c>
      <c r="AZ125" s="387" t="s">
        <v>425</v>
      </c>
      <c r="BA125" s="343"/>
      <c r="BB125" s="406">
        <f t="shared" si="111"/>
        <v>0</v>
      </c>
      <c r="BC125" s="407">
        <f t="shared" si="112"/>
        <v>0</v>
      </c>
      <c r="BD125" s="407">
        <f t="shared" si="113"/>
        <v>0</v>
      </c>
      <c r="BE125" s="407">
        <f t="shared" si="114"/>
        <v>0</v>
      </c>
      <c r="BF125" s="387">
        <f t="shared" si="125"/>
        <v>0</v>
      </c>
      <c r="BG125" s="343"/>
      <c r="BH125" s="406">
        <f t="shared" si="126"/>
        <v>0</v>
      </c>
      <c r="BI125" s="407">
        <f t="shared" si="127"/>
        <v>0</v>
      </c>
      <c r="BJ125" s="407">
        <f t="shared" si="128"/>
        <v>0</v>
      </c>
      <c r="BK125" s="407">
        <f t="shared" si="129"/>
        <v>0</v>
      </c>
      <c r="BL125" s="408">
        <f t="shared" si="130"/>
        <v>0</v>
      </c>
    </row>
    <row r="126" spans="3:64" s="335" customFormat="1" ht="18" customHeight="1">
      <c r="C126" s="1125"/>
      <c r="D126" s="460"/>
      <c r="E126" s="400"/>
      <c r="F126" s="401"/>
      <c r="G126" s="401"/>
      <c r="H126" s="402"/>
      <c r="I126" s="457"/>
      <c r="J126" s="451"/>
      <c r="K126" s="451"/>
      <c r="L126" s="458"/>
      <c r="M126" s="450"/>
      <c r="N126" s="451"/>
      <c r="O126" s="451"/>
      <c r="P126" s="452"/>
      <c r="Q126" s="459">
        <f t="shared" si="115"/>
        <v>0</v>
      </c>
      <c r="R126" s="436"/>
      <c r="S126" s="437"/>
      <c r="T126" s="437"/>
      <c r="U126" s="437"/>
      <c r="V126" s="404">
        <f t="shared" si="108"/>
        <v>0</v>
      </c>
      <c r="W126" s="767"/>
      <c r="X126" s="768"/>
      <c r="Y126" s="768"/>
      <c r="Z126" s="768"/>
      <c r="AA126" s="404">
        <f t="shared" si="116"/>
        <v>0</v>
      </c>
      <c r="AB126" s="436"/>
      <c r="AC126" s="437"/>
      <c r="AD126" s="437"/>
      <c r="AE126" s="437"/>
      <c r="AF126" s="404">
        <f t="shared" si="117"/>
        <v>0</v>
      </c>
      <c r="AG126" s="436"/>
      <c r="AH126" s="437"/>
      <c r="AI126" s="437"/>
      <c r="AJ126" s="437"/>
      <c r="AK126" s="404">
        <f t="shared" si="118"/>
        <v>0</v>
      </c>
      <c r="AL126" s="436"/>
      <c r="AM126" s="437"/>
      <c r="AN126" s="437"/>
      <c r="AO126" s="437"/>
      <c r="AP126" s="405">
        <f t="shared" si="119"/>
        <v>0</v>
      </c>
      <c r="AQ126" s="779">
        <f t="shared" si="120"/>
        <v>0</v>
      </c>
      <c r="AR126" s="407">
        <f t="shared" si="121"/>
        <v>0</v>
      </c>
      <c r="AS126" s="407">
        <f t="shared" si="122"/>
        <v>0</v>
      </c>
      <c r="AT126" s="407">
        <f t="shared" si="123"/>
        <v>0</v>
      </c>
      <c r="AU126" s="408">
        <f t="shared" si="124"/>
        <v>0</v>
      </c>
      <c r="AV126" s="392" t="s">
        <v>425</v>
      </c>
      <c r="AW126" s="392" t="s">
        <v>425</v>
      </c>
      <c r="AX126" s="392" t="s">
        <v>425</v>
      </c>
      <c r="AY126" s="392" t="s">
        <v>425</v>
      </c>
      <c r="AZ126" s="387" t="s">
        <v>425</v>
      </c>
      <c r="BA126" s="343"/>
      <c r="BB126" s="406">
        <f t="shared" si="111"/>
        <v>0</v>
      </c>
      <c r="BC126" s="407">
        <f t="shared" si="112"/>
        <v>0</v>
      </c>
      <c r="BD126" s="407">
        <f t="shared" si="113"/>
        <v>0</v>
      </c>
      <c r="BE126" s="407">
        <f t="shared" si="114"/>
        <v>0</v>
      </c>
      <c r="BF126" s="387">
        <f t="shared" si="125"/>
        <v>0</v>
      </c>
      <c r="BG126" s="343"/>
      <c r="BH126" s="406">
        <f t="shared" si="126"/>
        <v>0</v>
      </c>
      <c r="BI126" s="407">
        <f t="shared" si="127"/>
        <v>0</v>
      </c>
      <c r="BJ126" s="407">
        <f t="shared" si="128"/>
        <v>0</v>
      </c>
      <c r="BK126" s="407">
        <f t="shared" si="129"/>
        <v>0</v>
      </c>
      <c r="BL126" s="408">
        <f t="shared" si="130"/>
        <v>0</v>
      </c>
    </row>
    <row r="127" spans="3:64" s="461" customFormat="1" ht="30.75" customHeight="1" thickBot="1">
      <c r="C127" s="1126"/>
      <c r="D127" s="432" t="s">
        <v>507</v>
      </c>
      <c r="E127" s="414" t="s">
        <v>423</v>
      </c>
      <c r="F127" s="415" t="s">
        <v>423</v>
      </c>
      <c r="G127" s="415" t="s">
        <v>423</v>
      </c>
      <c r="H127" s="416" t="s">
        <v>423</v>
      </c>
      <c r="I127" s="813">
        <f t="shared" ref="I127:AU127" si="131">SUM(I102:I126)</f>
        <v>12.25</v>
      </c>
      <c r="J127" s="814">
        <f t="shared" si="131"/>
        <v>12.25</v>
      </c>
      <c r="K127" s="814">
        <f t="shared" si="131"/>
        <v>12.25</v>
      </c>
      <c r="L127" s="815">
        <f t="shared" si="131"/>
        <v>12.25</v>
      </c>
      <c r="M127" s="414">
        <f t="shared" si="131"/>
        <v>289125</v>
      </c>
      <c r="N127" s="415">
        <f t="shared" si="131"/>
        <v>289125</v>
      </c>
      <c r="O127" s="415">
        <f t="shared" si="131"/>
        <v>289125</v>
      </c>
      <c r="P127" s="416">
        <f t="shared" si="131"/>
        <v>289125</v>
      </c>
      <c r="Q127" s="462">
        <f t="shared" si="131"/>
        <v>1156500</v>
      </c>
      <c r="R127" s="414">
        <f t="shared" si="131"/>
        <v>0</v>
      </c>
      <c r="S127" s="415">
        <f t="shared" si="131"/>
        <v>0</v>
      </c>
      <c r="T127" s="415">
        <f t="shared" si="131"/>
        <v>0</v>
      </c>
      <c r="U127" s="415">
        <f t="shared" si="131"/>
        <v>0</v>
      </c>
      <c r="V127" s="416">
        <f t="shared" si="131"/>
        <v>0</v>
      </c>
      <c r="W127" s="764">
        <f t="shared" si="131"/>
        <v>37800</v>
      </c>
      <c r="X127" s="765">
        <f t="shared" si="131"/>
        <v>37800</v>
      </c>
      <c r="Y127" s="765">
        <f t="shared" si="131"/>
        <v>37800</v>
      </c>
      <c r="Z127" s="765">
        <f t="shared" si="131"/>
        <v>37800</v>
      </c>
      <c r="AA127" s="416">
        <f t="shared" si="131"/>
        <v>151200</v>
      </c>
      <c r="AB127" s="414">
        <f t="shared" si="131"/>
        <v>0</v>
      </c>
      <c r="AC127" s="415">
        <f t="shared" si="131"/>
        <v>0</v>
      </c>
      <c r="AD127" s="415">
        <f t="shared" si="131"/>
        <v>0</v>
      </c>
      <c r="AE127" s="415">
        <f t="shared" si="131"/>
        <v>0</v>
      </c>
      <c r="AF127" s="416">
        <f t="shared" si="131"/>
        <v>0</v>
      </c>
      <c r="AG127" s="414">
        <f t="shared" si="131"/>
        <v>63000</v>
      </c>
      <c r="AH127" s="415">
        <f t="shared" si="131"/>
        <v>63000</v>
      </c>
      <c r="AI127" s="415">
        <f t="shared" si="131"/>
        <v>63000</v>
      </c>
      <c r="AJ127" s="415">
        <f t="shared" si="131"/>
        <v>63000</v>
      </c>
      <c r="AK127" s="416">
        <f t="shared" si="131"/>
        <v>252000</v>
      </c>
      <c r="AL127" s="414">
        <f t="shared" si="131"/>
        <v>0</v>
      </c>
      <c r="AM127" s="415">
        <f t="shared" si="131"/>
        <v>0</v>
      </c>
      <c r="AN127" s="415">
        <f t="shared" si="131"/>
        <v>0</v>
      </c>
      <c r="AO127" s="415">
        <f t="shared" si="131"/>
        <v>0</v>
      </c>
      <c r="AP127" s="420">
        <f t="shared" si="131"/>
        <v>0</v>
      </c>
      <c r="AQ127" s="790">
        <f t="shared" si="131"/>
        <v>389925</v>
      </c>
      <c r="AR127" s="415">
        <f t="shared" si="131"/>
        <v>389925</v>
      </c>
      <c r="AS127" s="415">
        <f t="shared" si="131"/>
        <v>389925</v>
      </c>
      <c r="AT127" s="415">
        <f t="shared" si="131"/>
        <v>389925</v>
      </c>
      <c r="AU127" s="416">
        <f t="shared" si="131"/>
        <v>1559700</v>
      </c>
      <c r="AV127" s="423">
        <f>AV28+AV44+AV60+AV73</f>
        <v>16200</v>
      </c>
      <c r="AW127" s="423">
        <f>AW28+AW44+AW60+AW73</f>
        <v>16200</v>
      </c>
      <c r="AX127" s="423">
        <f>AX28+AX44+AX60+AX73</f>
        <v>16200</v>
      </c>
      <c r="AY127" s="423">
        <f>AY28+AY44+AY60+AY73</f>
        <v>16200</v>
      </c>
      <c r="AZ127" s="416">
        <f>AV127+AW127+AX127+AY127</f>
        <v>64800</v>
      </c>
      <c r="BA127" s="260"/>
      <c r="BB127" s="414">
        <f>SUM(BB102:BB126)</f>
        <v>85783.5</v>
      </c>
      <c r="BC127" s="415">
        <f>SUM(BC102:BC126)</f>
        <v>85783.5</v>
      </c>
      <c r="BD127" s="415">
        <f>SUM(BD102:BD126)</f>
        <v>85783.5</v>
      </c>
      <c r="BE127" s="415">
        <f>SUM(BE102:BE126)</f>
        <v>85783.5</v>
      </c>
      <c r="BF127" s="416">
        <f>SUM(BF102:BF126)</f>
        <v>343134</v>
      </c>
      <c r="BG127" s="260"/>
      <c r="BH127" s="414">
        <f>SUM(BH102:BH126)</f>
        <v>76035.375</v>
      </c>
      <c r="BI127" s="415">
        <f>SUM(BI102:BI126)</f>
        <v>76035.375</v>
      </c>
      <c r="BJ127" s="415">
        <f>SUM(BJ102:BJ126)</f>
        <v>76035.375</v>
      </c>
      <c r="BK127" s="415">
        <f>SUM(BK102:BK126)</f>
        <v>76035.375</v>
      </c>
      <c r="BL127" s="416">
        <f>SUM(BL102:BL126)</f>
        <v>304141.5</v>
      </c>
    </row>
    <row r="128" spans="3:64" ht="36.6" customHeight="1">
      <c r="C128" s="463"/>
      <c r="D128" s="464"/>
      <c r="E128" s="465"/>
      <c r="F128" s="465"/>
      <c r="G128" s="465"/>
      <c r="H128" s="465"/>
      <c r="I128" s="803">
        <f t="shared" ref="I128:Q128" si="132">I28+I44+I60+I73+I101+I127</f>
        <v>105.5</v>
      </c>
      <c r="J128" s="803">
        <f t="shared" si="132"/>
        <v>105.5</v>
      </c>
      <c r="K128" s="803">
        <f t="shared" si="132"/>
        <v>105.5</v>
      </c>
      <c r="L128" s="803">
        <f t="shared" si="132"/>
        <v>105.5</v>
      </c>
      <c r="M128" s="466">
        <f t="shared" si="132"/>
        <v>3905250</v>
      </c>
      <c r="N128" s="466">
        <f t="shared" si="132"/>
        <v>3905250</v>
      </c>
      <c r="O128" s="466">
        <f t="shared" si="132"/>
        <v>3905250</v>
      </c>
      <c r="P128" s="466">
        <f t="shared" si="132"/>
        <v>3905250</v>
      </c>
      <c r="Q128" s="466">
        <f t="shared" si="132"/>
        <v>15621000</v>
      </c>
      <c r="R128" s="466">
        <f>R28+R44+R60+R127</f>
        <v>990900</v>
      </c>
      <c r="S128" s="466">
        <f>S28+S44+S60+S127</f>
        <v>990900</v>
      </c>
      <c r="T128" s="466">
        <f>T28+T44+T60+T127</f>
        <v>990900</v>
      </c>
      <c r="U128" s="466">
        <f>U28+U44+U60+U127</f>
        <v>990900</v>
      </c>
      <c r="V128" s="466">
        <f>V28+V44+V60+V127</f>
        <v>3963600</v>
      </c>
      <c r="W128" s="774">
        <f t="shared" ref="W128:AK128" si="133">W28+W44+W60+W73+W101+W127</f>
        <v>1045912.5</v>
      </c>
      <c r="X128" s="774">
        <f t="shared" si="133"/>
        <v>1045912.5</v>
      </c>
      <c r="Y128" s="774">
        <f t="shared" si="133"/>
        <v>1045912.5</v>
      </c>
      <c r="Z128" s="774">
        <f t="shared" si="133"/>
        <v>1045912.5</v>
      </c>
      <c r="AA128" s="774">
        <f t="shared" si="133"/>
        <v>4183650</v>
      </c>
      <c r="AB128" s="466">
        <f t="shared" si="133"/>
        <v>35677.5</v>
      </c>
      <c r="AC128" s="466">
        <f t="shared" si="133"/>
        <v>35677.5</v>
      </c>
      <c r="AD128" s="466">
        <f t="shared" si="133"/>
        <v>35677.5</v>
      </c>
      <c r="AE128" s="466">
        <f t="shared" si="133"/>
        <v>35677.5</v>
      </c>
      <c r="AF128" s="466">
        <f t="shared" si="133"/>
        <v>142710</v>
      </c>
      <c r="AG128" s="466">
        <f t="shared" si="133"/>
        <v>229680</v>
      </c>
      <c r="AH128" s="466">
        <f t="shared" si="133"/>
        <v>229680</v>
      </c>
      <c r="AI128" s="466">
        <f t="shared" si="133"/>
        <v>229680</v>
      </c>
      <c r="AJ128" s="466">
        <f t="shared" si="133"/>
        <v>229680</v>
      </c>
      <c r="AK128" s="466">
        <f t="shared" si="133"/>
        <v>918720</v>
      </c>
      <c r="AL128" s="466"/>
      <c r="AM128" s="466"/>
      <c r="AN128" s="466"/>
      <c r="AO128" s="466"/>
      <c r="AP128" s="261">
        <f>Q128+V128+AA128+AF128+AK128</f>
        <v>24829680</v>
      </c>
      <c r="AQ128" s="783">
        <f>AQ28+AQ44+AQ60+AQ73+AQ101+AQ127</f>
        <v>6207420</v>
      </c>
      <c r="AR128" s="466">
        <f>AR28+AR44+AR60+AR73+AR101+AR127</f>
        <v>6207420</v>
      </c>
      <c r="AS128" s="466">
        <f>AS28+AS44+AS60+AS73+AS101+AS127</f>
        <v>6207420</v>
      </c>
      <c r="AT128" s="466">
        <f>AT28+AT44+AT60+AT73+AT101+AT127</f>
        <v>6207420</v>
      </c>
      <c r="AU128" s="262">
        <f>AQ128+AR128+AS128+AT128</f>
        <v>24829680</v>
      </c>
      <c r="AV128" s="466"/>
      <c r="AW128" s="466"/>
      <c r="AX128" s="466"/>
      <c r="AY128" s="466"/>
      <c r="BB128" s="751"/>
      <c r="BF128" s="795">
        <f>BF28+BF44+BF60+BF73+BF101+BF127</f>
        <v>5403777.5999999996</v>
      </c>
      <c r="BH128" s="751">
        <f>BH28+BH44+BH60+BH73+BH101+BH127</f>
        <v>1210446.8999999999</v>
      </c>
      <c r="BI128" s="751">
        <f>BI28+BI44+BI60+BI73+BI101+BI127</f>
        <v>1210446.8999999999</v>
      </c>
      <c r="BJ128" s="751">
        <f>BJ28+BJ44+BJ60+BJ73+BJ101+BJ127</f>
        <v>1210446.8999999999</v>
      </c>
      <c r="BK128" s="751">
        <f>BK28+BK44+BK60+BK73+BK101+BK127</f>
        <v>1210446.8999999999</v>
      </c>
      <c r="BL128" s="751">
        <f>BL28+BL44+BL60+BL73+BL101+BL127</f>
        <v>4841787.5999999996</v>
      </c>
    </row>
    <row r="129" spans="3:58" ht="18.600000000000001" customHeight="1">
      <c r="C129" s="463"/>
      <c r="D129" s="464"/>
      <c r="E129" s="465"/>
      <c r="F129" s="465"/>
      <c r="G129" s="465"/>
      <c r="H129" s="465"/>
      <c r="I129" s="466"/>
      <c r="J129" s="466"/>
      <c r="K129" s="466"/>
      <c r="L129" s="466"/>
      <c r="M129" s="466"/>
      <c r="N129" s="466"/>
      <c r="O129" s="466"/>
      <c r="P129" s="466"/>
      <c r="Q129" s="261"/>
      <c r="R129" s="466"/>
      <c r="S129" s="466"/>
      <c r="T129" s="466"/>
      <c r="U129" s="466"/>
      <c r="V129" s="261"/>
      <c r="W129" s="774"/>
      <c r="X129" s="774"/>
      <c r="Y129" s="774"/>
      <c r="Z129" s="774"/>
      <c r="AA129" s="261"/>
      <c r="AB129" s="466"/>
      <c r="AC129" s="466"/>
      <c r="AD129" s="466"/>
      <c r="AE129" s="466"/>
      <c r="AF129" s="261"/>
      <c r="AG129" s="466"/>
      <c r="AH129" s="466"/>
      <c r="AI129" s="466"/>
      <c r="AJ129" s="466"/>
      <c r="AK129" s="261"/>
      <c r="AL129" s="466"/>
      <c r="AM129" s="466"/>
      <c r="AN129" s="466"/>
      <c r="AO129" s="466"/>
      <c r="AP129" s="261"/>
      <c r="AQ129" s="783"/>
      <c r="AR129" s="466"/>
      <c r="AS129" s="466"/>
      <c r="AT129" s="466"/>
      <c r="AU129" s="261"/>
      <c r="AV129" s="466"/>
      <c r="AW129" s="466"/>
      <c r="AX129" s="466"/>
      <c r="AY129" s="466"/>
    </row>
    <row r="130" spans="3:58" ht="18.600000000000001" customHeight="1">
      <c r="C130" s="463"/>
      <c r="D130" s="464"/>
      <c r="E130" s="465"/>
      <c r="F130" s="465"/>
      <c r="G130" s="465"/>
      <c r="H130" s="465"/>
      <c r="I130" s="466"/>
      <c r="J130" s="466"/>
      <c r="K130" s="466"/>
      <c r="L130" s="466"/>
      <c r="M130" s="466"/>
      <c r="N130" s="466"/>
      <c r="O130" s="466"/>
      <c r="P130" s="466"/>
      <c r="Q130" s="261"/>
      <c r="R130" s="466"/>
      <c r="S130" s="466"/>
      <c r="T130" s="466"/>
      <c r="U130" s="466"/>
      <c r="V130" s="261"/>
      <c r="W130" s="774"/>
      <c r="X130" s="774"/>
      <c r="Y130" s="774"/>
      <c r="Z130" s="774"/>
      <c r="AA130" s="261">
        <f>AA128+AK128</f>
        <v>5102370</v>
      </c>
      <c r="AB130" s="466"/>
      <c r="AC130" s="466"/>
      <c r="AD130" s="466"/>
      <c r="AE130" s="466"/>
      <c r="AF130" s="261"/>
      <c r="AG130" s="466"/>
      <c r="AH130" s="466"/>
      <c r="AI130" s="466"/>
      <c r="AJ130" s="466"/>
      <c r="AK130" s="261"/>
      <c r="AL130" s="466"/>
      <c r="AM130" s="466"/>
      <c r="AN130" s="466"/>
      <c r="AO130" s="466"/>
      <c r="AP130" s="261"/>
      <c r="AQ130" s="783"/>
      <c r="AR130" s="466"/>
      <c r="AS130" s="466"/>
      <c r="AT130" s="466"/>
      <c r="AU130" s="261"/>
      <c r="AV130" s="466"/>
      <c r="AW130" s="466"/>
      <c r="AX130" s="466"/>
      <c r="AY130" s="466"/>
    </row>
    <row r="131" spans="3:58">
      <c r="S131" s="751">
        <f>Q128+V128</f>
        <v>19584600</v>
      </c>
      <c r="AQ131" s="791">
        <f>AQ44+AQ73+AQ60</f>
        <v>4631715</v>
      </c>
    </row>
    <row r="132" spans="3:58" ht="21" customHeight="1">
      <c r="C132" s="1128" t="s">
        <v>528</v>
      </c>
      <c r="D132" s="1128"/>
      <c r="E132" s="1128"/>
      <c r="F132" s="359"/>
    </row>
    <row r="133" spans="3:58" ht="21" thickBot="1"/>
    <row r="134" spans="3:58" s="273" customFormat="1" ht="21" thickBot="1">
      <c r="C134" s="1121" t="s">
        <v>524</v>
      </c>
      <c r="D134" s="1122"/>
      <c r="E134" s="1122"/>
      <c r="F134" s="1122"/>
      <c r="G134" s="1122"/>
      <c r="H134" s="1123"/>
      <c r="Q134" s="276"/>
      <c r="V134" s="276"/>
      <c r="W134" s="275"/>
      <c r="X134" s="275"/>
      <c r="Y134" s="275"/>
      <c r="Z134" s="275"/>
      <c r="AA134" s="276"/>
      <c r="AF134" s="276"/>
      <c r="AK134" s="276"/>
      <c r="AP134" s="276"/>
      <c r="AQ134" s="784"/>
      <c r="AU134" s="276"/>
      <c r="AV134" s="276"/>
      <c r="AW134" s="276"/>
      <c r="AX134" s="276"/>
      <c r="AY134" s="276"/>
      <c r="AZ134" s="276"/>
      <c r="BF134" s="276"/>
    </row>
    <row r="135" spans="3:58" s="353" customFormat="1" ht="25.9" customHeight="1" thickBot="1">
      <c r="C135" s="467" t="s">
        <v>489</v>
      </c>
      <c r="D135" s="468" t="s">
        <v>490</v>
      </c>
      <c r="E135" s="468" t="s">
        <v>409</v>
      </c>
      <c r="F135" s="468" t="s">
        <v>457</v>
      </c>
      <c r="G135" s="468" t="s">
        <v>458</v>
      </c>
      <c r="H135" s="469" t="s">
        <v>412</v>
      </c>
      <c r="Q135" s="276"/>
      <c r="V135" s="276"/>
      <c r="W135" s="508"/>
      <c r="X135" s="508"/>
      <c r="Y135" s="508"/>
      <c r="Z135" s="508"/>
      <c r="AA135" s="276"/>
      <c r="AF135" s="276"/>
      <c r="AK135" s="276"/>
      <c r="AP135" s="276"/>
      <c r="AQ135" s="785"/>
      <c r="AU135" s="276"/>
      <c r="AZ135" s="276"/>
      <c r="BF135" s="276"/>
    </row>
    <row r="136" spans="3:58" ht="33">
      <c r="C136" s="470" t="s">
        <v>491</v>
      </c>
      <c r="D136" s="471" t="s">
        <v>425</v>
      </c>
      <c r="E136" s="725">
        <v>2682.04</v>
      </c>
      <c r="F136" s="725">
        <v>0</v>
      </c>
      <c r="G136" s="725">
        <v>0</v>
      </c>
      <c r="H136" s="725">
        <f>E136</f>
        <v>2682.04</v>
      </c>
    </row>
    <row r="137" spans="3:58" ht="66">
      <c r="C137" s="472" t="s">
        <v>492</v>
      </c>
      <c r="D137" s="745">
        <f>SUM(E137:H137)</f>
        <v>82</v>
      </c>
      <c r="E137" s="687">
        <f>15+14+8</f>
        <v>37</v>
      </c>
      <c r="F137" s="687">
        <v>0</v>
      </c>
      <c r="G137" s="687">
        <v>0</v>
      </c>
      <c r="H137" s="746">
        <f>10+15+20</f>
        <v>45</v>
      </c>
    </row>
    <row r="138" spans="3:58" ht="50.25" thickBot="1">
      <c r="C138" s="473" t="s">
        <v>493</v>
      </c>
      <c r="D138" s="474">
        <f>SUM(E138:H138)</f>
        <v>220954.69999999998</v>
      </c>
      <c r="E138" s="474">
        <f>(E136*E137)+2188.54-1385.33-289.5</f>
        <v>99749.189999999988</v>
      </c>
      <c r="F138" s="474">
        <f>F136*F137</f>
        <v>0</v>
      </c>
      <c r="G138" s="474">
        <f>G136*G137</f>
        <v>0</v>
      </c>
      <c r="H138" s="475">
        <f>(H136*H137)+2188.54-1385.33-289.5</f>
        <v>121205.51</v>
      </c>
      <c r="I138" s="63" t="s">
        <v>212</v>
      </c>
      <c r="R138" s="63" t="s">
        <v>249</v>
      </c>
    </row>
    <row r="139" spans="3:58" ht="21" thickBot="1">
      <c r="C139" s="476"/>
      <c r="D139" s="477"/>
      <c r="E139" s="477"/>
      <c r="F139" s="477"/>
      <c r="G139" s="477"/>
      <c r="H139" s="477"/>
    </row>
    <row r="140" spans="3:58" s="273" customFormat="1" ht="21" thickBot="1">
      <c r="C140" s="1121" t="s">
        <v>525</v>
      </c>
      <c r="D140" s="1122"/>
      <c r="E140" s="1122"/>
      <c r="F140" s="1122"/>
      <c r="G140" s="1122"/>
      <c r="H140" s="1123"/>
      <c r="Q140" s="276"/>
      <c r="V140" s="276"/>
      <c r="W140" s="275"/>
      <c r="X140" s="275"/>
      <c r="Y140" s="275"/>
      <c r="Z140" s="275"/>
      <c r="AA140" s="276"/>
      <c r="AF140" s="276"/>
      <c r="AK140" s="276"/>
      <c r="AP140" s="276"/>
      <c r="AQ140" s="784"/>
      <c r="AU140" s="276"/>
      <c r="AV140" s="276"/>
      <c r="AW140" s="276"/>
      <c r="AX140" s="276"/>
      <c r="AY140" s="276"/>
      <c r="AZ140" s="276"/>
      <c r="BF140" s="276"/>
    </row>
    <row r="141" spans="3:58" s="353" customFormat="1" ht="27.6" customHeight="1" thickBot="1">
      <c r="C141" s="467" t="s">
        <v>489</v>
      </c>
      <c r="D141" s="468" t="s">
        <v>490</v>
      </c>
      <c r="E141" s="468" t="s">
        <v>409</v>
      </c>
      <c r="F141" s="468" t="s">
        <v>457</v>
      </c>
      <c r="G141" s="468" t="s">
        <v>458</v>
      </c>
      <c r="H141" s="469" t="s">
        <v>412</v>
      </c>
      <c r="Q141" s="276"/>
      <c r="V141" s="276"/>
      <c r="W141" s="508"/>
      <c r="X141" s="508"/>
      <c r="Y141" s="508"/>
      <c r="Z141" s="508"/>
      <c r="AA141" s="276"/>
      <c r="AF141" s="276"/>
      <c r="AK141" s="276"/>
      <c r="AP141" s="276"/>
      <c r="AQ141" s="785"/>
      <c r="AU141" s="276"/>
      <c r="AZ141" s="276"/>
      <c r="BF141" s="276"/>
    </row>
    <row r="142" spans="3:58" ht="52.5">
      <c r="C142" s="470" t="s">
        <v>757</v>
      </c>
      <c r="D142" s="478" t="s">
        <v>425</v>
      </c>
      <c r="E142" s="385">
        <v>0</v>
      </c>
      <c r="F142" s="385">
        <v>0</v>
      </c>
      <c r="G142" s="385">
        <v>0</v>
      </c>
      <c r="H142" s="385">
        <v>0</v>
      </c>
    </row>
    <row r="143" spans="3:58" ht="69">
      <c r="C143" s="472" t="s">
        <v>758</v>
      </c>
      <c r="D143" s="407">
        <f>SUM(E143:H143)</f>
        <v>0</v>
      </c>
      <c r="E143" s="338">
        <v>0</v>
      </c>
      <c r="F143" s="338">
        <v>0</v>
      </c>
      <c r="G143" s="338">
        <v>0</v>
      </c>
      <c r="H143" s="411">
        <v>0</v>
      </c>
    </row>
    <row r="144" spans="3:58" ht="33.75" thickBot="1">
      <c r="C144" s="473" t="s">
        <v>494</v>
      </c>
      <c r="D144" s="474">
        <f>SUM(E144:H144)</f>
        <v>0</v>
      </c>
      <c r="E144" s="474">
        <f>E142*E143</f>
        <v>0</v>
      </c>
      <c r="F144" s="474">
        <f>F142*F143</f>
        <v>0</v>
      </c>
      <c r="G144" s="474">
        <f>G142*G143</f>
        <v>0</v>
      </c>
      <c r="H144" s="475">
        <f>H142*H143</f>
        <v>0</v>
      </c>
    </row>
    <row r="145" spans="3:58" ht="52.5">
      <c r="C145" s="470" t="s">
        <v>759</v>
      </c>
      <c r="D145" s="478" t="s">
        <v>425</v>
      </c>
      <c r="E145" s="725">
        <v>35.340000000000003</v>
      </c>
      <c r="F145" s="725">
        <v>35.340000000000003</v>
      </c>
      <c r="G145" s="725">
        <v>35.340000000000003</v>
      </c>
      <c r="H145" s="725">
        <v>35.340000000000003</v>
      </c>
    </row>
    <row r="146" spans="3:58" ht="69">
      <c r="C146" s="472" t="s">
        <v>760</v>
      </c>
      <c r="D146" s="407">
        <f>SUM(E146:H146)</f>
        <v>480</v>
      </c>
      <c r="E146" s="338">
        <f>40*3</f>
        <v>120</v>
      </c>
      <c r="F146" s="338">
        <v>120</v>
      </c>
      <c r="G146" s="338">
        <v>120</v>
      </c>
      <c r="H146" s="411">
        <v>120</v>
      </c>
    </row>
    <row r="147" spans="3:58" ht="33.75" thickBot="1">
      <c r="C147" s="473" t="s">
        <v>495</v>
      </c>
      <c r="D147" s="474">
        <f>SUM(E147:H147)</f>
        <v>16609.860000000004</v>
      </c>
      <c r="E147" s="474">
        <f>E145*E146-201.64+151</f>
        <v>4190.16</v>
      </c>
      <c r="F147" s="474">
        <f>F145*F146-100.9</f>
        <v>4139.9000000000005</v>
      </c>
      <c r="G147" s="474">
        <f>G145*G146-100.9</f>
        <v>4139.9000000000005</v>
      </c>
      <c r="H147" s="475">
        <f>H145*H146-100.9</f>
        <v>4139.9000000000005</v>
      </c>
    </row>
    <row r="148" spans="3:58" ht="75" customHeight="1">
      <c r="C148" s="479" t="s">
        <v>761</v>
      </c>
      <c r="D148" s="480" t="s">
        <v>425</v>
      </c>
      <c r="E148" s="725">
        <v>20.8</v>
      </c>
      <c r="F148" s="725">
        <v>20.8</v>
      </c>
      <c r="G148" s="725">
        <v>20.8</v>
      </c>
      <c r="H148" s="725">
        <v>20.8</v>
      </c>
    </row>
    <row r="149" spans="3:58" ht="69">
      <c r="C149" s="472" t="s">
        <v>762</v>
      </c>
      <c r="D149" s="407">
        <f>SUM(E149:H149)</f>
        <v>480</v>
      </c>
      <c r="E149" s="338">
        <v>120</v>
      </c>
      <c r="F149" s="338">
        <v>120</v>
      </c>
      <c r="G149" s="338">
        <v>120</v>
      </c>
      <c r="H149" s="338">
        <v>120</v>
      </c>
    </row>
    <row r="150" spans="3:58" ht="45" customHeight="1" thickBot="1">
      <c r="C150" s="473" t="s">
        <v>496</v>
      </c>
      <c r="D150" s="474">
        <f>SUM(E150:H150)</f>
        <v>9932.36</v>
      </c>
      <c r="E150" s="474">
        <f>E148*E149-201.64+150</f>
        <v>2444.36</v>
      </c>
      <c r="F150" s="474">
        <f>F148*F149</f>
        <v>2496</v>
      </c>
      <c r="G150" s="474">
        <f>G148*G149</f>
        <v>2496</v>
      </c>
      <c r="H150" s="475">
        <f>H148*H149</f>
        <v>2496</v>
      </c>
      <c r="I150" s="751">
        <f>D147+D150</f>
        <v>26542.220000000005</v>
      </c>
      <c r="J150" s="751">
        <f>I150-26542</f>
        <v>0.22000000000480213</v>
      </c>
    </row>
    <row r="151" spans="3:58" ht="21" thickBot="1">
      <c r="C151" s="476"/>
      <c r="D151" s="477"/>
      <c r="E151" s="477"/>
      <c r="F151" s="477"/>
      <c r="G151" s="477"/>
      <c r="H151" s="477"/>
    </row>
    <row r="152" spans="3:58" s="273" customFormat="1" ht="21" thickBot="1">
      <c r="C152" s="1121" t="s">
        <v>526</v>
      </c>
      <c r="D152" s="1122"/>
      <c r="E152" s="1122"/>
      <c r="F152" s="1122"/>
      <c r="G152" s="1122"/>
      <c r="H152" s="1123"/>
      <c r="Q152" s="276"/>
      <c r="V152" s="276"/>
      <c r="W152" s="275"/>
      <c r="X152" s="275"/>
      <c r="Y152" s="275"/>
      <c r="Z152" s="275"/>
      <c r="AA152" s="276"/>
      <c r="AF152" s="276"/>
      <c r="AK152" s="276"/>
      <c r="AP152" s="276"/>
      <c r="AQ152" s="784"/>
      <c r="AU152" s="276"/>
      <c r="AV152" s="276"/>
      <c r="AW152" s="276"/>
      <c r="AX152" s="276"/>
      <c r="AY152" s="276"/>
      <c r="AZ152" s="276"/>
      <c r="BF152" s="276"/>
    </row>
    <row r="153" spans="3:58" s="353" customFormat="1" ht="24.6" customHeight="1" thickBot="1">
      <c r="C153" s="481" t="s">
        <v>489</v>
      </c>
      <c r="D153" s="482" t="s">
        <v>490</v>
      </c>
      <c r="E153" s="483" t="s">
        <v>409</v>
      </c>
      <c r="F153" s="483" t="s">
        <v>457</v>
      </c>
      <c r="G153" s="483" t="s">
        <v>458</v>
      </c>
      <c r="H153" s="484" t="s">
        <v>412</v>
      </c>
      <c r="Q153" s="276"/>
      <c r="V153" s="276"/>
      <c r="W153" s="508"/>
      <c r="X153" s="508"/>
      <c r="Y153" s="508"/>
      <c r="Z153" s="508"/>
      <c r="AA153" s="276"/>
      <c r="AF153" s="276"/>
      <c r="AK153" s="276"/>
      <c r="AP153" s="276"/>
      <c r="AQ153" s="785"/>
      <c r="AU153" s="276"/>
      <c r="AZ153" s="276"/>
      <c r="BF153" s="276"/>
    </row>
    <row r="154" spans="3:58" ht="49.5">
      <c r="C154" s="479" t="s">
        <v>214</v>
      </c>
      <c r="D154" s="480" t="s">
        <v>425</v>
      </c>
      <c r="E154" s="724">
        <v>6.5821199999999997</v>
      </c>
      <c r="F154" s="724">
        <v>6.5821199999999997</v>
      </c>
      <c r="G154" s="724">
        <v>6.5821199999999997</v>
      </c>
      <c r="H154" s="724">
        <v>6.5821199999999997</v>
      </c>
    </row>
    <row r="155" spans="3:58" ht="82.5">
      <c r="C155" s="472" t="s">
        <v>215</v>
      </c>
      <c r="D155" s="485">
        <f>SUM(E155:H155)</f>
        <v>115372</v>
      </c>
      <c r="E155" s="429">
        <f>30159+26656</f>
        <v>56815</v>
      </c>
      <c r="F155" s="429">
        <f>3256+8946</f>
        <v>12202</v>
      </c>
      <c r="G155" s="429">
        <f>1015+6123</f>
        <v>7138</v>
      </c>
      <c r="H155" s="438">
        <f>16792+22425</f>
        <v>39217</v>
      </c>
    </row>
    <row r="156" spans="3:58" ht="50.25" thickBot="1">
      <c r="C156" s="473" t="s">
        <v>216</v>
      </c>
      <c r="D156" s="486">
        <f>SUM(E156:H156)</f>
        <v>759392.34863999998</v>
      </c>
      <c r="E156" s="474">
        <f>E154*E155</f>
        <v>373963.14779999998</v>
      </c>
      <c r="F156" s="474">
        <f>F154*F155</f>
        <v>80315.02824</v>
      </c>
      <c r="G156" s="474">
        <f>G154*G155</f>
        <v>46983.172559999999</v>
      </c>
      <c r="H156" s="474">
        <f>H154*H155</f>
        <v>258131.00003999998</v>
      </c>
      <c r="I156" s="63" t="s">
        <v>1</v>
      </c>
    </row>
    <row r="157" spans="3:58" ht="66">
      <c r="C157" s="479" t="s">
        <v>213</v>
      </c>
      <c r="D157" s="480" t="s">
        <v>425</v>
      </c>
      <c r="E157" s="733">
        <v>1.8617159999999999</v>
      </c>
      <c r="F157" s="733">
        <v>1.8617159999999999</v>
      </c>
      <c r="G157" s="733">
        <v>1.8617159999999999</v>
      </c>
      <c r="H157" s="733">
        <v>1.8617159999999999</v>
      </c>
    </row>
    <row r="158" spans="3:58" ht="82.5">
      <c r="C158" s="472" t="s">
        <v>217</v>
      </c>
      <c r="D158" s="485">
        <f>SUM(E158:H158)</f>
        <v>115372</v>
      </c>
      <c r="E158" s="429">
        <f>E155</f>
        <v>56815</v>
      </c>
      <c r="F158" s="429">
        <f>F155</f>
        <v>12202</v>
      </c>
      <c r="G158" s="429">
        <f>G155</f>
        <v>7138</v>
      </c>
      <c r="H158" s="429">
        <f>H155</f>
        <v>39217</v>
      </c>
    </row>
    <row r="159" spans="3:58" ht="60" customHeight="1" thickBot="1">
      <c r="C159" s="473" t="s">
        <v>218</v>
      </c>
      <c r="D159" s="486">
        <f>SUM(E159:H159)</f>
        <v>214789.89835199999</v>
      </c>
      <c r="E159" s="474">
        <f>E157*E158</f>
        <v>105773.39453999999</v>
      </c>
      <c r="F159" s="474">
        <f>F157*F158</f>
        <v>22716.658631999999</v>
      </c>
      <c r="G159" s="474">
        <f>G157*G158</f>
        <v>13288.928807999999</v>
      </c>
      <c r="H159" s="474">
        <f>H157*H158</f>
        <v>73010.916371999992</v>
      </c>
      <c r="I159" s="63" t="s">
        <v>1</v>
      </c>
    </row>
    <row r="160" spans="3:58" ht="66">
      <c r="C160" s="479" t="s">
        <v>219</v>
      </c>
      <c r="D160" s="480" t="s">
        <v>425</v>
      </c>
      <c r="E160" s="737">
        <f>0.35238+0.070476</f>
        <v>0.42285600000000001</v>
      </c>
      <c r="F160" s="737">
        <f>0.35238+0.070476</f>
        <v>0.42285600000000001</v>
      </c>
      <c r="G160" s="737">
        <f>0.35238+0.070476</f>
        <v>0.42285600000000001</v>
      </c>
      <c r="H160" s="737">
        <f>0.35238+0.070476</f>
        <v>0.42285600000000001</v>
      </c>
    </row>
    <row r="161" spans="3:58" ht="82.5">
      <c r="C161" s="472" t="s">
        <v>220</v>
      </c>
      <c r="D161" s="485">
        <f>SUM(E161:H161)</f>
        <v>46591</v>
      </c>
      <c r="E161" s="429">
        <v>32009</v>
      </c>
      <c r="F161" s="429">
        <v>0</v>
      </c>
      <c r="G161" s="429">
        <v>0</v>
      </c>
      <c r="H161" s="438">
        <v>14582</v>
      </c>
    </row>
    <row r="162" spans="3:58" ht="75.599999999999994" customHeight="1" thickBot="1">
      <c r="C162" s="473" t="s">
        <v>221</v>
      </c>
      <c r="D162" s="486">
        <f>SUM(E162:H162)</f>
        <v>19121.923896</v>
      </c>
      <c r="E162" s="474">
        <f>E160*E161-579.36</f>
        <v>12955.837704</v>
      </c>
      <c r="F162" s="474">
        <f>F160*F161</f>
        <v>0</v>
      </c>
      <c r="G162" s="474">
        <f>G160*G161</f>
        <v>0</v>
      </c>
      <c r="H162" s="475">
        <f>H160*H161</f>
        <v>6166.0861919999998</v>
      </c>
      <c r="I162" s="63" t="s">
        <v>1</v>
      </c>
    </row>
    <row r="163" spans="3:58" ht="33.75" thickBot="1">
      <c r="C163" s="487" t="s">
        <v>497</v>
      </c>
      <c r="D163" s="488">
        <f>SUM(E163:H163)</f>
        <v>1164629.1708879999</v>
      </c>
      <c r="E163" s="489">
        <f>E156+E159+E162+22625+14555+16490-6000+1597</f>
        <v>541959.38004399999</v>
      </c>
      <c r="F163" s="489">
        <f>F156+F159+F162+14280+13300+12890-3000-1346</f>
        <v>139155.68687199999</v>
      </c>
      <c r="G163" s="489">
        <f>G156+G159+G162+8750+10300+11030-3000-1346+200</f>
        <v>86206.101368000003</v>
      </c>
      <c r="H163" s="489">
        <f>H156+H159+H162+18000+23000+25000-6000</f>
        <v>397308.00260399998</v>
      </c>
      <c r="I163" s="63" t="s">
        <v>0</v>
      </c>
    </row>
    <row r="164" spans="3:58" ht="21" thickBot="1">
      <c r="C164" s="490"/>
      <c r="D164" s="491"/>
      <c r="E164" s="395"/>
      <c r="F164" s="395"/>
      <c r="G164" s="395"/>
      <c r="H164" s="395"/>
    </row>
    <row r="165" spans="3:58" s="273" customFormat="1" ht="21" thickBot="1">
      <c r="C165" s="1121" t="s">
        <v>527</v>
      </c>
      <c r="D165" s="1122"/>
      <c r="E165" s="1122"/>
      <c r="F165" s="1122"/>
      <c r="G165" s="1122"/>
      <c r="H165" s="1123"/>
      <c r="Q165" s="276"/>
      <c r="V165" s="276"/>
      <c r="W165" s="275"/>
      <c r="X165" s="275"/>
      <c r="Y165" s="275"/>
      <c r="Z165" s="275"/>
      <c r="AA165" s="276"/>
      <c r="AF165" s="276"/>
      <c r="AK165" s="276"/>
      <c r="AP165" s="276"/>
      <c r="AQ165" s="784"/>
      <c r="AU165" s="276"/>
      <c r="AV165" s="276"/>
      <c r="AW165" s="276"/>
      <c r="AX165" s="276"/>
      <c r="AY165" s="276"/>
      <c r="AZ165" s="276"/>
      <c r="BF165" s="276"/>
    </row>
    <row r="166" spans="3:58" ht="24.6" customHeight="1" thickBot="1">
      <c r="C166" s="492" t="s">
        <v>489</v>
      </c>
      <c r="D166" s="468" t="s">
        <v>490</v>
      </c>
      <c r="E166" s="468" t="s">
        <v>409</v>
      </c>
      <c r="F166" s="468" t="s">
        <v>457</v>
      </c>
      <c r="G166" s="468" t="s">
        <v>458</v>
      </c>
      <c r="H166" s="469" t="s">
        <v>412</v>
      </c>
    </row>
    <row r="167" spans="3:58" ht="78" customHeight="1">
      <c r="C167" s="470" t="s">
        <v>763</v>
      </c>
      <c r="D167" s="493" t="s">
        <v>425</v>
      </c>
      <c r="E167" s="734">
        <f>13658.33+2731.67</f>
        <v>16390</v>
      </c>
      <c r="F167" s="734">
        <f>13658.33+2731.67</f>
        <v>16390</v>
      </c>
      <c r="G167" s="734">
        <f>13658.33+2731.67</f>
        <v>16390</v>
      </c>
      <c r="H167" s="734">
        <f>13658.33+2731.67</f>
        <v>16390</v>
      </c>
    </row>
    <row r="168" spans="3:58" ht="85.5">
      <c r="C168" s="472" t="s">
        <v>764</v>
      </c>
      <c r="D168" s="736">
        <f>SUM(E168:H168)</f>
        <v>3.95</v>
      </c>
      <c r="E168" s="732">
        <f>0.75+0.65+0.6+0.2</f>
        <v>2.2000000000000002</v>
      </c>
      <c r="F168" s="732">
        <v>0</v>
      </c>
      <c r="G168" s="732">
        <v>0</v>
      </c>
      <c r="H168" s="735">
        <f>0.4+0.6+0.75</f>
        <v>1.75</v>
      </c>
    </row>
    <row r="169" spans="3:58" ht="45.6" customHeight="1" thickBot="1">
      <c r="C169" s="473" t="s">
        <v>498</v>
      </c>
      <c r="D169" s="486">
        <f>SUM(E169:H169)</f>
        <v>54622.5</v>
      </c>
      <c r="E169" s="474">
        <f>E167*E168-5000</f>
        <v>31058</v>
      </c>
      <c r="F169" s="474">
        <f>F167*F168</f>
        <v>0</v>
      </c>
      <c r="G169" s="474">
        <f>G167*G168</f>
        <v>0</v>
      </c>
      <c r="H169" s="475">
        <f>H167*H168-5000-118</f>
        <v>23564.5</v>
      </c>
    </row>
    <row r="170" spans="3:58" ht="78" customHeight="1">
      <c r="C170" s="470" t="s">
        <v>763</v>
      </c>
      <c r="D170" s="493" t="s">
        <v>425</v>
      </c>
      <c r="E170" s="734">
        <v>1350</v>
      </c>
      <c r="F170" s="734">
        <v>1350</v>
      </c>
      <c r="G170" s="734">
        <v>1350</v>
      </c>
      <c r="H170" s="734">
        <v>1350</v>
      </c>
    </row>
    <row r="171" spans="3:58" ht="85.5">
      <c r="C171" s="472" t="s">
        <v>764</v>
      </c>
      <c r="D171" s="485">
        <f>SUM(E171:H171)</f>
        <v>4</v>
      </c>
      <c r="E171" s="429">
        <v>1</v>
      </c>
      <c r="F171" s="429">
        <v>1</v>
      </c>
      <c r="G171" s="429">
        <v>1</v>
      </c>
      <c r="H171" s="438">
        <v>1</v>
      </c>
    </row>
    <row r="172" spans="3:58" ht="45.6" customHeight="1" thickBot="1">
      <c r="C172" s="473" t="s">
        <v>498</v>
      </c>
      <c r="D172" s="486">
        <f>SUM(E172:H172)</f>
        <v>4498</v>
      </c>
      <c r="E172" s="474">
        <f>E170*E171-225.5</f>
        <v>1124.5</v>
      </c>
      <c r="F172" s="474">
        <f>F170*F171-225.5</f>
        <v>1124.5</v>
      </c>
      <c r="G172" s="474">
        <f>G170*G171-225.5</f>
        <v>1124.5</v>
      </c>
      <c r="H172" s="474">
        <f>H170*H171-225.5</f>
        <v>1124.5</v>
      </c>
    </row>
    <row r="173" spans="3:58" ht="21" thickBot="1"/>
    <row r="174" spans="3:58" s="273" customFormat="1" ht="69" customHeight="1" thickBot="1">
      <c r="C174" s="494" t="s">
        <v>765</v>
      </c>
      <c r="D174" s="495">
        <f>SUM(E174:H174)</f>
        <v>59120.5</v>
      </c>
      <c r="E174" s="495">
        <f>E169+E172</f>
        <v>32182.5</v>
      </c>
      <c r="F174" s="495">
        <f>F169+F172</f>
        <v>1124.5</v>
      </c>
      <c r="G174" s="495">
        <f>G169+G172</f>
        <v>1124.5</v>
      </c>
      <c r="H174" s="495">
        <f>H169+H172</f>
        <v>24689</v>
      </c>
      <c r="Q174" s="276"/>
      <c r="V174" s="276"/>
      <c r="W174" s="275"/>
      <c r="X174" s="275"/>
      <c r="Y174" s="275"/>
      <c r="Z174" s="275"/>
      <c r="AA174" s="276"/>
      <c r="AF174" s="276"/>
      <c r="AK174" s="276"/>
      <c r="AP174" s="276"/>
      <c r="AQ174" s="784"/>
      <c r="AU174" s="276"/>
      <c r="AV174" s="276"/>
      <c r="AW174" s="276"/>
      <c r="AX174" s="276"/>
      <c r="AY174" s="276"/>
      <c r="AZ174" s="276"/>
      <c r="BF174" s="276"/>
    </row>
    <row r="179" spans="3:17" ht="22.9" customHeight="1">
      <c r="C179" s="1128" t="s">
        <v>774</v>
      </c>
      <c r="D179" s="1128"/>
      <c r="E179" s="1128"/>
      <c r="F179" s="1128"/>
      <c r="G179" s="1128"/>
      <c r="H179" s="1128"/>
    </row>
    <row r="180" spans="3:17" ht="21" thickBot="1"/>
    <row r="181" spans="3:17" ht="29.45" customHeight="1" thickBot="1">
      <c r="C181" s="496" t="s">
        <v>489</v>
      </c>
      <c r="D181" s="482" t="s">
        <v>490</v>
      </c>
      <c r="E181" s="482" t="s">
        <v>409</v>
      </c>
      <c r="F181" s="482" t="s">
        <v>457</v>
      </c>
      <c r="G181" s="482" t="s">
        <v>458</v>
      </c>
      <c r="H181" s="497" t="s">
        <v>412</v>
      </c>
      <c r="I181" s="1195" t="s">
        <v>549</v>
      </c>
      <c r="J181" s="1196"/>
      <c r="K181" s="1196"/>
      <c r="L181" s="1197"/>
    </row>
    <row r="182" spans="3:17" ht="71.45" customHeight="1">
      <c r="C182" s="498" t="s">
        <v>355</v>
      </c>
      <c r="D182" s="499">
        <f t="shared" ref="D182:D191" si="134">SUM(E182:H182)</f>
        <v>140000</v>
      </c>
      <c r="E182" s="435">
        <v>60000</v>
      </c>
      <c r="F182" s="435">
        <v>30000</v>
      </c>
      <c r="G182" s="435">
        <v>30000</v>
      </c>
      <c r="H182" s="435">
        <v>20000</v>
      </c>
      <c r="I182" s="1189" t="s">
        <v>235</v>
      </c>
      <c r="J182" s="1190"/>
      <c r="K182" s="1190"/>
      <c r="L182" s="1191"/>
    </row>
    <row r="183" spans="3:17" ht="29.45" customHeight="1">
      <c r="C183" s="500" t="s">
        <v>356</v>
      </c>
      <c r="D183" s="485">
        <f t="shared" si="134"/>
        <v>0</v>
      </c>
      <c r="E183" s="429">
        <v>0</v>
      </c>
      <c r="F183" s="429">
        <v>0</v>
      </c>
      <c r="G183" s="429">
        <v>0</v>
      </c>
      <c r="H183" s="501">
        <v>0</v>
      </c>
      <c r="I183" s="1177" t="s">
        <v>425</v>
      </c>
      <c r="J183" s="1178"/>
      <c r="K183" s="1178"/>
      <c r="L183" s="1179"/>
      <c r="M183" s="63" t="s">
        <v>225</v>
      </c>
    </row>
    <row r="184" spans="3:17" ht="409.6" customHeight="1">
      <c r="C184" s="500" t="s">
        <v>357</v>
      </c>
      <c r="D184" s="485">
        <f t="shared" si="134"/>
        <v>850000</v>
      </c>
      <c r="E184" s="429">
        <v>250000</v>
      </c>
      <c r="F184" s="429">
        <v>200000</v>
      </c>
      <c r="G184" s="429">
        <v>180000</v>
      </c>
      <c r="H184" s="429">
        <v>220000</v>
      </c>
      <c r="I184" s="1166" t="s">
        <v>14</v>
      </c>
      <c r="J184" s="1167"/>
      <c r="K184" s="1167"/>
      <c r="L184" s="1167"/>
      <c r="M184" s="1167"/>
      <c r="N184" s="1167"/>
      <c r="O184" s="1167"/>
      <c r="P184" s="1167"/>
      <c r="Q184" s="1167"/>
    </row>
    <row r="185" spans="3:17" ht="64.5" customHeight="1">
      <c r="C185" s="738" t="s">
        <v>359</v>
      </c>
      <c r="D185" s="739">
        <f t="shared" si="134"/>
        <v>581511</v>
      </c>
      <c r="E185" s="740">
        <f>47694+43079+47694</f>
        <v>138467</v>
      </c>
      <c r="F185" s="740">
        <f>157500+144000+23078</f>
        <v>324578</v>
      </c>
      <c r="G185" s="740">
        <v>0</v>
      </c>
      <c r="H185" s="741">
        <f>24616+46156+47694</f>
        <v>118466</v>
      </c>
      <c r="I185" s="1180" t="s">
        <v>224</v>
      </c>
      <c r="J185" s="1181"/>
      <c r="K185" s="1181"/>
      <c r="L185" s="1182"/>
    </row>
    <row r="186" spans="3:17" ht="32.450000000000003" customHeight="1">
      <c r="C186" s="738" t="s">
        <v>360</v>
      </c>
      <c r="D186" s="739">
        <f t="shared" si="134"/>
        <v>0</v>
      </c>
      <c r="E186" s="740">
        <v>0</v>
      </c>
      <c r="F186" s="740">
        <v>0</v>
      </c>
      <c r="G186" s="740">
        <v>0</v>
      </c>
      <c r="H186" s="741">
        <v>0</v>
      </c>
      <c r="I186" s="1183" t="s">
        <v>425</v>
      </c>
      <c r="J186" s="1184"/>
      <c r="K186" s="1184"/>
      <c r="L186" s="1185"/>
    </row>
    <row r="187" spans="3:17" ht="100.5" customHeight="1">
      <c r="C187" s="738" t="s">
        <v>361</v>
      </c>
      <c r="D187" s="739">
        <f t="shared" si="134"/>
        <v>0</v>
      </c>
      <c r="E187" s="740">
        <v>0</v>
      </c>
      <c r="F187" s="740">
        <v>0</v>
      </c>
      <c r="G187" s="740">
        <v>0</v>
      </c>
      <c r="H187" s="740">
        <v>0</v>
      </c>
      <c r="I187" s="1183" t="s">
        <v>425</v>
      </c>
      <c r="J187" s="1184"/>
      <c r="K187" s="1184"/>
      <c r="L187" s="1185"/>
    </row>
    <row r="188" spans="3:17" ht="84.75" customHeight="1">
      <c r="C188" s="500" t="s">
        <v>362</v>
      </c>
      <c r="D188" s="485">
        <f t="shared" si="134"/>
        <v>240000</v>
      </c>
      <c r="E188" s="429">
        <v>60000</v>
      </c>
      <c r="F188" s="429">
        <v>60000</v>
      </c>
      <c r="G188" s="429">
        <v>60000</v>
      </c>
      <c r="H188" s="429">
        <v>60000</v>
      </c>
      <c r="I188" s="1186" t="s">
        <v>222</v>
      </c>
      <c r="J188" s="1187"/>
      <c r="K188" s="1187"/>
      <c r="L188" s="1188"/>
    </row>
    <row r="189" spans="3:17" ht="127.5" customHeight="1">
      <c r="C189" s="500" t="s">
        <v>363</v>
      </c>
      <c r="D189" s="485">
        <f t="shared" si="134"/>
        <v>1085000</v>
      </c>
      <c r="E189" s="429">
        <v>400000</v>
      </c>
      <c r="F189" s="429">
        <v>250000</v>
      </c>
      <c r="G189" s="429">
        <v>135000</v>
      </c>
      <c r="H189" s="429">
        <v>300000</v>
      </c>
      <c r="I189" s="1186" t="s">
        <v>94</v>
      </c>
      <c r="J189" s="1187"/>
      <c r="K189" s="1187"/>
      <c r="L189" s="1188"/>
    </row>
    <row r="190" spans="3:17" ht="55.9" customHeight="1">
      <c r="C190" s="500" t="s">
        <v>540</v>
      </c>
      <c r="D190" s="485">
        <f t="shared" si="134"/>
        <v>0</v>
      </c>
      <c r="E190" s="429">
        <v>0</v>
      </c>
      <c r="F190" s="429">
        <v>0</v>
      </c>
      <c r="G190" s="429">
        <v>0</v>
      </c>
      <c r="H190" s="429">
        <v>0</v>
      </c>
      <c r="I190" s="1177" t="s">
        <v>425</v>
      </c>
      <c r="J190" s="1178"/>
      <c r="K190" s="1178"/>
      <c r="L190" s="1179"/>
    </row>
    <row r="191" spans="3:17" ht="45" customHeight="1">
      <c r="C191" s="500" t="s">
        <v>365</v>
      </c>
      <c r="D191" s="485">
        <f t="shared" si="134"/>
        <v>0</v>
      </c>
      <c r="E191" s="429">
        <v>0</v>
      </c>
      <c r="F191" s="429">
        <v>0</v>
      </c>
      <c r="G191" s="429">
        <v>0</v>
      </c>
      <c r="H191" s="501">
        <v>0</v>
      </c>
      <c r="I191" s="1177" t="s">
        <v>550</v>
      </c>
      <c r="J191" s="1178"/>
      <c r="K191" s="1178"/>
      <c r="L191" s="1179"/>
    </row>
    <row r="192" spans="3:17" ht="52.15" customHeight="1" thickBot="1">
      <c r="C192" s="571" t="s">
        <v>555</v>
      </c>
      <c r="D192" s="486">
        <f>E192+F192+G192+H192</f>
        <v>0</v>
      </c>
      <c r="E192" s="474">
        <v>0</v>
      </c>
      <c r="F192" s="474">
        <v>0</v>
      </c>
      <c r="G192" s="474">
        <v>0</v>
      </c>
      <c r="H192" s="474">
        <v>0</v>
      </c>
      <c r="I192" s="1171" t="s">
        <v>551</v>
      </c>
      <c r="J192" s="1172"/>
      <c r="K192" s="1172"/>
      <c r="L192" s="1173"/>
    </row>
    <row r="193" spans="3:58" ht="63" customHeight="1">
      <c r="C193" s="805" t="s">
        <v>538</v>
      </c>
      <c r="D193" s="806">
        <f t="shared" ref="D193:D207" si="135">SUM(E193:H193)</f>
        <v>30000</v>
      </c>
      <c r="E193" s="435">
        <v>10000</v>
      </c>
      <c r="F193" s="435">
        <v>5000</v>
      </c>
      <c r="G193" s="435">
        <v>5000</v>
      </c>
      <c r="H193" s="435">
        <v>10000</v>
      </c>
      <c r="I193" s="1174" t="s">
        <v>223</v>
      </c>
      <c r="J193" s="1175"/>
      <c r="K193" s="1175"/>
      <c r="L193" s="1176"/>
    </row>
    <row r="194" spans="3:58" ht="40.9" customHeight="1">
      <c r="C194" s="500" t="s">
        <v>539</v>
      </c>
      <c r="D194" s="485">
        <f t="shared" si="135"/>
        <v>0</v>
      </c>
      <c r="E194" s="429">
        <v>0</v>
      </c>
      <c r="F194" s="429">
        <v>0</v>
      </c>
      <c r="G194" s="429">
        <v>0</v>
      </c>
      <c r="H194" s="429">
        <v>0</v>
      </c>
      <c r="I194" s="1183" t="s">
        <v>425</v>
      </c>
      <c r="J194" s="1184"/>
      <c r="K194" s="1184"/>
      <c r="L194" s="1185"/>
    </row>
    <row r="195" spans="3:58" ht="40.9" customHeight="1">
      <c r="C195" s="500" t="s">
        <v>541</v>
      </c>
      <c r="D195" s="485">
        <f t="shared" si="135"/>
        <v>0</v>
      </c>
      <c r="E195" s="429">
        <v>0</v>
      </c>
      <c r="F195" s="429">
        <v>0</v>
      </c>
      <c r="G195" s="429">
        <v>0</v>
      </c>
      <c r="H195" s="429">
        <v>0</v>
      </c>
      <c r="I195" s="1183" t="s">
        <v>425</v>
      </c>
      <c r="J195" s="1184"/>
      <c r="K195" s="1184"/>
      <c r="L195" s="1185"/>
    </row>
    <row r="196" spans="3:58" ht="40.9" customHeight="1">
      <c r="C196" s="500" t="s">
        <v>542</v>
      </c>
      <c r="D196" s="485">
        <f t="shared" si="135"/>
        <v>0</v>
      </c>
      <c r="E196" s="429">
        <v>0</v>
      </c>
      <c r="F196" s="429">
        <v>0</v>
      </c>
      <c r="G196" s="429">
        <v>0</v>
      </c>
      <c r="H196" s="429">
        <v>0</v>
      </c>
      <c r="I196" s="1183" t="s">
        <v>425</v>
      </c>
      <c r="J196" s="1184"/>
      <c r="K196" s="1184"/>
      <c r="L196" s="1185"/>
    </row>
    <row r="197" spans="3:58" ht="40.9" customHeight="1">
      <c r="C197" s="500" t="s">
        <v>543</v>
      </c>
      <c r="D197" s="485">
        <f t="shared" si="135"/>
        <v>0</v>
      </c>
      <c r="E197" s="429">
        <v>0</v>
      </c>
      <c r="F197" s="429">
        <v>0</v>
      </c>
      <c r="G197" s="429">
        <v>0</v>
      </c>
      <c r="H197" s="429">
        <v>0</v>
      </c>
      <c r="I197" s="1183" t="s">
        <v>425</v>
      </c>
      <c r="J197" s="1184"/>
      <c r="K197" s="1184"/>
      <c r="L197" s="1185"/>
    </row>
    <row r="198" spans="3:58" ht="63.6" customHeight="1">
      <c r="C198" s="807" t="s">
        <v>372</v>
      </c>
      <c r="D198" s="808">
        <f t="shared" si="135"/>
        <v>13000</v>
      </c>
      <c r="E198" s="429">
        <v>5000</v>
      </c>
      <c r="F198" s="429">
        <v>1500</v>
      </c>
      <c r="G198" s="429">
        <v>1500</v>
      </c>
      <c r="H198" s="429">
        <v>5000</v>
      </c>
      <c r="I198" s="1200" t="s">
        <v>13</v>
      </c>
      <c r="J198" s="1201"/>
      <c r="K198" s="1201"/>
      <c r="L198" s="1202"/>
      <c r="M198" s="1198" t="s">
        <v>240</v>
      </c>
      <c r="N198" s="1199"/>
      <c r="O198" s="1199"/>
    </row>
    <row r="199" spans="3:58" ht="45.6" customHeight="1" thickBot="1">
      <c r="C199" s="502" t="s">
        <v>373</v>
      </c>
      <c r="D199" s="486">
        <f t="shared" si="135"/>
        <v>0</v>
      </c>
      <c r="E199" s="503">
        <v>0</v>
      </c>
      <c r="F199" s="503">
        <v>0</v>
      </c>
      <c r="G199" s="503">
        <v>0</v>
      </c>
      <c r="H199" s="503">
        <v>0</v>
      </c>
      <c r="I199" s="1168" t="s">
        <v>425</v>
      </c>
      <c r="J199" s="1169"/>
      <c r="K199" s="1169"/>
      <c r="L199" s="1170"/>
    </row>
    <row r="200" spans="3:58" ht="42.6" customHeight="1" thickBot="1">
      <c r="C200" s="572" t="s">
        <v>544</v>
      </c>
      <c r="D200" s="505">
        <f t="shared" si="135"/>
        <v>0</v>
      </c>
      <c r="E200" s="503">
        <v>0</v>
      </c>
      <c r="F200" s="503">
        <v>0</v>
      </c>
      <c r="G200" s="503">
        <v>0</v>
      </c>
      <c r="H200" s="503">
        <v>0</v>
      </c>
      <c r="I200" s="1189" t="s">
        <v>425</v>
      </c>
      <c r="J200" s="1190"/>
      <c r="K200" s="1190"/>
      <c r="L200" s="1191"/>
    </row>
    <row r="201" spans="3:58" s="339" customFormat="1" ht="49.5">
      <c r="C201" s="506" t="s">
        <v>545</v>
      </c>
      <c r="D201" s="485">
        <f t="shared" si="135"/>
        <v>1100000</v>
      </c>
      <c r="E201" s="429">
        <v>500000</v>
      </c>
      <c r="F201" s="429">
        <v>200000</v>
      </c>
      <c r="G201" s="429">
        <v>100000</v>
      </c>
      <c r="H201" s="429">
        <v>300000</v>
      </c>
      <c r="I201" s="1192" t="s">
        <v>12</v>
      </c>
      <c r="J201" s="1193"/>
      <c r="K201" s="1193"/>
      <c r="L201" s="1194"/>
      <c r="Q201" s="507"/>
      <c r="V201" s="507"/>
      <c r="AA201" s="507"/>
      <c r="AF201" s="507"/>
      <c r="AK201" s="507"/>
      <c r="AP201" s="507"/>
      <c r="AQ201" s="786"/>
      <c r="AU201" s="507"/>
      <c r="AV201" s="508"/>
      <c r="AW201" s="508"/>
      <c r="AX201" s="508"/>
      <c r="AY201" s="508"/>
      <c r="AZ201" s="507"/>
      <c r="BF201" s="507"/>
    </row>
    <row r="202" spans="3:58" s="339" customFormat="1" ht="69.599999999999994" customHeight="1">
      <c r="C202" s="506" t="s">
        <v>546</v>
      </c>
      <c r="D202" s="485">
        <f t="shared" si="135"/>
        <v>420000</v>
      </c>
      <c r="E202" s="429">
        <v>150000</v>
      </c>
      <c r="F202" s="429">
        <v>90000</v>
      </c>
      <c r="G202" s="429">
        <v>90000</v>
      </c>
      <c r="H202" s="429">
        <v>90000</v>
      </c>
      <c r="I202" s="1206" t="s">
        <v>11</v>
      </c>
      <c r="J202" s="1207"/>
      <c r="K202" s="1207"/>
      <c r="L202" s="1208"/>
      <c r="N202" s="811" t="s">
        <v>5</v>
      </c>
      <c r="O202" s="811" t="s">
        <v>6</v>
      </c>
      <c r="Q202" s="507"/>
      <c r="V202" s="507"/>
      <c r="AA202" s="507"/>
      <c r="AF202" s="507"/>
      <c r="AK202" s="507"/>
      <c r="AP202" s="507"/>
      <c r="AQ202" s="786"/>
      <c r="AU202" s="507"/>
      <c r="AV202" s="508"/>
      <c r="AW202" s="508"/>
      <c r="AX202" s="508"/>
      <c r="AY202" s="508"/>
      <c r="AZ202" s="507"/>
      <c r="BF202" s="507"/>
    </row>
    <row r="203" spans="3:58" s="339" customFormat="1" ht="43.15" customHeight="1">
      <c r="C203" s="506" t="s">
        <v>547</v>
      </c>
      <c r="D203" s="485">
        <f t="shared" si="135"/>
        <v>0</v>
      </c>
      <c r="E203" s="429">
        <v>0</v>
      </c>
      <c r="F203" s="429">
        <v>0</v>
      </c>
      <c r="G203" s="429">
        <v>0</v>
      </c>
      <c r="H203" s="429">
        <v>0</v>
      </c>
      <c r="I203" s="1206" t="s">
        <v>769</v>
      </c>
      <c r="J203" s="1207"/>
      <c r="K203" s="1207"/>
      <c r="L203" s="1208"/>
      <c r="Q203" s="507"/>
      <c r="V203" s="507"/>
      <c r="AA203" s="507"/>
      <c r="AF203" s="507"/>
      <c r="AK203" s="507"/>
      <c r="AP203" s="507"/>
      <c r="AQ203" s="786"/>
      <c r="AU203" s="507"/>
      <c r="AV203" s="508"/>
      <c r="AW203" s="508"/>
      <c r="AX203" s="508"/>
      <c r="AY203" s="508"/>
      <c r="AZ203" s="507"/>
      <c r="BF203" s="507"/>
    </row>
    <row r="204" spans="3:58" ht="82.5">
      <c r="C204" s="506" t="s">
        <v>548</v>
      </c>
      <c r="D204" s="485">
        <f t="shared" si="135"/>
        <v>0</v>
      </c>
      <c r="E204" s="429">
        <v>0</v>
      </c>
      <c r="F204" s="429">
        <v>0</v>
      </c>
      <c r="G204" s="429">
        <v>0</v>
      </c>
      <c r="H204" s="429">
        <v>0</v>
      </c>
      <c r="I204" s="1177" t="s">
        <v>554</v>
      </c>
      <c r="J204" s="1178"/>
      <c r="K204" s="1178"/>
      <c r="L204" s="1179"/>
    </row>
    <row r="205" spans="3:58" ht="36" customHeight="1">
      <c r="C205" s="506" t="s">
        <v>683</v>
      </c>
      <c r="D205" s="485">
        <f t="shared" si="135"/>
        <v>0</v>
      </c>
      <c r="E205" s="429">
        <v>0</v>
      </c>
      <c r="F205" s="429">
        <v>0</v>
      </c>
      <c r="G205" s="429">
        <v>0</v>
      </c>
      <c r="H205" s="429">
        <v>0</v>
      </c>
      <c r="I205" s="1209" t="s">
        <v>425</v>
      </c>
      <c r="J205" s="1210"/>
      <c r="K205" s="1210"/>
      <c r="L205" s="1211"/>
    </row>
    <row r="206" spans="3:58" ht="61.9" customHeight="1">
      <c r="C206" s="506" t="s">
        <v>552</v>
      </c>
      <c r="D206" s="485">
        <f t="shared" si="135"/>
        <v>0</v>
      </c>
      <c r="E206" s="429">
        <v>0</v>
      </c>
      <c r="F206" s="429">
        <v>0</v>
      </c>
      <c r="G206" s="429">
        <v>0</v>
      </c>
      <c r="H206" s="429">
        <v>0</v>
      </c>
      <c r="I206" s="1206"/>
      <c r="J206" s="1207"/>
      <c r="K206" s="1207"/>
      <c r="L206" s="1208"/>
    </row>
    <row r="207" spans="3:58" ht="45" customHeight="1" thickBot="1">
      <c r="C207" s="509" t="s">
        <v>691</v>
      </c>
      <c r="D207" s="486">
        <f t="shared" si="135"/>
        <v>0</v>
      </c>
      <c r="E207" s="503">
        <v>0</v>
      </c>
      <c r="F207" s="503">
        <v>0</v>
      </c>
      <c r="G207" s="503">
        <v>0</v>
      </c>
      <c r="H207" s="504">
        <v>0</v>
      </c>
      <c r="I207" s="1203" t="s">
        <v>553</v>
      </c>
      <c r="J207" s="1204"/>
      <c r="K207" s="1204"/>
      <c r="L207" s="1205"/>
      <c r="M207" s="751">
        <f>D138+D147+D150+D163+D174+D182+D184+D185+D188+D189+D201+D202</f>
        <v>5887757.5908880001</v>
      </c>
    </row>
  </sheetData>
  <mergeCells count="68">
    <mergeCell ref="I198:L198"/>
    <mergeCell ref="I182:L182"/>
    <mergeCell ref="I183:L183"/>
    <mergeCell ref="I207:L207"/>
    <mergeCell ref="I202:L202"/>
    <mergeCell ref="I203:L203"/>
    <mergeCell ref="I204:L204"/>
    <mergeCell ref="I205:L205"/>
    <mergeCell ref="I206:L206"/>
    <mergeCell ref="I200:L200"/>
    <mergeCell ref="I201:L201"/>
    <mergeCell ref="I189:L189"/>
    <mergeCell ref="I190:L190"/>
    <mergeCell ref="C179:H179"/>
    <mergeCell ref="I181:L181"/>
    <mergeCell ref="I194:L194"/>
    <mergeCell ref="I195:L195"/>
    <mergeCell ref="I196:L196"/>
    <mergeCell ref="I197:L197"/>
    <mergeCell ref="I184:Q184"/>
    <mergeCell ref="I199:L199"/>
    <mergeCell ref="I192:L192"/>
    <mergeCell ref="I193:L193"/>
    <mergeCell ref="I191:L191"/>
    <mergeCell ref="I185:L185"/>
    <mergeCell ref="I186:L186"/>
    <mergeCell ref="I187:L187"/>
    <mergeCell ref="I188:L188"/>
    <mergeCell ref="M198:O198"/>
    <mergeCell ref="BH17:BL17"/>
    <mergeCell ref="C132:E132"/>
    <mergeCell ref="BB16:BF16"/>
    <mergeCell ref="M17:Q17"/>
    <mergeCell ref="AB17:AF17"/>
    <mergeCell ref="BB17:BF17"/>
    <mergeCell ref="AL17:AP17"/>
    <mergeCell ref="AQ17:AU17"/>
    <mergeCell ref="C74:C101"/>
    <mergeCell ref="C45:C60"/>
    <mergeCell ref="AV17:AZ17"/>
    <mergeCell ref="AG17:AK17"/>
    <mergeCell ref="R17:V17"/>
    <mergeCell ref="C17:D17"/>
    <mergeCell ref="I17:L17"/>
    <mergeCell ref="E17:H17"/>
    <mergeCell ref="A2:AL2"/>
    <mergeCell ref="C4:I4"/>
    <mergeCell ref="C6:E6"/>
    <mergeCell ref="C7:E7"/>
    <mergeCell ref="C19:C28"/>
    <mergeCell ref="W17:AA17"/>
    <mergeCell ref="C15:E15"/>
    <mergeCell ref="F6:H6"/>
    <mergeCell ref="F7:H7"/>
    <mergeCell ref="C12:E12"/>
    <mergeCell ref="C13:E13"/>
    <mergeCell ref="C10:E10"/>
    <mergeCell ref="C11:E11"/>
    <mergeCell ref="C8:E8"/>
    <mergeCell ref="F8:H8"/>
    <mergeCell ref="G10:G12"/>
    <mergeCell ref="C165:H165"/>
    <mergeCell ref="C102:C127"/>
    <mergeCell ref="C61:C73"/>
    <mergeCell ref="C29:C44"/>
    <mergeCell ref="C134:H134"/>
    <mergeCell ref="C140:H140"/>
    <mergeCell ref="C152:H152"/>
  </mergeCells>
  <phoneticPr fontId="0" type="noConversion"/>
  <conditionalFormatting sqref="AV19:AY27 R19:U27 AB19:AE27 AL19:AO27 AV29:AY43 E41:P43 AV45:AY59 AB45:AE59 AG45:AJ59 AL45:AO59 E49:P59 W45:Z59 AV74:AY100 AL74:AO100 AB74:AE100 R74:U100 AV102:AY126 R102:U126 AB102:AE126 AL102:AO126 AG29:AJ43 AL29:AO43 R29:U43 AB29:AE43 E74:P100 E102:P126 E19:P27 W29:Z43 AG102:AJ126 R45:U59 W19:Z27 AG74:AJ100 AG19:AJ27 W102:Z126 W74:Z100">
    <cfRule type="notContainsBlanks" dxfId="58" priority="35">
      <formula>LEN(TRIM(E19))&gt;0</formula>
    </cfRule>
  </conditionalFormatting>
  <conditionalFormatting sqref="E29:P39">
    <cfRule type="notContainsBlanks" dxfId="57" priority="34">
      <formula>LEN(TRIM(E29))&gt;0</formula>
    </cfRule>
  </conditionalFormatting>
  <conditionalFormatting sqref="E45:P47">
    <cfRule type="notContainsBlanks" dxfId="56" priority="33">
      <formula>LEN(TRIM(E45))&gt;0</formula>
    </cfRule>
  </conditionalFormatting>
  <conditionalFormatting sqref="R61:U72 AL61:AO72 AG61:AJ72 E61:P72 AB61:AE72 W61:Z72">
    <cfRule type="notContainsBlanks" dxfId="55" priority="32">
      <formula>LEN(TRIM(E61))&gt;0</formula>
    </cfRule>
  </conditionalFormatting>
  <conditionalFormatting sqref="E136:H137 E142:H143 E145:H146 E160:H161 E148:H149 E170:H171 E154:H155">
    <cfRule type="notContainsBlanks" dxfId="54" priority="29">
      <formula>LEN(TRIM(E136))&gt;0</formula>
    </cfRule>
  </conditionalFormatting>
  <conditionalFormatting sqref="E193:H207 E182:H191">
    <cfRule type="notContainsBlanks" dxfId="53" priority="28">
      <formula>LEN(TRIM(E182))&gt;0</formula>
    </cfRule>
  </conditionalFormatting>
  <conditionalFormatting sqref="AV28:AY28">
    <cfRule type="notContainsBlanks" dxfId="52" priority="27">
      <formula>LEN(TRIM(AV28))&gt;0</formula>
    </cfRule>
  </conditionalFormatting>
  <conditionalFormatting sqref="AV44:AY44">
    <cfRule type="notContainsBlanks" dxfId="51" priority="24">
      <formula>LEN(TRIM(AV44))&gt;0</formula>
    </cfRule>
  </conditionalFormatting>
  <conditionalFormatting sqref="AV60:AY60">
    <cfRule type="notContainsBlanks" dxfId="50" priority="22">
      <formula>LEN(TRIM(AV60))&gt;0</formula>
    </cfRule>
  </conditionalFormatting>
  <conditionalFormatting sqref="AV61:AY72">
    <cfRule type="notContainsBlanks" dxfId="49" priority="21">
      <formula>LEN(TRIM(AV61))&gt;0</formula>
    </cfRule>
  </conditionalFormatting>
  <conditionalFormatting sqref="AV73:AY73">
    <cfRule type="notContainsBlanks" dxfId="48" priority="20">
      <formula>LEN(TRIM(AV73))&gt;0</formula>
    </cfRule>
  </conditionalFormatting>
  <conditionalFormatting sqref="AV101:AY101">
    <cfRule type="notContainsBlanks" dxfId="47" priority="18">
      <formula>LEN(TRIM(AV101))&gt;0</formula>
    </cfRule>
  </conditionalFormatting>
  <conditionalFormatting sqref="AV127:AY127">
    <cfRule type="notContainsBlanks" dxfId="46" priority="16">
      <formula>LEN(TRIM(AV127))&gt;0</formula>
    </cfRule>
  </conditionalFormatting>
  <conditionalFormatting sqref="R61:U72 AL61:AO72 AG61:AJ72 R19:U27 AB19:AE27 AL19:AO27 E61:P72 E19:P27 AB61:AE72 E29:P39 E45:P47 W61:Z72 W19:Z27 AG19:AJ27">
    <cfRule type="notContainsBlanks" dxfId="45" priority="15">
      <formula>LEN(TRIM(E19))&gt;0</formula>
    </cfRule>
  </conditionalFormatting>
  <conditionalFormatting sqref="E136:H137 E142:H143 E145:H146 E160:H161 E148:H149 E170:H171 E193:H207 E154:H155 E182:H191">
    <cfRule type="notContainsBlanks" dxfId="44" priority="14">
      <formula>LEN(TRIM(E136))&gt;0</formula>
    </cfRule>
  </conditionalFormatting>
  <conditionalFormatting sqref="E157:H157">
    <cfRule type="notContainsBlanks" dxfId="43" priority="11">
      <formula>LEN(TRIM(E157))&gt;0</formula>
    </cfRule>
  </conditionalFormatting>
  <conditionalFormatting sqref="E157:H157">
    <cfRule type="notContainsBlanks" dxfId="42" priority="10">
      <formula>LEN(TRIM(E157))&gt;0</formula>
    </cfRule>
  </conditionalFormatting>
  <conditionalFormatting sqref="E167:H168">
    <cfRule type="notContainsBlanks" dxfId="41" priority="9">
      <formula>LEN(TRIM(E167))&gt;0</formula>
    </cfRule>
  </conditionalFormatting>
  <conditionalFormatting sqref="E167:H168">
    <cfRule type="notContainsBlanks" dxfId="40" priority="8">
      <formula>LEN(TRIM(E167))&gt;0</formula>
    </cfRule>
  </conditionalFormatting>
  <conditionalFormatting sqref="E40:P40">
    <cfRule type="notContainsBlanks" dxfId="39" priority="5">
      <formula>LEN(TRIM(E40))&gt;0</formula>
    </cfRule>
  </conditionalFormatting>
  <conditionalFormatting sqref="E40:P40">
    <cfRule type="notContainsBlanks" dxfId="38" priority="4">
      <formula>LEN(TRIM(E40))&gt;0</formula>
    </cfRule>
  </conditionalFormatting>
  <conditionalFormatting sqref="E48:P48">
    <cfRule type="notContainsBlanks" dxfId="37" priority="3">
      <formula>LEN(TRIM(E48))&gt;0</formula>
    </cfRule>
  </conditionalFormatting>
  <conditionalFormatting sqref="E158:H158">
    <cfRule type="notContainsBlanks" dxfId="36" priority="2">
      <formula>LEN(TRIM(E158))&gt;0</formula>
    </cfRule>
  </conditionalFormatting>
  <conditionalFormatting sqref="E158:H158">
    <cfRule type="notContainsBlanks" dxfId="35" priority="1">
      <formula>LEN(TRIM(E158))&gt;0</formula>
    </cfRule>
  </conditionalFormatting>
  <hyperlinks>
    <hyperlink ref="H10" location="'02_Видатки'!A14" display="оплата праці"/>
    <hyperlink ref="H11" location="'02_Видатки'!A140" display="комунальні витрати"/>
    <hyperlink ref="H12" location="'02_Видатки'!A181" display="інші видатки"/>
  </hyperlinks>
  <pageMargins left="0.7" right="0.7" top="0.75" bottom="0.75" header="0.3" footer="0.3"/>
  <pageSetup paperSize="9" scale="31" orientation="portrait" r:id="rId1"/>
  <colBreaks count="1" manualBreakCount="1">
    <brk id="12" max="1048575" man="1"/>
  </colBreaks>
  <ignoredErrors>
    <ignoredError sqref="BB28:BE28 AP28 AK28 Q28 V28" formula="1"/>
  </ignoredErrors>
  <drawing r:id="rId2"/>
  <legacyDrawing r:id="rId3"/>
</worksheet>
</file>

<file path=xl/worksheets/sheet7.xml><?xml version="1.0" encoding="utf-8"?>
<worksheet xmlns="http://schemas.openxmlformats.org/spreadsheetml/2006/main" xmlns:r="http://schemas.openxmlformats.org/officeDocument/2006/relationships">
  <sheetPr>
    <tabColor theme="4" tint="0.39997558519241921"/>
    <outlinePr summaryBelow="0" summaryRight="0"/>
  </sheetPr>
  <dimension ref="A1:IV165"/>
  <sheetViews>
    <sheetView showGridLines="0" topLeftCell="A70" zoomScale="85" zoomScaleNormal="85" workbookViewId="0">
      <selection activeCell="B93" sqref="B93"/>
    </sheetView>
  </sheetViews>
  <sheetFormatPr defaultColWidth="10.7109375" defaultRowHeight="15.75"/>
  <cols>
    <col min="1" max="1" width="3.85546875" style="69" customWidth="1"/>
    <col min="2" max="2" width="61.7109375" style="68" customWidth="1"/>
    <col min="3" max="3" width="40.140625" style="68" customWidth="1"/>
    <col min="4" max="4" width="28.140625" style="68" customWidth="1"/>
    <col min="5" max="5" width="26.42578125" style="68" customWidth="1"/>
    <col min="6" max="6" width="40.140625" style="68" customWidth="1"/>
    <col min="7" max="11" width="10.7109375" style="68"/>
    <col min="12" max="12" width="12.28515625" style="68" bestFit="1" customWidth="1"/>
    <col min="13" max="16384" width="10.7109375" style="68"/>
  </cols>
  <sheetData>
    <row r="1" spans="1:256" s="60" customFormat="1" ht="16.5">
      <c r="A1" s="91"/>
      <c r="K1" s="61"/>
      <c r="P1" s="61"/>
      <c r="U1" s="61"/>
      <c r="Z1" s="61"/>
      <c r="AE1" s="61"/>
      <c r="AJ1" s="61"/>
      <c r="AO1" s="61"/>
    </row>
    <row r="2" spans="1:256" s="63" customFormat="1" ht="27.75" thickBot="1">
      <c r="A2" s="1223" t="s">
        <v>55</v>
      </c>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62"/>
      <c r="AH2" s="62"/>
      <c r="AI2" s="62"/>
      <c r="AJ2" s="62"/>
      <c r="AK2" s="62"/>
      <c r="AL2" s="62"/>
      <c r="AM2" s="62"/>
      <c r="AN2" s="62"/>
      <c r="AO2" s="62"/>
    </row>
    <row r="3" spans="1:256" s="64" customFormat="1" ht="57.6" customHeight="1" thickTop="1" thickBot="1">
      <c r="A3" s="66"/>
      <c r="B3" s="1220" t="s">
        <v>157</v>
      </c>
      <c r="C3" s="1221"/>
      <c r="D3" s="1221"/>
      <c r="E3" s="1222"/>
    </row>
    <row r="4" spans="1:256" s="643" customFormat="1" ht="21" customHeight="1" thickTop="1">
      <c r="A4" s="642"/>
      <c r="B4" s="644"/>
      <c r="C4" s="644"/>
      <c r="D4" s="644"/>
      <c r="E4" s="644"/>
    </row>
    <row r="5" spans="1:256" s="643" customFormat="1" ht="50.45" customHeight="1">
      <c r="A5" s="642"/>
      <c r="B5" s="1216" t="s">
        <v>116</v>
      </c>
      <c r="C5" s="1216"/>
      <c r="D5" s="1216"/>
      <c r="E5" s="1216"/>
    </row>
    <row r="6" spans="1:256" s="64" customFormat="1" ht="18" customHeight="1" thickBot="1">
      <c r="A6" s="66"/>
      <c r="G6" s="66"/>
    </row>
    <row r="7" spans="1:256" s="64" customFormat="1" ht="27.6" customHeight="1">
      <c r="A7" s="66"/>
      <c r="B7" s="1156" t="str">
        <f ca="1">'0_Загальне'!B11</f>
        <v>Офіційна повна назва надавача ПМД:</v>
      </c>
      <c r="C7" s="1157"/>
      <c r="D7" s="1157"/>
      <c r="E7" s="1129" t="str">
        <f ca="1">'0_Загальне'!C11</f>
        <v>Комунальне некомерційне підприємство "Рожищнський центр первинної медико-санітарної допомоги" Рожищенської міської ради</v>
      </c>
      <c r="F7" s="1129"/>
      <c r="G7" s="1130"/>
    </row>
    <row r="8" spans="1:256" s="64" customFormat="1" ht="27.6" customHeight="1">
      <c r="A8" s="66"/>
      <c r="B8" s="1158" t="str">
        <f ca="1">'0_Загальне'!B32</f>
        <v>Плановий період (рік):</v>
      </c>
      <c r="C8" s="1159"/>
      <c r="D8" s="1159"/>
      <c r="E8" s="1131">
        <f ca="1">'0_Загальне'!C32</f>
        <v>2024</v>
      </c>
      <c r="F8" s="1131"/>
      <c r="G8" s="1132"/>
    </row>
    <row r="9" spans="1:256" s="64" customFormat="1" ht="27.6" customHeight="1" thickBot="1">
      <c r="A9" s="66"/>
      <c r="B9" s="1145" t="s">
        <v>748</v>
      </c>
      <c r="C9" s="1146"/>
      <c r="D9" s="1146"/>
      <c r="E9" s="1147" t="str">
        <f ca="1">'0_Загальне'!C34</f>
        <v>11.12.2023</v>
      </c>
      <c r="F9" s="1228"/>
      <c r="G9" s="1229"/>
    </row>
    <row r="10" spans="1:256" s="64" customFormat="1" ht="26.45" customHeight="1" thickBot="1">
      <c r="A10" s="66"/>
      <c r="B10" s="65"/>
      <c r="C10" s="65"/>
      <c r="D10" s="65"/>
      <c r="E10" s="65"/>
      <c r="G10" s="66"/>
    </row>
    <row r="11" spans="1:256" s="64" customFormat="1" ht="37.15" customHeight="1">
      <c r="A11" s="66"/>
      <c r="B11" s="1225" t="s">
        <v>689</v>
      </c>
      <c r="C11" s="1226"/>
      <c r="D11" s="1227"/>
      <c r="E11" s="65"/>
      <c r="G11" s="66"/>
    </row>
    <row r="12" spans="1:256" s="64" customFormat="1" ht="51.6" customHeight="1">
      <c r="A12" s="66"/>
      <c r="B12" s="1217" t="s">
        <v>113</v>
      </c>
      <c r="C12" s="1218"/>
      <c r="D12" s="1219"/>
      <c r="E12" s="65"/>
      <c r="G12" s="66"/>
    </row>
    <row r="13" spans="1:256" s="64" customFormat="1" ht="35.450000000000003" customHeight="1">
      <c r="A13" s="66"/>
      <c r="B13" s="1142" t="s">
        <v>40</v>
      </c>
      <c r="C13" s="1143"/>
      <c r="D13" s="1144"/>
      <c r="E13" s="583"/>
      <c r="F13" s="582"/>
      <c r="G13" s="582"/>
      <c r="H13" s="582"/>
    </row>
    <row r="14" spans="1:256" s="67" customFormat="1" ht="37.9" customHeight="1">
      <c r="A14" s="92"/>
      <c r="B14" s="1212" t="s">
        <v>156</v>
      </c>
      <c r="C14" s="1213"/>
      <c r="D14" s="1214"/>
      <c r="E14" s="582"/>
      <c r="G14" s="582"/>
      <c r="H14" s="582"/>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c r="EL14" s="64"/>
      <c r="EM14" s="64"/>
      <c r="EN14" s="64"/>
      <c r="EO14" s="64"/>
      <c r="EP14" s="64"/>
      <c r="EQ14" s="64"/>
      <c r="ER14" s="64"/>
      <c r="ES14" s="64"/>
      <c r="ET14" s="64"/>
      <c r="EU14" s="64"/>
      <c r="EV14" s="64"/>
      <c r="EW14" s="64"/>
      <c r="EX14" s="64"/>
      <c r="EY14" s="64"/>
      <c r="EZ14" s="64"/>
      <c r="FA14" s="64"/>
      <c r="FB14" s="64"/>
      <c r="FC14" s="64"/>
      <c r="FD14" s="64"/>
      <c r="FE14" s="64"/>
      <c r="FF14" s="64"/>
      <c r="FG14" s="64"/>
      <c r="FH14" s="64"/>
      <c r="FI14" s="64"/>
      <c r="FJ14" s="64"/>
      <c r="FK14" s="64"/>
      <c r="FL14" s="64"/>
      <c r="FM14" s="64"/>
      <c r="FN14" s="64"/>
      <c r="FO14" s="64"/>
      <c r="FP14" s="64"/>
      <c r="FQ14" s="64"/>
      <c r="FR14" s="64"/>
      <c r="FS14" s="64"/>
      <c r="FT14" s="64"/>
      <c r="FU14" s="64"/>
      <c r="FV14" s="64"/>
      <c r="FW14" s="64"/>
      <c r="FX14" s="64"/>
      <c r="FY14" s="64"/>
      <c r="FZ14" s="64"/>
      <c r="GA14" s="64"/>
      <c r="GB14" s="64"/>
      <c r="GC14" s="64"/>
      <c r="GD14" s="64"/>
      <c r="GE14" s="64"/>
      <c r="GF14" s="64"/>
      <c r="GG14" s="64"/>
      <c r="GH14" s="64"/>
      <c r="GI14" s="64"/>
      <c r="GJ14" s="64"/>
      <c r="GK14" s="64"/>
      <c r="GL14" s="64"/>
      <c r="GM14" s="64"/>
      <c r="GN14" s="64"/>
      <c r="GO14" s="64"/>
      <c r="GP14" s="64"/>
      <c r="GQ14" s="64"/>
      <c r="GR14" s="64"/>
      <c r="GS14" s="64"/>
      <c r="GT14" s="64"/>
      <c r="GU14" s="64"/>
      <c r="GV14" s="64"/>
      <c r="GW14" s="64"/>
      <c r="GX14" s="64"/>
      <c r="GY14" s="64"/>
      <c r="GZ14" s="64"/>
      <c r="HA14" s="64"/>
      <c r="HB14" s="64"/>
      <c r="HC14" s="64"/>
      <c r="HD14" s="64"/>
      <c r="HE14" s="64"/>
      <c r="HF14" s="64"/>
      <c r="HG14" s="64"/>
      <c r="HH14" s="64"/>
      <c r="HI14" s="64"/>
      <c r="HJ14" s="64"/>
      <c r="HK14" s="64"/>
      <c r="HL14" s="64"/>
      <c r="HM14" s="64"/>
      <c r="HN14" s="64"/>
      <c r="HO14" s="64"/>
      <c r="HP14" s="64"/>
      <c r="HQ14" s="64"/>
      <c r="HR14" s="64"/>
      <c r="HS14" s="64"/>
      <c r="HT14" s="64"/>
      <c r="HU14" s="64"/>
      <c r="HV14" s="64"/>
      <c r="HW14" s="64"/>
      <c r="HX14" s="64"/>
      <c r="HY14" s="64"/>
      <c r="HZ14" s="64"/>
      <c r="IA14" s="64"/>
      <c r="IB14" s="64"/>
      <c r="IC14" s="64"/>
      <c r="ID14" s="64"/>
      <c r="IE14" s="64"/>
      <c r="IF14" s="64"/>
      <c r="IG14" s="64"/>
      <c r="IH14" s="64"/>
      <c r="II14" s="64"/>
      <c r="IJ14" s="64"/>
      <c r="IK14" s="64"/>
      <c r="IL14" s="64"/>
      <c r="IM14" s="64"/>
      <c r="IN14" s="64"/>
      <c r="IO14" s="64"/>
      <c r="IP14" s="64"/>
      <c r="IQ14" s="64"/>
      <c r="IR14" s="64"/>
      <c r="IS14" s="64"/>
      <c r="IT14" s="64"/>
      <c r="IU14" s="64"/>
      <c r="IV14" s="64"/>
    </row>
    <row r="15" spans="1:256" s="67" customFormat="1" ht="43.9" customHeight="1">
      <c r="A15" s="92"/>
      <c r="B15" s="1212" t="s">
        <v>155</v>
      </c>
      <c r="C15" s="1213"/>
      <c r="D15" s="1214"/>
      <c r="E15" s="582"/>
      <c r="F15" s="66" t="s">
        <v>556</v>
      </c>
      <c r="G15" s="582"/>
      <c r="H15" s="582"/>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c r="DK15" s="64"/>
      <c r="DL15" s="64"/>
      <c r="DM15" s="64"/>
      <c r="DN15" s="64"/>
      <c r="DO15" s="64"/>
      <c r="DP15" s="64"/>
      <c r="DQ15" s="64"/>
      <c r="DR15" s="64"/>
      <c r="DS15" s="64"/>
      <c r="DT15" s="64"/>
      <c r="DU15" s="64"/>
      <c r="DV15" s="64"/>
      <c r="DW15" s="64"/>
      <c r="DX15" s="64"/>
      <c r="DY15" s="64"/>
      <c r="DZ15" s="64"/>
      <c r="EA15" s="64"/>
      <c r="EB15" s="64"/>
      <c r="EC15" s="64"/>
      <c r="ED15" s="64"/>
      <c r="EE15" s="64"/>
      <c r="EF15" s="64"/>
      <c r="EG15" s="64"/>
      <c r="EH15" s="64"/>
      <c r="EI15" s="64"/>
      <c r="EJ15" s="64"/>
      <c r="EK15" s="64"/>
      <c r="EL15" s="64"/>
      <c r="EM15" s="64"/>
      <c r="EN15" s="64"/>
      <c r="EO15" s="64"/>
      <c r="EP15" s="64"/>
      <c r="EQ15" s="64"/>
      <c r="ER15" s="64"/>
      <c r="ES15" s="64"/>
      <c r="ET15" s="64"/>
      <c r="EU15" s="64"/>
      <c r="EV15" s="64"/>
      <c r="EW15" s="64"/>
      <c r="EX15" s="64"/>
      <c r="EY15" s="64"/>
      <c r="EZ15" s="64"/>
      <c r="FA15" s="64"/>
      <c r="FB15" s="64"/>
      <c r="FC15" s="64"/>
      <c r="FD15" s="64"/>
      <c r="FE15" s="64"/>
      <c r="FF15" s="64"/>
      <c r="FG15" s="64"/>
      <c r="FH15" s="64"/>
      <c r="FI15" s="64"/>
      <c r="FJ15" s="64"/>
      <c r="FK15" s="64"/>
      <c r="FL15" s="64"/>
      <c r="FM15" s="64"/>
      <c r="FN15" s="64"/>
      <c r="FO15" s="64"/>
      <c r="FP15" s="64"/>
      <c r="FQ15" s="64"/>
      <c r="FR15" s="64"/>
      <c r="FS15" s="64"/>
      <c r="FT15" s="64"/>
      <c r="FU15" s="64"/>
      <c r="FV15" s="64"/>
      <c r="FW15" s="64"/>
      <c r="FX15" s="64"/>
      <c r="FY15" s="64"/>
      <c r="FZ15" s="64"/>
      <c r="GA15" s="64"/>
      <c r="GB15" s="64"/>
      <c r="GC15" s="64"/>
      <c r="GD15" s="64"/>
      <c r="GE15" s="64"/>
      <c r="GF15" s="64"/>
      <c r="GG15" s="64"/>
      <c r="GH15" s="64"/>
      <c r="GI15" s="64"/>
      <c r="GJ15" s="64"/>
      <c r="GK15" s="64"/>
      <c r="GL15" s="64"/>
      <c r="GM15" s="64"/>
      <c r="GN15" s="64"/>
      <c r="GO15" s="64"/>
      <c r="GP15" s="64"/>
      <c r="GQ15" s="64"/>
      <c r="GR15" s="64"/>
      <c r="GS15" s="64"/>
      <c r="GT15" s="64"/>
      <c r="GU15" s="64"/>
      <c r="GV15" s="64"/>
      <c r="GW15" s="64"/>
      <c r="GX15" s="64"/>
      <c r="GY15" s="64"/>
      <c r="GZ15" s="64"/>
      <c r="HA15" s="64"/>
      <c r="HB15" s="64"/>
      <c r="HC15" s="64"/>
      <c r="HD15" s="64"/>
      <c r="HE15" s="64"/>
      <c r="HF15" s="64"/>
      <c r="HG15" s="64"/>
      <c r="HH15" s="64"/>
      <c r="HI15" s="64"/>
      <c r="HJ15" s="64"/>
      <c r="HK15" s="64"/>
      <c r="HL15" s="64"/>
      <c r="HM15" s="64"/>
      <c r="HN15" s="64"/>
      <c r="HO15" s="64"/>
      <c r="HP15" s="64"/>
      <c r="HQ15" s="64"/>
      <c r="HR15" s="64"/>
      <c r="HS15" s="64"/>
      <c r="HT15" s="64"/>
      <c r="HU15" s="64"/>
      <c r="HV15" s="64"/>
      <c r="HW15" s="64"/>
      <c r="HX15" s="64"/>
      <c r="HY15" s="64"/>
      <c r="HZ15" s="64"/>
      <c r="IA15" s="64"/>
      <c r="IB15" s="64"/>
      <c r="IC15" s="64"/>
      <c r="ID15" s="64"/>
      <c r="IE15" s="64"/>
      <c r="IF15" s="64"/>
      <c r="IG15" s="64"/>
      <c r="IH15" s="64"/>
      <c r="II15" s="64"/>
      <c r="IJ15" s="64"/>
      <c r="IK15" s="64"/>
      <c r="IL15" s="64"/>
      <c r="IM15" s="64"/>
      <c r="IN15" s="64"/>
      <c r="IO15" s="64"/>
      <c r="IP15" s="64"/>
      <c r="IQ15" s="64"/>
      <c r="IR15" s="64"/>
      <c r="IS15" s="64"/>
      <c r="IT15" s="64"/>
      <c r="IU15" s="64"/>
      <c r="IV15" s="64"/>
    </row>
    <row r="16" spans="1:256" s="64" customFormat="1" ht="28.15" customHeight="1">
      <c r="A16" s="66"/>
      <c r="B16" s="1133" t="s">
        <v>701</v>
      </c>
      <c r="C16" s="1134"/>
      <c r="D16" s="1135"/>
      <c r="E16" s="583"/>
      <c r="F16" s="69" t="s">
        <v>560</v>
      </c>
      <c r="G16" s="582"/>
      <c r="H16" s="582"/>
    </row>
    <row r="17" spans="1:256" ht="27" customHeight="1" thickBot="1">
      <c r="B17" s="1136" t="s">
        <v>702</v>
      </c>
      <c r="C17" s="1137"/>
      <c r="D17" s="1138"/>
      <c r="E17" s="88"/>
      <c r="F17" s="88"/>
      <c r="H17" s="88"/>
    </row>
    <row r="18" spans="1:256" ht="16.5">
      <c r="B18" s="45"/>
      <c r="C18" s="45"/>
      <c r="D18" s="45"/>
      <c r="E18" s="88"/>
      <c r="F18" s="88"/>
      <c r="G18" s="88"/>
      <c r="H18" s="88"/>
    </row>
    <row r="19" spans="1:256" ht="100.15" customHeight="1">
      <c r="B19" s="70" t="s">
        <v>482</v>
      </c>
      <c r="C19" s="71" t="s">
        <v>483</v>
      </c>
      <c r="D19" s="71" t="s">
        <v>484</v>
      </c>
      <c r="E19" s="71" t="s">
        <v>485</v>
      </c>
      <c r="F19" s="71" t="s">
        <v>588</v>
      </c>
    </row>
    <row r="20" spans="1:256" s="93" customFormat="1">
      <c r="B20" s="82">
        <v>0</v>
      </c>
      <c r="C20" s="83">
        <v>0.1</v>
      </c>
      <c r="D20" s="82">
        <v>0.2</v>
      </c>
      <c r="E20" s="83">
        <v>0.3</v>
      </c>
      <c r="G20" s="68"/>
      <c r="H20" s="68"/>
      <c r="I20" s="68"/>
      <c r="J20" s="68"/>
      <c r="K20" s="68"/>
      <c r="L20" s="68"/>
      <c r="M20" s="68"/>
      <c r="N20" s="68"/>
      <c r="O20" s="68"/>
      <c r="P20" s="68"/>
      <c r="R20" s="68"/>
      <c r="S20" s="68"/>
      <c r="T20" s="68"/>
      <c r="U20" s="68"/>
      <c r="W20" s="68"/>
      <c r="X20" s="68"/>
      <c r="Y20" s="68"/>
      <c r="Z20" s="68"/>
      <c r="AB20" s="68"/>
      <c r="AC20" s="68"/>
      <c r="AD20" s="68"/>
      <c r="AE20" s="68"/>
      <c r="AG20" s="68"/>
      <c r="AH20" s="68"/>
      <c r="AI20" s="68"/>
      <c r="AJ20" s="68"/>
      <c r="AL20" s="68"/>
      <c r="AM20" s="68"/>
      <c r="AN20" s="68"/>
      <c r="AO20" s="68"/>
      <c r="AQ20" s="68"/>
      <c r="AR20" s="68"/>
      <c r="AS20" s="68"/>
      <c r="AT20" s="68"/>
      <c r="AV20" s="68"/>
      <c r="AW20" s="68"/>
      <c r="AX20" s="68"/>
      <c r="AY20" s="68"/>
      <c r="BA20" s="68"/>
      <c r="BB20" s="68"/>
      <c r="BC20" s="68"/>
      <c r="BD20" s="68"/>
      <c r="BF20" s="68"/>
      <c r="BG20" s="68"/>
      <c r="BH20" s="68"/>
      <c r="BI20" s="68"/>
      <c r="BK20" s="68"/>
      <c r="BL20" s="68"/>
      <c r="BM20" s="68"/>
      <c r="BN20" s="68"/>
      <c r="BP20" s="68"/>
      <c r="BQ20" s="68"/>
      <c r="BR20" s="68"/>
      <c r="BS20" s="68"/>
      <c r="BU20" s="68"/>
      <c r="BV20" s="68"/>
      <c r="BW20" s="68"/>
      <c r="BX20" s="68"/>
      <c r="BZ20" s="68"/>
      <c r="CA20" s="68"/>
      <c r="CB20" s="68"/>
      <c r="CC20" s="68"/>
      <c r="CE20" s="68"/>
      <c r="CF20" s="68"/>
      <c r="CG20" s="68"/>
      <c r="CH20" s="68"/>
      <c r="CJ20" s="68"/>
      <c r="CK20" s="68"/>
      <c r="CL20" s="68"/>
      <c r="CM20" s="68"/>
      <c r="CO20" s="68"/>
      <c r="CP20" s="68"/>
      <c r="CQ20" s="68"/>
      <c r="CR20" s="68"/>
      <c r="CT20" s="68"/>
      <c r="CU20" s="68"/>
      <c r="CV20" s="68"/>
      <c r="CW20" s="68"/>
      <c r="CY20" s="68"/>
      <c r="CZ20" s="68"/>
      <c r="DA20" s="68"/>
      <c r="DB20" s="68"/>
      <c r="DD20" s="68"/>
      <c r="DE20" s="68"/>
      <c r="DF20" s="68"/>
      <c r="DG20" s="68"/>
      <c r="DI20" s="68"/>
      <c r="DJ20" s="68"/>
      <c r="DK20" s="68"/>
      <c r="DL20" s="68"/>
      <c r="DN20" s="68"/>
      <c r="DO20" s="68"/>
      <c r="DP20" s="68"/>
      <c r="DQ20" s="68"/>
      <c r="DS20" s="68"/>
      <c r="DT20" s="68"/>
      <c r="DU20" s="68"/>
      <c r="DV20" s="68"/>
      <c r="DX20" s="68"/>
      <c r="DY20" s="68"/>
      <c r="DZ20" s="68"/>
      <c r="EA20" s="68"/>
      <c r="EC20" s="68"/>
      <c r="ED20" s="68"/>
      <c r="EE20" s="68"/>
      <c r="EF20" s="68"/>
      <c r="EH20" s="68"/>
      <c r="EI20" s="68"/>
      <c r="EJ20" s="68"/>
      <c r="EK20" s="68"/>
      <c r="EM20" s="68"/>
      <c r="EN20" s="68"/>
      <c r="EO20" s="68"/>
      <c r="EP20" s="68"/>
      <c r="ER20" s="68"/>
      <c r="ES20" s="68"/>
      <c r="ET20" s="68"/>
      <c r="EU20" s="68"/>
      <c r="EW20" s="68"/>
      <c r="EX20" s="68"/>
      <c r="EY20" s="68"/>
      <c r="EZ20" s="68"/>
      <c r="FB20" s="68"/>
      <c r="FC20" s="68"/>
      <c r="FD20" s="68"/>
      <c r="FE20" s="68"/>
      <c r="FG20" s="68"/>
      <c r="FH20" s="68"/>
      <c r="FI20" s="68"/>
      <c r="FJ20" s="68"/>
      <c r="FL20" s="68"/>
      <c r="FM20" s="68"/>
      <c r="FN20" s="68"/>
      <c r="FO20" s="68"/>
      <c r="FQ20" s="68"/>
      <c r="FR20" s="68"/>
      <c r="FS20" s="68"/>
      <c r="FT20" s="68"/>
      <c r="FV20" s="68"/>
      <c r="FW20" s="68"/>
      <c r="FX20" s="68"/>
      <c r="FY20" s="68"/>
      <c r="GA20" s="68"/>
      <c r="GB20" s="68"/>
      <c r="GC20" s="68"/>
      <c r="GD20" s="68"/>
      <c r="GF20" s="68"/>
      <c r="GG20" s="68"/>
      <c r="GH20" s="68"/>
      <c r="GI20" s="68"/>
      <c r="GK20" s="68"/>
      <c r="GL20" s="68"/>
      <c r="GM20" s="68"/>
      <c r="GN20" s="68"/>
      <c r="GP20" s="68"/>
      <c r="GQ20" s="68"/>
      <c r="GR20" s="68"/>
      <c r="GS20" s="68"/>
      <c r="GU20" s="68"/>
      <c r="GV20" s="68"/>
      <c r="GW20" s="68"/>
      <c r="GX20" s="68"/>
      <c r="GZ20" s="68"/>
      <c r="HA20" s="68"/>
      <c r="HB20" s="68"/>
      <c r="HC20" s="68"/>
      <c r="HE20" s="68"/>
      <c r="HF20" s="68"/>
      <c r="HG20" s="68"/>
      <c r="HH20" s="68"/>
      <c r="HJ20" s="68"/>
      <c r="HK20" s="68"/>
      <c r="HL20" s="68"/>
      <c r="HM20" s="68"/>
      <c r="HO20" s="68"/>
      <c r="HP20" s="68"/>
      <c r="HQ20" s="68"/>
      <c r="HR20" s="68"/>
      <c r="HT20" s="68"/>
      <c r="HU20" s="68"/>
      <c r="HV20" s="68"/>
      <c r="HW20" s="68"/>
      <c r="HY20" s="68"/>
      <c r="HZ20" s="68"/>
      <c r="IA20" s="68"/>
      <c r="IB20" s="68"/>
      <c r="ID20" s="68"/>
      <c r="IE20" s="68"/>
      <c r="IF20" s="68"/>
      <c r="IG20" s="68"/>
      <c r="II20" s="68"/>
      <c r="IJ20" s="68"/>
      <c r="IK20" s="68"/>
      <c r="IL20" s="68"/>
      <c r="IN20" s="68"/>
      <c r="IO20" s="68"/>
      <c r="IP20" s="68"/>
      <c r="IQ20" s="68"/>
      <c r="IS20" s="68"/>
      <c r="IT20" s="68"/>
      <c r="IU20" s="68"/>
      <c r="IV20" s="68"/>
    </row>
    <row r="21" spans="1:256" s="88" customFormat="1">
      <c r="A21" s="69"/>
      <c r="B21" s="89" t="s">
        <v>486</v>
      </c>
      <c r="C21" s="94"/>
      <c r="D21" s="95"/>
      <c r="E21" s="559">
        <f>SUM($E$22:$E$104)</f>
        <v>0</v>
      </c>
      <c r="F21" s="90"/>
      <c r="G21" s="68"/>
      <c r="H21" s="68"/>
      <c r="I21" s="68"/>
      <c r="J21" s="68"/>
      <c r="K21" s="68"/>
      <c r="L21" s="68"/>
      <c r="M21" s="68"/>
      <c r="N21" s="68"/>
      <c r="O21" s="68"/>
      <c r="P21" s="68"/>
      <c r="R21" s="68"/>
      <c r="S21" s="68"/>
      <c r="T21" s="68"/>
      <c r="U21" s="68"/>
      <c r="W21" s="68"/>
      <c r="X21" s="68"/>
      <c r="Y21" s="68"/>
      <c r="Z21" s="68"/>
      <c r="AB21" s="68"/>
      <c r="AC21" s="68"/>
      <c r="AD21" s="68"/>
      <c r="AE21" s="68"/>
      <c r="AG21" s="68"/>
      <c r="AH21" s="68"/>
      <c r="AI21" s="68"/>
      <c r="AJ21" s="68"/>
      <c r="AL21" s="68"/>
      <c r="AM21" s="68"/>
      <c r="AN21" s="68"/>
      <c r="AO21" s="68"/>
      <c r="AQ21" s="68"/>
      <c r="AR21" s="68"/>
      <c r="AS21" s="68"/>
      <c r="AT21" s="68"/>
      <c r="AV21" s="68"/>
      <c r="AW21" s="68"/>
      <c r="AX21" s="68"/>
      <c r="AY21" s="68"/>
      <c r="BA21" s="68"/>
      <c r="BB21" s="68"/>
      <c r="BC21" s="68"/>
      <c r="BD21" s="68"/>
      <c r="BF21" s="68"/>
      <c r="BG21" s="68"/>
      <c r="BH21" s="68"/>
      <c r="BI21" s="68"/>
      <c r="BK21" s="68"/>
      <c r="BL21" s="68"/>
      <c r="BM21" s="68"/>
      <c r="BN21" s="68"/>
      <c r="BP21" s="68"/>
      <c r="BQ21" s="68"/>
      <c r="BR21" s="68"/>
      <c r="BS21" s="68"/>
      <c r="BU21" s="68"/>
      <c r="BV21" s="68"/>
      <c r="BW21" s="68"/>
      <c r="BX21" s="68"/>
      <c r="BZ21" s="68"/>
      <c r="CA21" s="68"/>
      <c r="CB21" s="68"/>
      <c r="CC21" s="68"/>
      <c r="CE21" s="68"/>
      <c r="CF21" s="68"/>
      <c r="CG21" s="68"/>
      <c r="CH21" s="68"/>
      <c r="CJ21" s="68"/>
      <c r="CK21" s="68"/>
      <c r="CL21" s="68"/>
      <c r="CM21" s="68"/>
      <c r="CO21" s="68"/>
      <c r="CP21" s="68"/>
      <c r="CQ21" s="68"/>
      <c r="CR21" s="68"/>
      <c r="CT21" s="68"/>
      <c r="CU21" s="68"/>
      <c r="CV21" s="68"/>
      <c r="CW21" s="68"/>
      <c r="CY21" s="68"/>
      <c r="CZ21" s="68"/>
      <c r="DA21" s="68"/>
      <c r="DB21" s="68"/>
      <c r="DD21" s="68"/>
      <c r="DE21" s="68"/>
      <c r="DF21" s="68"/>
      <c r="DG21" s="68"/>
      <c r="DI21" s="68"/>
      <c r="DJ21" s="68"/>
      <c r="DK21" s="68"/>
      <c r="DL21" s="68"/>
      <c r="DN21" s="68"/>
      <c r="DO21" s="68"/>
      <c r="DP21" s="68"/>
      <c r="DQ21" s="68"/>
      <c r="DS21" s="68"/>
      <c r="DT21" s="68"/>
      <c r="DU21" s="68"/>
      <c r="DV21" s="68"/>
      <c r="DX21" s="68"/>
      <c r="DY21" s="68"/>
      <c r="DZ21" s="68"/>
      <c r="EA21" s="68"/>
      <c r="EC21" s="68"/>
      <c r="ED21" s="68"/>
      <c r="EE21" s="68"/>
      <c r="EF21" s="68"/>
      <c r="EH21" s="68"/>
      <c r="EI21" s="68"/>
      <c r="EJ21" s="68"/>
      <c r="EK21" s="68"/>
      <c r="EM21" s="68"/>
      <c r="EN21" s="68"/>
      <c r="EO21" s="68"/>
      <c r="EP21" s="68"/>
      <c r="ER21" s="68"/>
      <c r="ES21" s="68"/>
      <c r="ET21" s="68"/>
      <c r="EU21" s="68"/>
      <c r="EW21" s="68"/>
      <c r="EX21" s="68"/>
      <c r="EY21" s="68"/>
      <c r="EZ21" s="68"/>
      <c r="FB21" s="68"/>
      <c r="FC21" s="68"/>
      <c r="FD21" s="68"/>
      <c r="FE21" s="68"/>
      <c r="FG21" s="68"/>
      <c r="FH21" s="68"/>
      <c r="FI21" s="68"/>
      <c r="FJ21" s="68"/>
      <c r="FL21" s="68"/>
      <c r="FM21" s="68"/>
      <c r="FN21" s="68"/>
      <c r="FO21" s="68"/>
      <c r="FQ21" s="68"/>
      <c r="FR21" s="68"/>
      <c r="FS21" s="68"/>
      <c r="FT21" s="68"/>
      <c r="FV21" s="68"/>
      <c r="FW21" s="68"/>
      <c r="FX21" s="68"/>
      <c r="FY21" s="68"/>
      <c r="GA21" s="68"/>
      <c r="GB21" s="68"/>
      <c r="GC21" s="68"/>
      <c r="GD21" s="68"/>
      <c r="GF21" s="68"/>
      <c r="GG21" s="68"/>
      <c r="GH21" s="68"/>
      <c r="GI21" s="68"/>
      <c r="GK21" s="68"/>
      <c r="GL21" s="68"/>
      <c r="GM21" s="68"/>
      <c r="GN21" s="68"/>
      <c r="GP21" s="68"/>
      <c r="GQ21" s="68"/>
      <c r="GR21" s="68"/>
      <c r="GS21" s="68"/>
      <c r="GU21" s="68"/>
      <c r="GV21" s="68"/>
      <c r="GW21" s="68"/>
      <c r="GX21" s="68"/>
      <c r="GZ21" s="68"/>
      <c r="HA21" s="68"/>
      <c r="HB21" s="68"/>
      <c r="HC21" s="68"/>
      <c r="HE21" s="68"/>
      <c r="HF21" s="68"/>
      <c r="HG21" s="68"/>
      <c r="HH21" s="68"/>
      <c r="HJ21" s="68"/>
      <c r="HK21" s="68"/>
      <c r="HL21" s="68"/>
      <c r="HM21" s="68"/>
      <c r="HO21" s="68"/>
      <c r="HP21" s="68"/>
      <c r="HQ21" s="68"/>
      <c r="HR21" s="68"/>
      <c r="HT21" s="68"/>
      <c r="HU21" s="68"/>
      <c r="HV21" s="68"/>
      <c r="HW21" s="68"/>
      <c r="HY21" s="68"/>
      <c r="HZ21" s="68"/>
      <c r="IA21" s="68"/>
      <c r="IB21" s="68"/>
      <c r="ID21" s="68"/>
      <c r="IE21" s="68"/>
      <c r="IF21" s="68"/>
      <c r="IG21" s="68"/>
      <c r="II21" s="68"/>
      <c r="IJ21" s="68"/>
      <c r="IK21" s="68"/>
      <c r="IL21" s="68"/>
      <c r="IN21" s="68"/>
      <c r="IO21" s="68"/>
      <c r="IP21" s="68"/>
      <c r="IQ21" s="68"/>
      <c r="IS21" s="68"/>
      <c r="IT21" s="68"/>
      <c r="IU21" s="68"/>
      <c r="IV21" s="68"/>
    </row>
    <row r="22" spans="1:256">
      <c r="A22" s="49">
        <v>1</v>
      </c>
      <c r="B22" s="685" t="s">
        <v>589</v>
      </c>
      <c r="C22" s="86">
        <v>0</v>
      </c>
      <c r="D22" s="87">
        <v>0</v>
      </c>
      <c r="E22" s="560">
        <f>IFERROR(C22*D22,)</f>
        <v>0</v>
      </c>
      <c r="F22" s="72" t="s">
        <v>560</v>
      </c>
    </row>
    <row r="23" spans="1:256">
      <c r="A23" s="49">
        <v>2</v>
      </c>
      <c r="B23" s="685" t="s">
        <v>590</v>
      </c>
      <c r="C23" s="86">
        <v>0</v>
      </c>
      <c r="D23" s="87">
        <v>0</v>
      </c>
      <c r="E23" s="560">
        <f t="shared" ref="E23:E37" si="0">IFERROR(C23*D23,)</f>
        <v>0</v>
      </c>
      <c r="F23" s="72" t="s">
        <v>560</v>
      </c>
    </row>
    <row r="24" spans="1:256">
      <c r="A24" s="49">
        <v>3</v>
      </c>
      <c r="B24" s="685" t="s">
        <v>591</v>
      </c>
      <c r="C24" s="86">
        <v>0</v>
      </c>
      <c r="D24" s="87">
        <v>0</v>
      </c>
      <c r="E24" s="560">
        <f t="shared" si="0"/>
        <v>0</v>
      </c>
      <c r="F24" s="72" t="s">
        <v>556</v>
      </c>
    </row>
    <row r="25" spans="1:256">
      <c r="A25" s="49">
        <v>4</v>
      </c>
      <c r="B25" s="685" t="s">
        <v>592</v>
      </c>
      <c r="C25" s="86">
        <v>0</v>
      </c>
      <c r="D25" s="87">
        <v>0</v>
      </c>
      <c r="E25" s="560">
        <f t="shared" si="0"/>
        <v>0</v>
      </c>
      <c r="F25" s="72"/>
    </row>
    <row r="26" spans="1:256">
      <c r="A26" s="49">
        <v>5</v>
      </c>
      <c r="B26" s="685" t="s">
        <v>593</v>
      </c>
      <c r="C26" s="86">
        <v>0</v>
      </c>
      <c r="D26" s="87">
        <v>0</v>
      </c>
      <c r="E26" s="560">
        <f t="shared" si="0"/>
        <v>0</v>
      </c>
      <c r="F26" s="72"/>
    </row>
    <row r="27" spans="1:256" ht="31.5">
      <c r="A27" s="49">
        <v>6</v>
      </c>
      <c r="B27" s="685" t="s">
        <v>594</v>
      </c>
      <c r="C27" s="86">
        <v>0</v>
      </c>
      <c r="D27" s="87">
        <v>0</v>
      </c>
      <c r="E27" s="560">
        <f t="shared" si="0"/>
        <v>0</v>
      </c>
      <c r="F27" s="72"/>
    </row>
    <row r="28" spans="1:256">
      <c r="A28" s="49">
        <v>7</v>
      </c>
      <c r="B28" s="685" t="s">
        <v>595</v>
      </c>
      <c r="C28" s="86">
        <v>0</v>
      </c>
      <c r="D28" s="87">
        <v>0</v>
      </c>
      <c r="E28" s="560">
        <f t="shared" si="0"/>
        <v>0</v>
      </c>
      <c r="F28" s="72"/>
    </row>
    <row r="29" spans="1:256">
      <c r="A29" s="49">
        <v>8</v>
      </c>
      <c r="B29" s="685" t="s">
        <v>596</v>
      </c>
      <c r="C29" s="86">
        <v>0</v>
      </c>
      <c r="D29" s="87">
        <v>0</v>
      </c>
      <c r="E29" s="560">
        <f t="shared" si="0"/>
        <v>0</v>
      </c>
      <c r="F29" s="72"/>
    </row>
    <row r="30" spans="1:256">
      <c r="A30" s="49">
        <v>9</v>
      </c>
      <c r="B30" s="685" t="s">
        <v>597</v>
      </c>
      <c r="C30" s="86">
        <v>0</v>
      </c>
      <c r="D30" s="87">
        <v>0</v>
      </c>
      <c r="E30" s="560">
        <f t="shared" si="0"/>
        <v>0</v>
      </c>
      <c r="F30" s="72"/>
    </row>
    <row r="31" spans="1:256">
      <c r="A31" s="49">
        <v>10</v>
      </c>
      <c r="B31" s="685" t="s">
        <v>598</v>
      </c>
      <c r="C31" s="86">
        <v>0</v>
      </c>
      <c r="D31" s="87">
        <v>0</v>
      </c>
      <c r="E31" s="560">
        <f t="shared" si="0"/>
        <v>0</v>
      </c>
      <c r="F31" s="72"/>
    </row>
    <row r="32" spans="1:256">
      <c r="A32" s="49">
        <v>11</v>
      </c>
      <c r="B32" s="685" t="s">
        <v>599</v>
      </c>
      <c r="C32" s="86">
        <v>0</v>
      </c>
      <c r="D32" s="87">
        <v>0</v>
      </c>
      <c r="E32" s="560">
        <f t="shared" si="0"/>
        <v>0</v>
      </c>
      <c r="F32" s="72"/>
    </row>
    <row r="33" spans="1:6">
      <c r="A33" s="49">
        <v>12</v>
      </c>
      <c r="B33" s="685" t="s">
        <v>600</v>
      </c>
      <c r="C33" s="86">
        <v>0</v>
      </c>
      <c r="D33" s="87">
        <v>0</v>
      </c>
      <c r="E33" s="560">
        <f t="shared" si="0"/>
        <v>0</v>
      </c>
      <c r="F33" s="72"/>
    </row>
    <row r="34" spans="1:6" ht="21" customHeight="1">
      <c r="A34" s="49">
        <v>13</v>
      </c>
      <c r="B34" s="685" t="s">
        <v>601</v>
      </c>
      <c r="C34" s="86">
        <v>0</v>
      </c>
      <c r="D34" s="87">
        <v>0</v>
      </c>
      <c r="E34" s="560">
        <f t="shared" si="0"/>
        <v>0</v>
      </c>
      <c r="F34" s="72"/>
    </row>
    <row r="35" spans="1:6">
      <c r="A35" s="49">
        <v>14</v>
      </c>
      <c r="B35" s="685" t="s">
        <v>602</v>
      </c>
      <c r="C35" s="86">
        <v>0</v>
      </c>
      <c r="D35" s="87">
        <v>0</v>
      </c>
      <c r="E35" s="560">
        <f t="shared" si="0"/>
        <v>0</v>
      </c>
      <c r="F35" s="72"/>
    </row>
    <row r="36" spans="1:6" ht="52.5" customHeight="1">
      <c r="A36" s="49">
        <v>15</v>
      </c>
      <c r="B36" s="685" t="s">
        <v>603</v>
      </c>
      <c r="C36" s="86">
        <v>0</v>
      </c>
      <c r="D36" s="87">
        <v>0</v>
      </c>
      <c r="E36" s="560">
        <f t="shared" si="0"/>
        <v>0</v>
      </c>
      <c r="F36" s="72"/>
    </row>
    <row r="37" spans="1:6" ht="33.75" customHeight="1">
      <c r="A37" s="49">
        <v>16</v>
      </c>
      <c r="B37" s="685" t="s">
        <v>604</v>
      </c>
      <c r="C37" s="86">
        <v>0</v>
      </c>
      <c r="D37" s="87">
        <v>0</v>
      </c>
      <c r="E37" s="560">
        <f t="shared" si="0"/>
        <v>0</v>
      </c>
      <c r="F37" s="72"/>
    </row>
    <row r="38" spans="1:6" ht="66" customHeight="1">
      <c r="A38" s="49"/>
      <c r="B38" s="685" t="s">
        <v>118</v>
      </c>
      <c r="C38" s="86">
        <v>0</v>
      </c>
      <c r="D38" s="87">
        <v>0</v>
      </c>
      <c r="E38" s="560">
        <f>IFERROR(C38*D38,)</f>
        <v>0</v>
      </c>
      <c r="F38" s="72"/>
    </row>
    <row r="39" spans="1:6" ht="96" customHeight="1">
      <c r="A39" s="49">
        <v>19</v>
      </c>
      <c r="B39" s="685" t="s">
        <v>119</v>
      </c>
      <c r="C39" s="645"/>
      <c r="D39" s="645"/>
      <c r="E39" s="561"/>
      <c r="F39" s="50"/>
    </row>
    <row r="40" spans="1:6">
      <c r="A40" s="49">
        <v>19.100000000000001</v>
      </c>
      <c r="B40" s="684" t="s">
        <v>605</v>
      </c>
      <c r="C40" s="86">
        <v>0</v>
      </c>
      <c r="D40" s="87">
        <v>0.5</v>
      </c>
      <c r="E40" s="560">
        <f t="shared" ref="E40:E49" si="1">IFERROR(C40*D40,)</f>
        <v>0</v>
      </c>
      <c r="F40" s="72"/>
    </row>
    <row r="41" spans="1:6">
      <c r="A41" s="49">
        <v>19.2</v>
      </c>
      <c r="B41" s="684" t="s">
        <v>606</v>
      </c>
      <c r="C41" s="86"/>
      <c r="D41" s="87"/>
      <c r="E41" s="560">
        <f t="shared" si="1"/>
        <v>0</v>
      </c>
      <c r="F41" s="72"/>
    </row>
    <row r="42" spans="1:6">
      <c r="A42" s="49">
        <v>19.3</v>
      </c>
      <c r="B42" s="684" t="s">
        <v>607</v>
      </c>
      <c r="C42" s="86"/>
      <c r="D42" s="87"/>
      <c r="E42" s="560">
        <f t="shared" si="1"/>
        <v>0</v>
      </c>
      <c r="F42" s="72"/>
    </row>
    <row r="43" spans="1:6">
      <c r="A43" s="49">
        <v>19.399999999999999</v>
      </c>
      <c r="B43" s="684" t="s">
        <v>608</v>
      </c>
      <c r="C43" s="86"/>
      <c r="D43" s="87"/>
      <c r="E43" s="560">
        <f t="shared" si="1"/>
        <v>0</v>
      </c>
      <c r="F43" s="72"/>
    </row>
    <row r="44" spans="1:6">
      <c r="A44" s="49">
        <v>19.5</v>
      </c>
      <c r="B44" s="684" t="s">
        <v>609</v>
      </c>
      <c r="C44" s="86"/>
      <c r="D44" s="87"/>
      <c r="E44" s="560">
        <f t="shared" si="1"/>
        <v>0</v>
      </c>
      <c r="F44" s="72"/>
    </row>
    <row r="45" spans="1:6">
      <c r="A45" s="49">
        <v>19.600000000000001</v>
      </c>
      <c r="B45" s="684" t="s">
        <v>610</v>
      </c>
      <c r="C45" s="86"/>
      <c r="D45" s="87"/>
      <c r="E45" s="560">
        <f t="shared" si="1"/>
        <v>0</v>
      </c>
      <c r="F45" s="72"/>
    </row>
    <row r="46" spans="1:6">
      <c r="A46" s="49"/>
      <c r="B46" s="684" t="s">
        <v>120</v>
      </c>
      <c r="C46" s="86"/>
      <c r="D46" s="87"/>
      <c r="E46" s="560">
        <f t="shared" si="1"/>
        <v>0</v>
      </c>
      <c r="F46" s="72"/>
    </row>
    <row r="47" spans="1:6">
      <c r="A47" s="49">
        <v>19.7</v>
      </c>
      <c r="B47" s="684" t="s">
        <v>611</v>
      </c>
      <c r="C47" s="86"/>
      <c r="D47" s="87"/>
      <c r="E47" s="560">
        <f t="shared" si="1"/>
        <v>0</v>
      </c>
      <c r="F47" s="72"/>
    </row>
    <row r="48" spans="1:6">
      <c r="A48" s="49">
        <v>19.8</v>
      </c>
      <c r="B48" s="684" t="s">
        <v>612</v>
      </c>
      <c r="C48" s="86"/>
      <c r="D48" s="87"/>
      <c r="E48" s="560">
        <f t="shared" si="1"/>
        <v>0</v>
      </c>
      <c r="F48" s="72"/>
    </row>
    <row r="49" spans="1:6">
      <c r="A49" s="49">
        <v>19.899999999999999</v>
      </c>
      <c r="B49" s="684" t="s">
        <v>613</v>
      </c>
      <c r="C49" s="86"/>
      <c r="D49" s="87"/>
      <c r="E49" s="560">
        <f t="shared" si="1"/>
        <v>0</v>
      </c>
      <c r="F49" s="72"/>
    </row>
    <row r="50" spans="1:6" ht="31.5">
      <c r="A50" s="49"/>
      <c r="B50" s="685" t="s">
        <v>121</v>
      </c>
      <c r="C50" s="680"/>
      <c r="D50" s="681"/>
      <c r="E50" s="682"/>
      <c r="F50" s="50"/>
    </row>
    <row r="51" spans="1:6">
      <c r="A51" s="49"/>
      <c r="B51" s="684" t="s">
        <v>124</v>
      </c>
      <c r="C51" s="86"/>
      <c r="D51" s="87"/>
      <c r="E51" s="560">
        <f t="shared" ref="E51:E81" si="2">IFERROR(C51*D51,)</f>
        <v>0</v>
      </c>
      <c r="F51" s="72"/>
    </row>
    <row r="52" spans="1:6">
      <c r="A52" s="49"/>
      <c r="B52" s="684" t="s">
        <v>125</v>
      </c>
      <c r="C52" s="86"/>
      <c r="D52" s="87"/>
      <c r="E52" s="560">
        <f t="shared" si="2"/>
        <v>0</v>
      </c>
      <c r="F52" s="72"/>
    </row>
    <row r="53" spans="1:6">
      <c r="A53" s="49"/>
      <c r="B53" s="684" t="s">
        <v>126</v>
      </c>
      <c r="C53" s="86"/>
      <c r="D53" s="87"/>
      <c r="E53" s="560">
        <f t="shared" si="2"/>
        <v>0</v>
      </c>
      <c r="F53" s="72"/>
    </row>
    <row r="54" spans="1:6">
      <c r="A54" s="49"/>
      <c r="B54" s="684" t="s">
        <v>127</v>
      </c>
      <c r="C54" s="86"/>
      <c r="D54" s="87"/>
      <c r="E54" s="560">
        <f t="shared" si="2"/>
        <v>0</v>
      </c>
      <c r="F54" s="72"/>
    </row>
    <row r="55" spans="1:6">
      <c r="A55" s="49"/>
      <c r="B55" s="684" t="s">
        <v>128</v>
      </c>
      <c r="C55" s="86"/>
      <c r="D55" s="87"/>
      <c r="E55" s="560">
        <f t="shared" si="2"/>
        <v>0</v>
      </c>
      <c r="F55" s="72"/>
    </row>
    <row r="56" spans="1:6">
      <c r="A56" s="49"/>
      <c r="B56" s="684" t="s">
        <v>129</v>
      </c>
      <c r="C56" s="86"/>
      <c r="D56" s="87"/>
      <c r="E56" s="560">
        <f t="shared" si="2"/>
        <v>0</v>
      </c>
      <c r="F56" s="72"/>
    </row>
    <row r="57" spans="1:6">
      <c r="A57" s="49"/>
      <c r="B57" s="684" t="s">
        <v>130</v>
      </c>
      <c r="C57" s="86"/>
      <c r="D57" s="87"/>
      <c r="E57" s="560">
        <f t="shared" si="2"/>
        <v>0</v>
      </c>
      <c r="F57" s="72"/>
    </row>
    <row r="58" spans="1:6">
      <c r="A58" s="49"/>
      <c r="B58" s="684" t="s">
        <v>131</v>
      </c>
      <c r="C58" s="86"/>
      <c r="D58" s="87"/>
      <c r="E58" s="560">
        <f t="shared" si="2"/>
        <v>0</v>
      </c>
      <c r="F58" s="72"/>
    </row>
    <row r="59" spans="1:6">
      <c r="A59" s="49"/>
      <c r="B59" s="684" t="s">
        <v>132</v>
      </c>
      <c r="C59" s="86"/>
      <c r="D59" s="87"/>
      <c r="E59" s="560">
        <f t="shared" si="2"/>
        <v>0</v>
      </c>
      <c r="F59" s="72"/>
    </row>
    <row r="60" spans="1:6">
      <c r="A60" s="49"/>
      <c r="B60" s="684" t="s">
        <v>142</v>
      </c>
      <c r="C60" s="86"/>
      <c r="D60" s="87"/>
      <c r="E60" s="560">
        <f t="shared" si="2"/>
        <v>0</v>
      </c>
      <c r="F60" s="72"/>
    </row>
    <row r="61" spans="1:6">
      <c r="A61" s="49"/>
      <c r="B61" s="684" t="s">
        <v>133</v>
      </c>
      <c r="C61" s="86"/>
      <c r="D61" s="87"/>
      <c r="E61" s="560">
        <f t="shared" si="2"/>
        <v>0</v>
      </c>
      <c r="F61" s="72"/>
    </row>
    <row r="62" spans="1:6">
      <c r="A62" s="49"/>
      <c r="B62" s="684" t="s">
        <v>134</v>
      </c>
      <c r="C62" s="86"/>
      <c r="D62" s="87"/>
      <c r="E62" s="560">
        <f t="shared" si="2"/>
        <v>0</v>
      </c>
      <c r="F62" s="72"/>
    </row>
    <row r="63" spans="1:6">
      <c r="A63" s="49"/>
      <c r="B63" s="684" t="s">
        <v>135</v>
      </c>
      <c r="C63" s="86"/>
      <c r="D63" s="87"/>
      <c r="E63" s="560">
        <f t="shared" si="2"/>
        <v>0</v>
      </c>
      <c r="F63" s="72"/>
    </row>
    <row r="64" spans="1:6">
      <c r="A64" s="49"/>
      <c r="B64" s="684" t="s">
        <v>136</v>
      </c>
      <c r="C64" s="86"/>
      <c r="D64" s="87"/>
      <c r="E64" s="560">
        <f>IFERROR(C64*D64,)</f>
        <v>0</v>
      </c>
      <c r="F64" s="72"/>
    </row>
    <row r="65" spans="1:6">
      <c r="A65" s="49"/>
      <c r="B65" s="684" t="s">
        <v>137</v>
      </c>
      <c r="C65" s="86"/>
      <c r="D65" s="87"/>
      <c r="E65" s="560">
        <f t="shared" si="2"/>
        <v>0</v>
      </c>
      <c r="F65" s="72"/>
    </row>
    <row r="66" spans="1:6">
      <c r="A66" s="49"/>
      <c r="B66" s="684" t="s">
        <v>138</v>
      </c>
      <c r="C66" s="86"/>
      <c r="D66" s="87"/>
      <c r="E66" s="560">
        <f t="shared" si="2"/>
        <v>0</v>
      </c>
      <c r="F66" s="72"/>
    </row>
    <row r="67" spans="1:6">
      <c r="A67" s="49"/>
      <c r="B67" s="684" t="s">
        <v>139</v>
      </c>
      <c r="C67" s="86"/>
      <c r="D67" s="87"/>
      <c r="E67" s="560">
        <f t="shared" si="2"/>
        <v>0</v>
      </c>
      <c r="F67" s="72"/>
    </row>
    <row r="68" spans="1:6">
      <c r="A68" s="49"/>
      <c r="B68" s="684" t="s">
        <v>140</v>
      </c>
      <c r="C68" s="86"/>
      <c r="D68" s="87"/>
      <c r="E68" s="560">
        <f t="shared" si="2"/>
        <v>0</v>
      </c>
      <c r="F68" s="72"/>
    </row>
    <row r="69" spans="1:6">
      <c r="A69" s="49"/>
      <c r="B69" s="684" t="s">
        <v>141</v>
      </c>
      <c r="C69" s="86"/>
      <c r="D69" s="87"/>
      <c r="E69" s="560">
        <f t="shared" si="2"/>
        <v>0</v>
      </c>
      <c r="F69" s="72"/>
    </row>
    <row r="70" spans="1:6" ht="31.15" customHeight="1">
      <c r="A70" s="49"/>
      <c r="B70" s="685" t="s">
        <v>123</v>
      </c>
      <c r="C70" s="680"/>
      <c r="D70" s="681"/>
      <c r="E70" s="682"/>
      <c r="F70" s="50"/>
    </row>
    <row r="71" spans="1:6">
      <c r="A71" s="49"/>
      <c r="B71" s="684" t="s">
        <v>143</v>
      </c>
      <c r="C71" s="86"/>
      <c r="D71" s="87"/>
      <c r="E71" s="560">
        <f t="shared" si="2"/>
        <v>0</v>
      </c>
      <c r="F71" s="72"/>
    </row>
    <row r="72" spans="1:6">
      <c r="A72" s="49"/>
      <c r="B72" s="684" t="s">
        <v>144</v>
      </c>
      <c r="C72" s="86"/>
      <c r="D72" s="87"/>
      <c r="E72" s="560">
        <f t="shared" si="2"/>
        <v>0</v>
      </c>
      <c r="F72" s="72"/>
    </row>
    <row r="73" spans="1:6">
      <c r="A73" s="49"/>
      <c r="B73" s="684" t="s">
        <v>145</v>
      </c>
      <c r="C73" s="86"/>
      <c r="D73" s="87"/>
      <c r="E73" s="560">
        <f t="shared" si="2"/>
        <v>0</v>
      </c>
      <c r="F73" s="72"/>
    </row>
    <row r="74" spans="1:6">
      <c r="A74" s="49"/>
      <c r="B74" s="684" t="s">
        <v>146</v>
      </c>
      <c r="C74" s="86"/>
      <c r="D74" s="87"/>
      <c r="E74" s="560">
        <f t="shared" si="2"/>
        <v>0</v>
      </c>
      <c r="F74" s="72"/>
    </row>
    <row r="75" spans="1:6">
      <c r="A75" s="49"/>
      <c r="B75" s="684" t="s">
        <v>147</v>
      </c>
      <c r="C75" s="86"/>
      <c r="D75" s="87"/>
      <c r="E75" s="560">
        <f t="shared" si="2"/>
        <v>0</v>
      </c>
      <c r="F75" s="72"/>
    </row>
    <row r="76" spans="1:6">
      <c r="A76" s="49"/>
      <c r="B76" s="684" t="s">
        <v>148</v>
      </c>
      <c r="C76" s="86"/>
      <c r="D76" s="87"/>
      <c r="E76" s="560">
        <f>IFERROR(C76*D76,)</f>
        <v>0</v>
      </c>
      <c r="F76" s="72"/>
    </row>
    <row r="77" spans="1:6">
      <c r="A77" s="49"/>
      <c r="B77" s="684" t="s">
        <v>149</v>
      </c>
      <c r="C77" s="86"/>
      <c r="D77" s="87"/>
      <c r="E77" s="560">
        <f t="shared" si="2"/>
        <v>0</v>
      </c>
      <c r="F77" s="72"/>
    </row>
    <row r="78" spans="1:6">
      <c r="A78" s="49"/>
      <c r="B78" s="684" t="s">
        <v>150</v>
      </c>
      <c r="C78" s="86"/>
      <c r="D78" s="87"/>
      <c r="E78" s="560">
        <f t="shared" si="2"/>
        <v>0</v>
      </c>
      <c r="F78" s="72"/>
    </row>
    <row r="79" spans="1:6">
      <c r="A79" s="49"/>
      <c r="B79" s="684" t="s">
        <v>151</v>
      </c>
      <c r="C79" s="86"/>
      <c r="D79" s="87"/>
      <c r="E79" s="560">
        <f t="shared" si="2"/>
        <v>0</v>
      </c>
      <c r="F79" s="72"/>
    </row>
    <row r="80" spans="1:6" ht="31.5">
      <c r="A80" s="49"/>
      <c r="B80" s="684" t="s">
        <v>152</v>
      </c>
      <c r="C80" s="86"/>
      <c r="D80" s="87"/>
      <c r="E80" s="560">
        <f t="shared" si="2"/>
        <v>0</v>
      </c>
      <c r="F80" s="72"/>
    </row>
    <row r="81" spans="1:6">
      <c r="A81" s="49"/>
      <c r="B81" s="684" t="s">
        <v>153</v>
      </c>
      <c r="C81" s="86"/>
      <c r="D81" s="87"/>
      <c r="E81" s="560">
        <f t="shared" si="2"/>
        <v>0</v>
      </c>
      <c r="F81" s="72"/>
    </row>
    <row r="82" spans="1:6" ht="22.15" customHeight="1">
      <c r="A82" s="49"/>
      <c r="B82" s="685" t="s">
        <v>122</v>
      </c>
      <c r="C82" s="86"/>
      <c r="D82" s="87"/>
      <c r="E82" s="560">
        <f t="shared" ref="E82:E90" si="3">IFERROR(C82*D82,)</f>
        <v>0</v>
      </c>
      <c r="F82" s="72"/>
    </row>
    <row r="83" spans="1:6" ht="22.15" customHeight="1">
      <c r="A83" s="49">
        <v>20</v>
      </c>
      <c r="B83" s="685" t="s">
        <v>33</v>
      </c>
      <c r="C83" s="86"/>
      <c r="D83" s="87"/>
      <c r="E83" s="560">
        <f t="shared" si="3"/>
        <v>0</v>
      </c>
      <c r="F83" s="72"/>
    </row>
    <row r="84" spans="1:6" ht="39.75" customHeight="1">
      <c r="A84" s="49">
        <v>21</v>
      </c>
      <c r="B84" s="685" t="s">
        <v>34</v>
      </c>
      <c r="C84" s="86"/>
      <c r="D84" s="87"/>
      <c r="E84" s="560">
        <f t="shared" si="3"/>
        <v>0</v>
      </c>
      <c r="F84" s="72"/>
    </row>
    <row r="85" spans="1:6">
      <c r="A85" s="49">
        <v>22</v>
      </c>
      <c r="B85" s="685" t="s">
        <v>614</v>
      </c>
      <c r="C85" s="86"/>
      <c r="D85" s="87"/>
      <c r="E85" s="560">
        <f t="shared" si="3"/>
        <v>0</v>
      </c>
      <c r="F85" s="72"/>
    </row>
    <row r="86" spans="1:6">
      <c r="A86" s="49">
        <v>23</v>
      </c>
      <c r="B86" s="685" t="s">
        <v>615</v>
      </c>
      <c r="C86" s="86"/>
      <c r="D86" s="87"/>
      <c r="E86" s="560">
        <f t="shared" si="3"/>
        <v>0</v>
      </c>
      <c r="F86" s="72"/>
    </row>
    <row r="87" spans="1:6">
      <c r="A87" s="49">
        <v>24</v>
      </c>
      <c r="B87" s="685" t="s">
        <v>616</v>
      </c>
      <c r="C87" s="86"/>
      <c r="D87" s="87"/>
      <c r="E87" s="560">
        <f t="shared" si="3"/>
        <v>0</v>
      </c>
      <c r="F87" s="72"/>
    </row>
    <row r="88" spans="1:6" ht="31.5">
      <c r="A88" s="49">
        <v>25</v>
      </c>
      <c r="B88" s="685" t="s">
        <v>617</v>
      </c>
      <c r="C88" s="86"/>
      <c r="D88" s="87"/>
      <c r="E88" s="560">
        <f t="shared" si="3"/>
        <v>0</v>
      </c>
      <c r="F88" s="72"/>
    </row>
    <row r="89" spans="1:6">
      <c r="A89" s="49">
        <v>26</v>
      </c>
      <c r="B89" s="685" t="s">
        <v>618</v>
      </c>
      <c r="C89" s="86"/>
      <c r="D89" s="87"/>
      <c r="E89" s="560">
        <f t="shared" si="3"/>
        <v>0</v>
      </c>
      <c r="F89" s="72"/>
    </row>
    <row r="90" spans="1:6">
      <c r="A90" s="49">
        <v>27</v>
      </c>
      <c r="B90" s="685" t="s">
        <v>619</v>
      </c>
      <c r="C90" s="86"/>
      <c r="D90" s="87"/>
      <c r="E90" s="560">
        <f t="shared" si="3"/>
        <v>0</v>
      </c>
      <c r="F90" s="72"/>
    </row>
    <row r="91" spans="1:6" ht="47.25">
      <c r="A91" s="49">
        <v>28</v>
      </c>
      <c r="B91" s="685" t="s">
        <v>35</v>
      </c>
      <c r="C91" s="645"/>
      <c r="D91" s="645">
        <v>0</v>
      </c>
      <c r="E91" s="561"/>
      <c r="F91" s="50"/>
    </row>
    <row r="92" spans="1:6">
      <c r="A92" s="49">
        <v>28.1</v>
      </c>
      <c r="B92" s="684" t="s">
        <v>620</v>
      </c>
      <c r="C92" s="86">
        <v>0</v>
      </c>
      <c r="D92" s="87">
        <v>0</v>
      </c>
      <c r="E92" s="560">
        <f t="shared" ref="E92:E97" si="4">IFERROR(C92*D92,)</f>
        <v>0</v>
      </c>
      <c r="F92" s="72" t="s">
        <v>556</v>
      </c>
    </row>
    <row r="93" spans="1:6">
      <c r="A93" s="49">
        <v>28.2</v>
      </c>
      <c r="B93" s="684" t="s">
        <v>621</v>
      </c>
      <c r="C93" s="86">
        <v>0</v>
      </c>
      <c r="D93" s="87">
        <v>0</v>
      </c>
      <c r="E93" s="560">
        <f t="shared" si="4"/>
        <v>0</v>
      </c>
      <c r="F93" s="72" t="s">
        <v>556</v>
      </c>
    </row>
    <row r="94" spans="1:6">
      <c r="A94" s="49">
        <v>28.3</v>
      </c>
      <c r="B94" s="684" t="s">
        <v>622</v>
      </c>
      <c r="C94" s="86">
        <v>0</v>
      </c>
      <c r="D94" s="87">
        <v>0</v>
      </c>
      <c r="E94" s="560">
        <f t="shared" si="4"/>
        <v>0</v>
      </c>
      <c r="F94" s="72" t="s">
        <v>556</v>
      </c>
    </row>
    <row r="95" spans="1:6">
      <c r="A95" s="49">
        <v>28.4</v>
      </c>
      <c r="B95" s="684" t="s">
        <v>623</v>
      </c>
      <c r="C95" s="86">
        <v>0</v>
      </c>
      <c r="D95" s="87">
        <v>0</v>
      </c>
      <c r="E95" s="560">
        <f t="shared" si="4"/>
        <v>0</v>
      </c>
      <c r="F95" s="72" t="s">
        <v>556</v>
      </c>
    </row>
    <row r="96" spans="1:6">
      <c r="A96" s="49">
        <v>28.5</v>
      </c>
      <c r="B96" s="684" t="s">
        <v>624</v>
      </c>
      <c r="C96" s="86"/>
      <c r="D96" s="87"/>
      <c r="E96" s="560">
        <f t="shared" si="4"/>
        <v>0</v>
      </c>
      <c r="F96" s="72"/>
    </row>
    <row r="97" spans="1:6">
      <c r="A97" s="49">
        <v>28.6</v>
      </c>
      <c r="B97" s="684" t="s">
        <v>625</v>
      </c>
      <c r="C97" s="86"/>
      <c r="D97" s="87"/>
      <c r="E97" s="560">
        <f t="shared" si="4"/>
        <v>0</v>
      </c>
      <c r="F97" s="72"/>
    </row>
    <row r="98" spans="1:6" ht="47.25">
      <c r="A98" s="49">
        <v>29</v>
      </c>
      <c r="B98" s="685" t="s">
        <v>36</v>
      </c>
      <c r="C98" s="645"/>
      <c r="D98" s="645"/>
      <c r="E98" s="561"/>
      <c r="F98" s="50"/>
    </row>
    <row r="99" spans="1:6">
      <c r="A99" s="49">
        <v>29.1</v>
      </c>
      <c r="B99" s="684" t="s">
        <v>37</v>
      </c>
      <c r="C99" s="86">
        <v>0</v>
      </c>
      <c r="D99" s="87">
        <v>0</v>
      </c>
      <c r="E99" s="560">
        <f t="shared" ref="E99:E104" si="5">IFERROR(C99*D99,)</f>
        <v>0</v>
      </c>
      <c r="F99" s="72" t="s">
        <v>560</v>
      </c>
    </row>
    <row r="100" spans="1:6">
      <c r="A100" s="49">
        <v>29.2</v>
      </c>
      <c r="B100" s="684" t="s">
        <v>626</v>
      </c>
      <c r="C100" s="86">
        <v>0</v>
      </c>
      <c r="D100" s="87">
        <v>0</v>
      </c>
      <c r="E100" s="560">
        <f t="shared" si="5"/>
        <v>0</v>
      </c>
      <c r="F100" s="72" t="s">
        <v>560</v>
      </c>
    </row>
    <row r="101" spans="1:6">
      <c r="A101" s="49">
        <v>30</v>
      </c>
      <c r="B101" s="685" t="s">
        <v>627</v>
      </c>
      <c r="C101" s="86"/>
      <c r="D101" s="87"/>
      <c r="E101" s="560">
        <f t="shared" si="5"/>
        <v>0</v>
      </c>
      <c r="F101" s="72"/>
    </row>
    <row r="102" spans="1:6" ht="31.5">
      <c r="A102" s="49">
        <v>31</v>
      </c>
      <c r="B102" s="685" t="s">
        <v>628</v>
      </c>
      <c r="C102" s="86">
        <v>0</v>
      </c>
      <c r="D102" s="87">
        <v>0</v>
      </c>
      <c r="E102" s="560">
        <f t="shared" si="5"/>
        <v>0</v>
      </c>
      <c r="F102" s="72" t="s">
        <v>556</v>
      </c>
    </row>
    <row r="103" spans="1:6" ht="31.5">
      <c r="A103" s="49">
        <v>32</v>
      </c>
      <c r="B103" s="685" t="s">
        <v>629</v>
      </c>
      <c r="C103" s="86"/>
      <c r="D103" s="87"/>
      <c r="E103" s="560">
        <f t="shared" si="5"/>
        <v>0</v>
      </c>
      <c r="F103" s="72"/>
    </row>
    <row r="104" spans="1:6" ht="31.5">
      <c r="A104" s="49">
        <v>33</v>
      </c>
      <c r="B104" s="685" t="s">
        <v>630</v>
      </c>
      <c r="C104" s="86"/>
      <c r="D104" s="87"/>
      <c r="E104" s="560">
        <f t="shared" si="5"/>
        <v>0</v>
      </c>
      <c r="F104" s="72"/>
    </row>
    <row r="105" spans="1:6" s="88" customFormat="1" ht="47.25">
      <c r="A105" s="49">
        <v>0</v>
      </c>
      <c r="B105" s="686" t="s">
        <v>647</v>
      </c>
      <c r="C105" s="96"/>
      <c r="D105" s="97"/>
      <c r="E105" s="559">
        <f>SUM($E$106:$E$118)</f>
        <v>0</v>
      </c>
      <c r="F105" s="90"/>
    </row>
    <row r="106" spans="1:6">
      <c r="A106" s="49">
        <v>34</v>
      </c>
      <c r="B106" s="685" t="s">
        <v>644</v>
      </c>
      <c r="C106" s="86"/>
      <c r="D106" s="87"/>
      <c r="E106" s="560">
        <f t="shared" ref="E106:E118" si="6">IFERROR(C106*D106,)</f>
        <v>0</v>
      </c>
      <c r="F106" s="72"/>
    </row>
    <row r="107" spans="1:6">
      <c r="A107" s="49">
        <v>35</v>
      </c>
      <c r="B107" s="685" t="s">
        <v>631</v>
      </c>
      <c r="C107" s="86"/>
      <c r="D107" s="87"/>
      <c r="E107" s="560">
        <f t="shared" si="6"/>
        <v>0</v>
      </c>
      <c r="F107" s="72"/>
    </row>
    <row r="108" spans="1:6">
      <c r="A108" s="49">
        <v>36</v>
      </c>
      <c r="B108" s="685" t="s">
        <v>632</v>
      </c>
      <c r="C108" s="86"/>
      <c r="D108" s="87"/>
      <c r="E108" s="560">
        <f t="shared" si="6"/>
        <v>0</v>
      </c>
      <c r="F108" s="72"/>
    </row>
    <row r="109" spans="1:6">
      <c r="A109" s="49">
        <v>37</v>
      </c>
      <c r="B109" s="685" t="s">
        <v>633</v>
      </c>
      <c r="C109" s="86"/>
      <c r="D109" s="87"/>
      <c r="E109" s="560">
        <f t="shared" si="6"/>
        <v>0</v>
      </c>
      <c r="F109" s="72"/>
    </row>
    <row r="110" spans="1:6">
      <c r="A110" s="49">
        <v>38</v>
      </c>
      <c r="B110" s="685" t="s">
        <v>634</v>
      </c>
      <c r="C110" s="86"/>
      <c r="D110" s="87"/>
      <c r="E110" s="560">
        <f t="shared" si="6"/>
        <v>0</v>
      </c>
      <c r="F110" s="72"/>
    </row>
    <row r="111" spans="1:6">
      <c r="A111" s="49">
        <v>39</v>
      </c>
      <c r="B111" s="685" t="s">
        <v>635</v>
      </c>
      <c r="C111" s="86"/>
      <c r="D111" s="87"/>
      <c r="E111" s="560">
        <f t="shared" si="6"/>
        <v>0</v>
      </c>
      <c r="F111" s="72"/>
    </row>
    <row r="112" spans="1:6">
      <c r="A112" s="49">
        <v>40</v>
      </c>
      <c r="B112" s="685" t="s">
        <v>636</v>
      </c>
      <c r="C112" s="86"/>
      <c r="D112" s="87"/>
      <c r="E112" s="560">
        <f t="shared" si="6"/>
        <v>0</v>
      </c>
      <c r="F112" s="72"/>
    </row>
    <row r="113" spans="1:6">
      <c r="A113" s="49">
        <v>41</v>
      </c>
      <c r="B113" s="685" t="s">
        <v>637</v>
      </c>
      <c r="C113" s="86"/>
      <c r="D113" s="87"/>
      <c r="E113" s="560">
        <f t="shared" si="6"/>
        <v>0</v>
      </c>
      <c r="F113" s="72"/>
    </row>
    <row r="114" spans="1:6">
      <c r="A114" s="49">
        <v>42</v>
      </c>
      <c r="B114" s="685" t="s">
        <v>638</v>
      </c>
      <c r="C114" s="86"/>
      <c r="D114" s="87"/>
      <c r="E114" s="560">
        <f t="shared" si="6"/>
        <v>0</v>
      </c>
      <c r="F114" s="72"/>
    </row>
    <row r="115" spans="1:6">
      <c r="A115" s="49">
        <v>43</v>
      </c>
      <c r="B115" s="685" t="s">
        <v>639</v>
      </c>
      <c r="C115" s="86"/>
      <c r="D115" s="87"/>
      <c r="E115" s="560">
        <f t="shared" si="6"/>
        <v>0</v>
      </c>
      <c r="F115" s="72"/>
    </row>
    <row r="116" spans="1:6">
      <c r="A116" s="49">
        <v>44</v>
      </c>
      <c r="B116" s="685" t="s">
        <v>640</v>
      </c>
      <c r="C116" s="86"/>
      <c r="D116" s="87"/>
      <c r="E116" s="560">
        <f t="shared" si="6"/>
        <v>0</v>
      </c>
      <c r="F116" s="72"/>
    </row>
    <row r="117" spans="1:6">
      <c r="A117" s="49">
        <v>45</v>
      </c>
      <c r="B117" s="685" t="s">
        <v>641</v>
      </c>
      <c r="C117" s="86"/>
      <c r="D117" s="87"/>
      <c r="E117" s="560">
        <f t="shared" si="6"/>
        <v>0</v>
      </c>
      <c r="F117" s="72"/>
    </row>
    <row r="118" spans="1:6">
      <c r="A118" s="49">
        <v>46</v>
      </c>
      <c r="B118" s="685" t="s">
        <v>642</v>
      </c>
      <c r="C118" s="86"/>
      <c r="D118" s="87"/>
      <c r="E118" s="560">
        <f t="shared" si="6"/>
        <v>0</v>
      </c>
      <c r="F118" s="72"/>
    </row>
    <row r="119" spans="1:6" ht="39.6" customHeight="1">
      <c r="A119" s="49">
        <v>0</v>
      </c>
      <c r="B119" s="686" t="s">
        <v>648</v>
      </c>
      <c r="C119" s="84"/>
      <c r="D119" s="85"/>
      <c r="E119" s="559">
        <f>SUM($E$120:$E$124)</f>
        <v>0</v>
      </c>
      <c r="F119" s="50"/>
    </row>
    <row r="120" spans="1:6" ht="31.5">
      <c r="A120" s="49">
        <v>47</v>
      </c>
      <c r="B120" s="685" t="s">
        <v>643</v>
      </c>
      <c r="C120" s="86"/>
      <c r="D120" s="87"/>
      <c r="E120" s="560">
        <f>IFERROR(C120*D120,)</f>
        <v>0</v>
      </c>
      <c r="F120" s="72"/>
    </row>
    <row r="121" spans="1:6" ht="47.25">
      <c r="A121" s="49">
        <v>48</v>
      </c>
      <c r="B121" s="685" t="s">
        <v>38</v>
      </c>
      <c r="C121" s="86"/>
      <c r="D121" s="87"/>
      <c r="E121" s="560">
        <f>IFERROR(C121*D121,)</f>
        <v>0</v>
      </c>
      <c r="F121" s="72"/>
    </row>
    <row r="122" spans="1:6">
      <c r="A122" s="49">
        <v>49</v>
      </c>
      <c r="B122" s="685" t="s">
        <v>39</v>
      </c>
      <c r="C122" s="86"/>
      <c r="D122" s="87"/>
      <c r="E122" s="560">
        <f>IFERROR(C122*D122,)</f>
        <v>0</v>
      </c>
      <c r="F122" s="72"/>
    </row>
    <row r="123" spans="1:6" ht="31.5">
      <c r="A123" s="49">
        <v>50</v>
      </c>
      <c r="B123" s="679" t="s">
        <v>645</v>
      </c>
      <c r="C123" s="86"/>
      <c r="D123" s="87"/>
      <c r="E123" s="560">
        <f>IFERROR(C123*D123,)</f>
        <v>0</v>
      </c>
      <c r="F123" s="72"/>
    </row>
    <row r="124" spans="1:6">
      <c r="A124" s="49">
        <v>51</v>
      </c>
      <c r="B124" s="679" t="s">
        <v>646</v>
      </c>
      <c r="C124" s="86"/>
      <c r="D124" s="87"/>
      <c r="E124" s="560">
        <f>IFERROR(C124*D124,)</f>
        <v>0</v>
      </c>
      <c r="F124" s="72"/>
    </row>
    <row r="125" spans="1:6">
      <c r="A125" s="49"/>
      <c r="B125" s="89" t="s">
        <v>487</v>
      </c>
      <c r="C125" s="84"/>
      <c r="D125" s="85"/>
      <c r="E125" s="559">
        <f>SUM($E$126:$E$136)</f>
        <v>0</v>
      </c>
      <c r="F125" s="50"/>
    </row>
    <row r="126" spans="1:6">
      <c r="A126" s="49"/>
      <c r="B126" s="73"/>
      <c r="C126" s="86"/>
      <c r="D126" s="87"/>
      <c r="E126" s="560">
        <f t="shared" ref="E126:E136" si="7">IFERROR(C126*D126,)</f>
        <v>0</v>
      </c>
      <c r="F126" s="72"/>
    </row>
    <row r="127" spans="1:6">
      <c r="A127" s="49"/>
      <c r="B127" s="73"/>
      <c r="C127" s="86"/>
      <c r="D127" s="87"/>
      <c r="E127" s="560">
        <f t="shared" si="7"/>
        <v>0</v>
      </c>
      <c r="F127" s="72"/>
    </row>
    <row r="128" spans="1:6">
      <c r="A128" s="49"/>
      <c r="B128" s="73"/>
      <c r="C128" s="86"/>
      <c r="D128" s="87"/>
      <c r="E128" s="560">
        <f t="shared" si="7"/>
        <v>0</v>
      </c>
      <c r="F128" s="72"/>
    </row>
    <row r="129" spans="1:256">
      <c r="A129" s="49"/>
      <c r="B129" s="73"/>
      <c r="C129" s="86"/>
      <c r="D129" s="87"/>
      <c r="E129" s="560">
        <f t="shared" si="7"/>
        <v>0</v>
      </c>
      <c r="F129" s="72"/>
    </row>
    <row r="130" spans="1:256">
      <c r="A130" s="49"/>
      <c r="B130" s="73"/>
      <c r="C130" s="86"/>
      <c r="D130" s="87"/>
      <c r="E130" s="560">
        <f t="shared" si="7"/>
        <v>0</v>
      </c>
      <c r="F130" s="72"/>
    </row>
    <row r="131" spans="1:256">
      <c r="A131" s="49"/>
      <c r="B131" s="73"/>
      <c r="C131" s="86"/>
      <c r="D131" s="87"/>
      <c r="E131" s="560">
        <f t="shared" si="7"/>
        <v>0</v>
      </c>
      <c r="F131" s="72"/>
    </row>
    <row r="132" spans="1:256">
      <c r="A132" s="49"/>
      <c r="B132" s="73"/>
      <c r="C132" s="86"/>
      <c r="D132" s="87"/>
      <c r="E132" s="560">
        <f t="shared" si="7"/>
        <v>0</v>
      </c>
      <c r="F132" s="72"/>
    </row>
    <row r="133" spans="1:256">
      <c r="A133" s="49"/>
      <c r="B133" s="73"/>
      <c r="C133" s="86"/>
      <c r="D133" s="87"/>
      <c r="E133" s="560">
        <f t="shared" si="7"/>
        <v>0</v>
      </c>
      <c r="F133" s="72"/>
    </row>
    <row r="134" spans="1:256">
      <c r="A134" s="49"/>
      <c r="B134" s="73"/>
      <c r="C134" s="86"/>
      <c r="D134" s="87"/>
      <c r="E134" s="560">
        <f t="shared" si="7"/>
        <v>0</v>
      </c>
      <c r="F134" s="72"/>
    </row>
    <row r="135" spans="1:256">
      <c r="A135" s="49"/>
      <c r="B135" s="73"/>
      <c r="C135" s="86"/>
      <c r="D135" s="87"/>
      <c r="E135" s="560">
        <f t="shared" si="7"/>
        <v>0</v>
      </c>
      <c r="F135" s="72"/>
    </row>
    <row r="136" spans="1:256">
      <c r="A136" s="49"/>
      <c r="B136" s="73"/>
      <c r="C136" s="86"/>
      <c r="D136" s="87"/>
      <c r="E136" s="560">
        <f t="shared" si="7"/>
        <v>0</v>
      </c>
      <c r="F136" s="72"/>
    </row>
    <row r="137" spans="1:256">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c r="EN137" s="49"/>
      <c r="EO137" s="49"/>
      <c r="EP137" s="49"/>
      <c r="EQ137" s="49"/>
      <c r="ER137" s="49"/>
      <c r="ES137" s="49"/>
      <c r="ET137" s="49"/>
      <c r="EU137" s="49"/>
      <c r="EV137" s="49"/>
      <c r="EW137" s="49"/>
      <c r="EX137" s="49"/>
      <c r="EY137" s="49"/>
      <c r="EZ137" s="49"/>
      <c r="FA137" s="49"/>
      <c r="FB137" s="49"/>
      <c r="FC137" s="49"/>
      <c r="FD137" s="49"/>
      <c r="FE137" s="49"/>
      <c r="FF137" s="49"/>
      <c r="FG137" s="49"/>
      <c r="FH137" s="49"/>
      <c r="FI137" s="49"/>
      <c r="FJ137" s="49"/>
      <c r="FK137" s="49"/>
      <c r="FL137" s="49"/>
      <c r="FM137" s="49"/>
      <c r="FN137" s="49"/>
      <c r="FO137" s="49"/>
      <c r="FP137" s="49"/>
      <c r="FQ137" s="49"/>
      <c r="FR137" s="49"/>
      <c r="FS137" s="49"/>
      <c r="FT137" s="49"/>
      <c r="FU137" s="49"/>
      <c r="FV137" s="49"/>
      <c r="FW137" s="49"/>
      <c r="FX137" s="49"/>
      <c r="FY137" s="49"/>
      <c r="FZ137" s="49"/>
      <c r="GA137" s="49"/>
      <c r="GB137" s="49"/>
      <c r="GC137" s="49"/>
      <c r="GD137" s="49"/>
      <c r="GE137" s="49"/>
      <c r="GF137" s="49"/>
      <c r="GG137" s="49"/>
      <c r="GH137" s="49"/>
      <c r="GI137" s="49"/>
      <c r="GJ137" s="49"/>
      <c r="GK137" s="49"/>
      <c r="GL137" s="49"/>
      <c r="GM137" s="49"/>
      <c r="GN137" s="49"/>
      <c r="GO137" s="49"/>
      <c r="GP137" s="49"/>
      <c r="GQ137" s="49"/>
      <c r="GR137" s="49"/>
      <c r="GS137" s="49"/>
      <c r="GT137" s="49"/>
      <c r="GU137" s="49"/>
      <c r="GV137" s="49"/>
      <c r="GW137" s="49"/>
      <c r="GX137" s="49"/>
      <c r="GY137" s="49"/>
      <c r="GZ137" s="49"/>
      <c r="HA137" s="49"/>
      <c r="HB137" s="49"/>
      <c r="HC137" s="49"/>
      <c r="HD137" s="49"/>
      <c r="HE137" s="49"/>
      <c r="HF137" s="49"/>
      <c r="HG137" s="49"/>
      <c r="HH137" s="49"/>
      <c r="HI137" s="49"/>
      <c r="HJ137" s="49"/>
      <c r="HK137" s="49"/>
      <c r="HL137" s="49"/>
      <c r="HM137" s="49"/>
      <c r="HN137" s="49"/>
      <c r="HO137" s="49"/>
      <c r="HP137" s="49"/>
      <c r="HQ137" s="49"/>
      <c r="HR137" s="49"/>
      <c r="HS137" s="49"/>
      <c r="HT137" s="49"/>
      <c r="HU137" s="49"/>
      <c r="HV137" s="49"/>
      <c r="HW137" s="49"/>
      <c r="HX137" s="49"/>
      <c r="HY137" s="49"/>
      <c r="HZ137" s="49"/>
      <c r="IA137" s="49"/>
      <c r="IB137" s="49"/>
      <c r="IC137" s="49"/>
      <c r="ID137" s="49"/>
      <c r="IE137" s="49"/>
      <c r="IF137" s="49"/>
      <c r="IG137" s="49"/>
      <c r="IH137" s="49"/>
      <c r="II137" s="49"/>
      <c r="IJ137" s="49"/>
      <c r="IK137" s="49"/>
      <c r="IL137" s="49"/>
      <c r="IM137" s="49"/>
      <c r="IN137" s="49"/>
      <c r="IO137" s="49"/>
      <c r="IP137" s="49"/>
      <c r="IQ137" s="49"/>
      <c r="IR137" s="49"/>
      <c r="IS137" s="49"/>
      <c r="IT137" s="49"/>
      <c r="IU137" s="49"/>
      <c r="IV137" s="49"/>
    </row>
    <row r="138" spans="1:256" ht="165.6" customHeight="1">
      <c r="A138" s="49"/>
      <c r="B138" s="55" t="s">
        <v>26</v>
      </c>
      <c r="C138" s="54">
        <v>20000</v>
      </c>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s="49"/>
      <c r="FY138" s="49"/>
      <c r="FZ138" s="49"/>
      <c r="GA138" s="49"/>
      <c r="GB138" s="49"/>
      <c r="GC138" s="49"/>
      <c r="GD138" s="49"/>
      <c r="GE138" s="49"/>
      <c r="GF138" s="49"/>
      <c r="GG138" s="49"/>
      <c r="GH138" s="49"/>
      <c r="GI138" s="49"/>
      <c r="GJ138" s="49"/>
      <c r="GK138" s="49"/>
      <c r="GL138" s="49"/>
      <c r="GM138" s="49"/>
      <c r="GN138" s="49"/>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c r="HN138" s="49"/>
      <c r="HO138" s="49"/>
      <c r="HP138" s="49"/>
      <c r="HQ138" s="49"/>
      <c r="HR138" s="49"/>
      <c r="HS138" s="49"/>
      <c r="HT138" s="49"/>
      <c r="HU138" s="49"/>
      <c r="HV138" s="49"/>
      <c r="HW138" s="49"/>
      <c r="HX138" s="49"/>
      <c r="HY138" s="49"/>
      <c r="HZ138" s="49"/>
      <c r="IA138" s="49"/>
      <c r="IB138" s="49"/>
      <c r="IC138" s="49"/>
      <c r="ID138" s="49"/>
      <c r="IE138" s="49"/>
      <c r="IF138" s="49"/>
      <c r="IG138" s="49"/>
      <c r="IH138" s="49"/>
      <c r="II138" s="49"/>
      <c r="IJ138" s="49"/>
      <c r="IK138" s="49"/>
      <c r="IL138" s="49"/>
      <c r="IM138" s="49"/>
      <c r="IN138" s="49"/>
      <c r="IO138" s="49"/>
      <c r="IP138" s="49"/>
      <c r="IQ138" s="49"/>
      <c r="IR138" s="49"/>
      <c r="IS138" s="49"/>
      <c r="IT138" s="49"/>
      <c r="IU138" s="49"/>
      <c r="IV138" s="49"/>
    </row>
    <row r="139" spans="1:256" s="50" customFormat="1" ht="34.9" customHeight="1">
      <c r="A139" s="48"/>
      <c r="B139" s="74"/>
      <c r="C139" s="75"/>
      <c r="D139" s="49"/>
      <c r="E139" s="49"/>
      <c r="F139" s="49"/>
      <c r="G139" s="49"/>
      <c r="H139" s="49"/>
      <c r="I139" s="49"/>
      <c r="J139" s="49"/>
      <c r="K139" s="49"/>
      <c r="L139" s="49"/>
      <c r="M139" s="49"/>
      <c r="N139" s="49"/>
      <c r="O139" s="49"/>
      <c r="P139" s="49"/>
      <c r="Q139" s="49"/>
      <c r="R139" s="49"/>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c r="EW139" s="48"/>
      <c r="EX139" s="48"/>
      <c r="EY139" s="48"/>
      <c r="EZ139" s="48"/>
      <c r="FA139" s="48"/>
      <c r="FB139" s="48"/>
      <c r="FC139" s="48"/>
      <c r="FD139" s="48"/>
      <c r="FE139" s="48"/>
      <c r="FF139" s="48"/>
      <c r="FG139" s="48"/>
      <c r="FH139" s="48"/>
      <c r="FI139" s="48"/>
      <c r="FJ139" s="48"/>
      <c r="FK139" s="48"/>
      <c r="FL139" s="48"/>
      <c r="FM139" s="48"/>
      <c r="FN139" s="48"/>
      <c r="FO139" s="48"/>
      <c r="FP139" s="48"/>
      <c r="FQ139" s="48"/>
      <c r="FR139" s="48"/>
      <c r="FS139" s="48"/>
      <c r="FT139" s="48"/>
      <c r="FU139" s="48"/>
      <c r="FV139" s="48"/>
      <c r="FW139" s="48"/>
      <c r="FX139" s="48"/>
      <c r="FY139" s="48"/>
      <c r="FZ139" s="48"/>
      <c r="GA139" s="48"/>
      <c r="GB139" s="48"/>
      <c r="GC139" s="48"/>
      <c r="GD139" s="48"/>
      <c r="GE139" s="48"/>
      <c r="GF139" s="48"/>
      <c r="GG139" s="48"/>
      <c r="GH139" s="48"/>
      <c r="GI139" s="48"/>
      <c r="GJ139" s="48"/>
      <c r="GK139" s="48"/>
      <c r="GL139" s="48"/>
      <c r="GM139" s="48"/>
      <c r="GN139" s="48"/>
      <c r="GO139" s="48"/>
      <c r="GP139" s="48"/>
      <c r="GQ139" s="48"/>
      <c r="GR139" s="48"/>
      <c r="GS139" s="48"/>
      <c r="GT139" s="48"/>
      <c r="GU139" s="48"/>
      <c r="GV139" s="48"/>
      <c r="GW139" s="48"/>
      <c r="GX139" s="48"/>
      <c r="GY139" s="48"/>
      <c r="GZ139" s="48"/>
      <c r="HA139" s="48"/>
      <c r="HB139" s="48"/>
      <c r="HC139" s="48"/>
      <c r="HD139" s="48"/>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row>
    <row r="140" spans="1:256" s="50" customFormat="1" ht="63.6" customHeight="1">
      <c r="A140" s="48"/>
      <c r="B140" s="1215" t="s">
        <v>20</v>
      </c>
      <c r="C140" s="1215"/>
      <c r="D140" s="49"/>
      <c r="E140" s="49"/>
      <c r="F140" s="49"/>
      <c r="G140" s="49"/>
      <c r="H140" s="49"/>
      <c r="I140" s="49"/>
      <c r="J140" s="49"/>
      <c r="K140" s="49"/>
      <c r="L140" s="49"/>
      <c r="M140" s="49"/>
      <c r="N140" s="49"/>
      <c r="O140" s="49"/>
      <c r="P140" s="49"/>
      <c r="Q140" s="49"/>
      <c r="R140" s="49"/>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c r="GJ140" s="48"/>
      <c r="GK140" s="48"/>
      <c r="GL140" s="48"/>
      <c r="GM140" s="48"/>
      <c r="GN140" s="48"/>
      <c r="GO140" s="48"/>
      <c r="GP140" s="48"/>
      <c r="GQ140" s="48"/>
      <c r="GR140" s="48"/>
      <c r="GS140" s="48"/>
      <c r="GT140" s="48"/>
      <c r="GU140" s="48"/>
      <c r="GV140" s="48"/>
      <c r="GW140" s="48"/>
      <c r="GX140" s="48"/>
      <c r="GY140" s="48"/>
      <c r="GZ140" s="48"/>
      <c r="HA140" s="48"/>
      <c r="HB140" s="48"/>
      <c r="HC140" s="48"/>
      <c r="HD140" s="48"/>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row>
    <row r="141" spans="1:256" ht="33" customHeight="1">
      <c r="B141" s="683" t="s">
        <v>559</v>
      </c>
      <c r="C141" s="584">
        <f>SUMIF(F92:F97,"до 1 року",E92:E97)+SUMIF(F99:F100,"до 1 року",E99:E100)+SUMIF(F102,"до 1 року",E102)</f>
        <v>0</v>
      </c>
      <c r="D141" s="1224"/>
      <c r="E141" s="1224"/>
      <c r="F141" s="1224"/>
      <c r="H141" s="49"/>
      <c r="I141" s="49"/>
      <c r="J141" s="49"/>
      <c r="K141" s="49"/>
      <c r="L141" s="49"/>
      <c r="M141" s="49"/>
      <c r="N141" s="49"/>
      <c r="O141" s="49"/>
      <c r="P141" s="49"/>
      <c r="Q141" s="49"/>
      <c r="R141" s="49"/>
    </row>
    <row r="142" spans="1:256" ht="33" customHeight="1">
      <c r="B142" s="683" t="s">
        <v>557</v>
      </c>
      <c r="C142" s="584">
        <f>SUMIFS(E92:E97,F92:F97,"більше 1 року",D92:D97,"&gt;=6000")+SUMIFS(E99:E100,F99:F100,"більше 1 року",D99:D100,"&gt;=6000")+SUMIFS(E102,F102,"більше 1 року",D102,"&gt;=6000")</f>
        <v>0</v>
      </c>
      <c r="D142" s="1224"/>
      <c r="E142" s="1224"/>
      <c r="F142" s="1224"/>
    </row>
    <row r="143" spans="1:256" ht="33" customHeight="1">
      <c r="B143" s="683" t="s">
        <v>558</v>
      </c>
      <c r="C143" s="584">
        <f>SUMIFS(E92:E97,F92:F97,"більше 1 року",D92:D97,"&lt;6000")+SUMIFS(E99:E100,F99:F100,"більше 1 року",D99:D100,"&lt;6000")+SUMIFS(E102,F102,"більше 1 року",D102,"&lt;6000")</f>
        <v>0</v>
      </c>
      <c r="D143" s="1224"/>
      <c r="E143" s="1224"/>
      <c r="F143" s="1224"/>
    </row>
    <row r="145" spans="1:6" ht="25.9" customHeight="1"/>
    <row r="146" spans="1:6" ht="60" customHeight="1">
      <c r="B146" s="1215" t="s">
        <v>21</v>
      </c>
      <c r="C146" s="1215"/>
    </row>
    <row r="147" spans="1:6" ht="25.9" customHeight="1">
      <c r="B147" s="683" t="s">
        <v>559</v>
      </c>
      <c r="C147" s="584">
        <f>SUMIF(F22:F38,"до 1 року",E22:E38)+SUMIF(F40:F49,"до 1 року",E40:E49)+SUMIF(F51:F69,"до 1 року",E51:E69)+SUMIF(F71:F90,"до 1 року",E71:E90)+SUMIF(F101,"до 1 року",E101)+SUMIF(F103:F104,"до 1 року",E103:E104)+SUMIF(F106:F118,"до 1 року",E106:E118)+SUMIF(F120:F124,"до 1 року",E120:E124)+SUMIF(F126:F136,"до 1 року",E126:E136)</f>
        <v>0</v>
      </c>
    </row>
    <row r="148" spans="1:6" ht="25.9" customHeight="1">
      <c r="B148" s="683" t="s">
        <v>557</v>
      </c>
      <c r="C148" s="589">
        <f>SUMIFS(E22:E38,F22:F38,"більше 1 року",D22:D38,"&gt;=6000")+SUMIFS(E40:E49,F40:F49,"більше 1 року",D40:D49,"&gt;=6000")+SUMIFS(E51:E69,F51:F69,"більше 1 року",D51:D69,"&gt;=6000")+SUMIFS(E71:E90,F71:F90,"більше 1 року",D71:D90,"&gt;=6000")+SUMIFS(E101,F101,"більше 1 року",D101,"&gt;=6000")+SUMIFS(E103:E104,F103:F104,"більше 1 року",D103:D104,"&gt;=6000")+SUMIFS(E106:E118,F106:F118,"більше 1 року",D106:D118,"&gt;=6000")+SUMIFS(E120:E124,F120:F124,"більше 1 року",D120:D124,"&gt;=6000")+SUMIFS(E126:E136,F126:F136,"більше 1 року",D126:D136,"&gt;=6000")</f>
        <v>0</v>
      </c>
    </row>
    <row r="149" spans="1:6" ht="25.9" customHeight="1">
      <c r="B149" s="683" t="s">
        <v>558</v>
      </c>
      <c r="C149" s="584">
        <f>SUMIFS(E22:E38,F22:F38,"більше 1 року",D22:D38,"&lt;6000")+SUMIFS(E40:E49,F40:F49,"більше 1 року",D40:D49,"&lt;6000")+SUMIFS(E51:E69,F51:F69,"більше 1 року",D51:D69,"&lt;6000")+SUMIFS(E71:E90,F71:F90,"більше 1 року",D71:D90,"&lt;6000")+SUMIFS(E101,F101,"більше 1 року",D101,"&lt;6000")+SUMIFS(E103:E104,F103:F104,"більше 1 року",D103:D104,"&lt;6000")+SUMIFS(E106:E118,F106:F118,"більше 1 року",D106:D118,"&lt;6000")+SUMIFS(E120:E124,F120:F124,"більше 1 року",D120:D124,"&lt;6000")+SUMIFS(E126:E136,F126:F136,"більше 1 року",D126:D136,"&lt;6000")</f>
        <v>0</v>
      </c>
    </row>
    <row r="150" spans="1:6" ht="25.9" customHeight="1"/>
    <row r="151" spans="1:6" ht="46.5">
      <c r="B151" s="76" t="s">
        <v>777</v>
      </c>
      <c r="C151" s="77">
        <v>0.25</v>
      </c>
      <c r="D151" s="77">
        <v>0.25</v>
      </c>
      <c r="E151" s="77">
        <v>0.25</v>
      </c>
      <c r="F151" s="77">
        <v>0.25</v>
      </c>
    </row>
    <row r="152" spans="1:6" ht="25.9" customHeight="1">
      <c r="B152" s="78"/>
      <c r="C152" s="79"/>
      <c r="D152" s="79"/>
      <c r="E152" s="79"/>
      <c r="F152" s="79"/>
    </row>
    <row r="153" spans="1:6" ht="81">
      <c r="B153" s="51" t="s">
        <v>775</v>
      </c>
      <c r="C153" s="80" t="s">
        <v>446</v>
      </c>
      <c r="D153" s="80" t="s">
        <v>410</v>
      </c>
      <c r="E153" s="80" t="s">
        <v>411</v>
      </c>
      <c r="F153" s="80" t="s">
        <v>561</v>
      </c>
    </row>
    <row r="154" spans="1:6" ht="38.450000000000003" customHeight="1">
      <c r="B154" s="43" t="s">
        <v>559</v>
      </c>
      <c r="C154" s="585">
        <f>C141*C151</f>
        <v>0</v>
      </c>
      <c r="D154" s="585">
        <f>C141*D151</f>
        <v>0</v>
      </c>
      <c r="E154" s="585">
        <f>C141*E151</f>
        <v>0</v>
      </c>
      <c r="F154" s="585">
        <f>C141*F151</f>
        <v>0</v>
      </c>
    </row>
    <row r="155" spans="1:6" ht="38.450000000000003" customHeight="1">
      <c r="B155" s="43" t="s">
        <v>557</v>
      </c>
      <c r="C155" s="585">
        <f>C142*C151</f>
        <v>0</v>
      </c>
      <c r="D155" s="585">
        <f>C142*D151</f>
        <v>0</v>
      </c>
      <c r="E155" s="585">
        <f>C142*E151</f>
        <v>0</v>
      </c>
      <c r="F155" s="585">
        <f>C142*F151</f>
        <v>0</v>
      </c>
    </row>
    <row r="156" spans="1:6" ht="38.450000000000003" customHeight="1">
      <c r="B156" s="43" t="s">
        <v>558</v>
      </c>
      <c r="C156" s="585">
        <f>C143*C151</f>
        <v>0</v>
      </c>
      <c r="D156" s="585">
        <f>C143*D151</f>
        <v>0</v>
      </c>
      <c r="E156" s="585">
        <f>C143*E151</f>
        <v>0</v>
      </c>
      <c r="F156" s="585">
        <f>C143*F151</f>
        <v>0</v>
      </c>
    </row>
    <row r="157" spans="1:6" s="588" customFormat="1" ht="38.450000000000003" customHeight="1">
      <c r="A157" s="586"/>
      <c r="B157" s="545" t="s">
        <v>690</v>
      </c>
      <c r="C157" s="587">
        <f>C154+C155+C156</f>
        <v>0</v>
      </c>
      <c r="D157" s="587">
        <f>D154+D155+D156</f>
        <v>0</v>
      </c>
      <c r="E157" s="587">
        <f>E154+E155+E156</f>
        <v>0</v>
      </c>
      <c r="F157" s="587">
        <f>F154+F155+F156</f>
        <v>0</v>
      </c>
    </row>
    <row r="158" spans="1:6" ht="48.6" customHeight="1">
      <c r="B158" s="52"/>
      <c r="C158" s="81"/>
      <c r="D158" s="81"/>
      <c r="E158" s="81"/>
      <c r="F158" s="81"/>
    </row>
    <row r="159" spans="1:6" ht="77.45" customHeight="1">
      <c r="B159" s="76" t="s">
        <v>776</v>
      </c>
      <c r="C159" s="77">
        <v>0.25</v>
      </c>
      <c r="D159" s="77">
        <v>0.25</v>
      </c>
      <c r="E159" s="77">
        <v>0.25</v>
      </c>
      <c r="F159" s="77">
        <v>0.25</v>
      </c>
    </row>
    <row r="160" spans="1:6" ht="33.6" customHeight="1">
      <c r="B160" s="78"/>
      <c r="C160" s="79"/>
      <c r="D160" s="79"/>
      <c r="E160" s="79"/>
      <c r="F160" s="79"/>
    </row>
    <row r="161" spans="1:6" ht="97.15" customHeight="1">
      <c r="B161" s="53" t="s">
        <v>778</v>
      </c>
      <c r="C161" s="80" t="s">
        <v>446</v>
      </c>
      <c r="D161" s="80" t="s">
        <v>410</v>
      </c>
      <c r="E161" s="80" t="s">
        <v>411</v>
      </c>
      <c r="F161" s="80" t="s">
        <v>561</v>
      </c>
    </row>
    <row r="162" spans="1:6" ht="32.450000000000003" customHeight="1">
      <c r="B162" s="43" t="s">
        <v>559</v>
      </c>
      <c r="C162" s="585">
        <f>$C$147*C159</f>
        <v>0</v>
      </c>
      <c r="D162" s="585">
        <f>$C$147*D159</f>
        <v>0</v>
      </c>
      <c r="E162" s="585">
        <f>$C$147*E159</f>
        <v>0</v>
      </c>
      <c r="F162" s="585">
        <f>$C$147*F159</f>
        <v>0</v>
      </c>
    </row>
    <row r="163" spans="1:6" ht="29.45" customHeight="1">
      <c r="B163" s="43" t="s">
        <v>557</v>
      </c>
      <c r="C163" s="585">
        <f>$C$148*C159</f>
        <v>0</v>
      </c>
      <c r="D163" s="585">
        <f>$C$148*D159</f>
        <v>0</v>
      </c>
      <c r="E163" s="585">
        <f>$C$148*E159</f>
        <v>0</v>
      </c>
      <c r="F163" s="585">
        <f>$C$148*F159</f>
        <v>0</v>
      </c>
    </row>
    <row r="164" spans="1:6" ht="30.6" customHeight="1">
      <c r="B164" s="43" t="s">
        <v>558</v>
      </c>
      <c r="C164" s="585">
        <f>$C$149*C159</f>
        <v>0</v>
      </c>
      <c r="D164" s="585">
        <f>$C$149*D159</f>
        <v>0</v>
      </c>
      <c r="E164" s="585">
        <f>$C$149*E159</f>
        <v>0</v>
      </c>
      <c r="F164" s="585">
        <f>$C$149*F159</f>
        <v>0</v>
      </c>
    </row>
    <row r="165" spans="1:6" s="588" customFormat="1" ht="33" customHeight="1">
      <c r="A165" s="586"/>
      <c r="B165" s="545" t="s">
        <v>690</v>
      </c>
      <c r="C165" s="587">
        <f>C162+C163+C164</f>
        <v>0</v>
      </c>
      <c r="D165" s="587">
        <f>D162+D163+D164</f>
        <v>0</v>
      </c>
      <c r="E165" s="587">
        <f>E162+E163+E164</f>
        <v>0</v>
      </c>
      <c r="F165" s="587">
        <f>F162+F163+F164</f>
        <v>0</v>
      </c>
    </row>
  </sheetData>
  <sheetProtection autoFilter="0"/>
  <protectedRanges>
    <protectedRange sqref="B126:B136" name="Найменування інші"/>
    <protectedRange sqref="D92:D97 D99:D104 D106:D118 D120:D124 D126:D136 D40:D90 D22:D38" name="Оціночна вартість"/>
  </protectedRanges>
  <autoFilter ref="B20:E20"/>
  <mergeCells count="21">
    <mergeCell ref="E9:G9"/>
    <mergeCell ref="B146:C146"/>
    <mergeCell ref="B3:E3"/>
    <mergeCell ref="A2:AF2"/>
    <mergeCell ref="D141:F141"/>
    <mergeCell ref="D142:F142"/>
    <mergeCell ref="D143:F143"/>
    <mergeCell ref="B11:D11"/>
    <mergeCell ref="B13:D13"/>
    <mergeCell ref="B16:D16"/>
    <mergeCell ref="B17:D17"/>
    <mergeCell ref="B15:D15"/>
    <mergeCell ref="B140:C140"/>
    <mergeCell ref="B5:E5"/>
    <mergeCell ref="B7:D7"/>
    <mergeCell ref="B12:D12"/>
    <mergeCell ref="B14:D14"/>
    <mergeCell ref="E7:G7"/>
    <mergeCell ref="B8:D8"/>
    <mergeCell ref="E8:G8"/>
    <mergeCell ref="B9:D9"/>
  </mergeCells>
  <phoneticPr fontId="0" type="noConversion"/>
  <conditionalFormatting sqref="C22:D136 F22:F136">
    <cfRule type="notContainsBlanks" dxfId="34" priority="3">
      <formula>LEN(TRIM(C22))&gt;0</formula>
    </cfRule>
    <cfRule type="notContainsBlanks" dxfId="33" priority="4">
      <formula>LEN(TRIM(C22))&gt;0</formula>
    </cfRule>
  </conditionalFormatting>
  <dataValidations count="2">
    <dataValidation type="decimal" operator="greaterThanOrEqual" allowBlank="1" showInputMessage="1" showErrorMessage="1" error="Розділення цілої та дробової частини числа має бути введено через крапку &quot;.&quot;_x000a_Наприклад: 23.10" sqref="D106:D118 D120:D124 D126:D136 D22:D104">
      <formula1>0</formula1>
    </dataValidation>
    <dataValidation type="list" allowBlank="1" showInputMessage="1" showErrorMessage="1" sqref="F22:F38 F92:F97 F106:F118 F99:F104 F120:F124 F126:F136 F71:F90 F40:F49 F51:F69">
      <formula1>$F$15:$F$16</formula1>
    </dataValidation>
  </dataValidations>
  <pageMargins left="0.7" right="0.7" top="0.75" bottom="0.75" header="0.3" footer="0.3"/>
  <pageSetup paperSize="9" orientation="portrait" r:id="rId1"/>
  <ignoredErrors>
    <ignoredError sqref="C142:C143" formulaRange="1"/>
  </ignoredErrors>
  <drawing r:id="rId2"/>
</worksheet>
</file>

<file path=xl/worksheets/sheet8.xml><?xml version="1.0" encoding="utf-8"?>
<worksheet xmlns="http://schemas.openxmlformats.org/spreadsheetml/2006/main" xmlns:r="http://schemas.openxmlformats.org/officeDocument/2006/relationships">
  <sheetPr>
    <tabColor theme="9" tint="0.39997558519241921"/>
  </sheetPr>
  <dimension ref="A1:AO47"/>
  <sheetViews>
    <sheetView showGridLines="0" view="pageBreakPreview" topLeftCell="B46" zoomScale="70" zoomScaleNormal="70" zoomScaleSheetLayoutView="70" workbookViewId="0">
      <selection activeCell="E16" sqref="E16"/>
    </sheetView>
  </sheetViews>
  <sheetFormatPr defaultColWidth="8.85546875" defaultRowHeight="15"/>
  <cols>
    <col min="1" max="1" width="6.28515625" style="137" customWidth="1"/>
    <col min="2" max="2" width="8.140625" style="137" customWidth="1"/>
    <col min="3" max="3" width="89.140625" style="137" customWidth="1"/>
    <col min="4" max="4" width="31.85546875" style="137" bestFit="1" customWidth="1"/>
    <col min="5" max="8" width="20.85546875" style="137" customWidth="1"/>
    <col min="9" max="9" width="17.5703125" style="137" customWidth="1"/>
    <col min="10" max="18" width="12.5703125" style="516" customWidth="1"/>
    <col min="19" max="21" width="11.7109375" style="140" customWidth="1"/>
    <col min="22" max="16384" width="8.85546875" style="137"/>
  </cols>
  <sheetData>
    <row r="1" spans="1:41" s="60" customFormat="1" ht="16.5">
      <c r="J1" s="511"/>
      <c r="K1" s="511"/>
      <c r="L1" s="511"/>
      <c r="M1" s="511"/>
      <c r="N1" s="511"/>
      <c r="O1" s="511"/>
      <c r="P1" s="511"/>
      <c r="Q1" s="511"/>
      <c r="R1" s="512"/>
      <c r="S1" s="546"/>
      <c r="T1" s="546"/>
      <c r="U1" s="547"/>
      <c r="Z1" s="61"/>
      <c r="AE1" s="61"/>
      <c r="AJ1" s="61"/>
      <c r="AO1" s="61"/>
    </row>
    <row r="2" spans="1:41" s="63" customFormat="1" ht="27">
      <c r="A2" s="1223" t="s">
        <v>56</v>
      </c>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62"/>
      <c r="AH2" s="62"/>
      <c r="AI2" s="62"/>
      <c r="AJ2" s="62"/>
      <c r="AK2" s="62"/>
      <c r="AL2" s="62"/>
      <c r="AM2" s="62"/>
      <c r="AN2" s="62"/>
      <c r="AO2" s="62"/>
    </row>
    <row r="3" spans="1:41" s="63" customFormat="1" ht="26.25" thickBot="1">
      <c r="G3" s="139"/>
      <c r="H3" s="139"/>
      <c r="I3" s="139"/>
      <c r="J3" s="513"/>
      <c r="K3" s="513"/>
      <c r="L3" s="513"/>
      <c r="M3" s="513"/>
      <c r="N3" s="513"/>
      <c r="O3" s="513"/>
      <c r="P3" s="513"/>
      <c r="Q3" s="513"/>
      <c r="R3" s="514"/>
      <c r="S3" s="135"/>
      <c r="T3" s="135"/>
      <c r="U3" s="548"/>
      <c r="Z3" s="353"/>
      <c r="AE3" s="353"/>
      <c r="AJ3" s="353"/>
      <c r="AO3" s="353"/>
    </row>
    <row r="4" spans="1:41" ht="43.9" customHeight="1" thickTop="1" thickBot="1">
      <c r="B4" s="1243" t="s">
        <v>479</v>
      </c>
      <c r="C4" s="1244"/>
      <c r="D4" s="1244"/>
      <c r="E4" s="1244"/>
      <c r="F4" s="1244"/>
      <c r="G4" s="1244"/>
      <c r="H4" s="1245"/>
      <c r="I4" s="515"/>
    </row>
    <row r="5" spans="1:41" ht="61.9" customHeight="1" thickTop="1">
      <c r="C5" s="1240" t="s">
        <v>770</v>
      </c>
      <c r="D5" s="1241"/>
      <c r="E5" s="1241"/>
      <c r="F5" s="1241"/>
      <c r="G5" s="1241"/>
    </row>
    <row r="6" spans="1:41" ht="15.75" thickBot="1"/>
    <row r="7" spans="1:41" s="191" customFormat="1" ht="84" customHeight="1">
      <c r="C7" s="356" t="str">
        <f ca="1">'0_Загальне'!B11</f>
        <v>Офіційна повна назва надавача ПМД:</v>
      </c>
      <c r="D7" s="1232" t="str">
        <f ca="1">'0_Загальне'!C11</f>
        <v>Комунальне некомерційне підприємство "Рожищнський центр первинної медико-санітарної допомоги" Рожищенської міської ради</v>
      </c>
      <c r="E7" s="1233"/>
      <c r="G7" s="1246" t="s">
        <v>675</v>
      </c>
      <c r="H7" s="1246"/>
      <c r="I7" s="517"/>
      <c r="J7" s="514"/>
      <c r="K7" s="514"/>
      <c r="L7" s="514"/>
      <c r="M7" s="514"/>
      <c r="N7" s="514"/>
      <c r="O7" s="514"/>
      <c r="P7" s="514"/>
      <c r="Q7" s="514"/>
      <c r="R7" s="514"/>
      <c r="S7" s="549"/>
      <c r="T7" s="549"/>
      <c r="U7" s="549"/>
    </row>
    <row r="8" spans="1:41" s="191" customFormat="1" ht="39" customHeight="1">
      <c r="C8" s="357" t="str">
        <f ca="1">'0_Загальне'!B32</f>
        <v>Плановий період (рік):</v>
      </c>
      <c r="D8" s="1234">
        <f ca="1">'0_Загальне'!C32</f>
        <v>2024</v>
      </c>
      <c r="E8" s="1235"/>
      <c r="G8" s="1246"/>
      <c r="H8" s="1246"/>
      <c r="I8" s="517"/>
      <c r="J8" s="514"/>
      <c r="K8" s="514"/>
      <c r="L8" s="514"/>
      <c r="M8" s="514"/>
      <c r="N8" s="514"/>
      <c r="O8" s="514"/>
      <c r="P8" s="514"/>
      <c r="Q8" s="514"/>
      <c r="R8" s="514"/>
      <c r="S8" s="549"/>
      <c r="T8" s="549"/>
      <c r="U8" s="549"/>
    </row>
    <row r="9" spans="1:41" ht="22.9" customHeight="1" thickBot="1">
      <c r="C9" s="510" t="s">
        <v>748</v>
      </c>
      <c r="D9" s="1238" t="str">
        <f ca="1">'0_Загальне'!C34</f>
        <v>11.12.2023</v>
      </c>
      <c r="E9" s="1239"/>
    </row>
    <row r="12" spans="1:41" s="276" customFormat="1" ht="28.15" customHeight="1">
      <c r="B12" s="1242" t="s">
        <v>272</v>
      </c>
      <c r="C12" s="1242" t="s">
        <v>700</v>
      </c>
      <c r="D12" s="1248" t="s">
        <v>771</v>
      </c>
      <c r="E12" s="1242" t="s">
        <v>286</v>
      </c>
      <c r="F12" s="1242"/>
      <c r="G12" s="1242"/>
      <c r="H12" s="1242"/>
      <c r="I12" s="519"/>
      <c r="J12" s="1237" t="s">
        <v>673</v>
      </c>
      <c r="K12" s="1237"/>
      <c r="L12" s="1237"/>
      <c r="M12" s="1237"/>
      <c r="N12" s="1237"/>
      <c r="O12" s="1237"/>
      <c r="P12" s="1237"/>
      <c r="Q12" s="1237"/>
      <c r="R12" s="1237" t="s">
        <v>674</v>
      </c>
      <c r="S12" s="1237"/>
      <c r="T12" s="1237"/>
      <c r="U12" s="1237"/>
    </row>
    <row r="13" spans="1:41" s="276" customFormat="1" ht="28.15" customHeight="1">
      <c r="B13" s="1242"/>
      <c r="C13" s="1242"/>
      <c r="D13" s="1248"/>
      <c r="E13" s="518" t="s">
        <v>409</v>
      </c>
      <c r="F13" s="521" t="s">
        <v>410</v>
      </c>
      <c r="G13" s="521" t="s">
        <v>411</v>
      </c>
      <c r="H13" s="521" t="s">
        <v>412</v>
      </c>
      <c r="I13" s="272"/>
      <c r="J13" s="1236" t="s">
        <v>409</v>
      </c>
      <c r="K13" s="1236"/>
      <c r="L13" s="1237" t="s">
        <v>410</v>
      </c>
      <c r="M13" s="1237"/>
      <c r="N13" s="1237" t="s">
        <v>411</v>
      </c>
      <c r="O13" s="1237"/>
      <c r="P13" s="1237" t="s">
        <v>412</v>
      </c>
      <c r="Q13" s="1237"/>
      <c r="R13" s="520" t="s">
        <v>409</v>
      </c>
      <c r="S13" s="520" t="s">
        <v>410</v>
      </c>
      <c r="T13" s="520" t="s">
        <v>411</v>
      </c>
      <c r="U13" s="520" t="s">
        <v>412</v>
      </c>
    </row>
    <row r="14" spans="1:41" s="67" customFormat="1" ht="26.45" customHeight="1">
      <c r="B14" s="1247" t="s">
        <v>274</v>
      </c>
      <c r="C14" s="1247"/>
      <c r="D14" s="1247"/>
      <c r="E14" s="1247"/>
      <c r="F14" s="1247"/>
      <c r="G14" s="1247"/>
      <c r="H14" s="1247"/>
      <c r="I14" s="522"/>
      <c r="J14" s="516"/>
      <c r="K14" s="516"/>
      <c r="L14" s="516"/>
      <c r="M14" s="516"/>
      <c r="N14" s="516"/>
      <c r="O14" s="516"/>
      <c r="P14" s="516"/>
      <c r="Q14" s="516"/>
      <c r="R14" s="516"/>
      <c r="S14" s="165"/>
      <c r="T14" s="165"/>
      <c r="U14" s="165"/>
    </row>
    <row r="15" spans="1:41" s="273" customFormat="1" ht="30" customHeight="1">
      <c r="B15" s="523">
        <v>1</v>
      </c>
      <c r="C15" s="524" t="s">
        <v>649</v>
      </c>
      <c r="D15" s="525"/>
      <c r="E15" s="525"/>
      <c r="F15" s="525"/>
      <c r="G15" s="525"/>
      <c r="H15" s="525"/>
      <c r="J15" s="516"/>
      <c r="K15" s="516"/>
      <c r="L15" s="516"/>
      <c r="M15" s="516"/>
      <c r="N15" s="516"/>
      <c r="O15" s="516"/>
      <c r="P15" s="516"/>
      <c r="Q15" s="516"/>
      <c r="R15" s="516"/>
      <c r="S15" s="274"/>
      <c r="T15" s="274"/>
      <c r="U15" s="274"/>
    </row>
    <row r="16" spans="1:41" s="273" customFormat="1" ht="27.6" customHeight="1">
      <c r="B16" s="523"/>
      <c r="C16" s="526" t="s">
        <v>476</v>
      </c>
      <c r="D16" s="551">
        <v>900</v>
      </c>
      <c r="E16" s="528" t="e">
        <f>J16/R16</f>
        <v>#VALUE!</v>
      </c>
      <c r="F16" s="528" t="e">
        <f>L16/S16</f>
        <v>#VALUE!</v>
      </c>
      <c r="G16" s="528" t="e">
        <f>N16/T16</f>
        <v>#VALUE!</v>
      </c>
      <c r="H16" s="528" t="e">
        <f>P16/U16</f>
        <v>#VALUE!</v>
      </c>
      <c r="I16" s="529"/>
      <c r="J16" s="573" t="e">
        <f>#VALUE!</f>
        <v>#VALUE!</v>
      </c>
      <c r="K16" s="573" t="e">
        <f>#VALUE!</f>
        <v>#VALUE!</v>
      </c>
      <c r="L16" s="573" t="e">
        <f>#VALUE!</f>
        <v>#VALUE!</v>
      </c>
      <c r="M16" s="573"/>
      <c r="N16" s="573" t="e">
        <f>#VALUE!</f>
        <v>#VALUE!</v>
      </c>
      <c r="O16" s="573"/>
      <c r="P16" s="573" t="e">
        <f>#VALUE!</f>
        <v>#VALUE!</v>
      </c>
      <c r="Q16" s="573"/>
      <c r="R16" s="573">
        <v>2.5</v>
      </c>
      <c r="S16" s="573">
        <v>2.5</v>
      </c>
      <c r="T16" s="573">
        <v>2.5</v>
      </c>
      <c r="U16" s="573">
        <v>2.5</v>
      </c>
      <c r="V16" s="574"/>
      <c r="W16" s="574"/>
    </row>
    <row r="17" spans="2:23" s="273" customFormat="1" ht="27.6" customHeight="1">
      <c r="B17" s="523"/>
      <c r="C17" s="526" t="s">
        <v>477</v>
      </c>
      <c r="D17" s="552">
        <v>1800</v>
      </c>
      <c r="E17" s="528" t="e">
        <f>(J17+K17)/R17</f>
        <v>#VALUE!</v>
      </c>
      <c r="F17" s="528" t="e">
        <f>(L17+M17)/S17</f>
        <v>#VALUE!</v>
      </c>
      <c r="G17" s="528" t="e">
        <f>(N17+O17)/T17</f>
        <v>#VALUE!</v>
      </c>
      <c r="H17" s="528" t="e">
        <f>(P17+Q17)/U17</f>
        <v>#VALUE!</v>
      </c>
      <c r="I17" s="529"/>
      <c r="J17" s="573" t="e">
        <f>#VALUE!</f>
        <v>#VALUE!</v>
      </c>
      <c r="K17" s="573" t="e">
        <f>#VALUE!</f>
        <v>#VALUE!</v>
      </c>
      <c r="L17" s="573" t="e">
        <f>#VALUE!</f>
        <v>#VALUE!</v>
      </c>
      <c r="M17" s="573" t="e">
        <f>#VALUE!</f>
        <v>#VALUE!</v>
      </c>
      <c r="N17" s="573" t="e">
        <f>#VALUE!</f>
        <v>#VALUE!</v>
      </c>
      <c r="O17" s="573" t="e">
        <f>#VALUE!</f>
        <v>#VALUE!</v>
      </c>
      <c r="P17" s="573" t="e">
        <f>#VALUE!</f>
        <v>#VALUE!</v>
      </c>
      <c r="Q17" s="573" t="e">
        <f>#VALUE!</f>
        <v>#VALUE!</v>
      </c>
      <c r="R17" s="573">
        <f ca="1">'02_Видатки'!I30</f>
        <v>14.5</v>
      </c>
      <c r="S17" s="573">
        <f ca="1">'02_Видатки'!J30</f>
        <v>14.5</v>
      </c>
      <c r="T17" s="573">
        <f ca="1">'02_Видатки'!K30</f>
        <v>14.5</v>
      </c>
      <c r="U17" s="573">
        <f ca="1">'02_Видатки'!L30</f>
        <v>14.5</v>
      </c>
      <c r="V17" s="574"/>
      <c r="W17" s="574"/>
    </row>
    <row r="18" spans="2:23" s="273" customFormat="1" ht="28.15" customHeight="1">
      <c r="B18" s="523"/>
      <c r="C18" s="526" t="s">
        <v>478</v>
      </c>
      <c r="D18" s="551">
        <v>2000</v>
      </c>
      <c r="E18" s="528" t="e">
        <f>(J18+K18)/R18</f>
        <v>#VALUE!</v>
      </c>
      <c r="F18" s="528" t="e">
        <f>(L18+M18)/S18</f>
        <v>#VALUE!</v>
      </c>
      <c r="G18" s="528" t="e">
        <f>(N18+O18)/T18</f>
        <v>#VALUE!</v>
      </c>
      <c r="H18" s="528" t="e">
        <f>(P18+Q18)/U18</f>
        <v>#VALUE!</v>
      </c>
      <c r="I18" s="529"/>
      <c r="J18" s="573" t="e">
        <f>#VALUE!</f>
        <v>#VALUE!</v>
      </c>
      <c r="K18" s="573" t="e">
        <f>#VALUE!</f>
        <v>#VALUE!</v>
      </c>
      <c r="L18" s="573" t="e">
        <f>#VALUE!</f>
        <v>#VALUE!</v>
      </c>
      <c r="M18" s="573" t="e">
        <f>#VALUE!</f>
        <v>#VALUE!</v>
      </c>
      <c r="N18" s="573" t="e">
        <f>#VALUE!</f>
        <v>#VALUE!</v>
      </c>
      <c r="O18" s="573" t="e">
        <f>#VALUE!</f>
        <v>#VALUE!</v>
      </c>
      <c r="P18" s="573" t="e">
        <f>#VALUE!</f>
        <v>#VALUE!</v>
      </c>
      <c r="Q18" s="573" t="e">
        <f>#VALUE!</f>
        <v>#VALUE!</v>
      </c>
      <c r="R18" s="719">
        <f ca="1">'02_Видатки'!I31+'02_Видатки'!I32</f>
        <v>2</v>
      </c>
      <c r="S18" s="719">
        <f ca="1">'02_Видатки'!J31+'02_Видатки'!J32</f>
        <v>2</v>
      </c>
      <c r="T18" s="719">
        <f ca="1">'02_Видатки'!K31+'02_Видатки'!K32</f>
        <v>2</v>
      </c>
      <c r="U18" s="719">
        <f ca="1">'02_Видатки'!L31+'02_Видатки'!L32</f>
        <v>2</v>
      </c>
      <c r="V18" s="574"/>
      <c r="W18" s="574"/>
    </row>
    <row r="19" spans="2:23" s="553" customFormat="1" ht="27.6" customHeight="1">
      <c r="B19" s="527"/>
      <c r="C19" s="554" t="s">
        <v>18</v>
      </c>
      <c r="D19" s="551" t="s">
        <v>425</v>
      </c>
      <c r="E19" s="555" t="e">
        <f>(E16*E16)/(E16+E17+E18)+(E17*E17)/(E16+E17+E18)+(E18*E18)/(E16+E17+E18)</f>
        <v>#VALUE!</v>
      </c>
      <c r="F19" s="555" t="e">
        <f>(F16*F16)/(F16+F17+F18)+(F17*F17)/(F16+F17+F18)+(F18*F18)/(F16+F17+F18)</f>
        <v>#VALUE!</v>
      </c>
      <c r="G19" s="555" t="e">
        <f>(G16*G16)/(G16+G17+G18)+(G17*G17)/(G16+G17+G18)+(G18*G18)/(G16+G17+G18)</f>
        <v>#VALUE!</v>
      </c>
      <c r="H19" s="555" t="e">
        <f>(H16*H16)/(H16+H17+H18)+(H17*H17)/(H16+H17+H18)+(H18*H18)/(H16+H17+H18)</f>
        <v>#VALUE!</v>
      </c>
      <c r="I19" s="556"/>
      <c r="J19" s="575"/>
      <c r="K19" s="575"/>
      <c r="L19" s="575"/>
      <c r="M19" s="575"/>
      <c r="N19" s="575"/>
      <c r="O19" s="575"/>
      <c r="P19" s="575"/>
      <c r="Q19" s="575"/>
      <c r="R19" s="576"/>
      <c r="S19" s="576"/>
      <c r="T19" s="576"/>
      <c r="U19" s="576"/>
      <c r="V19" s="577"/>
      <c r="W19" s="577"/>
    </row>
    <row r="20" spans="2:23" s="273" customFormat="1" ht="36.6" customHeight="1">
      <c r="B20" s="523">
        <v>2</v>
      </c>
      <c r="C20" s="524" t="s">
        <v>650</v>
      </c>
      <c r="D20" s="551"/>
      <c r="E20" s="562"/>
      <c r="F20" s="562"/>
      <c r="G20" s="562"/>
      <c r="H20" s="562"/>
      <c r="I20" s="275"/>
      <c r="J20" s="1230" t="s">
        <v>676</v>
      </c>
      <c r="K20" s="1230"/>
      <c r="L20" s="1230"/>
      <c r="M20" s="1230"/>
      <c r="N20" s="1230"/>
      <c r="O20" s="1230"/>
      <c r="P20" s="1230"/>
      <c r="Q20" s="1230"/>
      <c r="R20" s="578"/>
      <c r="S20" s="575"/>
      <c r="T20" s="575"/>
      <c r="U20" s="575"/>
      <c r="V20" s="574"/>
      <c r="W20" s="574"/>
    </row>
    <row r="21" spans="2:23" s="273" customFormat="1" ht="27.6" customHeight="1">
      <c r="B21" s="523"/>
      <c r="C21" s="526" t="s">
        <v>652</v>
      </c>
      <c r="D21" s="720">
        <v>450</v>
      </c>
      <c r="E21" s="528" t="e">
        <f>J16/J21</f>
        <v>#VALUE!</v>
      </c>
      <c r="F21" s="528" t="e">
        <f>L16/L21</f>
        <v>#VALUE!</v>
      </c>
      <c r="G21" s="528" t="e">
        <f>N16/N21</f>
        <v>#VALUE!</v>
      </c>
      <c r="H21" s="528" t="e">
        <f>P16/P21</f>
        <v>#VALUE!</v>
      </c>
      <c r="I21" s="529"/>
      <c r="J21" s="573" t="e">
        <f>#VALUE!</f>
        <v>#VALUE!</v>
      </c>
      <c r="K21" s="579"/>
      <c r="L21" s="573" t="e">
        <f>#VALUE!</f>
        <v>#VALUE!</v>
      </c>
      <c r="M21" s="579"/>
      <c r="N21" s="573" t="e">
        <f>#VALUE!</f>
        <v>#VALUE!</v>
      </c>
      <c r="O21" s="579"/>
      <c r="P21" s="573" t="e">
        <f>#VALUE!</f>
        <v>#VALUE!</v>
      </c>
      <c r="Q21" s="573"/>
      <c r="R21" s="578"/>
      <c r="S21" s="578"/>
      <c r="T21" s="578"/>
      <c r="U21" s="575"/>
      <c r="V21" s="574"/>
      <c r="W21" s="574"/>
    </row>
    <row r="22" spans="2:23" s="273" customFormat="1" ht="27.6" customHeight="1">
      <c r="B22" s="523"/>
      <c r="C22" s="526" t="s">
        <v>653</v>
      </c>
      <c r="D22" s="720">
        <v>900</v>
      </c>
      <c r="E22" s="528" t="e">
        <f>(J17+K17)/(J22+K22)</f>
        <v>#VALUE!</v>
      </c>
      <c r="F22" s="528" t="e">
        <f>(L17+M17)/(L22+M22)</f>
        <v>#VALUE!</v>
      </c>
      <c r="G22" s="528" t="e">
        <f>(N17+O17)/(N22+O22)</f>
        <v>#VALUE!</v>
      </c>
      <c r="H22" s="528" t="e">
        <f>(Q17+P17)/(P22+Q22)</f>
        <v>#VALUE!</v>
      </c>
      <c r="I22" s="529"/>
      <c r="J22" s="573" t="e">
        <f>#VALUE!</f>
        <v>#VALUE!</v>
      </c>
      <c r="K22" s="573" t="e">
        <f>#VALUE!</f>
        <v>#VALUE!</v>
      </c>
      <c r="L22" s="573" t="e">
        <f>#VALUE!</f>
        <v>#VALUE!</v>
      </c>
      <c r="M22" s="573" t="e">
        <f>#VALUE!</f>
        <v>#VALUE!</v>
      </c>
      <c r="N22" s="573" t="e">
        <f>#VALUE!</f>
        <v>#VALUE!</v>
      </c>
      <c r="O22" s="573" t="e">
        <f>#VALUE!</f>
        <v>#VALUE!</v>
      </c>
      <c r="P22" s="573" t="e">
        <f>#VALUE!</f>
        <v>#VALUE!</v>
      </c>
      <c r="Q22" s="573" t="e">
        <f>#VALUE!</f>
        <v>#VALUE!</v>
      </c>
      <c r="R22" s="721" t="s">
        <v>190</v>
      </c>
      <c r="S22" s="575"/>
      <c r="T22" s="575"/>
      <c r="U22" s="575"/>
      <c r="V22" s="574"/>
      <c r="W22" s="574"/>
    </row>
    <row r="23" spans="2:23" s="273" customFormat="1" ht="27.6" customHeight="1">
      <c r="B23" s="523"/>
      <c r="C23" s="526" t="s">
        <v>654</v>
      </c>
      <c r="D23" s="720">
        <v>1000</v>
      </c>
      <c r="E23" s="528" t="e">
        <f>(J18+K18)/(J23+K23)</f>
        <v>#VALUE!</v>
      </c>
      <c r="F23" s="528" t="e">
        <f>(L18+M18)/(L23+M23)</f>
        <v>#VALUE!</v>
      </c>
      <c r="G23" s="528" t="e">
        <f>(N18+O18)/(N23+O23)</f>
        <v>#VALUE!</v>
      </c>
      <c r="H23" s="528" t="e">
        <f>(P18+Q18)/(P23+Q23)</f>
        <v>#VALUE!</v>
      </c>
      <c r="I23" s="529"/>
      <c r="J23" s="573" t="e">
        <f>#VALUE!</f>
        <v>#VALUE!</v>
      </c>
      <c r="K23" s="573" t="e">
        <f>#VALUE!</f>
        <v>#VALUE!</v>
      </c>
      <c r="L23" s="573" t="e">
        <f>#VALUE!</f>
        <v>#VALUE!</v>
      </c>
      <c r="M23" s="573" t="e">
        <f>#VALUE!</f>
        <v>#VALUE!</v>
      </c>
      <c r="N23" s="573" t="e">
        <f>#VALUE!</f>
        <v>#VALUE!</v>
      </c>
      <c r="O23" s="573" t="e">
        <f>#VALUE!</f>
        <v>#VALUE!</v>
      </c>
      <c r="P23" s="573" t="e">
        <f>#VALUE!</f>
        <v>#VALUE!</v>
      </c>
      <c r="Q23" s="573" t="e">
        <f>#VALUE!</f>
        <v>#VALUE!</v>
      </c>
      <c r="R23" s="578"/>
      <c r="S23" s="575"/>
      <c r="T23" s="575"/>
      <c r="U23" s="575"/>
      <c r="V23" s="574"/>
      <c r="W23" s="574"/>
    </row>
    <row r="24" spans="2:23" s="273" customFormat="1" ht="51.6" customHeight="1">
      <c r="B24" s="523">
        <v>3</v>
      </c>
      <c r="C24" s="530" t="s">
        <v>651</v>
      </c>
      <c r="D24" s="525"/>
      <c r="E24" s="531"/>
      <c r="F24" s="531"/>
      <c r="G24" s="531"/>
      <c r="H24" s="531"/>
      <c r="I24" s="75"/>
      <c r="J24" s="1230" t="s">
        <v>772</v>
      </c>
      <c r="K24" s="1230"/>
      <c r="L24" s="1230"/>
      <c r="M24" s="1230"/>
      <c r="N24" s="1230"/>
      <c r="O24" s="1230"/>
      <c r="P24" s="1230"/>
      <c r="Q24" s="1230"/>
      <c r="R24" s="578"/>
      <c r="S24" s="575"/>
      <c r="T24" s="575"/>
      <c r="U24" s="575"/>
      <c r="V24" s="574"/>
      <c r="W24" s="574"/>
    </row>
    <row r="25" spans="2:23" s="273" customFormat="1" ht="31.9" customHeight="1">
      <c r="B25" s="523"/>
      <c r="C25" s="526" t="s">
        <v>655</v>
      </c>
      <c r="D25" s="1231" t="s">
        <v>657</v>
      </c>
      <c r="E25" s="531" t="e">
        <f>(J16+J17+J18+K17+K18)/J25</f>
        <v>#VALUE!</v>
      </c>
      <c r="F25" s="531" t="e">
        <f>(L16+L17+L18+M17+M18)/L25</f>
        <v>#VALUE!</v>
      </c>
      <c r="G25" s="531" t="e">
        <f>(N16+N17+N18+O17+O18)/N25</f>
        <v>#VALUE!</v>
      </c>
      <c r="H25" s="531" t="e">
        <f>(P16+P17+P18+Q17+Q18)/P25</f>
        <v>#VALUE!</v>
      </c>
      <c r="I25" s="75"/>
      <c r="J25" s="573">
        <f ca="1">'02_Видатки'!I101+'02_Видатки'!I28</f>
        <v>15</v>
      </c>
      <c r="K25" s="579"/>
      <c r="L25" s="573">
        <f ca="1">'02_Видатки'!J101+'02_Видатки'!J28</f>
        <v>15</v>
      </c>
      <c r="M25" s="579"/>
      <c r="N25" s="573">
        <f ca="1">'02_Видатки'!K101+'02_Видатки'!K28</f>
        <v>15</v>
      </c>
      <c r="O25" s="579"/>
      <c r="P25" s="573">
        <f ca="1">'02_Видатки'!L101+'02_Видатки'!L28</f>
        <v>15</v>
      </c>
      <c r="Q25" s="579"/>
      <c r="R25" s="578"/>
      <c r="S25" s="575"/>
      <c r="T25" s="575"/>
      <c r="U25" s="575"/>
      <c r="V25" s="574"/>
      <c r="W25" s="574"/>
    </row>
    <row r="26" spans="2:23" s="273" customFormat="1" ht="31.9" customHeight="1">
      <c r="B26" s="523"/>
      <c r="C26" s="526" t="s">
        <v>656</v>
      </c>
      <c r="D26" s="1231"/>
      <c r="E26" s="531" t="e">
        <f>(J16+J17+J18+K17+K18)/J26</f>
        <v>#VALUE!</v>
      </c>
      <c r="F26" s="531" t="e">
        <f>(L16+L17+L18+M17+M18)/L26</f>
        <v>#VALUE!</v>
      </c>
      <c r="G26" s="531" t="e">
        <f>(N16+N17+N18+O17+O18)/N26</f>
        <v>#VALUE!</v>
      </c>
      <c r="H26" s="531" t="e">
        <f>(P16+P17+P18+Q17+Q18)/P26</f>
        <v>#VALUE!</v>
      </c>
      <c r="I26" s="75"/>
      <c r="J26" s="573">
        <f ca="1">'02_Видатки'!I127</f>
        <v>12.25</v>
      </c>
      <c r="K26" s="579"/>
      <c r="L26" s="573">
        <f ca="1">'02_Видатки'!J127</f>
        <v>12.25</v>
      </c>
      <c r="M26" s="579"/>
      <c r="N26" s="573">
        <f ca="1">'02_Видатки'!K127</f>
        <v>12.25</v>
      </c>
      <c r="O26" s="579"/>
      <c r="P26" s="573">
        <f ca="1">'02_Видатки'!L127</f>
        <v>12.25</v>
      </c>
      <c r="Q26" s="579"/>
      <c r="R26" s="578"/>
      <c r="S26" s="575"/>
      <c r="T26" s="575"/>
      <c r="U26" s="575"/>
      <c r="V26" s="574"/>
      <c r="W26" s="574"/>
    </row>
    <row r="27" spans="2:23" s="273" customFormat="1" ht="40.9" customHeight="1">
      <c r="B27" s="523">
        <v>4</v>
      </c>
      <c r="C27" s="524" t="s">
        <v>766</v>
      </c>
      <c r="D27" s="527" t="s">
        <v>275</v>
      </c>
      <c r="E27" s="563" t="e">
        <f ca="1">'05_Фін_план'!E67/'0_Загальне'!$C$23</f>
        <v>#DIV/0!</v>
      </c>
      <c r="F27" s="563" t="e">
        <f ca="1">'05_Фін_план'!F67/'0_Загальне'!$C$23</f>
        <v>#DIV/0!</v>
      </c>
      <c r="G27" s="563" t="e">
        <f ca="1">'05_Фін_план'!G67/'0_Загальне'!$C$23</f>
        <v>#DIV/0!</v>
      </c>
      <c r="H27" s="563" t="e">
        <f ca="1">'05_Фін_план'!H67/'0_Загальне'!$C$23</f>
        <v>#DIV/0!</v>
      </c>
      <c r="I27" s="532"/>
      <c r="J27" s="516"/>
      <c r="K27" s="516"/>
      <c r="L27" s="516"/>
      <c r="M27" s="516"/>
      <c r="N27" s="516"/>
      <c r="O27" s="516"/>
      <c r="P27" s="516"/>
      <c r="Q27" s="516"/>
      <c r="R27" s="516"/>
      <c r="S27" s="274"/>
      <c r="T27" s="274"/>
      <c r="U27" s="274"/>
    </row>
    <row r="28" spans="2:23" s="273" customFormat="1" ht="56.45" customHeight="1">
      <c r="B28" s="523">
        <v>5</v>
      </c>
      <c r="C28" s="524" t="s">
        <v>280</v>
      </c>
      <c r="D28" s="527" t="s">
        <v>658</v>
      </c>
      <c r="E28" s="564">
        <f ca="1">'05_Фін_план'!E85/'05_Фін_план'!E86</f>
        <v>1.055525864443148</v>
      </c>
      <c r="F28" s="564">
        <f ca="1">'05_Фін_план'!F85/'05_Фін_план'!F86</f>
        <v>1.1234697232751651</v>
      </c>
      <c r="G28" s="564">
        <f ca="1">'05_Фін_план'!G85/'05_Фін_план'!G86</f>
        <v>1.1598536951088583</v>
      </c>
      <c r="H28" s="564">
        <f ca="1">'05_Фін_план'!H85/'05_Фін_план'!H86</f>
        <v>1.1047865659931244</v>
      </c>
      <c r="I28" s="533"/>
      <c r="J28" s="516"/>
      <c r="K28" s="516"/>
      <c r="L28" s="516"/>
      <c r="M28" s="516"/>
      <c r="N28" s="516"/>
      <c r="O28" s="516"/>
      <c r="P28" s="516"/>
      <c r="Q28" s="516"/>
      <c r="R28" s="516"/>
      <c r="S28" s="274"/>
      <c r="T28" s="274"/>
      <c r="U28" s="274"/>
    </row>
    <row r="29" spans="2:23" s="67" customFormat="1" ht="26.45" customHeight="1">
      <c r="B29" s="1247" t="s">
        <v>276</v>
      </c>
      <c r="C29" s="1247"/>
      <c r="D29" s="1247"/>
      <c r="E29" s="1247"/>
      <c r="F29" s="1247"/>
      <c r="G29" s="1247"/>
      <c r="H29" s="1247"/>
      <c r="I29" s="522"/>
      <c r="J29" s="516"/>
      <c r="K29" s="516"/>
      <c r="L29" s="516"/>
      <c r="M29" s="516"/>
      <c r="N29" s="516"/>
      <c r="O29" s="516"/>
      <c r="P29" s="516"/>
      <c r="Q29" s="516"/>
      <c r="R29" s="516"/>
      <c r="S29" s="165"/>
      <c r="T29" s="165"/>
      <c r="U29" s="165"/>
    </row>
    <row r="30" spans="2:23" s="273" customFormat="1" ht="61.15" customHeight="1">
      <c r="B30" s="523">
        <v>1</v>
      </c>
      <c r="C30" s="524" t="s">
        <v>281</v>
      </c>
      <c r="D30" s="527" t="s">
        <v>277</v>
      </c>
      <c r="E30" s="565">
        <f ca="1">('01_Доходи'!E24+'01_Доходи'!E25)/'05_Фін_план'!E85</f>
        <v>0.84444790133316971</v>
      </c>
      <c r="F30" s="565">
        <f ca="1">('01_Доходи'!F24)/'05_Фін_план'!F85</f>
        <v>0.87701471120978935</v>
      </c>
      <c r="G30" s="565">
        <f ca="1">('01_Доходи'!G24)/'05_Фін_план'!G85</f>
        <v>0.91234195332993362</v>
      </c>
      <c r="H30" s="565">
        <f ca="1">('01_Доходи'!H24)/'05_Фін_план'!H85</f>
        <v>0.85744373259370665</v>
      </c>
      <c r="I30" s="535"/>
      <c r="J30" s="516"/>
      <c r="K30" s="516"/>
      <c r="L30" s="516"/>
      <c r="M30" s="516"/>
      <c r="N30" s="516"/>
      <c r="O30" s="516"/>
      <c r="P30" s="516"/>
      <c r="Q30" s="516"/>
      <c r="R30" s="516"/>
      <c r="S30" s="274"/>
      <c r="T30" s="274"/>
      <c r="U30" s="274"/>
    </row>
    <row r="31" spans="2:23" s="273" customFormat="1" ht="60" customHeight="1">
      <c r="B31" s="523">
        <v>2</v>
      </c>
      <c r="C31" s="524" t="s">
        <v>111</v>
      </c>
      <c r="D31" s="527" t="s">
        <v>677</v>
      </c>
      <c r="E31" s="566">
        <f ca="1">'01_Доходи'!D1357/'05_Фін_план'!E85</f>
        <v>0.11701795806608851</v>
      </c>
      <c r="F31" s="566">
        <f ca="1">'01_Доходи'!E1357/'05_Фін_план'!F85</f>
        <v>8.4895247859201994E-2</v>
      </c>
      <c r="G31" s="566">
        <f ca="1">'01_Доходи'!F1357/'05_Фін_план'!G85</f>
        <v>4.8033691569481646E-2</v>
      </c>
      <c r="H31" s="566">
        <f ca="1">'01_Доходи'!G1357/'05_Фін_план'!H85</f>
        <v>0.10391836962302288</v>
      </c>
      <c r="I31" s="536"/>
      <c r="J31" s="516"/>
      <c r="K31" s="516"/>
      <c r="L31" s="516"/>
      <c r="M31" s="516"/>
      <c r="N31" s="516"/>
      <c r="O31" s="516"/>
      <c r="P31" s="516"/>
      <c r="Q31" s="516"/>
      <c r="R31" s="516"/>
      <c r="S31" s="274"/>
      <c r="T31" s="274"/>
      <c r="U31" s="274"/>
    </row>
    <row r="32" spans="2:23" s="273" customFormat="1" ht="63" customHeight="1">
      <c r="B32" s="523">
        <v>3</v>
      </c>
      <c r="C32" s="524" t="s">
        <v>499</v>
      </c>
      <c r="D32" s="527" t="s">
        <v>678</v>
      </c>
      <c r="E32" s="531" t="e">
        <f ca="1">('01_Доходи'!E24)/('01_Доходи'!K33+'01_Доходи'!K35)</f>
        <v>#VALUE!</v>
      </c>
      <c r="F32" s="531" t="e">
        <f ca="1">('01_Доходи'!F24)/('01_Доходи'!Q33+'01_Доходи'!Q35)</f>
        <v>#VALUE!</v>
      </c>
      <c r="G32" s="531" t="e">
        <f ca="1">('01_Доходи'!G24)/('01_Доходи'!W33+'01_Доходи'!W35)</f>
        <v>#VALUE!</v>
      </c>
      <c r="H32" s="531" t="e">
        <f ca="1">('01_Доходи'!H24)/('01_Доходи'!AC33+'01_Доходи'!AC35)</f>
        <v>#VALUE!</v>
      </c>
      <c r="I32" s="537"/>
      <c r="J32" s="516"/>
      <c r="K32" s="516"/>
      <c r="L32" s="516"/>
      <c r="M32" s="516"/>
      <c r="N32" s="516"/>
      <c r="O32" s="516"/>
      <c r="P32" s="516"/>
      <c r="Q32" s="516"/>
      <c r="R32" s="516"/>
      <c r="S32" s="274"/>
      <c r="T32" s="274"/>
      <c r="U32" s="274"/>
    </row>
    <row r="33" spans="2:21" s="273" customFormat="1" ht="30.6" customHeight="1">
      <c r="B33" s="523">
        <v>4</v>
      </c>
      <c r="C33" s="1249" t="s">
        <v>82</v>
      </c>
      <c r="D33" s="1250"/>
      <c r="E33" s="1250"/>
      <c r="F33" s="1250"/>
      <c r="G33" s="1250"/>
      <c r="H33" s="1251"/>
      <c r="I33" s="253"/>
      <c r="J33" s="538"/>
      <c r="K33" s="516"/>
      <c r="L33" s="516"/>
      <c r="M33" s="516"/>
      <c r="N33" s="516"/>
      <c r="O33" s="516"/>
      <c r="P33" s="516"/>
      <c r="Q33" s="516"/>
      <c r="R33" s="516"/>
      <c r="S33" s="274"/>
      <c r="T33" s="274"/>
      <c r="U33" s="274"/>
    </row>
    <row r="34" spans="2:21" s="273" customFormat="1" ht="33" customHeight="1">
      <c r="B34" s="523"/>
      <c r="C34" s="526" t="s">
        <v>501</v>
      </c>
      <c r="D34" s="527" t="s">
        <v>679</v>
      </c>
      <c r="E34" s="531">
        <f ca="1">('01_Доходи'!E24)/'04_Фін_стійкість'!R16</f>
        <v>3504969.7549665077</v>
      </c>
      <c r="F34" s="531">
        <f ca="1">('01_Доходи'!F24)/'04_Фін_стійкість'!S16</f>
        <v>3504969.7549665077</v>
      </c>
      <c r="G34" s="531">
        <f ca="1">('01_Доходи'!G24)/'04_Фін_стійкість'!T16</f>
        <v>3504969.7549665077</v>
      </c>
      <c r="H34" s="531">
        <f ca="1">('01_Доходи'!H24)/'04_Фін_стійкість'!U16</f>
        <v>3504969.7549665077</v>
      </c>
      <c r="I34" s="75"/>
      <c r="J34" s="516"/>
      <c r="K34" s="516"/>
      <c r="L34" s="516"/>
      <c r="M34" s="516"/>
      <c r="N34" s="516"/>
      <c r="O34" s="516"/>
      <c r="P34" s="516"/>
      <c r="Q34" s="516"/>
      <c r="R34" s="516"/>
      <c r="S34" s="274"/>
      <c r="T34" s="274"/>
      <c r="U34" s="274"/>
    </row>
    <row r="35" spans="2:21" s="273" customFormat="1" ht="33" customHeight="1">
      <c r="B35" s="523"/>
      <c r="C35" s="526" t="s">
        <v>502</v>
      </c>
      <c r="D35" s="527" t="s">
        <v>680</v>
      </c>
      <c r="E35" s="531">
        <f ca="1">('01_Доходи'!E24)/'04_Фін_стійкість'!R17</f>
        <v>604305.13016663934</v>
      </c>
      <c r="F35" s="531">
        <f ca="1">('01_Доходи'!F24)/'04_Фін_стійкість'!S17</f>
        <v>604305.13016663934</v>
      </c>
      <c r="G35" s="531">
        <f ca="1">('01_Доходи'!G24)/'04_Фін_стійкість'!T17</f>
        <v>604305.13016663934</v>
      </c>
      <c r="H35" s="531">
        <f ca="1">('01_Доходи'!H24)/'04_Фін_стійкість'!U17</f>
        <v>604305.13016663934</v>
      </c>
      <c r="I35" s="75"/>
      <c r="J35" s="516"/>
      <c r="K35" s="516"/>
      <c r="L35" s="516"/>
      <c r="M35" s="516"/>
      <c r="N35" s="516"/>
      <c r="O35" s="516"/>
      <c r="P35" s="516"/>
      <c r="Q35" s="516"/>
      <c r="R35" s="516"/>
      <c r="S35" s="274"/>
      <c r="T35" s="274"/>
      <c r="U35" s="274"/>
    </row>
    <row r="36" spans="2:21" s="273" customFormat="1" ht="33" customHeight="1">
      <c r="B36" s="523"/>
      <c r="C36" s="526" t="s">
        <v>503</v>
      </c>
      <c r="D36" s="527" t="s">
        <v>679</v>
      </c>
      <c r="E36" s="531">
        <f ca="1">('01_Доходи'!E24)/'04_Фін_стійкість'!R18</f>
        <v>4381212.1937081348</v>
      </c>
      <c r="F36" s="531">
        <f ca="1">('01_Доходи'!F24)/'04_Фін_стійкість'!S18</f>
        <v>4381212.1937081348</v>
      </c>
      <c r="G36" s="531">
        <f ca="1">('01_Доходи'!G24)/'04_Фін_стійкість'!T18</f>
        <v>4381212.1937081348</v>
      </c>
      <c r="H36" s="531">
        <f ca="1">('01_Доходи'!H24)/'04_Фін_стійкість'!U18</f>
        <v>4381212.1937081348</v>
      </c>
      <c r="I36" s="75"/>
      <c r="J36" s="516"/>
      <c r="K36" s="516"/>
      <c r="L36" s="516"/>
      <c r="M36" s="516"/>
      <c r="N36" s="516"/>
      <c r="O36" s="516"/>
      <c r="P36" s="516"/>
      <c r="Q36" s="516"/>
      <c r="R36" s="516"/>
      <c r="S36" s="274"/>
      <c r="T36" s="274"/>
      <c r="U36" s="274"/>
    </row>
    <row r="37" spans="2:21" s="273" customFormat="1" ht="67.150000000000006" customHeight="1">
      <c r="B37" s="523">
        <v>5</v>
      </c>
      <c r="C37" s="524" t="s">
        <v>83</v>
      </c>
      <c r="D37" s="527" t="s">
        <v>779</v>
      </c>
      <c r="E37" s="531">
        <f ca="1">('01_Доходи'!E24+'01_Доходи'!E25)/(J25+J26)</f>
        <v>321556.85825380805</v>
      </c>
      <c r="F37" s="531">
        <f ca="1">('01_Доходи'!F24)/(L25+L26)</f>
        <v>321556.85825380805</v>
      </c>
      <c r="G37" s="531">
        <f ca="1">('01_Доходи'!G24)/(N25+N26)</f>
        <v>321556.85825380805</v>
      </c>
      <c r="H37" s="531">
        <f ca="1">('01_Доходи'!H24)/(P25+P26)</f>
        <v>321556.85825380805</v>
      </c>
      <c r="I37" s="75"/>
      <c r="J37" s="516"/>
      <c r="K37" s="516"/>
      <c r="L37" s="516"/>
      <c r="M37" s="516"/>
      <c r="N37" s="516"/>
      <c r="O37" s="516"/>
      <c r="P37" s="516"/>
      <c r="Q37" s="516"/>
      <c r="R37" s="516"/>
      <c r="S37" s="274"/>
      <c r="T37" s="274"/>
      <c r="U37" s="274"/>
    </row>
    <row r="38" spans="2:21" s="67" customFormat="1" ht="33" customHeight="1">
      <c r="B38" s="1247" t="s">
        <v>278</v>
      </c>
      <c r="C38" s="1247"/>
      <c r="D38" s="1247"/>
      <c r="E38" s="1247"/>
      <c r="F38" s="1247"/>
      <c r="G38" s="1247"/>
      <c r="H38" s="1247"/>
      <c r="I38" s="522"/>
      <c r="J38" s="516"/>
      <c r="K38" s="516"/>
      <c r="L38" s="516"/>
      <c r="M38" s="516"/>
      <c r="N38" s="516"/>
      <c r="O38" s="516"/>
      <c r="P38" s="516"/>
      <c r="Q38" s="516"/>
      <c r="R38" s="516"/>
      <c r="S38" s="165"/>
      <c r="T38" s="165"/>
      <c r="U38" s="165"/>
    </row>
    <row r="39" spans="2:21" s="273" customFormat="1" ht="69" customHeight="1">
      <c r="B39" s="523">
        <v>1</v>
      </c>
      <c r="C39" s="567" t="s">
        <v>22</v>
      </c>
      <c r="D39" s="527" t="s">
        <v>687</v>
      </c>
      <c r="E39" s="539">
        <f ca="1">('02_Видатки'!AQ101+'02_Видатки'!AQ28+'02_Видатки'!BB28+'02_Видатки'!BB101)/'05_Фін_план'!E86</f>
        <v>0.14566306213818889</v>
      </c>
      <c r="F39" s="539">
        <f ca="1">('02_Видатки'!AR101+'02_Видатки'!AR28+'02_Видатки'!BC28+'02_Видатки'!BC101)/'05_Фін_план'!F86</f>
        <v>0.16101856299017409</v>
      </c>
      <c r="G39" s="539">
        <f ca="1">('02_Видатки'!AS101+'02_Видатки'!AS28+'02_Видатки'!BD28+'02_Видатки'!BD101)/'05_Фін_план'!G86</f>
        <v>0.17292928727972079</v>
      </c>
      <c r="H39" s="539">
        <f ca="1">('02_Видатки'!AT101+'02_Видатки'!AT28+'02_Видатки'!BE28+'02_Видатки'!BE101)/'05_Фін_план'!H86</f>
        <v>0.15480739762590418</v>
      </c>
      <c r="I39" s="535"/>
      <c r="J39" s="516"/>
      <c r="K39" s="516"/>
      <c r="L39" s="516"/>
      <c r="M39" s="516"/>
      <c r="N39" s="516"/>
      <c r="O39" s="516"/>
      <c r="P39" s="516"/>
      <c r="Q39" s="516"/>
      <c r="R39" s="516"/>
      <c r="S39" s="274"/>
      <c r="T39" s="274"/>
      <c r="U39" s="274"/>
    </row>
    <row r="40" spans="2:21" s="273" customFormat="1" ht="54" customHeight="1">
      <c r="B40" s="523">
        <v>2</v>
      </c>
      <c r="C40" s="567" t="s">
        <v>23</v>
      </c>
      <c r="D40" s="527" t="s">
        <v>781</v>
      </c>
      <c r="E40" s="568">
        <f ca="1">('02_Видатки'!AQ44+'02_Видатки'!BB44)/'05_Фін_план'!E86</f>
        <v>0.24757519283450319</v>
      </c>
      <c r="F40" s="568">
        <f ca="1">('02_Видатки'!AR44+'02_Видатки'!BC44)/'05_Фін_план'!F86</f>
        <v>0.27367406120028032</v>
      </c>
      <c r="G40" s="568">
        <f ca="1">('02_Видатки'!AS44+'02_Видатки'!BD44)/'05_Фін_план'!G86</f>
        <v>0.29391803945734618</v>
      </c>
      <c r="H40" s="568">
        <f ca="1">('02_Видатки'!AT44+'02_Видатки'!BE44)/'05_Фін_план'!H86</f>
        <v>0.2631172979398233</v>
      </c>
      <c r="J40" s="516"/>
      <c r="K40" s="516"/>
      <c r="L40" s="516"/>
      <c r="M40" s="516"/>
      <c r="N40" s="516"/>
      <c r="O40" s="516"/>
      <c r="P40" s="516"/>
      <c r="Q40" s="516"/>
      <c r="R40" s="516"/>
      <c r="S40" s="274"/>
      <c r="T40" s="274"/>
      <c r="U40" s="274"/>
    </row>
    <row r="41" spans="2:21" s="273" customFormat="1" ht="40.5">
      <c r="B41" s="523">
        <v>3</v>
      </c>
      <c r="C41" s="567" t="s">
        <v>24</v>
      </c>
      <c r="D41" s="527" t="s">
        <v>780</v>
      </c>
      <c r="E41" s="534">
        <f ca="1">('05_Фін_план'!E57+'05_Фін_план'!E58+'05_Фін_план'!E60+'05_Фін_план'!E61)/'05_Фін_план'!E86</f>
        <v>0.76885648717626243</v>
      </c>
      <c r="F41" s="534">
        <f ca="1">('05_Фін_план'!F57+'05_Фін_план'!F58+'05_Фін_план'!F60+'05_Фін_план'!F61)/'05_Фін_план'!F86</f>
        <v>0.8499077589989642</v>
      </c>
      <c r="G41" s="534">
        <f ca="1">('05_Фін_план'!G57+'05_Фін_план'!G58+'05_Фін_план'!G60+'05_Фін_план'!G61)/'05_Фін_план'!G86</f>
        <v>0.91277639228567975</v>
      </c>
      <c r="H41" s="534">
        <f ca="1">('05_Фін_план'!H57+'05_Фін_план'!H58+'05_Фін_план'!H60+'05_Фін_план'!H61)/'05_Фін_план'!H86</f>
        <v>0.81712323069684079</v>
      </c>
      <c r="I41" s="535"/>
      <c r="J41" s="516"/>
      <c r="K41" s="516"/>
      <c r="L41" s="516"/>
      <c r="M41" s="516"/>
      <c r="N41" s="516"/>
      <c r="O41" s="516"/>
      <c r="P41" s="516"/>
      <c r="Q41" s="516"/>
      <c r="R41" s="516"/>
      <c r="S41" s="274"/>
      <c r="T41" s="274"/>
      <c r="U41" s="274"/>
    </row>
    <row r="42" spans="2:21" s="273" customFormat="1" ht="40.5">
      <c r="B42" s="523">
        <v>4</v>
      </c>
      <c r="C42" s="567" t="s">
        <v>25</v>
      </c>
      <c r="D42" s="527" t="s">
        <v>681</v>
      </c>
      <c r="E42" s="539">
        <f ca="1">('02_Видатки'!R28+'02_Видатки'!R44+'02_Видатки'!R60+'02_Видатки'!R73+'02_Видатки'!R101+'02_Видатки'!R127+'02_Видатки'!W28+'02_Видатки'!W44+'02_Видатки'!W60+'02_Видатки'!W73+'02_Видатки'!W101+'02_Видатки'!W127+'02_Видатки'!AB28+'02_Видатки'!AB44+'02_Видатки'!AB60+'02_Видатки'!AB73+'02_Видатки'!AB101+'02_Видатки'!AB127+'02_Видатки'!AG28+'02_Видатки'!AG44+'02_Видатки'!AG60+'02_Видатки'!AG73+'02_Видатки'!AG101+'02_Видатки'!AG127)/('05_Фін_план'!E57+'05_Фін_план'!E60+'05_Фін_план'!E58+'05_Фін_план'!E61)</f>
        <v>0.30458573815255591</v>
      </c>
      <c r="F42" s="539">
        <f ca="1">('02_Видатки'!S28+'02_Видатки'!S44+'02_Видатки'!S60+'02_Видатки'!S73+'02_Видатки'!S101+'02_Видатки'!S127+'02_Видатки'!X28+'02_Видатки'!X44+'02_Видатки'!X60+'02_Видатки'!X73+'02_Видатки'!X101+'02_Видатки'!X127+'02_Видатки'!AC28+'02_Видатки'!AC44+'02_Видатки'!AC60+'02_Видатки'!AC73+'02_Видатки'!AC101+'02_Видатки'!AC127+'02_Видатки'!AH28+'02_Видатки'!AH44+'02_Видатки'!AH60+'02_Видатки'!AH73+'02_Видатки'!AH101+'02_Видатки'!AH127)/('05_Фін_план'!F57+'05_Фін_план'!F60+'05_Фін_план'!F58+'05_Фін_план'!F61)</f>
        <v>0.30458573815255591</v>
      </c>
      <c r="G42" s="539">
        <f ca="1">('02_Видатки'!T28+'02_Видатки'!T44+'02_Видатки'!T60+'02_Видатки'!T73+'02_Видатки'!T101+'02_Видатки'!T127+'02_Видатки'!Y28+'02_Видатки'!Y44+'02_Видатки'!Y60+'02_Видатки'!Y73+'02_Видатки'!Y101+'02_Видатки'!Y127+'02_Видатки'!AD28+'02_Видатки'!AD44+'02_Видатки'!AD60+'02_Видатки'!AD73+'02_Видатки'!AD101+'02_Видатки'!AD127+'02_Видатки'!AI28+'02_Видатки'!AI44+'02_Видатки'!AI60+'02_Видатки'!AI73+'02_Видатки'!AI101+'02_Видатки'!AI127)/('05_Фін_план'!G57+'05_Фін_план'!G60+'05_Фін_план'!G58+'05_Фін_план'!G61)</f>
        <v>0.30458573815255591</v>
      </c>
      <c r="H42" s="539">
        <f ca="1">('02_Видатки'!U28+'02_Видатки'!U44+'02_Видатки'!U60+'02_Видатки'!U73+'02_Видатки'!U101+'02_Видатки'!U127+'02_Видатки'!Z28+'02_Видатки'!Z44+'02_Видатки'!Z60+'02_Видатки'!Z73+'02_Видатки'!Z101+'02_Видатки'!Z127+'02_Видатки'!AE28+'02_Видатки'!AE44+'02_Видатки'!AE60+'02_Видатки'!AE73+'02_Видатки'!AE101+'02_Видатки'!AE127+'02_Видатки'!AJ28+'02_Видатки'!AJ44+'02_Видатки'!AJ60+'02_Видатки'!AJ73+'02_Видатки'!AJ101+'02_Видатки'!AJ127)/('05_Фін_план'!H57+'05_Фін_план'!H60+'05_Фін_план'!H58+'05_Фін_план'!H61)</f>
        <v>0.30458573815255591</v>
      </c>
      <c r="I42" s="535"/>
      <c r="J42" s="516"/>
      <c r="K42" s="516"/>
      <c r="L42" s="516"/>
      <c r="M42" s="516"/>
      <c r="N42" s="516"/>
      <c r="O42" s="516"/>
      <c r="P42" s="516"/>
      <c r="Q42" s="516"/>
      <c r="R42" s="516"/>
      <c r="S42" s="274"/>
      <c r="T42" s="274"/>
      <c r="U42" s="274"/>
    </row>
    <row r="43" spans="2:21" s="273" customFormat="1" ht="50.45" customHeight="1">
      <c r="B43" s="523">
        <v>5</v>
      </c>
      <c r="C43" s="550" t="s">
        <v>282</v>
      </c>
      <c r="D43" s="527" t="s">
        <v>682</v>
      </c>
      <c r="E43" s="539">
        <v>0</v>
      </c>
      <c r="F43" s="539">
        <v>0</v>
      </c>
      <c r="G43" s="539">
        <v>0</v>
      </c>
      <c r="H43" s="539">
        <v>0</v>
      </c>
      <c r="I43" s="536"/>
      <c r="J43" s="516"/>
      <c r="K43" s="516"/>
      <c r="L43" s="516"/>
      <c r="M43" s="516"/>
      <c r="N43" s="516"/>
      <c r="O43" s="516"/>
      <c r="P43" s="516"/>
      <c r="Q43" s="516"/>
      <c r="R43" s="516"/>
      <c r="S43" s="274"/>
      <c r="T43" s="274"/>
      <c r="U43" s="274"/>
    </row>
    <row r="44" spans="2:21" s="273" customFormat="1" ht="40.5">
      <c r="B44" s="523">
        <v>6</v>
      </c>
      <c r="C44" s="550" t="s">
        <v>283</v>
      </c>
      <c r="D44" s="527" t="s">
        <v>677</v>
      </c>
      <c r="E44" s="539">
        <f ca="1">'05_Фін_план'!E67/'05_Фін_план'!E86</f>
        <v>8.3310056578460107E-2</v>
      </c>
      <c r="F44" s="539">
        <f ca="1">'05_Фін_план'!F67/'05_Фін_план'!F86</f>
        <v>5.3017618832276001E-2</v>
      </c>
      <c r="G44" s="539">
        <f ca="1">'05_Фін_план'!G67/'05_Фін_план'!G86</f>
        <v>1.1347746625498823E-2</v>
      </c>
      <c r="H44" s="539">
        <f ca="1">'05_Фін_план'!H67/'05_Фін_план'!H86</f>
        <v>7.2249369283642229E-2</v>
      </c>
      <c r="I44" s="536"/>
      <c r="J44" s="516"/>
      <c r="K44" s="516"/>
      <c r="L44" s="516"/>
      <c r="M44" s="516"/>
      <c r="N44" s="516"/>
      <c r="O44" s="516"/>
      <c r="P44" s="516"/>
      <c r="Q44" s="516"/>
      <c r="R44" s="516"/>
      <c r="S44" s="274"/>
      <c r="T44" s="274"/>
      <c r="U44" s="274"/>
    </row>
    <row r="45" spans="2:21" s="273" customFormat="1" ht="40.5">
      <c r="B45" s="523">
        <v>7</v>
      </c>
      <c r="C45" s="550" t="s">
        <v>284</v>
      </c>
      <c r="D45" s="527" t="s">
        <v>279</v>
      </c>
      <c r="E45" s="534">
        <f ca="1">'05_Фін_план'!E77/'05_Фін_план'!E86</f>
        <v>6.6119690744808585E-2</v>
      </c>
      <c r="F45" s="534">
        <f ca="1">'05_Фін_план'!F77/'05_Фін_план'!F86</f>
        <v>3.2609336764670892E-2</v>
      </c>
      <c r="G45" s="534">
        <f ca="1">'05_Фін_план'!G77/'05_Фін_план'!G86</f>
        <v>2.2945111581849531E-2</v>
      </c>
      <c r="H45" s="534">
        <f ca="1">'05_Фін_план'!H77/'05_Фін_план'!H86</f>
        <v>4.216230431702498E-2</v>
      </c>
      <c r="I45" s="535"/>
      <c r="J45" s="516"/>
      <c r="K45" s="516"/>
      <c r="L45" s="516"/>
      <c r="M45" s="516"/>
      <c r="N45" s="516"/>
      <c r="O45" s="516"/>
      <c r="P45" s="516"/>
      <c r="Q45" s="516"/>
      <c r="R45" s="516"/>
      <c r="S45" s="274"/>
      <c r="T45" s="274"/>
      <c r="U45" s="274"/>
    </row>
    <row r="46" spans="2:21" s="273" customFormat="1" ht="40.5">
      <c r="B46" s="523">
        <v>8</v>
      </c>
      <c r="C46" s="550" t="s">
        <v>285</v>
      </c>
      <c r="D46" s="527">
        <v>5</v>
      </c>
      <c r="E46" s="539">
        <f ca="1">'05_Фін_план'!E84/'05_Фін_план'!E86</f>
        <v>0</v>
      </c>
      <c r="F46" s="539">
        <f ca="1">'05_Фін_план'!F84/'05_Фін_план'!F86</f>
        <v>0</v>
      </c>
      <c r="G46" s="539">
        <f ca="1">'05_Фін_план'!G84/'05_Фін_план'!G86</f>
        <v>0</v>
      </c>
      <c r="H46" s="539">
        <f ca="1">'05_Фін_план'!H84/'05_Фін_план'!H86</f>
        <v>0</v>
      </c>
      <c r="I46" s="535"/>
      <c r="J46" s="516"/>
      <c r="K46" s="516"/>
      <c r="L46" s="516"/>
      <c r="M46" s="516"/>
      <c r="N46" s="516"/>
      <c r="O46" s="516"/>
      <c r="P46" s="516"/>
      <c r="Q46" s="516"/>
      <c r="R46" s="516"/>
      <c r="S46" s="274"/>
      <c r="T46" s="274"/>
      <c r="U46" s="274"/>
    </row>
    <row r="47" spans="2:21" s="273" customFormat="1" ht="20.25">
      <c r="J47" s="516"/>
      <c r="K47" s="516"/>
      <c r="L47" s="516"/>
      <c r="M47" s="516"/>
      <c r="N47" s="516"/>
      <c r="O47" s="516"/>
      <c r="P47" s="516"/>
      <c r="Q47" s="516"/>
      <c r="R47" s="516"/>
      <c r="S47" s="274"/>
      <c r="T47" s="274"/>
      <c r="U47" s="274"/>
    </row>
  </sheetData>
  <mergeCells count="24">
    <mergeCell ref="B38:H38"/>
    <mergeCell ref="B14:H14"/>
    <mergeCell ref="B12:B13"/>
    <mergeCell ref="C12:C13"/>
    <mergeCell ref="D12:D13"/>
    <mergeCell ref="B29:H29"/>
    <mergeCell ref="C33:H33"/>
    <mergeCell ref="A2:AF2"/>
    <mergeCell ref="C5:G5"/>
    <mergeCell ref="E12:H12"/>
    <mergeCell ref="B4:H4"/>
    <mergeCell ref="G7:H8"/>
    <mergeCell ref="J12:Q12"/>
    <mergeCell ref="R12:U12"/>
    <mergeCell ref="J20:Q20"/>
    <mergeCell ref="D25:D26"/>
    <mergeCell ref="J24:Q24"/>
    <mergeCell ref="D7:E7"/>
    <mergeCell ref="D8:E8"/>
    <mergeCell ref="J13:K13"/>
    <mergeCell ref="L13:M13"/>
    <mergeCell ref="N13:O13"/>
    <mergeCell ref="P13:Q13"/>
    <mergeCell ref="D9:E9"/>
  </mergeCells>
  <phoneticPr fontId="0" type="noConversion"/>
  <conditionalFormatting sqref="E16:H16">
    <cfRule type="cellIs" dxfId="32" priority="28" operator="greaterThan">
      <formula>900</formula>
    </cfRule>
  </conditionalFormatting>
  <conditionalFormatting sqref="E17:H17">
    <cfRule type="cellIs" dxfId="31" priority="27" operator="greaterThan">
      <formula>1800</formula>
    </cfRule>
  </conditionalFormatting>
  <conditionalFormatting sqref="E18:H18">
    <cfRule type="cellIs" dxfId="30" priority="26" operator="greaterThan">
      <formula>2000</formula>
    </cfRule>
  </conditionalFormatting>
  <conditionalFormatting sqref="E21:H21">
    <cfRule type="cellIs" dxfId="29" priority="25" operator="greaterThan">
      <formula>450</formula>
    </cfRule>
  </conditionalFormatting>
  <conditionalFormatting sqref="E22:H22">
    <cfRule type="cellIs" dxfId="28" priority="24" operator="greaterThan">
      <formula>900</formula>
    </cfRule>
  </conditionalFormatting>
  <conditionalFormatting sqref="E23:H23">
    <cfRule type="cellIs" dxfId="27" priority="23" operator="greaterThan">
      <formula>1000</formula>
    </cfRule>
  </conditionalFormatting>
  <conditionalFormatting sqref="E25">
    <cfRule type="cellIs" dxfId="26" priority="22" operator="lessThan">
      <formula>$E$19</formula>
    </cfRule>
  </conditionalFormatting>
  <conditionalFormatting sqref="F25">
    <cfRule type="cellIs" dxfId="25" priority="21" operator="lessThan">
      <formula>$F$19</formula>
    </cfRule>
  </conditionalFormatting>
  <conditionalFormatting sqref="G25">
    <cfRule type="cellIs" dxfId="24" priority="20" operator="lessThan">
      <formula>$G$19</formula>
    </cfRule>
  </conditionalFormatting>
  <conditionalFormatting sqref="H25">
    <cfRule type="cellIs" dxfId="23" priority="19" operator="lessThan">
      <formula>$H$19</formula>
    </cfRule>
  </conditionalFormatting>
  <conditionalFormatting sqref="E26">
    <cfRule type="cellIs" dxfId="22" priority="18" operator="lessThan">
      <formula>$E$19</formula>
    </cfRule>
  </conditionalFormatting>
  <conditionalFormatting sqref="F26">
    <cfRule type="cellIs" dxfId="21" priority="17" operator="lessThan">
      <formula>$F$19</formula>
    </cfRule>
  </conditionalFormatting>
  <conditionalFormatting sqref="G26">
    <cfRule type="cellIs" dxfId="20" priority="16" operator="lessThan">
      <formula>$G$19</formula>
    </cfRule>
  </conditionalFormatting>
  <conditionalFormatting sqref="H26">
    <cfRule type="cellIs" dxfId="19" priority="15" operator="lessThan">
      <formula>$H$19</formula>
    </cfRule>
  </conditionalFormatting>
  <conditionalFormatting sqref="E28:H28">
    <cfRule type="cellIs" dxfId="18" priority="14" operator="lessThan">
      <formula>1</formula>
    </cfRule>
  </conditionalFormatting>
  <conditionalFormatting sqref="E30:H30">
    <cfRule type="cellIs" dxfId="17" priority="12" operator="between">
      <formula>0.7</formula>
      <formula>0.9</formula>
    </cfRule>
    <cfRule type="cellIs" dxfId="16" priority="13" operator="between">
      <formula>70</formula>
      <formula>90</formula>
    </cfRule>
  </conditionalFormatting>
  <conditionalFormatting sqref="E31:H31">
    <cfRule type="cellIs" dxfId="15" priority="11" operator="greaterThanOrEqual">
      <formula>0.1</formula>
    </cfRule>
  </conditionalFormatting>
  <conditionalFormatting sqref="E32:H32">
    <cfRule type="cellIs" dxfId="14" priority="10" operator="lessThan">
      <formula>125</formula>
    </cfRule>
  </conditionalFormatting>
  <conditionalFormatting sqref="E34:H34">
    <cfRule type="cellIs" dxfId="13" priority="9" operator="lessThan">
      <formula>210000</formula>
    </cfRule>
  </conditionalFormatting>
  <conditionalFormatting sqref="E35:H35">
    <cfRule type="cellIs" dxfId="12" priority="8" operator="lessThan">
      <formula>230000</formula>
    </cfRule>
  </conditionalFormatting>
  <conditionalFormatting sqref="E36:H36">
    <cfRule type="cellIs" dxfId="11" priority="7" operator="lessThan">
      <formula>210000</formula>
    </cfRule>
  </conditionalFormatting>
  <conditionalFormatting sqref="E39:H39">
    <cfRule type="cellIs" dxfId="10" priority="6" operator="greaterThan">
      <formula>0.2</formula>
    </cfRule>
  </conditionalFormatting>
  <conditionalFormatting sqref="E40:H40">
    <cfRule type="cellIs" dxfId="9" priority="5" operator="lessThan">
      <formula>0.4</formula>
    </cfRule>
  </conditionalFormatting>
  <conditionalFormatting sqref="E41:H41">
    <cfRule type="cellIs" dxfId="8" priority="4" operator="between">
      <formula>0.7</formula>
      <formula>0.9</formula>
    </cfRule>
  </conditionalFormatting>
  <conditionalFormatting sqref="E42:H42">
    <cfRule type="cellIs" dxfId="7" priority="3" operator="greaterThan">
      <formula>0.4</formula>
    </cfRule>
  </conditionalFormatting>
  <conditionalFormatting sqref="E43:H43">
    <cfRule type="cellIs" dxfId="6" priority="2" operator="greaterThan">
      <formula>0.3</formula>
    </cfRule>
  </conditionalFormatting>
  <conditionalFormatting sqref="E44:H44">
    <cfRule type="cellIs" dxfId="5" priority="1" operator="greaterThan">
      <formula>0.1</formula>
    </cfRule>
  </conditionalFormatting>
  <pageMargins left="0.7" right="0.7" top="0.75" bottom="0.75" header="0.3" footer="0.3"/>
  <pageSetup paperSize="9" scale="36" orientation="portrait" r:id="rId1"/>
  <ignoredErrors>
    <ignoredError sqref="E20:H20 G34:H34 E35:H36 E34:F34 F27:H27 E28:H28 E27 E22:H22 E45:H46 E44:H44 E37 E41:H41 F16:H16 F17:G17 E31:H31 F21:G21 H21 F23 E23 G23:H23 F26:G26 F25:H25 E26 H26 E39:H39 E40:H40 E42:H42 E30 G30:H30 H32 G37:H37 E19:H19 F18:H18" evalError="1"/>
  </ignoredErrors>
</worksheet>
</file>

<file path=xl/worksheets/sheet9.xml><?xml version="1.0" encoding="utf-8"?>
<worksheet xmlns="http://schemas.openxmlformats.org/spreadsheetml/2006/main" xmlns:r="http://schemas.openxmlformats.org/officeDocument/2006/relationships">
  <sheetPr>
    <tabColor rgb="FFC00000"/>
  </sheetPr>
  <dimension ref="A1:K371"/>
  <sheetViews>
    <sheetView showGridLines="0" tabSelected="1" view="pageBreakPreview" topLeftCell="A72" zoomScale="50" zoomScaleNormal="100" zoomScaleSheetLayoutView="100" workbookViewId="0">
      <selection activeCell="C110" sqref="C110"/>
    </sheetView>
  </sheetViews>
  <sheetFormatPr defaultColWidth="16.5703125" defaultRowHeight="18.75"/>
  <cols>
    <col min="1" max="1" width="93.140625" style="3" customWidth="1"/>
    <col min="2" max="2" width="17.85546875" style="4" customWidth="1"/>
    <col min="3" max="3" width="19.7109375" style="822" customWidth="1"/>
    <col min="4" max="4" width="17.42578125" style="3" customWidth="1"/>
    <col min="5" max="5" width="16.28515625" style="3" customWidth="1"/>
    <col min="6" max="6" width="20" style="3" customWidth="1"/>
    <col min="7" max="7" width="18.5703125" style="3" customWidth="1"/>
    <col min="8" max="8" width="20.7109375" style="3" customWidth="1"/>
    <col min="9" max="10" width="13" style="3" bestFit="1" customWidth="1"/>
    <col min="11" max="11" width="12.5703125" style="3" customWidth="1"/>
    <col min="12" max="253" width="9.140625" style="3" customWidth="1"/>
    <col min="254" max="254" width="93.140625" style="3" customWidth="1"/>
    <col min="255" max="255" width="17.85546875" style="3" customWidth="1"/>
    <col min="256" max="16384" width="16.5703125" style="3"/>
  </cols>
  <sheetData>
    <row r="1" spans="1:9" s="1" customFormat="1" ht="20.25">
      <c r="A1" s="2"/>
      <c r="B1" s="2"/>
      <c r="C1" s="820"/>
      <c r="D1" s="2"/>
      <c r="E1" s="752"/>
      <c r="F1" s="753"/>
      <c r="G1" s="752"/>
      <c r="H1" s="752"/>
    </row>
    <row r="2" spans="1:9" s="1" customFormat="1" ht="20.25">
      <c r="A2" s="3"/>
      <c r="B2" s="2"/>
      <c r="C2" s="820"/>
      <c r="D2" s="2"/>
      <c r="E2" s="752"/>
      <c r="F2" s="753"/>
      <c r="G2" s="752"/>
      <c r="H2" s="752"/>
    </row>
    <row r="3" spans="1:9" s="1" customFormat="1" ht="20.25">
      <c r="A3" s="3"/>
      <c r="C3" s="821"/>
    </row>
    <row r="4" spans="1:9" s="1" customFormat="1" ht="20.25">
      <c r="A4" s="2"/>
      <c r="B4" s="2"/>
      <c r="C4" s="820"/>
      <c r="D4" s="2"/>
      <c r="E4" s="2" t="s">
        <v>315</v>
      </c>
      <c r="G4" s="2"/>
      <c r="H4" s="2"/>
    </row>
    <row r="5" spans="1:9" s="1" customFormat="1" ht="20.25">
      <c r="A5" s="2"/>
      <c r="B5" s="2"/>
      <c r="C5" s="820"/>
      <c r="D5" s="2"/>
      <c r="E5" s="794" t="s">
        <v>87</v>
      </c>
      <c r="F5" s="12"/>
      <c r="G5" s="794"/>
      <c r="H5" s="794"/>
      <c r="I5" s="3"/>
    </row>
    <row r="6" spans="1:9" s="1" customFormat="1" ht="20.25">
      <c r="A6" s="1252"/>
      <c r="B6" s="2"/>
      <c r="C6" s="820"/>
      <c r="D6" s="2"/>
      <c r="E6" s="31" t="s">
        <v>109</v>
      </c>
      <c r="F6" s="32"/>
      <c r="G6" s="31"/>
      <c r="H6" s="31"/>
    </row>
    <row r="7" spans="1:9" s="1" customFormat="1" ht="20.25">
      <c r="A7" s="1252"/>
      <c r="C7" s="821"/>
      <c r="E7" s="1" t="s">
        <v>316</v>
      </c>
    </row>
    <row r="8" spans="1:9" s="1" customFormat="1" ht="20.25">
      <c r="A8" s="1252"/>
      <c r="B8" s="2" t="s">
        <v>249</v>
      </c>
      <c r="C8" s="820"/>
      <c r="D8" s="2"/>
      <c r="E8" s="31" t="s">
        <v>249</v>
      </c>
      <c r="F8" s="792" t="s">
        <v>107</v>
      </c>
      <c r="G8" s="31"/>
      <c r="H8" s="31"/>
    </row>
    <row r="9" spans="1:9" s="1" customFormat="1" ht="20.25">
      <c r="A9" s="1252"/>
      <c r="C9" s="821"/>
      <c r="E9" s="1" t="s">
        <v>105</v>
      </c>
    </row>
    <row r="10" spans="1:9" s="1" customFormat="1" ht="20.25">
      <c r="A10" s="1252"/>
      <c r="B10" s="2"/>
      <c r="C10" s="820"/>
      <c r="D10" s="2"/>
      <c r="E10" s="31"/>
      <c r="F10" s="32"/>
      <c r="G10" s="31"/>
      <c r="H10" s="2"/>
    </row>
    <row r="11" spans="1:9" s="1" customFormat="1" ht="20.25">
      <c r="A11" s="1252"/>
      <c r="B11" s="2"/>
      <c r="C11" s="820"/>
      <c r="D11" s="2"/>
      <c r="E11" s="1274" t="s">
        <v>317</v>
      </c>
      <c r="F11" s="1274"/>
      <c r="G11" s="1274"/>
      <c r="H11" s="2"/>
    </row>
    <row r="12" spans="1:9" ht="18.75" customHeight="1">
      <c r="A12" s="1252"/>
    </row>
    <row r="13" spans="1:9">
      <c r="A13" s="1252"/>
    </row>
    <row r="14" spans="1:9">
      <c r="A14" s="1252"/>
    </row>
    <row r="15" spans="1:9">
      <c r="A15" s="1252"/>
    </row>
    <row r="16" spans="1:9">
      <c r="A16" s="1252"/>
      <c r="F16" s="1275" t="s">
        <v>108</v>
      </c>
      <c r="G16" s="1275"/>
      <c r="H16" s="35" t="s">
        <v>200</v>
      </c>
    </row>
    <row r="17" spans="1:8">
      <c r="A17" s="1253"/>
      <c r="F17" s="1275" t="s">
        <v>318</v>
      </c>
      <c r="G17" s="1275"/>
      <c r="H17" s="35"/>
    </row>
    <row r="18" spans="1:8">
      <c r="A18" s="722"/>
      <c r="F18" s="1275" t="s">
        <v>319</v>
      </c>
      <c r="G18" s="1275"/>
      <c r="H18" s="35"/>
    </row>
    <row r="19" spans="1:8">
      <c r="F19" s="1275" t="s">
        <v>320</v>
      </c>
      <c r="G19" s="1275"/>
      <c r="H19" s="35"/>
    </row>
    <row r="20" spans="1:8">
      <c r="F20" s="1258" t="s">
        <v>321</v>
      </c>
      <c r="G20" s="1258"/>
      <c r="H20" s="1258"/>
    </row>
    <row r="23" spans="1:8">
      <c r="A23" s="37" t="s">
        <v>191</v>
      </c>
      <c r="B23" s="1272">
        <v>2024</v>
      </c>
      <c r="C23" s="1272"/>
      <c r="D23" s="1272"/>
      <c r="E23" s="1273"/>
      <c r="F23" s="1276" t="s">
        <v>322</v>
      </c>
      <c r="G23" s="1277"/>
      <c r="H23" s="1278"/>
    </row>
    <row r="24" spans="1:8" ht="91.5" customHeight="1">
      <c r="A24" s="723" t="s">
        <v>192</v>
      </c>
      <c r="B24" s="1261" t="s">
        <v>204</v>
      </c>
      <c r="C24" s="1261"/>
      <c r="D24" s="1261"/>
      <c r="E24" s="1262"/>
      <c r="F24" s="1263" t="s">
        <v>323</v>
      </c>
      <c r="G24" s="1264"/>
      <c r="H24" s="6">
        <v>38541660</v>
      </c>
    </row>
    <row r="25" spans="1:8" ht="45" customHeight="1">
      <c r="A25" s="36" t="s">
        <v>324</v>
      </c>
      <c r="B25" s="1261" t="s">
        <v>95</v>
      </c>
      <c r="C25" s="1261"/>
      <c r="D25" s="1261"/>
      <c r="E25" s="1262"/>
      <c r="F25" s="1263" t="s">
        <v>325</v>
      </c>
      <c r="G25" s="1264"/>
      <c r="H25" s="6">
        <v>150</v>
      </c>
    </row>
    <row r="26" spans="1:8" ht="20.25">
      <c r="A26" s="36" t="s">
        <v>326</v>
      </c>
      <c r="B26" s="1261" t="s">
        <v>96</v>
      </c>
      <c r="C26" s="1261"/>
      <c r="D26" s="1261"/>
      <c r="E26" s="1262"/>
      <c r="F26" s="1263" t="s">
        <v>327</v>
      </c>
      <c r="G26" s="1264"/>
      <c r="H26" s="6" t="s">
        <v>97</v>
      </c>
    </row>
    <row r="27" spans="1:8" ht="20.25">
      <c r="A27" s="36" t="s">
        <v>328</v>
      </c>
      <c r="B27" s="1261" t="s">
        <v>98</v>
      </c>
      <c r="C27" s="1261"/>
      <c r="D27" s="1261"/>
      <c r="E27" s="1262"/>
      <c r="F27" s="1263" t="s">
        <v>99</v>
      </c>
      <c r="G27" s="1264"/>
      <c r="H27" s="6">
        <v>17184</v>
      </c>
    </row>
    <row r="28" spans="1:8" ht="18.75" customHeight="1">
      <c r="A28" s="36" t="s">
        <v>329</v>
      </c>
      <c r="B28" s="1261" t="s">
        <v>199</v>
      </c>
      <c r="C28" s="1261"/>
      <c r="D28" s="1261"/>
      <c r="E28" s="1262"/>
      <c r="F28" s="1263" t="s">
        <v>330</v>
      </c>
      <c r="G28" s="1264"/>
      <c r="H28" s="6"/>
    </row>
    <row r="29" spans="1:8" ht="20.25">
      <c r="A29" s="36" t="s">
        <v>331</v>
      </c>
      <c r="B29" s="1261" t="s">
        <v>198</v>
      </c>
      <c r="C29" s="1261"/>
      <c r="D29" s="1261"/>
      <c r="E29" s="1262"/>
      <c r="F29" s="1263" t="s">
        <v>332</v>
      </c>
      <c r="G29" s="1264"/>
      <c r="H29" s="6" t="s">
        <v>193</v>
      </c>
    </row>
    <row r="30" spans="1:8" ht="20.25">
      <c r="A30" s="36" t="s">
        <v>333</v>
      </c>
      <c r="B30" s="1261" t="s">
        <v>100</v>
      </c>
      <c r="C30" s="1261"/>
      <c r="D30" s="1261"/>
      <c r="E30" s="727"/>
      <c r="F30" s="8"/>
      <c r="G30" s="9"/>
      <c r="H30" s="10"/>
    </row>
    <row r="31" spans="1:8" ht="20.25">
      <c r="A31" s="36" t="s">
        <v>334</v>
      </c>
      <c r="B31" s="1261" t="s">
        <v>197</v>
      </c>
      <c r="C31" s="1261"/>
      <c r="D31" s="1261"/>
      <c r="E31" s="1262"/>
      <c r="F31" s="11"/>
      <c r="G31" s="12"/>
      <c r="H31" s="13"/>
    </row>
    <row r="32" spans="1:8" ht="21" customHeight="1">
      <c r="A32" s="36" t="s">
        <v>335</v>
      </c>
      <c r="B32" s="1270">
        <v>130</v>
      </c>
      <c r="C32" s="1270"/>
      <c r="D32" s="1270"/>
      <c r="E32" s="1271"/>
      <c r="F32" s="1269" t="s">
        <v>336</v>
      </c>
      <c r="G32" s="1262"/>
      <c r="H32" s="14"/>
    </row>
    <row r="33" spans="1:11" ht="43.5" customHeight="1">
      <c r="A33" s="36" t="s">
        <v>337</v>
      </c>
      <c r="B33" s="1261" t="s">
        <v>230</v>
      </c>
      <c r="C33" s="1261"/>
      <c r="D33" s="1261"/>
      <c r="E33" s="1261"/>
      <c r="F33" s="1269" t="s">
        <v>338</v>
      </c>
      <c r="G33" s="1262"/>
      <c r="H33" s="15"/>
    </row>
    <row r="34" spans="1:11" ht="20.25">
      <c r="A34" s="36" t="s">
        <v>339</v>
      </c>
      <c r="B34" s="1261" t="s">
        <v>196</v>
      </c>
      <c r="C34" s="1261"/>
      <c r="D34" s="1261"/>
      <c r="E34" s="1261"/>
      <c r="F34" s="5"/>
      <c r="G34" s="5"/>
      <c r="H34" s="16"/>
    </row>
    <row r="35" spans="1:11" ht="20.25">
      <c r="A35" s="36" t="s">
        <v>194</v>
      </c>
      <c r="B35" s="1261" t="s">
        <v>195</v>
      </c>
      <c r="C35" s="1261"/>
      <c r="D35" s="1261"/>
      <c r="E35" s="17"/>
      <c r="F35" s="7"/>
      <c r="G35" s="7"/>
      <c r="H35" s="18"/>
    </row>
    <row r="37" spans="1:11" ht="20.25">
      <c r="A37" s="1257" t="s">
        <v>7</v>
      </c>
      <c r="B37" s="1257"/>
      <c r="C37" s="1257"/>
      <c r="D37" s="1257"/>
      <c r="E37" s="1257"/>
      <c r="F37" s="1257"/>
      <c r="G37" s="1257"/>
      <c r="H37" s="1257"/>
    </row>
    <row r="38" spans="1:11">
      <c r="A38" s="19"/>
      <c r="B38" s="58"/>
      <c r="C38" s="823"/>
      <c r="D38" s="19"/>
      <c r="E38" s="19"/>
      <c r="F38" s="19"/>
      <c r="G38" s="19"/>
      <c r="H38" s="19"/>
    </row>
    <row r="39" spans="1:11" ht="51" customHeight="1">
      <c r="A39" s="1258" t="s">
        <v>340</v>
      </c>
      <c r="B39" s="1259" t="s">
        <v>341</v>
      </c>
      <c r="C39" s="1260" t="s">
        <v>469</v>
      </c>
      <c r="D39" s="1259" t="s">
        <v>342</v>
      </c>
      <c r="E39" s="1259" t="s">
        <v>470</v>
      </c>
      <c r="F39" s="1259"/>
      <c r="G39" s="1259"/>
      <c r="H39" s="1259"/>
    </row>
    <row r="40" spans="1:11" ht="60.6" customHeight="1">
      <c r="A40" s="1258"/>
      <c r="B40" s="1259"/>
      <c r="C40" s="1260"/>
      <c r="D40" s="1259"/>
      <c r="E40" s="20" t="s">
        <v>343</v>
      </c>
      <c r="F40" s="20" t="s">
        <v>344</v>
      </c>
      <c r="G40" s="20" t="s">
        <v>345</v>
      </c>
      <c r="H40" s="20" t="s">
        <v>346</v>
      </c>
    </row>
    <row r="41" spans="1:11" ht="18" customHeight="1">
      <c r="A41" s="35">
        <v>1</v>
      </c>
      <c r="B41" s="34">
        <v>2</v>
      </c>
      <c r="C41" s="836">
        <v>4</v>
      </c>
      <c r="D41" s="34">
        <v>6</v>
      </c>
      <c r="E41" s="34">
        <v>7</v>
      </c>
      <c r="F41" s="34">
        <v>8</v>
      </c>
      <c r="G41" s="34">
        <v>9</v>
      </c>
      <c r="H41" s="34">
        <v>10</v>
      </c>
    </row>
    <row r="42" spans="1:11" ht="18" customHeight="1">
      <c r="A42" s="1254" t="s">
        <v>471</v>
      </c>
      <c r="B42" s="1255"/>
      <c r="C42" s="1255"/>
      <c r="D42" s="1255"/>
      <c r="E42" s="1255"/>
      <c r="F42" s="1255"/>
      <c r="G42" s="1255"/>
      <c r="H42" s="1256"/>
    </row>
    <row r="43" spans="1:11" s="21" customFormat="1" ht="20.100000000000001" customHeight="1">
      <c r="A43" s="1254" t="s">
        <v>347</v>
      </c>
      <c r="B43" s="1255"/>
      <c r="C43" s="1255"/>
      <c r="D43" s="1255"/>
      <c r="E43" s="1255"/>
      <c r="F43" s="1255"/>
      <c r="G43" s="1255"/>
      <c r="H43" s="1256"/>
    </row>
    <row r="44" spans="1:11" ht="21" customHeight="1">
      <c r="A44" s="22" t="s">
        <v>348</v>
      </c>
      <c r="B44" s="47">
        <v>1010</v>
      </c>
      <c r="C44" s="824">
        <v>33837680</v>
      </c>
      <c r="D44" s="41">
        <f>E44+F44+G44+H44</f>
        <v>35049697.549665079</v>
      </c>
      <c r="E44" s="41">
        <f ca="1">'01_Доходи'!E24+'01_Доходи'!D1364+'01_Доходи'!D1365</f>
        <v>8762424.3874162696</v>
      </c>
      <c r="F44" s="41">
        <f ca="1">'01_Доходи'!F24+'01_Доходи'!E1364+'01_Доходи'!E1365</f>
        <v>8762424.3874162696</v>
      </c>
      <c r="G44" s="41">
        <f ca="1">'01_Доходи'!G24+'01_Доходи'!F1364+'01_Доходи'!F1365</f>
        <v>8762424.3874162696</v>
      </c>
      <c r="H44" s="41">
        <f ca="1">'01_Доходи'!H24+'01_Доходи'!G1364+'01_Доходи'!G1365</f>
        <v>8762424.3874162696</v>
      </c>
      <c r="I44" s="728"/>
      <c r="J44" s="728"/>
      <c r="K44" s="728"/>
    </row>
    <row r="45" spans="1:11">
      <c r="A45" s="22" t="s">
        <v>112</v>
      </c>
      <c r="B45" s="47">
        <v>1020</v>
      </c>
      <c r="C45" s="824">
        <v>3493754</v>
      </c>
      <c r="D45" s="41">
        <f>E45+F45+G45+H45</f>
        <v>3585741.1008879999</v>
      </c>
      <c r="E45" s="41">
        <f ca="1">SUM(E46:E47)</f>
        <v>1214238.3300439999</v>
      </c>
      <c r="F45" s="41">
        <f ca="1">SUM(F46:F47)</f>
        <v>848204.91687200009</v>
      </c>
      <c r="G45" s="41">
        <f ca="1">SUM(G46:G47)</f>
        <v>461330.96136800002</v>
      </c>
      <c r="H45" s="41">
        <f ca="1">SUM(H46:H47)</f>
        <v>1061966.8926039999</v>
      </c>
    </row>
    <row r="46" spans="1:11" ht="26.25" customHeight="1">
      <c r="A46" s="731" t="s">
        <v>500</v>
      </c>
      <c r="B46" s="47">
        <v>1021</v>
      </c>
      <c r="C46" s="824">
        <v>1836889</v>
      </c>
      <c r="D46" s="41">
        <f t="shared" ref="D46:D54" si="0">E46+F46+G46+H46</f>
        <v>2052757.5908879999</v>
      </c>
      <c r="E46" s="41">
        <f ca="1">'01_Доходи'!D1358</f>
        <v>818992.59004399995</v>
      </c>
      <c r="F46" s="41">
        <f ca="1">'01_Доходи'!E1358</f>
        <v>471494.08687200001</v>
      </c>
      <c r="G46" s="41">
        <f ca="1">'01_Доходи'!F1358</f>
        <v>93966.501367999997</v>
      </c>
      <c r="H46" s="41">
        <f ca="1">'01_Доходи'!G1358</f>
        <v>668304.41260399995</v>
      </c>
    </row>
    <row r="47" spans="1:11" s="21" customFormat="1" ht="37.5">
      <c r="A47" s="731" t="s">
        <v>234</v>
      </c>
      <c r="B47" s="47">
        <v>1022</v>
      </c>
      <c r="C47" s="824">
        <v>1656865</v>
      </c>
      <c r="D47" s="41">
        <f t="shared" si="0"/>
        <v>1532983.51</v>
      </c>
      <c r="E47" s="41">
        <f ca="1">'01_Доходи'!D1359+'01_Доходи'!D1360+'01_Доходи'!D1361</f>
        <v>395245.74</v>
      </c>
      <c r="F47" s="41">
        <f ca="1">'01_Доходи'!E1359+'01_Доходи'!E1360+'01_Доходи'!E1361</f>
        <v>376710.83</v>
      </c>
      <c r="G47" s="41">
        <f ca="1">'01_Доходи'!F1359+'01_Доходи'!F1360+'01_Доходи'!F1361</f>
        <v>367364.46</v>
      </c>
      <c r="H47" s="41">
        <f ca="1">'01_Доходи'!G1359+'01_Доходи'!G1360+'01_Доходи'!G1361</f>
        <v>393662.48</v>
      </c>
    </row>
    <row r="48" spans="1:11" s="21" customFormat="1">
      <c r="A48" s="731" t="s">
        <v>202</v>
      </c>
      <c r="B48" s="47">
        <v>1023</v>
      </c>
      <c r="C48" s="824">
        <f>D48</f>
        <v>0</v>
      </c>
      <c r="D48" s="41">
        <f t="shared" si="0"/>
        <v>0</v>
      </c>
      <c r="E48" s="41">
        <v>0</v>
      </c>
      <c r="F48" s="41">
        <v>0</v>
      </c>
      <c r="G48" s="41">
        <v>0</v>
      </c>
      <c r="H48" s="41">
        <v>0</v>
      </c>
    </row>
    <row r="49" spans="1:10" s="21" customFormat="1">
      <c r="A49" s="22" t="s">
        <v>571</v>
      </c>
      <c r="B49" s="47">
        <v>1030</v>
      </c>
      <c r="C49" s="824">
        <v>154510</v>
      </c>
      <c r="D49" s="41">
        <f>E49+F49+G49+H49</f>
        <v>175830</v>
      </c>
      <c r="E49" s="41">
        <f ca="1">SUM(E50:E52)+'01_Доходи'!D1369</f>
        <v>54850</v>
      </c>
      <c r="F49" s="41">
        <f ca="1">SUM(F50:F52)+'01_Доходи'!E1369</f>
        <v>35565</v>
      </c>
      <c r="G49" s="41">
        <f ca="1">SUM(G50:G52)+'01_Доходи'!F1369</f>
        <v>35565</v>
      </c>
      <c r="H49" s="41">
        <f ca="1">SUM(H50:H52)+'01_Доходи'!G1369</f>
        <v>49850</v>
      </c>
    </row>
    <row r="50" spans="1:10" s="21" customFormat="1">
      <c r="A50" s="23" t="s">
        <v>350</v>
      </c>
      <c r="B50" s="35">
        <v>1031</v>
      </c>
      <c r="C50" s="824">
        <v>110400</v>
      </c>
      <c r="D50" s="41">
        <f t="shared" si="0"/>
        <v>113400</v>
      </c>
      <c r="E50" s="41">
        <f ca="1">'01_Доходи'!D1366</f>
        <v>28350</v>
      </c>
      <c r="F50" s="41">
        <f ca="1">'01_Доходи'!E1366</f>
        <v>28350</v>
      </c>
      <c r="G50" s="41">
        <f ca="1">'01_Доходи'!F1366</f>
        <v>28350</v>
      </c>
      <c r="H50" s="41">
        <f ca="1">'01_Доходи'!G1366</f>
        <v>28350</v>
      </c>
    </row>
    <row r="51" spans="1:10" s="21" customFormat="1">
      <c r="A51" s="23" t="s">
        <v>532</v>
      </c>
      <c r="B51" s="35">
        <v>1032</v>
      </c>
      <c r="C51" s="824">
        <f>D51</f>
        <v>5000</v>
      </c>
      <c r="D51" s="41">
        <f t="shared" si="0"/>
        <v>5000</v>
      </c>
      <c r="E51" s="41">
        <f ca="1">'01_Доходи'!D1368</f>
        <v>5000</v>
      </c>
      <c r="F51" s="41">
        <f ca="1">'01_Доходи'!E1368</f>
        <v>0</v>
      </c>
      <c r="G51" s="41">
        <f ca="1">'01_Доходи'!F1368</f>
        <v>0</v>
      </c>
      <c r="H51" s="41">
        <f ca="1">'01_Доходи'!G1368</f>
        <v>0</v>
      </c>
    </row>
    <row r="52" spans="1:10" s="21" customFormat="1">
      <c r="A52" s="726" t="s">
        <v>201</v>
      </c>
      <c r="B52" s="35">
        <v>1033</v>
      </c>
      <c r="C52" s="824">
        <v>39110</v>
      </c>
      <c r="D52" s="41">
        <f t="shared" si="0"/>
        <v>57430</v>
      </c>
      <c r="E52" s="41">
        <f ca="1">'01_Доходи'!D1370</f>
        <v>21500</v>
      </c>
      <c r="F52" s="41">
        <f ca="1">'01_Доходи'!E1370</f>
        <v>7215</v>
      </c>
      <c r="G52" s="41">
        <f ca="1">'01_Доходи'!F1370</f>
        <v>7215</v>
      </c>
      <c r="H52" s="41">
        <f ca="1">'01_Доходи'!G1370</f>
        <v>21500</v>
      </c>
    </row>
    <row r="53" spans="1:10" s="21" customFormat="1">
      <c r="A53" s="22" t="s">
        <v>531</v>
      </c>
      <c r="B53" s="35">
        <v>1040</v>
      </c>
      <c r="C53" s="824">
        <v>824500</v>
      </c>
      <c r="D53" s="41">
        <f t="shared" si="0"/>
        <v>1380000</v>
      </c>
      <c r="E53" s="41">
        <f ca="1">E55+E54</f>
        <v>345000</v>
      </c>
      <c r="F53" s="41">
        <f ca="1">F55+F54</f>
        <v>345000</v>
      </c>
      <c r="G53" s="41">
        <f ca="1">G55+G54</f>
        <v>345000</v>
      </c>
      <c r="H53" s="41">
        <f ca="1">H55+H54</f>
        <v>345000</v>
      </c>
    </row>
    <row r="54" spans="1:10" s="21" customFormat="1">
      <c r="A54" s="23" t="s">
        <v>533</v>
      </c>
      <c r="B54" s="35">
        <v>1041</v>
      </c>
      <c r="C54" s="824">
        <v>824500</v>
      </c>
      <c r="D54" s="41">
        <f t="shared" si="0"/>
        <v>1380000</v>
      </c>
      <c r="E54" s="41">
        <f ca="1">'01_Доходи'!D1367</f>
        <v>345000</v>
      </c>
      <c r="F54" s="41">
        <f ca="1">'01_Доходи'!E1367</f>
        <v>345000</v>
      </c>
      <c r="G54" s="41">
        <f ca="1">'01_Доходи'!F1367</f>
        <v>345000</v>
      </c>
      <c r="H54" s="41">
        <f ca="1">'01_Доходи'!G1367</f>
        <v>345000</v>
      </c>
    </row>
    <row r="55" spans="1:10" s="21" customFormat="1" ht="37.5">
      <c r="A55" s="726" t="s">
        <v>208</v>
      </c>
      <c r="B55" s="35">
        <v>1042</v>
      </c>
      <c r="C55" s="824">
        <v>0</v>
      </c>
      <c r="D55" s="41">
        <f>E55+F55+G55+H55</f>
        <v>0</v>
      </c>
      <c r="E55" s="41">
        <f ca="1">'01_Доходи'!D1371</f>
        <v>0</v>
      </c>
      <c r="F55" s="41">
        <f ca="1">'01_Доходи'!E1371</f>
        <v>0</v>
      </c>
      <c r="G55" s="41">
        <f ca="1">'01_Доходи'!F1371</f>
        <v>0</v>
      </c>
      <c r="H55" s="41">
        <f ca="1">'01_Доходи'!G1371</f>
        <v>0</v>
      </c>
    </row>
    <row r="56" spans="1:10" ht="20.100000000000001" customHeight="1">
      <c r="A56" s="754" t="s">
        <v>352</v>
      </c>
      <c r="B56" s="755"/>
      <c r="C56" s="825"/>
      <c r="D56" s="755"/>
      <c r="E56" s="755"/>
      <c r="F56" s="755"/>
      <c r="G56" s="755"/>
      <c r="H56" s="756"/>
    </row>
    <row r="57" spans="1:10" ht="20.100000000000001" customHeight="1">
      <c r="A57" s="22" t="s">
        <v>353</v>
      </c>
      <c r="B57" s="35">
        <v>1050</v>
      </c>
      <c r="C57" s="824">
        <v>17012340</v>
      </c>
      <c r="D57" s="41">
        <f>E57+F57+G57+H57</f>
        <v>18526860</v>
      </c>
      <c r="E57" s="41">
        <f ca="1">'02_Видатки'!AQ44+'02_Видатки'!AQ60+'02_Видатки'!AQ73</f>
        <v>4631715</v>
      </c>
      <c r="F57" s="41">
        <f ca="1">'02_Видатки'!AR44+'02_Видатки'!AR60+'02_Видатки'!AR73</f>
        <v>4631715</v>
      </c>
      <c r="G57" s="41">
        <f ca="1">'02_Видатки'!AS44+'02_Видатки'!AS60+'02_Видатки'!AS73</f>
        <v>4631715</v>
      </c>
      <c r="H57" s="41">
        <f ca="1">'02_Видатки'!AT44+'02_Видатки'!AT60+'02_Видатки'!AT73</f>
        <v>4631715</v>
      </c>
      <c r="I57" s="728"/>
      <c r="J57" s="728"/>
    </row>
    <row r="58" spans="1:10" ht="20.100000000000001" customHeight="1">
      <c r="A58" s="22" t="s">
        <v>354</v>
      </c>
      <c r="B58" s="35">
        <v>1060</v>
      </c>
      <c r="C58" s="824">
        <v>3742715</v>
      </c>
      <c r="D58" s="41">
        <f>E58+F58+G58+H58</f>
        <v>4075909.2</v>
      </c>
      <c r="E58" s="41">
        <f ca="1">'02_Видатки'!BB44+'02_Видатки'!BB60+'02_Видатки'!BB73</f>
        <v>1018977.3</v>
      </c>
      <c r="F58" s="41">
        <f ca="1">'02_Видатки'!BC44+'02_Видатки'!BC60+'02_Видатки'!BC73</f>
        <v>1018977.3</v>
      </c>
      <c r="G58" s="41">
        <f ca="1">'02_Видатки'!BD44+'02_Видатки'!BD60+'02_Видатки'!BD73</f>
        <v>1018977.3</v>
      </c>
      <c r="H58" s="41">
        <f ca="1">'02_Видатки'!BE44+'02_Видатки'!BE60+'02_Видатки'!BE73</f>
        <v>1018977.3</v>
      </c>
      <c r="I58" s="728"/>
      <c r="J58" s="759"/>
    </row>
    <row r="59" spans="1:10">
      <c r="A59" s="56" t="s">
        <v>686</v>
      </c>
      <c r="B59" s="35">
        <v>1070</v>
      </c>
      <c r="C59" s="828"/>
      <c r="D59" s="828"/>
      <c r="E59" s="828"/>
      <c r="F59" s="828"/>
      <c r="G59" s="828"/>
      <c r="H59" s="829"/>
    </row>
    <row r="60" spans="1:10">
      <c r="A60" s="23" t="s">
        <v>791</v>
      </c>
      <c r="B60" s="35">
        <v>1071</v>
      </c>
      <c r="C60" s="824">
        <v>5388345</v>
      </c>
      <c r="D60" s="41">
        <f t="shared" ref="D60:D80" si="1">E60+F60+G60+H60</f>
        <v>6302820</v>
      </c>
      <c r="E60" s="41">
        <f ca="1">'02_Видатки'!AQ28+'02_Видатки'!AQ101+'02_Видатки'!AQ127</f>
        <v>1575705</v>
      </c>
      <c r="F60" s="41">
        <f ca="1">'02_Видатки'!AR28+'02_Видатки'!AR101+'02_Видатки'!AR127</f>
        <v>1575705</v>
      </c>
      <c r="G60" s="41">
        <f ca="1">'02_Видатки'!AS28+'02_Видатки'!AS101+'02_Видатки'!AS127</f>
        <v>1575705</v>
      </c>
      <c r="H60" s="41">
        <f ca="1">'02_Видатки'!AT28+'02_Видатки'!AT101+'02_Видатки'!AT127</f>
        <v>1575705</v>
      </c>
      <c r="I60" s="728"/>
    </row>
    <row r="61" spans="1:10">
      <c r="A61" s="23" t="s">
        <v>792</v>
      </c>
      <c r="B61" s="35">
        <v>1072</v>
      </c>
      <c r="C61" s="824">
        <v>1129458</v>
      </c>
      <c r="D61" s="41">
        <f t="shared" si="1"/>
        <v>1327868.3999999999</v>
      </c>
      <c r="E61" s="41">
        <f ca="1">'02_Видатки'!BB28+'02_Видатки'!BB101+'02_Видатки'!BB127</f>
        <v>331967.09999999998</v>
      </c>
      <c r="F61" s="41">
        <f ca="1">'02_Видатки'!BC28+'02_Видатки'!BC101+'02_Видатки'!BC127</f>
        <v>331967.09999999998</v>
      </c>
      <c r="G61" s="41">
        <f ca="1">'02_Видатки'!BD28+'02_Видатки'!BD101+'02_Видатки'!BD127</f>
        <v>331967.09999999998</v>
      </c>
      <c r="H61" s="41">
        <f ca="1">'02_Видатки'!BE28+'02_Видатки'!BE101+'02_Видатки'!BE127</f>
        <v>331967.09999999998</v>
      </c>
    </row>
    <row r="62" spans="1:10" ht="37.15" customHeight="1">
      <c r="A62" s="23" t="s">
        <v>793</v>
      </c>
      <c r="B62" s="35">
        <v>1073</v>
      </c>
      <c r="C62" s="837">
        <f>D62</f>
        <v>0</v>
      </c>
      <c r="D62" s="41">
        <f t="shared" si="1"/>
        <v>0</v>
      </c>
      <c r="E62" s="41">
        <f ca="1">'03_МТО'!C157</f>
        <v>0</v>
      </c>
      <c r="F62" s="41">
        <f ca="1">'03_МТО'!D157</f>
        <v>0</v>
      </c>
      <c r="G62" s="41">
        <f ca="1">'03_МТО'!E157</f>
        <v>0</v>
      </c>
      <c r="H62" s="41">
        <f ca="1">'03_МТО'!F157</f>
        <v>0</v>
      </c>
    </row>
    <row r="63" spans="1:10">
      <c r="A63" s="46" t="s">
        <v>355</v>
      </c>
      <c r="B63" s="35">
        <v>1080</v>
      </c>
      <c r="C63" s="837">
        <v>470000</v>
      </c>
      <c r="D63" s="41">
        <f t="shared" si="1"/>
        <v>140000</v>
      </c>
      <c r="E63" s="41">
        <f ca="1">'02_Видатки'!E182</f>
        <v>60000</v>
      </c>
      <c r="F63" s="41">
        <f ca="1">'02_Видатки'!F182</f>
        <v>30000</v>
      </c>
      <c r="G63" s="41">
        <f ca="1">'02_Видатки'!G182</f>
        <v>30000</v>
      </c>
      <c r="H63" s="41">
        <f ca="1">'02_Видатки'!H182</f>
        <v>20000</v>
      </c>
    </row>
    <row r="64" spans="1:10" ht="20.100000000000001" customHeight="1">
      <c r="A64" s="22" t="s">
        <v>356</v>
      </c>
      <c r="B64" s="35">
        <v>1090</v>
      </c>
      <c r="C64" s="837">
        <f>D64</f>
        <v>0</v>
      </c>
      <c r="D64" s="41">
        <f t="shared" si="1"/>
        <v>0</v>
      </c>
      <c r="E64" s="41">
        <f ca="1">'02_Видатки'!E183</f>
        <v>0</v>
      </c>
      <c r="F64" s="41">
        <f ca="1">'02_Видатки'!F183</f>
        <v>0</v>
      </c>
      <c r="G64" s="41">
        <f ca="1">'02_Видатки'!G183</f>
        <v>0</v>
      </c>
      <c r="H64" s="41">
        <f ca="1">'02_Видатки'!H183</f>
        <v>0</v>
      </c>
    </row>
    <row r="65" spans="1:8" ht="20.100000000000001" customHeight="1">
      <c r="A65" s="22" t="s">
        <v>357</v>
      </c>
      <c r="B65" s="35">
        <v>1100</v>
      </c>
      <c r="C65" s="837">
        <v>822538</v>
      </c>
      <c r="D65" s="41">
        <f t="shared" si="1"/>
        <v>850000</v>
      </c>
      <c r="E65" s="41">
        <f ca="1">'02_Видатки'!E184</f>
        <v>250000</v>
      </c>
      <c r="F65" s="41">
        <f ca="1">'02_Видатки'!F184</f>
        <v>200000</v>
      </c>
      <c r="G65" s="41">
        <f ca="1">'02_Видатки'!G184</f>
        <v>180000</v>
      </c>
      <c r="H65" s="41">
        <f ca="1">'02_Видатки'!H184</f>
        <v>220000</v>
      </c>
    </row>
    <row r="66" spans="1:8" ht="20.100000000000001" customHeight="1">
      <c r="A66" s="22" t="s">
        <v>358</v>
      </c>
      <c r="B66" s="35">
        <v>1110</v>
      </c>
      <c r="C66" s="837">
        <v>133200</v>
      </c>
      <c r="D66" s="41">
        <f t="shared" si="1"/>
        <v>133200</v>
      </c>
      <c r="E66" s="41">
        <f ca="1">'02_Видатки'!AV28+'02_Видатки'!AV44+'02_Видатки'!AV60+'02_Видатки'!AV73+'02_Видатки'!AV101+'02_Видатки'!AV127</f>
        <v>33300</v>
      </c>
      <c r="F66" s="41">
        <f ca="1">'02_Видатки'!AW28+'02_Видатки'!AW44+'02_Видатки'!AW60+'02_Видатки'!AW73+'02_Видатки'!AW101+'02_Видатки'!AW127</f>
        <v>33300</v>
      </c>
      <c r="G66" s="41">
        <f ca="1">'02_Видатки'!AX28+'02_Видатки'!AX44+'02_Видатки'!AX60+'02_Видатки'!AX73+'02_Видатки'!AX101+'02_Видатки'!AX127</f>
        <v>33300</v>
      </c>
      <c r="H66" s="41">
        <f ca="1">'02_Видатки'!AY28+'02_Видатки'!AY44+'02_Видатки'!AY60+'02_Видатки'!AY73+'02_Видатки'!AY101+'02_Видатки'!AY127</f>
        <v>33300</v>
      </c>
    </row>
    <row r="67" spans="1:8" ht="19.899999999999999" customHeight="1">
      <c r="A67" s="22" t="s">
        <v>472</v>
      </c>
      <c r="B67" s="35">
        <v>1120</v>
      </c>
      <c r="C67" s="824">
        <v>1812557</v>
      </c>
      <c r="D67" s="41">
        <f>E67+F67+G67+H67</f>
        <v>2052757.5908879999</v>
      </c>
      <c r="E67" s="41">
        <f ca="1">SUM(E68:E73)</f>
        <v>818992.59004399995</v>
      </c>
      <c r="F67" s="41">
        <f ca="1">SUM(F68:F73)</f>
        <v>471494.08687200001</v>
      </c>
      <c r="G67" s="41">
        <f ca="1">SUM(G68:G73)</f>
        <v>93966.501367999997</v>
      </c>
      <c r="H67" s="41">
        <f ca="1">SUM(H68:H73)</f>
        <v>668304.41260399995</v>
      </c>
    </row>
    <row r="68" spans="1:8" ht="20.100000000000001" customHeight="1">
      <c r="A68" s="23" t="s">
        <v>785</v>
      </c>
      <c r="B68" s="35">
        <v>1121</v>
      </c>
      <c r="C68" s="824">
        <v>164733</v>
      </c>
      <c r="D68" s="41">
        <f t="shared" si="1"/>
        <v>220954.69999999998</v>
      </c>
      <c r="E68" s="41">
        <f ca="1">'02_Видатки'!E138</f>
        <v>99749.189999999988</v>
      </c>
      <c r="F68" s="41">
        <f ca="1">'02_Видатки'!F138</f>
        <v>0</v>
      </c>
      <c r="G68" s="41">
        <f ca="1">'02_Видатки'!G138</f>
        <v>0</v>
      </c>
      <c r="H68" s="41">
        <f ca="1">'02_Видатки'!H138</f>
        <v>121205.51</v>
      </c>
    </row>
    <row r="69" spans="1:8" ht="20.100000000000001" customHeight="1">
      <c r="A69" s="23" t="s">
        <v>786</v>
      </c>
      <c r="B69" s="35">
        <v>1122</v>
      </c>
      <c r="C69" s="824">
        <v>26543</v>
      </c>
      <c r="D69" s="41">
        <f t="shared" si="1"/>
        <v>26542.220000000005</v>
      </c>
      <c r="E69" s="41">
        <f ca="1">'02_Видатки'!E150+'02_Видатки'!E147+'02_Видатки'!E144</f>
        <v>6634.52</v>
      </c>
      <c r="F69" s="41">
        <f ca="1">'02_Видатки'!F150+'02_Видатки'!F147+'02_Видатки'!F144</f>
        <v>6635.9000000000005</v>
      </c>
      <c r="G69" s="41">
        <f ca="1">'02_Видатки'!G150+'02_Видатки'!G147+'02_Видатки'!G144</f>
        <v>6635.9000000000005</v>
      </c>
      <c r="H69" s="41">
        <f ca="1">'02_Видатки'!H150+'02_Видатки'!H147+'02_Видатки'!H144</f>
        <v>6635.9000000000005</v>
      </c>
    </row>
    <row r="70" spans="1:8" ht="20.100000000000001" customHeight="1">
      <c r="A70" s="23" t="s">
        <v>787</v>
      </c>
      <c r="B70" s="35">
        <v>1123</v>
      </c>
      <c r="C70" s="824">
        <v>1039003</v>
      </c>
      <c r="D70" s="41">
        <f t="shared" si="1"/>
        <v>1164629.1708879999</v>
      </c>
      <c r="E70" s="41">
        <f ca="1">'02_Видатки'!E163</f>
        <v>541959.38004399999</v>
      </c>
      <c r="F70" s="41">
        <f ca="1">'02_Видатки'!F163</f>
        <v>139155.68687199999</v>
      </c>
      <c r="G70" s="41">
        <f ca="1">'02_Видатки'!G163</f>
        <v>86206.101368000003</v>
      </c>
      <c r="H70" s="41">
        <f ca="1">'02_Видатки'!H163</f>
        <v>397308.00260399998</v>
      </c>
    </row>
    <row r="71" spans="1:8" ht="20.100000000000001" customHeight="1">
      <c r="A71" s="23" t="s">
        <v>788</v>
      </c>
      <c r="B71" s="35">
        <v>1124</v>
      </c>
      <c r="C71" s="824">
        <v>61531</v>
      </c>
      <c r="D71" s="41">
        <f t="shared" si="1"/>
        <v>59120.5</v>
      </c>
      <c r="E71" s="41">
        <f ca="1">'02_Видатки'!E174</f>
        <v>32182.5</v>
      </c>
      <c r="F71" s="41">
        <f ca="1">'02_Видатки'!F174</f>
        <v>1124.5</v>
      </c>
      <c r="G71" s="41">
        <f ca="1">'02_Видатки'!G174</f>
        <v>1124.5</v>
      </c>
      <c r="H71" s="41">
        <f ca="1">'02_Видатки'!H174</f>
        <v>24689</v>
      </c>
    </row>
    <row r="72" spans="1:8" ht="20.100000000000001" customHeight="1">
      <c r="A72" s="23" t="s">
        <v>789</v>
      </c>
      <c r="B72" s="35">
        <v>1125</v>
      </c>
      <c r="C72" s="824">
        <v>520748</v>
      </c>
      <c r="D72" s="41">
        <f t="shared" si="1"/>
        <v>581511</v>
      </c>
      <c r="E72" s="41">
        <f ca="1">'02_Видатки'!E185</f>
        <v>138467</v>
      </c>
      <c r="F72" s="41">
        <f ca="1">'02_Видатки'!F185</f>
        <v>324578</v>
      </c>
      <c r="G72" s="41">
        <f ca="1">'02_Видатки'!G185</f>
        <v>0</v>
      </c>
      <c r="H72" s="41">
        <f ca="1">'02_Видатки'!H185</f>
        <v>118466</v>
      </c>
    </row>
    <row r="73" spans="1:8" ht="20.100000000000001" customHeight="1">
      <c r="A73" s="23" t="s">
        <v>790</v>
      </c>
      <c r="B73" s="35">
        <v>1126</v>
      </c>
      <c r="C73" s="824">
        <f>D73</f>
        <v>0</v>
      </c>
      <c r="D73" s="41">
        <f t="shared" si="1"/>
        <v>0</v>
      </c>
      <c r="E73" s="41">
        <f ca="1">'02_Видатки'!E186</f>
        <v>0</v>
      </c>
      <c r="F73" s="41">
        <f ca="1">'02_Видатки'!F186</f>
        <v>0</v>
      </c>
      <c r="G73" s="41">
        <f ca="1">'02_Видатки'!G186</f>
        <v>0</v>
      </c>
      <c r="H73" s="41">
        <f ca="1">'02_Видатки'!H186</f>
        <v>0</v>
      </c>
    </row>
    <row r="74" spans="1:8" ht="37.5" customHeight="1">
      <c r="A74" s="22" t="s">
        <v>361</v>
      </c>
      <c r="B74" s="35">
        <v>1130</v>
      </c>
      <c r="C74" s="824">
        <f>D74</f>
        <v>0</v>
      </c>
      <c r="D74" s="41">
        <f t="shared" si="1"/>
        <v>0</v>
      </c>
      <c r="E74" s="41">
        <f ca="1">'02_Видатки'!E187</f>
        <v>0</v>
      </c>
      <c r="F74" s="41">
        <f ca="1">'02_Видатки'!F187</f>
        <v>0</v>
      </c>
      <c r="G74" s="41">
        <f ca="1">'02_Видатки'!G187</f>
        <v>0</v>
      </c>
      <c r="H74" s="41">
        <f ca="1">'02_Видатки'!H187</f>
        <v>0</v>
      </c>
    </row>
    <row r="75" spans="1:8" ht="20.100000000000001" customHeight="1">
      <c r="A75" s="22" t="s">
        <v>362</v>
      </c>
      <c r="B75" s="35">
        <v>1140</v>
      </c>
      <c r="C75" s="824">
        <v>264831</v>
      </c>
      <c r="D75" s="41">
        <f t="shared" si="1"/>
        <v>240000</v>
      </c>
      <c r="E75" s="41">
        <f ca="1">'02_Видатки'!E188</f>
        <v>60000</v>
      </c>
      <c r="F75" s="41">
        <f ca="1">'02_Видатки'!F188</f>
        <v>60000</v>
      </c>
      <c r="G75" s="41">
        <f ca="1">'02_Видатки'!G188</f>
        <v>60000</v>
      </c>
      <c r="H75" s="41">
        <f ca="1">'02_Видатки'!H188</f>
        <v>60000</v>
      </c>
    </row>
    <row r="76" spans="1:8" ht="20.100000000000001" customHeight="1">
      <c r="A76" s="22" t="s">
        <v>363</v>
      </c>
      <c r="B76" s="35">
        <v>1150</v>
      </c>
      <c r="C76" s="824">
        <v>1020000</v>
      </c>
      <c r="D76" s="41">
        <f t="shared" si="1"/>
        <v>1085000</v>
      </c>
      <c r="E76" s="41">
        <f ca="1">'02_Видатки'!E189</f>
        <v>400000</v>
      </c>
      <c r="F76" s="41">
        <f ca="1">'02_Видатки'!F189</f>
        <v>250000</v>
      </c>
      <c r="G76" s="41">
        <f ca="1">'02_Видатки'!G189</f>
        <v>135000</v>
      </c>
      <c r="H76" s="41">
        <f ca="1">'02_Видатки'!H189</f>
        <v>300000</v>
      </c>
    </row>
    <row r="77" spans="1:8" s="40" customFormat="1" ht="20.45" customHeight="1">
      <c r="A77" s="22" t="s">
        <v>685</v>
      </c>
      <c r="B77" s="35">
        <v>1160</v>
      </c>
      <c r="C77" s="824">
        <v>1736000</v>
      </c>
      <c r="D77" s="41">
        <f t="shared" si="1"/>
        <v>1520000</v>
      </c>
      <c r="E77" s="41">
        <f>E96</f>
        <v>650000</v>
      </c>
      <c r="F77" s="41">
        <f>F96</f>
        <v>290000</v>
      </c>
      <c r="G77" s="41">
        <f>G96</f>
        <v>190000</v>
      </c>
      <c r="H77" s="41">
        <f>H96</f>
        <v>390000</v>
      </c>
    </row>
    <row r="78" spans="1:8" ht="33.6" customHeight="1">
      <c r="A78" s="23" t="s">
        <v>782</v>
      </c>
      <c r="B78" s="35">
        <v>1161</v>
      </c>
      <c r="C78" s="824">
        <f t="shared" ref="C78:C84" si="2">D78</f>
        <v>0</v>
      </c>
      <c r="D78" s="41">
        <f t="shared" si="1"/>
        <v>0</v>
      </c>
      <c r="E78" s="41">
        <f ca="1">'03_МТО'!C162</f>
        <v>0</v>
      </c>
      <c r="F78" s="41">
        <f ca="1">'03_МТО'!D162</f>
        <v>0</v>
      </c>
      <c r="G78" s="41">
        <f ca="1">'03_МТО'!E162</f>
        <v>0</v>
      </c>
      <c r="H78" s="41">
        <f ca="1">'03_МТО'!F162</f>
        <v>0</v>
      </c>
    </row>
    <row r="79" spans="1:8" ht="24" customHeight="1">
      <c r="A79" s="23" t="s">
        <v>783</v>
      </c>
      <c r="B79" s="35">
        <v>1162</v>
      </c>
      <c r="C79" s="824">
        <f t="shared" si="2"/>
        <v>0</v>
      </c>
      <c r="D79" s="41">
        <f t="shared" si="1"/>
        <v>0</v>
      </c>
      <c r="E79" s="41">
        <f ca="1">'03_МТО'!C163</f>
        <v>0</v>
      </c>
      <c r="F79" s="41">
        <f ca="1">'03_МТО'!D163</f>
        <v>0</v>
      </c>
      <c r="G79" s="41">
        <f ca="1">'03_МТО'!E163</f>
        <v>0</v>
      </c>
      <c r="H79" s="41">
        <f ca="1">'03_МТО'!F163</f>
        <v>0</v>
      </c>
    </row>
    <row r="80" spans="1:8" ht="37.5">
      <c r="A80" s="23" t="s">
        <v>784</v>
      </c>
      <c r="B80" s="35">
        <v>1163</v>
      </c>
      <c r="C80" s="824">
        <f t="shared" si="2"/>
        <v>0</v>
      </c>
      <c r="D80" s="824">
        <f t="shared" si="1"/>
        <v>0</v>
      </c>
      <c r="E80" s="824">
        <f ca="1">'03_МТО'!C164</f>
        <v>0</v>
      </c>
      <c r="F80" s="824">
        <f ca="1">'03_МТО'!D164</f>
        <v>0</v>
      </c>
      <c r="G80" s="824">
        <f ca="1">'03_МТО'!E164</f>
        <v>0</v>
      </c>
      <c r="H80" s="824">
        <f ca="1">'03_МТО'!F164</f>
        <v>0</v>
      </c>
    </row>
    <row r="81" spans="1:10" ht="20.100000000000001" customHeight="1">
      <c r="A81" s="22" t="s">
        <v>364</v>
      </c>
      <c r="B81" s="35">
        <v>1170</v>
      </c>
      <c r="C81" s="824">
        <v>0</v>
      </c>
      <c r="D81" s="824">
        <f>D82+D83</f>
        <v>0</v>
      </c>
      <c r="E81" s="824">
        <f>E82+E83</f>
        <v>0</v>
      </c>
      <c r="F81" s="824">
        <f>F82+F83</f>
        <v>0</v>
      </c>
      <c r="G81" s="824">
        <f>G82+G83</f>
        <v>0</v>
      </c>
      <c r="H81" s="824">
        <f>H82+H83</f>
        <v>0</v>
      </c>
    </row>
    <row r="82" spans="1:10" ht="20.100000000000001" customHeight="1">
      <c r="A82" s="23" t="s">
        <v>574</v>
      </c>
      <c r="B82" s="35">
        <v>1171</v>
      </c>
      <c r="C82" s="824">
        <v>0</v>
      </c>
      <c r="D82" s="824">
        <f>SUM(E82:H82)</f>
        <v>0</v>
      </c>
      <c r="E82" s="824">
        <f ca="1">'02_Видатки'!E192</f>
        <v>0</v>
      </c>
      <c r="F82" s="824">
        <f ca="1">'02_Видатки'!F192</f>
        <v>0</v>
      </c>
      <c r="G82" s="824">
        <f ca="1">'02_Видатки'!G192</f>
        <v>0</v>
      </c>
      <c r="H82" s="824">
        <f ca="1">'02_Видатки'!H192</f>
        <v>0</v>
      </c>
    </row>
    <row r="83" spans="1:10" ht="20.100000000000001" customHeight="1">
      <c r="A83" s="23" t="s">
        <v>349</v>
      </c>
      <c r="B83" s="35">
        <v>1172</v>
      </c>
      <c r="C83" s="824">
        <f t="shared" si="2"/>
        <v>0</v>
      </c>
      <c r="D83" s="824">
        <f>E83+F83+G83+H83</f>
        <v>0</v>
      </c>
      <c r="E83" s="824">
        <f ca="1">'02_Видатки'!E190</f>
        <v>0</v>
      </c>
      <c r="F83" s="824">
        <f ca="1">'02_Видатки'!F190</f>
        <v>0</v>
      </c>
      <c r="G83" s="824">
        <f ca="1">'02_Видатки'!G190</f>
        <v>0</v>
      </c>
      <c r="H83" s="824">
        <f ca="1">'02_Видатки'!H190</f>
        <v>0</v>
      </c>
    </row>
    <row r="84" spans="1:10" ht="20.100000000000001" customHeight="1">
      <c r="A84" s="22" t="s">
        <v>365</v>
      </c>
      <c r="B84" s="35">
        <v>1180</v>
      </c>
      <c r="C84" s="824">
        <f t="shared" si="2"/>
        <v>0</v>
      </c>
      <c r="D84" s="41">
        <f>E84+F84+G84+H84</f>
        <v>0</v>
      </c>
      <c r="E84" s="41">
        <f ca="1">'02_Видатки'!E191</f>
        <v>0</v>
      </c>
      <c r="F84" s="41">
        <f ca="1">'02_Видатки'!F191</f>
        <v>0</v>
      </c>
      <c r="G84" s="41">
        <f ca="1">'02_Видатки'!G191</f>
        <v>0</v>
      </c>
      <c r="H84" s="41">
        <f ca="1">'02_Видатки'!H191</f>
        <v>0</v>
      </c>
    </row>
    <row r="85" spans="1:10" ht="19.5" customHeight="1">
      <c r="A85" s="33" t="s">
        <v>366</v>
      </c>
      <c r="B85" s="35">
        <v>1200</v>
      </c>
      <c r="C85" s="824">
        <v>38310444</v>
      </c>
      <c r="D85" s="41">
        <f>E85+F85+G85+H85</f>
        <v>40191268.650553077</v>
      </c>
      <c r="E85" s="41">
        <f>E44+E45+E49+E53</f>
        <v>10376512.717460269</v>
      </c>
      <c r="F85" s="41">
        <f>F44+F45+F49+F53</f>
        <v>9991194.30428827</v>
      </c>
      <c r="G85" s="41">
        <f>G44+G45+G49+G53</f>
        <v>9604320.3487842698</v>
      </c>
      <c r="H85" s="41">
        <f>H44+H45+H49+H53</f>
        <v>10219241.28002027</v>
      </c>
      <c r="I85" s="728"/>
    </row>
    <row r="86" spans="1:10" ht="19.5" customHeight="1">
      <c r="A86" s="33" t="s">
        <v>367</v>
      </c>
      <c r="B86" s="35">
        <v>1300</v>
      </c>
      <c r="C86" s="824">
        <v>33212342</v>
      </c>
      <c r="D86" s="41">
        <f>E86+F86+G86+H86</f>
        <v>36254415.190888003</v>
      </c>
      <c r="E86" s="41">
        <f>SUM(E57:E58)+E74+E75+E76+E81+E84+E60+E61+E62+SUM(E63:E67)+E77</f>
        <v>9830656.9900439996</v>
      </c>
      <c r="F86" s="41">
        <f>SUM(F57:F58)+F74+F75+F76+F81+F84+F60+F61+F62+SUM(F63:F67)+F77</f>
        <v>8893158.4868719988</v>
      </c>
      <c r="G86" s="41">
        <f>SUM(G57:G58)+G74+G75+G76+G81+G84+G60+G61+G62+SUM(G63:G67)+G77</f>
        <v>8280630.9013679996</v>
      </c>
      <c r="H86" s="41">
        <f>SUM(H57:H58)+H74+H75+H76+H81+H84+H60+H61+H62+SUM(H63:H67)+H77</f>
        <v>9249968.8126039989</v>
      </c>
      <c r="I86" s="728"/>
    </row>
    <row r="87" spans="1:10" ht="19.5" customHeight="1">
      <c r="A87" s="33" t="s">
        <v>368</v>
      </c>
      <c r="B87" s="35">
        <v>1400</v>
      </c>
      <c r="C87" s="824">
        <v>5098102</v>
      </c>
      <c r="D87" s="41">
        <f>D85-D86</f>
        <v>3936853.4596650749</v>
      </c>
      <c r="E87" s="41">
        <f>E85-E86</f>
        <v>545855.72741626948</v>
      </c>
      <c r="F87" s="41">
        <f>F85-F86</f>
        <v>1098035.8174162712</v>
      </c>
      <c r="G87" s="41">
        <f>G85-G86</f>
        <v>1323689.4474162702</v>
      </c>
      <c r="H87" s="41">
        <f>H85-H86</f>
        <v>969272.46741627157</v>
      </c>
      <c r="I87" s="728"/>
      <c r="J87" s="728"/>
    </row>
    <row r="88" spans="1:10" ht="19.5" customHeight="1">
      <c r="A88" s="754"/>
      <c r="B88" s="755"/>
      <c r="C88" s="755"/>
      <c r="D88" s="755"/>
      <c r="E88" s="755"/>
      <c r="F88" s="755"/>
      <c r="G88" s="755"/>
      <c r="H88" s="756"/>
    </row>
    <row r="89" spans="1:10" ht="19.5" customHeight="1">
      <c r="A89" s="754" t="s">
        <v>369</v>
      </c>
      <c r="B89" s="755"/>
      <c r="C89" s="755"/>
      <c r="D89" s="755"/>
      <c r="E89" s="755"/>
      <c r="F89" s="755"/>
      <c r="G89" s="755"/>
      <c r="H89" s="756"/>
    </row>
    <row r="90" spans="1:10" ht="19.5" customHeight="1">
      <c r="A90" s="22" t="s">
        <v>370</v>
      </c>
      <c r="B90" s="35">
        <v>2010</v>
      </c>
      <c r="C90" s="824">
        <v>4368134</v>
      </c>
      <c r="D90" s="41">
        <f>E90+F90+G90+H90</f>
        <v>4841787.5999999996</v>
      </c>
      <c r="E90" s="41">
        <f ca="1">'02_Видатки'!BH28+'02_Видатки'!BH44+'02_Видатки'!BH60+'02_Видатки'!BH73+'02_Видатки'!BH101+'02_Видатки'!BH127</f>
        <v>1210446.8999999999</v>
      </c>
      <c r="F90" s="41">
        <f ca="1">'02_Видатки'!BI28+'02_Видатки'!BI44+'02_Видатки'!BI60+'02_Видатки'!BI73+'02_Видатки'!BI101+'02_Видатки'!BI127</f>
        <v>1210446.8999999999</v>
      </c>
      <c r="G90" s="41">
        <f ca="1">'02_Видатки'!BJ28+'02_Видатки'!BJ44+'02_Видатки'!BJ60+'02_Видатки'!BJ73+'02_Видатки'!BJ101+'02_Видатки'!BJ127</f>
        <v>1210446.8999999999</v>
      </c>
      <c r="H90" s="41">
        <f ca="1">'02_Видатки'!BK28+'02_Видатки'!BK44+'02_Видатки'!BK60+'02_Видатки'!BK73+'02_Видатки'!BK101+'02_Видатки'!BK127</f>
        <v>1210446.8999999999</v>
      </c>
    </row>
    <row r="91" spans="1:10" ht="28.15" customHeight="1">
      <c r="A91" s="22" t="s">
        <v>371</v>
      </c>
      <c r="B91" s="35">
        <v>2020</v>
      </c>
      <c r="C91" s="824">
        <v>29799</v>
      </c>
      <c r="D91" s="41">
        <f>E91+F91+G91+H91</f>
        <v>43000</v>
      </c>
      <c r="E91" s="41">
        <f ca="1">'02_Видатки'!E193+'02_Видатки'!E198</f>
        <v>15000</v>
      </c>
      <c r="F91" s="41">
        <f ca="1">'02_Видатки'!F193+'02_Видатки'!F198</f>
        <v>6500</v>
      </c>
      <c r="G91" s="41">
        <f ca="1">'02_Видатки'!G193+'02_Видатки'!G198</f>
        <v>6500</v>
      </c>
      <c r="H91" s="41">
        <f ca="1">'02_Видатки'!H193+'02_Видатки'!H198</f>
        <v>15000</v>
      </c>
    </row>
    <row r="92" spans="1:10" ht="19.5" customHeight="1">
      <c r="A92" s="22" t="s">
        <v>372</v>
      </c>
      <c r="B92" s="35">
        <v>2030</v>
      </c>
      <c r="C92" s="824">
        <v>4872173</v>
      </c>
      <c r="D92" s="41">
        <f>E92+F92+G92+H92</f>
        <v>5403777.5999999996</v>
      </c>
      <c r="E92" s="41">
        <f ca="1">'02_Видатки'!BB28+'02_Видатки'!BB44+'02_Видатки'!BB60+'02_Видатки'!BB73+'02_Видатки'!BB101+'02_Видатки'!BB127</f>
        <v>1350944.4</v>
      </c>
      <c r="F92" s="41">
        <f ca="1">'02_Видатки'!BC28+'02_Видатки'!BC44+'02_Видатки'!BC60+'02_Видатки'!BC73+'02_Видатки'!BC101+'02_Видатки'!BC127</f>
        <v>1350944.4</v>
      </c>
      <c r="G92" s="41">
        <f ca="1">'02_Видатки'!BD28+'02_Видатки'!BD44+'02_Видатки'!BD60+'02_Видатки'!BD73+'02_Видатки'!BD101+'02_Видатки'!BD127</f>
        <v>1350944.4</v>
      </c>
      <c r="H92" s="41">
        <f ca="1">'02_Видатки'!BE28+'02_Видатки'!BE44+'02_Видатки'!BE60+'02_Видатки'!BE73+'02_Видатки'!BE101+'02_Видатки'!BE127</f>
        <v>1350944.4</v>
      </c>
    </row>
    <row r="93" spans="1:10" ht="29.45" customHeight="1">
      <c r="A93" s="22" t="s">
        <v>373</v>
      </c>
      <c r="B93" s="35">
        <v>2040</v>
      </c>
      <c r="C93" s="824">
        <f>D93</f>
        <v>0</v>
      </c>
      <c r="D93" s="41">
        <f>E93+F93+G93+H93</f>
        <v>0</v>
      </c>
      <c r="E93" s="41">
        <f ca="1">'02_Видатки'!E199</f>
        <v>0</v>
      </c>
      <c r="F93" s="41">
        <f ca="1">'02_Видатки'!F199</f>
        <v>0</v>
      </c>
      <c r="G93" s="41">
        <f ca="1">'02_Видатки'!G199</f>
        <v>0</v>
      </c>
      <c r="H93" s="41">
        <f ca="1">'02_Видатки'!H199</f>
        <v>0</v>
      </c>
    </row>
    <row r="94" spans="1:10" ht="19.5" customHeight="1">
      <c r="A94" s="830"/>
      <c r="B94" s="831"/>
      <c r="C94" s="831"/>
      <c r="D94" s="831"/>
      <c r="E94" s="831"/>
      <c r="F94" s="831"/>
      <c r="G94" s="831"/>
      <c r="H94" s="832"/>
    </row>
    <row r="95" spans="1:10" ht="20.100000000000001" customHeight="1">
      <c r="A95" s="754" t="s">
        <v>473</v>
      </c>
      <c r="B95" s="755"/>
      <c r="C95" s="755"/>
      <c r="D95" s="755"/>
      <c r="E95" s="755"/>
      <c r="F95" s="755"/>
      <c r="G95" s="755"/>
      <c r="H95" s="756"/>
    </row>
    <row r="96" spans="1:10" ht="22.15" customHeight="1">
      <c r="A96" s="33" t="s">
        <v>474</v>
      </c>
      <c r="B96" s="57">
        <v>3020</v>
      </c>
      <c r="C96" s="824">
        <v>1736000</v>
      </c>
      <c r="D96" s="41">
        <f t="shared" ref="D96:D102" si="3">E96+F96+G96+H96</f>
        <v>1520000</v>
      </c>
      <c r="E96" s="41">
        <f>SUM(E97:E102)</f>
        <v>650000</v>
      </c>
      <c r="F96" s="41">
        <f>SUM(F97:F102)</f>
        <v>290000</v>
      </c>
      <c r="G96" s="41">
        <f>SUM(G97:G102)</f>
        <v>190000</v>
      </c>
      <c r="H96" s="41">
        <f>SUM(H97:H102)</f>
        <v>390000</v>
      </c>
    </row>
    <row r="97" spans="1:8" ht="20.100000000000001" customHeight="1">
      <c r="A97" s="23" t="s">
        <v>374</v>
      </c>
      <c r="B97" s="34">
        <v>3021</v>
      </c>
      <c r="C97" s="824">
        <f t="shared" ref="C97:C104" si="4">D97</f>
        <v>0</v>
      </c>
      <c r="D97" s="41">
        <f t="shared" si="3"/>
        <v>0</v>
      </c>
      <c r="E97" s="41">
        <f ca="1">'02_Видатки'!E200</f>
        <v>0</v>
      </c>
      <c r="F97" s="41">
        <f ca="1">'02_Видатки'!F200</f>
        <v>0</v>
      </c>
      <c r="G97" s="41">
        <f ca="1">'02_Видатки'!G200</f>
        <v>0</v>
      </c>
      <c r="H97" s="41">
        <f ca="1">'02_Видатки'!H200</f>
        <v>0</v>
      </c>
    </row>
    <row r="98" spans="1:8" ht="20.100000000000001" customHeight="1">
      <c r="A98" s="23" t="s">
        <v>375</v>
      </c>
      <c r="B98" s="57">
        <v>3022</v>
      </c>
      <c r="C98" s="824">
        <v>1140000</v>
      </c>
      <c r="D98" s="41">
        <f t="shared" si="3"/>
        <v>1100000</v>
      </c>
      <c r="E98" s="41">
        <f ca="1">'03_МТО'!C155+'03_МТО'!C163+'02_Видатки'!E201</f>
        <v>500000</v>
      </c>
      <c r="F98" s="41">
        <f ca="1">'03_МТО'!D155+'03_МТО'!D163+'02_Видатки'!F201</f>
        <v>200000</v>
      </c>
      <c r="G98" s="41">
        <f ca="1">'03_МТО'!E155+'03_МТО'!E163+'02_Видатки'!G201</f>
        <v>100000</v>
      </c>
      <c r="H98" s="41">
        <f ca="1">'03_МТО'!F155+'03_МТО'!F163+'02_Видатки'!H201</f>
        <v>300000</v>
      </c>
    </row>
    <row r="99" spans="1:8" ht="20.100000000000001" customHeight="1">
      <c r="A99" s="23" t="s">
        <v>376</v>
      </c>
      <c r="B99" s="34">
        <v>3023</v>
      </c>
      <c r="C99" s="824">
        <v>596000</v>
      </c>
      <c r="D99" s="41">
        <f t="shared" si="3"/>
        <v>420000</v>
      </c>
      <c r="E99" s="41">
        <f ca="1">'03_МТО'!C154+'03_МТО'!C156+'03_МТО'!C162+'03_МТО'!C164+'02_Видатки'!E202</f>
        <v>150000</v>
      </c>
      <c r="F99" s="41">
        <f ca="1">'03_МТО'!D154+'03_МТО'!D156+'03_МТО'!D162+'03_МТО'!D164+'02_Видатки'!F202</f>
        <v>90000</v>
      </c>
      <c r="G99" s="41">
        <f ca="1">'03_МТО'!E154+'03_МТО'!E156+'03_МТО'!E162+'03_МТО'!E164+'02_Видатки'!G202</f>
        <v>90000</v>
      </c>
      <c r="H99" s="41">
        <f ca="1">'03_МТО'!F154+'03_МТО'!F156+'03_МТО'!F162+'03_МТО'!F164+'02_Видатки'!H202</f>
        <v>90000</v>
      </c>
    </row>
    <row r="100" spans="1:8" ht="20.100000000000001" customHeight="1">
      <c r="A100" s="23" t="s">
        <v>377</v>
      </c>
      <c r="B100" s="57">
        <v>3024</v>
      </c>
      <c r="C100" s="824">
        <f t="shared" si="4"/>
        <v>0</v>
      </c>
      <c r="D100" s="41">
        <f t="shared" si="3"/>
        <v>0</v>
      </c>
      <c r="E100" s="41">
        <f ca="1">'02_Видатки'!E203</f>
        <v>0</v>
      </c>
      <c r="F100" s="41">
        <f ca="1">'02_Видатки'!F203</f>
        <v>0</v>
      </c>
      <c r="G100" s="41">
        <f ca="1">'02_Видатки'!G203</f>
        <v>0</v>
      </c>
      <c r="H100" s="41">
        <f ca="1">'02_Видатки'!H203</f>
        <v>0</v>
      </c>
    </row>
    <row r="101" spans="1:8" ht="37.9" customHeight="1">
      <c r="A101" s="23" t="s">
        <v>378</v>
      </c>
      <c r="B101" s="34">
        <v>3025</v>
      </c>
      <c r="C101" s="824">
        <f t="shared" si="4"/>
        <v>0</v>
      </c>
      <c r="D101" s="41">
        <f t="shared" si="3"/>
        <v>0</v>
      </c>
      <c r="E101" s="41">
        <f ca="1">'02_Видатки'!E204</f>
        <v>0</v>
      </c>
      <c r="F101" s="41">
        <f ca="1">'02_Видатки'!F204</f>
        <v>0</v>
      </c>
      <c r="G101" s="41">
        <f ca="1">'02_Видатки'!G204</f>
        <v>0</v>
      </c>
      <c r="H101" s="41">
        <f ca="1">'02_Видатки'!H204</f>
        <v>0</v>
      </c>
    </row>
    <row r="102" spans="1:8" ht="20.100000000000001" customHeight="1">
      <c r="A102" s="23" t="s">
        <v>379</v>
      </c>
      <c r="B102" s="57">
        <v>3026</v>
      </c>
      <c r="C102" s="824">
        <f t="shared" si="4"/>
        <v>0</v>
      </c>
      <c r="D102" s="41">
        <f t="shared" si="3"/>
        <v>0</v>
      </c>
      <c r="E102" s="41">
        <f ca="1">'02_Видатки'!E205</f>
        <v>0</v>
      </c>
      <c r="F102" s="41">
        <f ca="1">'02_Видатки'!F205</f>
        <v>0</v>
      </c>
      <c r="G102" s="41">
        <f ca="1">'02_Видатки'!G205</f>
        <v>0</v>
      </c>
      <c r="H102" s="41">
        <f ca="1">'02_Видатки'!H205</f>
        <v>0</v>
      </c>
    </row>
    <row r="103" spans="1:8" ht="23.45" customHeight="1">
      <c r="A103" s="22" t="s">
        <v>552</v>
      </c>
      <c r="B103" s="35">
        <v>3030</v>
      </c>
      <c r="C103" s="824">
        <f t="shared" si="4"/>
        <v>0</v>
      </c>
      <c r="D103" s="41">
        <f>E103+F103+G103+H103</f>
        <v>0</v>
      </c>
      <c r="E103" s="41">
        <f ca="1">'02_Видатки'!E206</f>
        <v>0</v>
      </c>
      <c r="F103" s="41">
        <f ca="1">'02_Видатки'!F206</f>
        <v>0</v>
      </c>
      <c r="G103" s="41">
        <f ca="1">'02_Видатки'!G206</f>
        <v>0</v>
      </c>
      <c r="H103" s="41">
        <f ca="1">'02_Видатки'!H206</f>
        <v>0</v>
      </c>
    </row>
    <row r="104" spans="1:8" ht="24" customHeight="1">
      <c r="A104" s="22" t="s">
        <v>692</v>
      </c>
      <c r="B104" s="35">
        <v>3040</v>
      </c>
      <c r="C104" s="824">
        <f t="shared" si="4"/>
        <v>0</v>
      </c>
      <c r="D104" s="41">
        <f>E104+F104+G104+H104</f>
        <v>0</v>
      </c>
      <c r="E104" s="41">
        <f ca="1">'02_Видатки'!E207</f>
        <v>0</v>
      </c>
      <c r="F104" s="41">
        <f ca="1">'02_Видатки'!F207</f>
        <v>0</v>
      </c>
      <c r="G104" s="41">
        <f ca="1">'02_Видатки'!G207</f>
        <v>0</v>
      </c>
      <c r="H104" s="41">
        <f ca="1">'02_Видатки'!H207</f>
        <v>0</v>
      </c>
    </row>
    <row r="105" spans="1:8" ht="20.100000000000001" customHeight="1">
      <c r="A105" s="830"/>
      <c r="B105" s="831"/>
      <c r="C105" s="831"/>
      <c r="D105" s="831"/>
      <c r="E105" s="831"/>
      <c r="F105" s="831"/>
      <c r="G105" s="831"/>
      <c r="H105" s="832"/>
    </row>
    <row r="106" spans="1:8" ht="20.100000000000001" customHeight="1">
      <c r="A106" s="754" t="s">
        <v>475</v>
      </c>
      <c r="B106" s="755"/>
      <c r="C106" s="755"/>
      <c r="D106" s="755"/>
      <c r="E106" s="755"/>
      <c r="F106" s="755"/>
      <c r="G106" s="755"/>
      <c r="H106" s="756"/>
    </row>
    <row r="107" spans="1:8" ht="20.100000000000001" customHeight="1">
      <c r="A107" s="22" t="s">
        <v>380</v>
      </c>
      <c r="B107" s="35">
        <v>4010</v>
      </c>
      <c r="C107" s="824">
        <f>D107</f>
        <v>0</v>
      </c>
      <c r="D107" s="41">
        <f t="shared" ref="D107:D116" si="5">E107+F107+G107+H107</f>
        <v>0</v>
      </c>
      <c r="E107" s="41">
        <f>F107+G107+H107+I107</f>
        <v>0</v>
      </c>
      <c r="F107" s="41">
        <f>G107+H107+I107+J107</f>
        <v>0</v>
      </c>
      <c r="G107" s="41">
        <f>H107+I107+J107+K107</f>
        <v>0</v>
      </c>
      <c r="H107" s="41">
        <f>I107+J107+K107+L107</f>
        <v>0</v>
      </c>
    </row>
    <row r="108" spans="1:8" ht="20.100000000000001" customHeight="1">
      <c r="A108" s="23" t="s">
        <v>381</v>
      </c>
      <c r="B108" s="35">
        <v>4011</v>
      </c>
      <c r="C108" s="824">
        <f t="shared" ref="C108:C116" si="6">D108</f>
        <v>0</v>
      </c>
      <c r="D108" s="41">
        <f t="shared" si="5"/>
        <v>0</v>
      </c>
      <c r="E108" s="42">
        <v>0</v>
      </c>
      <c r="F108" s="42">
        <v>0</v>
      </c>
      <c r="G108" s="42">
        <v>0</v>
      </c>
      <c r="H108" s="42">
        <v>0</v>
      </c>
    </row>
    <row r="109" spans="1:8" ht="20.100000000000001" customHeight="1">
      <c r="A109" s="23" t="s">
        <v>382</v>
      </c>
      <c r="B109" s="35">
        <v>4012</v>
      </c>
      <c r="C109" s="824">
        <f t="shared" si="6"/>
        <v>0</v>
      </c>
      <c r="D109" s="41">
        <f t="shared" si="5"/>
        <v>0</v>
      </c>
      <c r="E109" s="42">
        <v>0</v>
      </c>
      <c r="F109" s="42">
        <v>0</v>
      </c>
      <c r="G109" s="42">
        <v>0</v>
      </c>
      <c r="H109" s="42">
        <v>0</v>
      </c>
    </row>
    <row r="110" spans="1:8" ht="20.100000000000001" customHeight="1">
      <c r="A110" s="23" t="s">
        <v>383</v>
      </c>
      <c r="B110" s="35">
        <v>4013</v>
      </c>
      <c r="C110" s="824">
        <v>824500</v>
      </c>
      <c r="D110" s="41">
        <f t="shared" si="5"/>
        <v>1380000</v>
      </c>
      <c r="E110" s="42">
        <f>E54</f>
        <v>345000</v>
      </c>
      <c r="F110" s="42">
        <f>F54</f>
        <v>345000</v>
      </c>
      <c r="G110" s="42">
        <f>G54</f>
        <v>345000</v>
      </c>
      <c r="H110" s="42">
        <f>H54</f>
        <v>345000</v>
      </c>
    </row>
    <row r="111" spans="1:8" ht="20.100000000000001" customHeight="1">
      <c r="A111" s="22" t="s">
        <v>384</v>
      </c>
      <c r="B111" s="35">
        <v>4020</v>
      </c>
      <c r="C111" s="824">
        <f t="shared" si="6"/>
        <v>0</v>
      </c>
      <c r="D111" s="41">
        <f t="shared" si="5"/>
        <v>0</v>
      </c>
      <c r="E111" s="42">
        <v>0</v>
      </c>
      <c r="F111" s="42">
        <v>0</v>
      </c>
      <c r="G111" s="42">
        <v>0</v>
      </c>
      <c r="H111" s="42">
        <v>0</v>
      </c>
    </row>
    <row r="112" spans="1:8" ht="20.100000000000001" customHeight="1">
      <c r="A112" s="22" t="s">
        <v>385</v>
      </c>
      <c r="B112" s="35">
        <v>4030</v>
      </c>
      <c r="C112" s="824">
        <f t="shared" si="6"/>
        <v>0</v>
      </c>
      <c r="D112" s="41">
        <f t="shared" si="5"/>
        <v>0</v>
      </c>
      <c r="E112" s="42">
        <v>0</v>
      </c>
      <c r="F112" s="42">
        <v>0</v>
      </c>
      <c r="G112" s="42">
        <v>0</v>
      </c>
      <c r="H112" s="42">
        <v>0</v>
      </c>
    </row>
    <row r="113" spans="1:8" ht="20.100000000000001" customHeight="1">
      <c r="A113" s="23" t="s">
        <v>381</v>
      </c>
      <c r="B113" s="35">
        <v>4031</v>
      </c>
      <c r="C113" s="824">
        <f t="shared" si="6"/>
        <v>0</v>
      </c>
      <c r="D113" s="41">
        <f t="shared" si="5"/>
        <v>0</v>
      </c>
      <c r="E113" s="42">
        <v>0</v>
      </c>
      <c r="F113" s="42">
        <v>0</v>
      </c>
      <c r="G113" s="42">
        <v>0</v>
      </c>
      <c r="H113" s="42">
        <v>0</v>
      </c>
    </row>
    <row r="114" spans="1:8" ht="20.100000000000001" customHeight="1">
      <c r="A114" s="23" t="s">
        <v>382</v>
      </c>
      <c r="B114" s="35">
        <v>4032</v>
      </c>
      <c r="C114" s="824">
        <f t="shared" si="6"/>
        <v>0</v>
      </c>
      <c r="D114" s="41">
        <f t="shared" si="5"/>
        <v>0</v>
      </c>
      <c r="E114" s="42">
        <v>0</v>
      </c>
      <c r="F114" s="42">
        <v>0</v>
      </c>
      <c r="G114" s="42">
        <v>0</v>
      </c>
      <c r="H114" s="42">
        <v>0</v>
      </c>
    </row>
    <row r="115" spans="1:8" ht="20.100000000000001" customHeight="1">
      <c r="A115" s="23" t="s">
        <v>383</v>
      </c>
      <c r="B115" s="35">
        <v>4033</v>
      </c>
      <c r="C115" s="824">
        <f t="shared" si="6"/>
        <v>0</v>
      </c>
      <c r="D115" s="41">
        <f t="shared" si="5"/>
        <v>0</v>
      </c>
      <c r="E115" s="42">
        <v>0</v>
      </c>
      <c r="F115" s="42">
        <v>0</v>
      </c>
      <c r="G115" s="42">
        <v>0</v>
      </c>
      <c r="H115" s="42">
        <v>0</v>
      </c>
    </row>
    <row r="116" spans="1:8" ht="20.100000000000001" customHeight="1">
      <c r="A116" s="22" t="s">
        <v>386</v>
      </c>
      <c r="B116" s="35">
        <v>4040</v>
      </c>
      <c r="C116" s="824">
        <f t="shared" si="6"/>
        <v>0</v>
      </c>
      <c r="D116" s="41">
        <f t="shared" si="5"/>
        <v>0</v>
      </c>
      <c r="E116" s="42">
        <v>0</v>
      </c>
      <c r="F116" s="42">
        <v>0</v>
      </c>
      <c r="G116" s="42">
        <v>0</v>
      </c>
      <c r="H116" s="42">
        <v>0</v>
      </c>
    </row>
    <row r="117" spans="1:8" s="38" customFormat="1" ht="19.5" customHeight="1">
      <c r="A117" s="833"/>
      <c r="B117" s="834"/>
      <c r="C117" s="834"/>
      <c r="D117" s="834"/>
      <c r="E117" s="834"/>
      <c r="F117" s="834"/>
      <c r="G117" s="834"/>
      <c r="H117" s="835"/>
    </row>
    <row r="118" spans="1:8" s="38" customFormat="1" ht="19.5" customHeight="1">
      <c r="A118" s="754" t="s">
        <v>387</v>
      </c>
      <c r="B118" s="755"/>
      <c r="C118" s="755"/>
      <c r="D118" s="755"/>
      <c r="E118" s="755"/>
      <c r="F118" s="755"/>
      <c r="G118" s="755"/>
      <c r="H118" s="756"/>
    </row>
    <row r="119" spans="1:8" s="38" customFormat="1" ht="21.6" customHeight="1">
      <c r="A119" s="22" t="s">
        <v>388</v>
      </c>
      <c r="B119" s="35">
        <v>5010</v>
      </c>
      <c r="C119" s="836" t="s">
        <v>425</v>
      </c>
      <c r="D119" s="34" t="s">
        <v>425</v>
      </c>
      <c r="E119" s="34" t="s">
        <v>425</v>
      </c>
      <c r="F119" s="34" t="s">
        <v>425</v>
      </c>
      <c r="G119" s="34" t="s">
        <v>425</v>
      </c>
      <c r="H119" s="34" t="s">
        <v>425</v>
      </c>
    </row>
    <row r="120" spans="1:8" s="38" customFormat="1">
      <c r="A120" s="22" t="s">
        <v>389</v>
      </c>
      <c r="B120" s="35">
        <v>5020</v>
      </c>
      <c r="C120" s="836" t="s">
        <v>425</v>
      </c>
      <c r="D120" s="34" t="s">
        <v>425</v>
      </c>
      <c r="E120" s="34" t="s">
        <v>425</v>
      </c>
      <c r="F120" s="34" t="s">
        <v>425</v>
      </c>
      <c r="G120" s="34" t="s">
        <v>425</v>
      </c>
      <c r="H120" s="34" t="s">
        <v>425</v>
      </c>
    </row>
    <row r="121" spans="1:8" s="38" customFormat="1" ht="43.15" customHeight="1">
      <c r="A121" s="22" t="s">
        <v>572</v>
      </c>
      <c r="B121" s="35">
        <v>5030</v>
      </c>
      <c r="C121" s="836" t="s">
        <v>425</v>
      </c>
      <c r="D121" s="34" t="s">
        <v>425</v>
      </c>
      <c r="E121" s="34" t="s">
        <v>425</v>
      </c>
      <c r="F121" s="34" t="s">
        <v>425</v>
      </c>
      <c r="G121" s="34" t="s">
        <v>425</v>
      </c>
      <c r="H121" s="34" t="s">
        <v>425</v>
      </c>
    </row>
    <row r="122" spans="1:8" s="38" customFormat="1" ht="19.5" customHeight="1">
      <c r="A122" s="22" t="s">
        <v>390</v>
      </c>
      <c r="B122" s="35">
        <v>5040</v>
      </c>
      <c r="C122" s="836" t="s">
        <v>425</v>
      </c>
      <c r="D122" s="34" t="s">
        <v>425</v>
      </c>
      <c r="E122" s="34" t="s">
        <v>425</v>
      </c>
      <c r="F122" s="34" t="s">
        <v>425</v>
      </c>
      <c r="G122" s="34" t="s">
        <v>425</v>
      </c>
      <c r="H122" s="34" t="s">
        <v>425</v>
      </c>
    </row>
    <row r="123" spans="1:8" s="38" customFormat="1" ht="19.5" customHeight="1">
      <c r="A123" s="754"/>
      <c r="B123" s="755"/>
      <c r="C123" s="755"/>
      <c r="D123" s="755"/>
      <c r="E123" s="755"/>
      <c r="F123" s="755"/>
      <c r="G123" s="755"/>
      <c r="H123" s="756"/>
    </row>
    <row r="124" spans="1:8" s="38" customFormat="1" ht="19.5" customHeight="1">
      <c r="A124" s="754" t="s">
        <v>391</v>
      </c>
      <c r="B124" s="755"/>
      <c r="C124" s="755"/>
      <c r="D124" s="755"/>
      <c r="E124" s="755"/>
      <c r="F124" s="755"/>
      <c r="G124" s="755"/>
      <c r="H124" s="756"/>
    </row>
    <row r="125" spans="1:8" s="38" customFormat="1" ht="19.5" customHeight="1">
      <c r="A125" s="22" t="s">
        <v>586</v>
      </c>
      <c r="B125" s="34">
        <v>6010</v>
      </c>
      <c r="C125" s="836" t="s">
        <v>425</v>
      </c>
      <c r="D125" s="34" t="s">
        <v>425</v>
      </c>
      <c r="E125" s="34" t="s">
        <v>425</v>
      </c>
      <c r="F125" s="34" t="s">
        <v>425</v>
      </c>
      <c r="G125" s="34" t="s">
        <v>425</v>
      </c>
      <c r="H125" s="34" t="s">
        <v>425</v>
      </c>
    </row>
    <row r="126" spans="1:8" s="38" customFormat="1" ht="19.5" customHeight="1">
      <c r="A126" s="22" t="s">
        <v>587</v>
      </c>
      <c r="B126" s="34">
        <v>6020</v>
      </c>
      <c r="C126" s="836" t="s">
        <v>425</v>
      </c>
      <c r="D126" s="34" t="s">
        <v>425</v>
      </c>
      <c r="E126" s="34" t="s">
        <v>425</v>
      </c>
      <c r="F126" s="34" t="s">
        <v>425</v>
      </c>
      <c r="G126" s="34" t="s">
        <v>425</v>
      </c>
      <c r="H126" s="34" t="s">
        <v>425</v>
      </c>
    </row>
    <row r="127" spans="1:8" s="38" customFormat="1" ht="19.5" customHeight="1">
      <c r="A127" s="22" t="s">
        <v>392</v>
      </c>
      <c r="B127" s="34">
        <v>6030</v>
      </c>
      <c r="C127" s="836" t="s">
        <v>425</v>
      </c>
      <c r="D127" s="34" t="s">
        <v>425</v>
      </c>
      <c r="E127" s="34" t="s">
        <v>425</v>
      </c>
      <c r="F127" s="34" t="s">
        <v>425</v>
      </c>
      <c r="G127" s="34" t="s">
        <v>425</v>
      </c>
      <c r="H127" s="34" t="s">
        <v>425</v>
      </c>
    </row>
    <row r="128" spans="1:8" s="38" customFormat="1" ht="18" customHeight="1">
      <c r="A128" s="22" t="s">
        <v>393</v>
      </c>
      <c r="B128" s="34">
        <v>6040</v>
      </c>
      <c r="C128" s="836" t="s">
        <v>425</v>
      </c>
      <c r="D128" s="34" t="s">
        <v>425</v>
      </c>
      <c r="E128" s="34" t="s">
        <v>425</v>
      </c>
      <c r="F128" s="34" t="s">
        <v>425</v>
      </c>
      <c r="G128" s="34" t="s">
        <v>425</v>
      </c>
      <c r="H128" s="34" t="s">
        <v>425</v>
      </c>
    </row>
    <row r="129" spans="1:9" s="38" customFormat="1" ht="20.45" customHeight="1">
      <c r="A129" s="22" t="s">
        <v>394</v>
      </c>
      <c r="B129" s="34">
        <v>6050</v>
      </c>
      <c r="C129" s="836" t="s">
        <v>425</v>
      </c>
      <c r="D129" s="34" t="s">
        <v>425</v>
      </c>
      <c r="E129" s="34" t="s">
        <v>425</v>
      </c>
      <c r="F129" s="34" t="s">
        <v>425</v>
      </c>
      <c r="G129" s="34" t="s">
        <v>425</v>
      </c>
      <c r="H129" s="34" t="s">
        <v>425</v>
      </c>
    </row>
    <row r="130" spans="1:9" s="38" customFormat="1" ht="19.5" customHeight="1">
      <c r="A130" s="830"/>
      <c r="B130" s="831"/>
      <c r="C130" s="831"/>
      <c r="D130" s="831"/>
      <c r="E130" s="831"/>
      <c r="F130" s="831"/>
      <c r="G130" s="831"/>
      <c r="H130" s="832"/>
    </row>
    <row r="131" spans="1:9" ht="19.5" customHeight="1">
      <c r="A131" s="754" t="s">
        <v>395</v>
      </c>
      <c r="B131" s="755"/>
      <c r="C131" s="755"/>
      <c r="D131" s="755"/>
      <c r="E131" s="755"/>
      <c r="F131" s="755"/>
      <c r="G131" s="755"/>
      <c r="H131" s="756"/>
    </row>
    <row r="132" spans="1:9" ht="37.5">
      <c r="A132" s="22" t="s">
        <v>396</v>
      </c>
      <c r="B132" s="47">
        <v>7010</v>
      </c>
      <c r="C132" s="838">
        <f>SUM(C133:C138)</f>
        <v>105.5</v>
      </c>
      <c r="D132" s="757">
        <f>D133+D134+D135+D136+D137+D138</f>
        <v>105.5</v>
      </c>
      <c r="E132" s="757">
        <f>E133+E134+E135+E136+E137+E138</f>
        <v>105.5</v>
      </c>
      <c r="F132" s="757">
        <f>F133+F134+F135+F136+F137+F138</f>
        <v>105.5</v>
      </c>
      <c r="G132" s="757">
        <f>G133+G134+G135+G136+G137+G138</f>
        <v>105.5</v>
      </c>
      <c r="H132" s="757">
        <f>H133+H134+H135+H136+H137+H138</f>
        <v>105.5</v>
      </c>
    </row>
    <row r="133" spans="1:9" ht="22.9" customHeight="1">
      <c r="A133" s="23" t="s">
        <v>513</v>
      </c>
      <c r="B133" s="47">
        <v>7011</v>
      </c>
      <c r="C133" s="838">
        <v>4.5</v>
      </c>
      <c r="D133" s="757">
        <f ca="1">'02_Видатки'!L28</f>
        <v>4.5</v>
      </c>
      <c r="E133" s="757">
        <f ca="1">'02_Видатки'!I28</f>
        <v>4.5</v>
      </c>
      <c r="F133" s="757">
        <f ca="1">'02_Видатки'!J28</f>
        <v>4.5</v>
      </c>
      <c r="G133" s="757">
        <f ca="1">'02_Видатки'!K28</f>
        <v>4.5</v>
      </c>
      <c r="H133" s="757">
        <f ca="1">'02_Видатки'!L28</f>
        <v>4.5</v>
      </c>
    </row>
    <row r="134" spans="1:9" ht="19.5" customHeight="1">
      <c r="A134" s="23" t="s">
        <v>295</v>
      </c>
      <c r="B134" s="47">
        <v>7012</v>
      </c>
      <c r="C134" s="838">
        <v>21.5</v>
      </c>
      <c r="D134" s="757">
        <f ca="1">'02_Видатки'!L44</f>
        <v>21.5</v>
      </c>
      <c r="E134" s="757">
        <f ca="1">'02_Видатки'!I44</f>
        <v>21.5</v>
      </c>
      <c r="F134" s="757">
        <f ca="1">'02_Видатки'!J44</f>
        <v>21.5</v>
      </c>
      <c r="G134" s="757">
        <f ca="1">'02_Видатки'!K44</f>
        <v>21.5</v>
      </c>
      <c r="H134" s="757">
        <f ca="1">'02_Видатки'!L44</f>
        <v>21.5</v>
      </c>
    </row>
    <row r="135" spans="1:9" ht="19.5" customHeight="1">
      <c r="A135" s="23" t="s">
        <v>398</v>
      </c>
      <c r="B135" s="47">
        <v>7013</v>
      </c>
      <c r="C135" s="838">
        <v>48</v>
      </c>
      <c r="D135" s="757">
        <f ca="1">'02_Видатки'!L60</f>
        <v>48</v>
      </c>
      <c r="E135" s="757">
        <f ca="1">'02_Видатки'!I60</f>
        <v>48</v>
      </c>
      <c r="F135" s="757">
        <f ca="1">'02_Видатки'!J60</f>
        <v>48</v>
      </c>
      <c r="G135" s="757">
        <f ca="1">'02_Видатки'!K60</f>
        <v>48</v>
      </c>
      <c r="H135" s="757">
        <f ca="1">'02_Видатки'!L60</f>
        <v>48</v>
      </c>
    </row>
    <row r="136" spans="1:9" ht="19.5" customHeight="1">
      <c r="A136" s="23" t="s">
        <v>399</v>
      </c>
      <c r="B136" s="47">
        <v>7014</v>
      </c>
      <c r="C136" s="839">
        <v>8.75</v>
      </c>
      <c r="D136" s="812">
        <f ca="1">'02_Видатки'!L73</f>
        <v>8.75</v>
      </c>
      <c r="E136" s="812">
        <f ca="1">'02_Видатки'!I73</f>
        <v>8.75</v>
      </c>
      <c r="F136" s="812">
        <f ca="1">'02_Видатки'!J73</f>
        <v>8.75</v>
      </c>
      <c r="G136" s="812">
        <f ca="1">'02_Видатки'!K73</f>
        <v>8.75</v>
      </c>
      <c r="H136" s="812">
        <f ca="1">'02_Видатки'!L73</f>
        <v>8.75</v>
      </c>
    </row>
    <row r="137" spans="1:9" ht="19.5" customHeight="1">
      <c r="A137" s="23" t="s">
        <v>397</v>
      </c>
      <c r="B137" s="47">
        <v>7015</v>
      </c>
      <c r="C137" s="838">
        <v>10.5</v>
      </c>
      <c r="D137" s="757">
        <f ca="1">'02_Видатки'!L101</f>
        <v>10.5</v>
      </c>
      <c r="E137" s="757">
        <f ca="1">'02_Видатки'!I101</f>
        <v>10.5</v>
      </c>
      <c r="F137" s="757">
        <f ca="1">'02_Видатки'!J101</f>
        <v>10.5</v>
      </c>
      <c r="G137" s="757">
        <f ca="1">'02_Видатки'!K101</f>
        <v>10.5</v>
      </c>
      <c r="H137" s="757">
        <f ca="1">'02_Видатки'!L101</f>
        <v>10.5</v>
      </c>
    </row>
    <row r="138" spans="1:9" ht="19.5" customHeight="1">
      <c r="A138" s="23" t="s">
        <v>564</v>
      </c>
      <c r="B138" s="47">
        <v>7016</v>
      </c>
      <c r="C138" s="839">
        <v>12.25</v>
      </c>
      <c r="D138" s="812">
        <f ca="1">'02_Видатки'!L127</f>
        <v>12.25</v>
      </c>
      <c r="E138" s="812">
        <f ca="1">'02_Видатки'!I127</f>
        <v>12.25</v>
      </c>
      <c r="F138" s="812">
        <f ca="1">'02_Видатки'!J127</f>
        <v>12.25</v>
      </c>
      <c r="G138" s="812">
        <f ca="1">'02_Видатки'!K127</f>
        <v>12.25</v>
      </c>
      <c r="H138" s="812">
        <f ca="1">'02_Видатки'!L127</f>
        <v>12.25</v>
      </c>
    </row>
    <row r="139" spans="1:9" ht="19.5" customHeight="1">
      <c r="A139" s="22" t="s">
        <v>400</v>
      </c>
      <c r="B139" s="47">
        <v>7020</v>
      </c>
      <c r="C139" s="824">
        <v>22400685</v>
      </c>
      <c r="D139" s="41">
        <f ca="1">SUM(D140:D145)</f>
        <v>24829680</v>
      </c>
      <c r="E139" s="41">
        <f ca="1">SUM(E140:E145)</f>
        <v>6207420</v>
      </c>
      <c r="F139" s="41">
        <f ca="1">SUM(F140:F145)</f>
        <v>6207420</v>
      </c>
      <c r="G139" s="41">
        <f ca="1">SUM(G140:G145)</f>
        <v>6207420</v>
      </c>
      <c r="H139" s="41">
        <f ca="1">SUM(H140:H145)</f>
        <v>6207420</v>
      </c>
      <c r="I139" s="728"/>
    </row>
    <row r="140" spans="1:9" ht="19.5" customHeight="1">
      <c r="A140" s="23" t="s">
        <v>513</v>
      </c>
      <c r="B140" s="47">
        <v>7021</v>
      </c>
      <c r="C140" s="824">
        <v>1632120</v>
      </c>
      <c r="D140" s="41">
        <f ca="1">'02_Видатки'!AU28</f>
        <v>2130120</v>
      </c>
      <c r="E140" s="41">
        <f ca="1">'02_Видатки'!AQ28</f>
        <v>532530</v>
      </c>
      <c r="F140" s="41">
        <f ca="1">'02_Видатки'!AR28</f>
        <v>532530</v>
      </c>
      <c r="G140" s="41">
        <f ca="1">'02_Видатки'!AS28</f>
        <v>532530</v>
      </c>
      <c r="H140" s="41">
        <f ca="1">'02_Видатки'!AT28</f>
        <v>532530</v>
      </c>
      <c r="I140" s="728"/>
    </row>
    <row r="141" spans="1:9" ht="19.5" customHeight="1">
      <c r="A141" s="23" t="s">
        <v>295</v>
      </c>
      <c r="B141" s="47">
        <v>7022</v>
      </c>
      <c r="C141" s="824">
        <v>7778640</v>
      </c>
      <c r="D141" s="41">
        <f ca="1">'02_Видатки'!AU44</f>
        <v>7979760</v>
      </c>
      <c r="E141" s="41">
        <f ca="1">'02_Видатки'!AQ44</f>
        <v>1994940</v>
      </c>
      <c r="F141" s="41">
        <f ca="1">'02_Видатки'!AR44</f>
        <v>1994940</v>
      </c>
      <c r="G141" s="41">
        <f ca="1">'02_Видатки'!AS44</f>
        <v>1994940</v>
      </c>
      <c r="H141" s="41">
        <f ca="1">'02_Видатки'!AT44</f>
        <v>1994940</v>
      </c>
    </row>
    <row r="142" spans="1:9" ht="19.5" customHeight="1">
      <c r="A142" s="23" t="s">
        <v>398</v>
      </c>
      <c r="B142" s="47">
        <v>7023</v>
      </c>
      <c r="C142" s="824">
        <v>8278200</v>
      </c>
      <c r="D142" s="41">
        <f ca="1">'02_Видатки'!AU60</f>
        <v>9444600</v>
      </c>
      <c r="E142" s="758">
        <f ca="1">'02_Видатки'!AQ60</f>
        <v>2361150</v>
      </c>
      <c r="F142" s="758">
        <f ca="1">'02_Видатки'!AR60</f>
        <v>2361150</v>
      </c>
      <c r="G142" s="758">
        <f ca="1">'02_Видатки'!AS60</f>
        <v>2361150</v>
      </c>
      <c r="H142" s="758">
        <f ca="1">'02_Видатки'!AT60</f>
        <v>2361150</v>
      </c>
    </row>
    <row r="143" spans="1:9" ht="19.5" customHeight="1">
      <c r="A143" s="23" t="s">
        <v>399</v>
      </c>
      <c r="B143" s="47">
        <v>7024</v>
      </c>
      <c r="C143" s="824">
        <v>955500</v>
      </c>
      <c r="D143" s="41">
        <f ca="1">'02_Видатки'!AU73</f>
        <v>1102500</v>
      </c>
      <c r="E143" s="41">
        <f ca="1">'02_Видатки'!AQ73</f>
        <v>275625</v>
      </c>
      <c r="F143" s="41">
        <f ca="1">'02_Видатки'!AR73</f>
        <v>275625</v>
      </c>
      <c r="G143" s="41">
        <f ca="1">'02_Видатки'!AS73</f>
        <v>275625</v>
      </c>
      <c r="H143" s="41">
        <f ca="1">'02_Видатки'!AT73</f>
        <v>275625</v>
      </c>
    </row>
    <row r="144" spans="1:9">
      <c r="A144" s="23" t="s">
        <v>397</v>
      </c>
      <c r="B144" s="47">
        <v>7025</v>
      </c>
      <c r="C144" s="824">
        <v>2420025</v>
      </c>
      <c r="D144" s="41">
        <f ca="1">'02_Видатки'!AU101</f>
        <v>2613000</v>
      </c>
      <c r="E144" s="41">
        <f ca="1">'02_Видатки'!AQ101</f>
        <v>653250</v>
      </c>
      <c r="F144" s="41">
        <f ca="1">'02_Видатки'!AR101</f>
        <v>653250</v>
      </c>
      <c r="G144" s="41">
        <f ca="1">'02_Видатки'!AS101</f>
        <v>653250</v>
      </c>
      <c r="H144" s="41">
        <f ca="1">'02_Видатки'!AT101</f>
        <v>653250</v>
      </c>
    </row>
    <row r="145" spans="1:9" ht="19.5" customHeight="1">
      <c r="A145" s="23" t="s">
        <v>564</v>
      </c>
      <c r="B145" s="47">
        <v>7026</v>
      </c>
      <c r="C145" s="824">
        <v>1336200</v>
      </c>
      <c r="D145" s="41">
        <f ca="1">'02_Видатки'!AU127</f>
        <v>1559700</v>
      </c>
      <c r="E145" s="41">
        <f ca="1">'02_Видатки'!AQ127</f>
        <v>389925</v>
      </c>
      <c r="F145" s="41">
        <f ca="1">'02_Видатки'!AR127</f>
        <v>389925</v>
      </c>
      <c r="G145" s="41">
        <f ca="1">'02_Видатки'!AS127</f>
        <v>389925</v>
      </c>
      <c r="H145" s="41">
        <f ca="1">'02_Видатки'!AT127</f>
        <v>389925</v>
      </c>
    </row>
    <row r="146" spans="1:9" ht="19.5" customHeight="1">
      <c r="A146" s="22" t="s">
        <v>401</v>
      </c>
      <c r="B146" s="47">
        <v>7030</v>
      </c>
      <c r="C146" s="824" t="s">
        <v>425</v>
      </c>
      <c r="D146" s="41" t="s">
        <v>425</v>
      </c>
      <c r="E146" s="34" t="s">
        <v>425</v>
      </c>
      <c r="F146" s="34" t="s">
        <v>425</v>
      </c>
      <c r="G146" s="34" t="s">
        <v>425</v>
      </c>
      <c r="H146" s="34" t="s">
        <v>425</v>
      </c>
    </row>
    <row r="147" spans="1:9" ht="19.5" customHeight="1">
      <c r="A147" s="23" t="s">
        <v>513</v>
      </c>
      <c r="B147" s="47">
        <v>7031</v>
      </c>
      <c r="C147" s="824">
        <v>38860</v>
      </c>
      <c r="D147" s="41">
        <f t="shared" ref="D147:D152" si="7">D140/12/D133</f>
        <v>39446.666666666664</v>
      </c>
      <c r="E147" s="41">
        <f t="shared" ref="E147:E152" si="8">E140/3/E133</f>
        <v>39446.666666666664</v>
      </c>
      <c r="F147" s="41">
        <f t="shared" ref="F147:H152" si="9">F140/3/F133</f>
        <v>39446.666666666664</v>
      </c>
      <c r="G147" s="41">
        <f t="shared" si="9"/>
        <v>39446.666666666664</v>
      </c>
      <c r="H147" s="41">
        <f t="shared" si="9"/>
        <v>39446.666666666664</v>
      </c>
      <c r="I147" s="728">
        <f t="shared" ref="I147:I152" si="10">D147-C147</f>
        <v>586.66666666666424</v>
      </c>
    </row>
    <row r="148" spans="1:9" ht="19.5" customHeight="1">
      <c r="A148" s="23" t="s">
        <v>295</v>
      </c>
      <c r="B148" s="47">
        <v>7032</v>
      </c>
      <c r="C148" s="824">
        <v>28183</v>
      </c>
      <c r="D148" s="41">
        <f t="shared" si="7"/>
        <v>30929.302325581397</v>
      </c>
      <c r="E148" s="41">
        <f t="shared" si="8"/>
        <v>30929.302325581397</v>
      </c>
      <c r="F148" s="41">
        <f t="shared" si="9"/>
        <v>30929.302325581397</v>
      </c>
      <c r="G148" s="41">
        <f t="shared" si="9"/>
        <v>30929.302325581397</v>
      </c>
      <c r="H148" s="41">
        <f t="shared" si="9"/>
        <v>30929.302325581397</v>
      </c>
      <c r="I148" s="728">
        <f t="shared" si="10"/>
        <v>2746.3023255813969</v>
      </c>
    </row>
    <row r="149" spans="1:9" ht="19.5" customHeight="1">
      <c r="A149" s="23" t="s">
        <v>398</v>
      </c>
      <c r="B149" s="47">
        <v>7033</v>
      </c>
      <c r="C149" s="824">
        <v>14523</v>
      </c>
      <c r="D149" s="41">
        <f t="shared" si="7"/>
        <v>16396.875</v>
      </c>
      <c r="E149" s="41">
        <f t="shared" si="8"/>
        <v>16396.875</v>
      </c>
      <c r="F149" s="41">
        <f t="shared" si="9"/>
        <v>16396.875</v>
      </c>
      <c r="G149" s="41">
        <f t="shared" si="9"/>
        <v>16396.875</v>
      </c>
      <c r="H149" s="41">
        <f t="shared" si="9"/>
        <v>16396.875</v>
      </c>
      <c r="I149" s="728">
        <f t="shared" si="10"/>
        <v>1873.875</v>
      </c>
    </row>
    <row r="150" spans="1:9" ht="19.5" customHeight="1">
      <c r="A150" s="23" t="s">
        <v>399</v>
      </c>
      <c r="B150" s="47">
        <v>7034</v>
      </c>
      <c r="C150" s="824">
        <v>9100</v>
      </c>
      <c r="D150" s="41">
        <f t="shared" si="7"/>
        <v>10500</v>
      </c>
      <c r="E150" s="41">
        <f t="shared" si="8"/>
        <v>10500</v>
      </c>
      <c r="F150" s="41">
        <f t="shared" si="9"/>
        <v>10500</v>
      </c>
      <c r="G150" s="41">
        <f t="shared" si="9"/>
        <v>10500</v>
      </c>
      <c r="H150" s="41">
        <f t="shared" si="9"/>
        <v>10500</v>
      </c>
      <c r="I150" s="728">
        <f t="shared" si="10"/>
        <v>1400</v>
      </c>
    </row>
    <row r="151" spans="1:9" ht="19.5" customHeight="1">
      <c r="A151" s="23" t="s">
        <v>397</v>
      </c>
      <c r="B151" s="47">
        <v>7035</v>
      </c>
      <c r="C151" s="824">
        <v>19207</v>
      </c>
      <c r="D151" s="41">
        <f t="shared" si="7"/>
        <v>20738.095238095237</v>
      </c>
      <c r="E151" s="41">
        <f t="shared" si="8"/>
        <v>20738.095238095237</v>
      </c>
      <c r="F151" s="41">
        <f t="shared" si="9"/>
        <v>20738.095238095237</v>
      </c>
      <c r="G151" s="41">
        <f t="shared" si="9"/>
        <v>20738.095238095237</v>
      </c>
      <c r="H151" s="41">
        <f t="shared" si="9"/>
        <v>20738.095238095237</v>
      </c>
      <c r="I151" s="728">
        <f t="shared" si="10"/>
        <v>1531.0952380952367</v>
      </c>
    </row>
    <row r="152" spans="1:9" ht="19.5" customHeight="1">
      <c r="A152" s="23" t="s">
        <v>564</v>
      </c>
      <c r="B152" s="47">
        <v>7036</v>
      </c>
      <c r="C152" s="824">
        <v>9090</v>
      </c>
      <c r="D152" s="41">
        <f t="shared" si="7"/>
        <v>10610.204081632653</v>
      </c>
      <c r="E152" s="41">
        <f t="shared" si="8"/>
        <v>10610.204081632653</v>
      </c>
      <c r="F152" s="41">
        <f t="shared" si="9"/>
        <v>10610.204081632653</v>
      </c>
      <c r="G152" s="41">
        <f t="shared" si="9"/>
        <v>10610.204081632653</v>
      </c>
      <c r="H152" s="41">
        <f t="shared" si="9"/>
        <v>10610.204081632653</v>
      </c>
      <c r="I152" s="728">
        <f t="shared" si="10"/>
        <v>1520.2040816326535</v>
      </c>
    </row>
    <row r="153" spans="1:9" ht="19.5" customHeight="1">
      <c r="A153" s="22" t="s">
        <v>402</v>
      </c>
      <c r="B153" s="47">
        <v>7040</v>
      </c>
      <c r="C153" s="824">
        <v>0</v>
      </c>
      <c r="D153" s="41">
        <f>SUM(D154:D159)</f>
        <v>0</v>
      </c>
      <c r="E153" s="34" t="s">
        <v>425</v>
      </c>
      <c r="F153" s="34" t="s">
        <v>425</v>
      </c>
      <c r="G153" s="34" t="s">
        <v>425</v>
      </c>
      <c r="H153" s="34" t="s">
        <v>425</v>
      </c>
    </row>
    <row r="154" spans="1:9" ht="19.5" customHeight="1">
      <c r="A154" s="23" t="s">
        <v>513</v>
      </c>
      <c r="B154" s="47">
        <v>7041</v>
      </c>
      <c r="C154" s="824">
        <v>0</v>
      </c>
      <c r="D154" s="42">
        <v>0</v>
      </c>
      <c r="E154" s="34" t="s">
        <v>425</v>
      </c>
      <c r="F154" s="34" t="s">
        <v>425</v>
      </c>
      <c r="G154" s="34" t="s">
        <v>425</v>
      </c>
      <c r="H154" s="34" t="s">
        <v>425</v>
      </c>
    </row>
    <row r="155" spans="1:9" ht="19.5" customHeight="1">
      <c r="A155" s="23" t="s">
        <v>295</v>
      </c>
      <c r="B155" s="47">
        <v>7042</v>
      </c>
      <c r="C155" s="824">
        <v>0</v>
      </c>
      <c r="D155" s="42">
        <v>0</v>
      </c>
      <c r="E155" s="34" t="s">
        <v>425</v>
      </c>
      <c r="F155" s="34" t="s">
        <v>425</v>
      </c>
      <c r="G155" s="34" t="s">
        <v>425</v>
      </c>
      <c r="H155" s="34" t="s">
        <v>425</v>
      </c>
    </row>
    <row r="156" spans="1:9" ht="19.5" customHeight="1">
      <c r="A156" s="23" t="s">
        <v>398</v>
      </c>
      <c r="B156" s="47">
        <v>7043</v>
      </c>
      <c r="C156" s="824">
        <v>0</v>
      </c>
      <c r="D156" s="42">
        <v>0</v>
      </c>
      <c r="E156" s="34" t="s">
        <v>425</v>
      </c>
      <c r="F156" s="34" t="s">
        <v>425</v>
      </c>
      <c r="G156" s="34" t="s">
        <v>425</v>
      </c>
      <c r="H156" s="34" t="s">
        <v>425</v>
      </c>
    </row>
    <row r="157" spans="1:9" ht="19.5" customHeight="1">
      <c r="A157" s="23" t="s">
        <v>399</v>
      </c>
      <c r="B157" s="47">
        <v>7044</v>
      </c>
      <c r="C157" s="824">
        <v>0</v>
      </c>
      <c r="D157" s="42">
        <v>0</v>
      </c>
      <c r="E157" s="34" t="s">
        <v>425</v>
      </c>
      <c r="F157" s="34" t="s">
        <v>425</v>
      </c>
      <c r="G157" s="34" t="s">
        <v>425</v>
      </c>
      <c r="H157" s="34" t="s">
        <v>425</v>
      </c>
    </row>
    <row r="158" spans="1:9" ht="19.5" customHeight="1">
      <c r="A158" s="23" t="s">
        <v>397</v>
      </c>
      <c r="B158" s="47">
        <v>7045</v>
      </c>
      <c r="C158" s="824">
        <v>0</v>
      </c>
      <c r="D158" s="42">
        <v>0</v>
      </c>
      <c r="E158" s="34" t="s">
        <v>425</v>
      </c>
      <c r="F158" s="34" t="s">
        <v>425</v>
      </c>
      <c r="G158" s="34" t="s">
        <v>425</v>
      </c>
      <c r="H158" s="34" t="s">
        <v>425</v>
      </c>
    </row>
    <row r="159" spans="1:9" ht="19.5" customHeight="1">
      <c r="A159" s="23" t="s">
        <v>564</v>
      </c>
      <c r="B159" s="47">
        <v>7046</v>
      </c>
      <c r="C159" s="824">
        <v>0</v>
      </c>
      <c r="D159" s="42">
        <v>0</v>
      </c>
      <c r="E159" s="34" t="s">
        <v>425</v>
      </c>
      <c r="F159" s="34" t="s">
        <v>425</v>
      </c>
      <c r="G159" s="34" t="s">
        <v>425</v>
      </c>
      <c r="H159" s="34" t="s">
        <v>425</v>
      </c>
    </row>
    <row r="160" spans="1:9" ht="19.5" customHeight="1">
      <c r="A160" s="24"/>
      <c r="B160" s="59"/>
      <c r="C160" s="826"/>
      <c r="D160" s="25"/>
      <c r="E160" s="25"/>
      <c r="F160" s="25"/>
      <c r="G160" s="25"/>
      <c r="H160" s="25"/>
    </row>
    <row r="161" spans="1:8" ht="21.75" customHeight="1">
      <c r="A161" s="24"/>
      <c r="C161" s="827"/>
      <c r="D161" s="26"/>
      <c r="E161" s="26"/>
      <c r="F161" s="26"/>
      <c r="G161" s="26"/>
      <c r="H161" s="26"/>
    </row>
    <row r="164" spans="1:8" ht="20.100000000000001" customHeight="1">
      <c r="A164" s="24"/>
      <c r="C164" s="827"/>
      <c r="D164" s="26"/>
      <c r="E164" s="26"/>
      <c r="F164" s="26"/>
      <c r="G164" s="26"/>
      <c r="H164" s="26"/>
    </row>
    <row r="167" spans="1:8">
      <c r="A167" s="24"/>
      <c r="C167" s="827"/>
      <c r="D167" s="26"/>
      <c r="E167" s="26"/>
      <c r="F167" s="26"/>
      <c r="G167" s="26"/>
      <c r="H167" s="26"/>
    </row>
    <row r="168" spans="1:8">
      <c r="A168" s="24"/>
      <c r="C168" s="827"/>
      <c r="D168" s="26"/>
      <c r="E168" s="26"/>
      <c r="F168" s="26"/>
      <c r="G168" s="26"/>
      <c r="H168" s="26"/>
    </row>
    <row r="169" spans="1:8" ht="19.899999999999999" customHeight="1">
      <c r="A169" s="27" t="s">
        <v>102</v>
      </c>
      <c r="B169" s="59" t="s">
        <v>104</v>
      </c>
      <c r="C169" s="1267"/>
      <c r="D169" s="1267"/>
      <c r="E169" s="28"/>
      <c r="F169" s="1268" t="s">
        <v>101</v>
      </c>
      <c r="G169" s="1268"/>
      <c r="H169" s="1268"/>
    </row>
    <row r="170" spans="1:8" ht="20.100000000000001" customHeight="1">
      <c r="A170" s="793" t="s">
        <v>103</v>
      </c>
      <c r="B170" s="3"/>
      <c r="C170" s="1265"/>
      <c r="D170" s="1265"/>
      <c r="E170" s="29"/>
      <c r="F170" s="1266" t="s">
        <v>106</v>
      </c>
      <c r="G170" s="1266"/>
      <c r="H170" s="1266"/>
    </row>
    <row r="171" spans="1:8">
      <c r="A171" s="24"/>
      <c r="C171" s="827"/>
      <c r="D171" s="26"/>
      <c r="E171" s="26"/>
      <c r="F171" s="26"/>
      <c r="G171" s="26"/>
      <c r="H171" s="26"/>
    </row>
    <row r="172" spans="1:8">
      <c r="A172" s="24"/>
      <c r="C172" s="827"/>
      <c r="D172" s="26"/>
      <c r="E172" s="26"/>
      <c r="F172" s="26"/>
      <c r="G172" s="26"/>
      <c r="H172" s="26"/>
    </row>
    <row r="173" spans="1:8">
      <c r="A173" s="24"/>
      <c r="C173" s="827"/>
      <c r="D173" s="26"/>
      <c r="E173" s="26"/>
      <c r="F173" s="26"/>
      <c r="G173" s="26"/>
      <c r="H173" s="26"/>
    </row>
    <row r="174" spans="1:8">
      <c r="A174" s="24"/>
      <c r="C174" s="827"/>
      <c r="D174" s="26"/>
      <c r="E174" s="26"/>
      <c r="F174" s="26"/>
      <c r="G174" s="26"/>
      <c r="H174" s="26"/>
    </row>
    <row r="175" spans="1:8">
      <c r="A175" s="24"/>
      <c r="C175" s="827"/>
      <c r="D175" s="26"/>
      <c r="E175" s="26"/>
      <c r="F175" s="26"/>
      <c r="G175" s="26"/>
      <c r="H175" s="26"/>
    </row>
    <row r="176" spans="1:8">
      <c r="A176" s="24"/>
      <c r="C176" s="827"/>
      <c r="D176" s="26"/>
      <c r="E176" s="26"/>
      <c r="F176" s="26"/>
      <c r="G176" s="26"/>
      <c r="H176" s="26"/>
    </row>
    <row r="177" spans="1:8">
      <c r="A177" s="24"/>
      <c r="C177" s="827"/>
      <c r="D177" s="26"/>
      <c r="E177" s="26"/>
      <c r="F177" s="26"/>
      <c r="G177" s="26"/>
      <c r="H177" s="26"/>
    </row>
    <row r="178" spans="1:8">
      <c r="A178" s="24"/>
      <c r="C178" s="827"/>
      <c r="D178" s="26"/>
      <c r="E178" s="26"/>
      <c r="F178" s="26"/>
      <c r="G178" s="26"/>
      <c r="H178" s="26"/>
    </row>
    <row r="179" spans="1:8">
      <c r="A179" s="24"/>
      <c r="C179" s="827"/>
      <c r="D179" s="26"/>
      <c r="E179" s="26"/>
      <c r="F179" s="26"/>
      <c r="G179" s="26"/>
      <c r="H179" s="26"/>
    </row>
    <row r="180" spans="1:8">
      <c r="A180" s="24"/>
      <c r="C180" s="827"/>
      <c r="D180" s="26"/>
      <c r="E180" s="26"/>
      <c r="F180" s="26"/>
      <c r="G180" s="26"/>
      <c r="H180" s="26"/>
    </row>
    <row r="181" spans="1:8">
      <c r="A181" s="24"/>
      <c r="C181" s="827"/>
      <c r="D181" s="26"/>
      <c r="E181" s="26"/>
      <c r="F181" s="26"/>
      <c r="G181" s="26"/>
      <c r="H181" s="26"/>
    </row>
    <row r="182" spans="1:8">
      <c r="A182" s="24"/>
      <c r="C182" s="827"/>
      <c r="D182" s="26"/>
      <c r="E182" s="26"/>
      <c r="F182" s="26"/>
      <c r="G182" s="26"/>
      <c r="H182" s="26"/>
    </row>
    <row r="183" spans="1:8">
      <c r="A183" s="24"/>
      <c r="C183" s="827"/>
      <c r="D183" s="26"/>
      <c r="E183" s="26"/>
      <c r="F183" s="26"/>
      <c r="G183" s="26"/>
      <c r="H183" s="26"/>
    </row>
    <row r="184" spans="1:8">
      <c r="A184" s="24"/>
      <c r="C184" s="827"/>
      <c r="D184" s="26"/>
      <c r="E184" s="26"/>
      <c r="F184" s="26"/>
      <c r="G184" s="26"/>
      <c r="H184" s="26"/>
    </row>
    <row r="185" spans="1:8">
      <c r="A185" s="24"/>
      <c r="C185" s="827"/>
      <c r="D185" s="26"/>
      <c r="E185" s="26"/>
      <c r="F185" s="26"/>
      <c r="G185" s="26"/>
      <c r="H185" s="26"/>
    </row>
    <row r="186" spans="1:8">
      <c r="A186" s="24"/>
      <c r="C186" s="827"/>
      <c r="D186" s="26"/>
      <c r="E186" s="26"/>
      <c r="F186" s="26"/>
      <c r="G186" s="26"/>
      <c r="H186" s="26"/>
    </row>
    <row r="187" spans="1:8">
      <c r="A187" s="24"/>
      <c r="C187" s="827"/>
      <c r="D187" s="26"/>
      <c r="E187" s="26"/>
      <c r="F187" s="26"/>
      <c r="G187" s="26"/>
      <c r="H187" s="26"/>
    </row>
    <row r="188" spans="1:8">
      <c r="A188" s="24"/>
      <c r="C188" s="827"/>
      <c r="D188" s="26"/>
      <c r="E188" s="26"/>
      <c r="F188" s="26"/>
      <c r="G188" s="26"/>
      <c r="H188" s="26"/>
    </row>
    <row r="189" spans="1:8">
      <c r="A189" s="24"/>
      <c r="C189" s="827"/>
      <c r="D189" s="26"/>
      <c r="E189" s="26"/>
      <c r="F189" s="26"/>
      <c r="G189" s="26"/>
      <c r="H189" s="26"/>
    </row>
    <row r="190" spans="1:8">
      <c r="A190" s="24"/>
      <c r="C190" s="827"/>
      <c r="D190" s="26"/>
      <c r="E190" s="26"/>
      <c r="F190" s="26"/>
      <c r="G190" s="26"/>
      <c r="H190" s="26"/>
    </row>
    <row r="191" spans="1:8">
      <c r="A191" s="24"/>
      <c r="C191" s="827"/>
      <c r="D191" s="26"/>
      <c r="E191" s="26"/>
      <c r="F191" s="26"/>
      <c r="G191" s="26"/>
      <c r="H191" s="26"/>
    </row>
    <row r="192" spans="1:8">
      <c r="A192" s="24"/>
      <c r="C192" s="827"/>
      <c r="D192" s="26"/>
      <c r="E192" s="26"/>
      <c r="F192" s="26"/>
      <c r="G192" s="26"/>
      <c r="H192" s="26"/>
    </row>
    <row r="193" spans="1:8">
      <c r="A193" s="24"/>
      <c r="C193" s="827"/>
      <c r="D193" s="26"/>
      <c r="E193" s="26"/>
      <c r="F193" s="26"/>
      <c r="G193" s="26"/>
      <c r="H193" s="26"/>
    </row>
    <row r="194" spans="1:8">
      <c r="A194" s="24"/>
      <c r="C194" s="827"/>
      <c r="D194" s="26"/>
      <c r="E194" s="26"/>
      <c r="F194" s="26"/>
      <c r="G194" s="26"/>
      <c r="H194" s="26"/>
    </row>
    <row r="195" spans="1:8">
      <c r="A195" s="24"/>
      <c r="C195" s="827"/>
      <c r="D195" s="26"/>
      <c r="E195" s="26"/>
      <c r="F195" s="26"/>
      <c r="G195" s="26"/>
      <c r="H195" s="26"/>
    </row>
    <row r="196" spans="1:8">
      <c r="A196" s="24"/>
      <c r="C196" s="827"/>
      <c r="D196" s="26"/>
      <c r="E196" s="26"/>
      <c r="F196" s="26"/>
      <c r="G196" s="26"/>
      <c r="H196" s="26"/>
    </row>
    <row r="197" spans="1:8">
      <c r="A197" s="24"/>
      <c r="C197" s="827"/>
      <c r="D197" s="26"/>
      <c r="E197" s="26"/>
      <c r="F197" s="26"/>
      <c r="G197" s="26"/>
      <c r="H197" s="26"/>
    </row>
    <row r="198" spans="1:8">
      <c r="A198" s="24"/>
      <c r="C198" s="827"/>
      <c r="D198" s="26"/>
      <c r="E198" s="26"/>
      <c r="F198" s="26"/>
      <c r="G198" s="26"/>
      <c r="H198" s="26"/>
    </row>
    <row r="199" spans="1:8">
      <c r="A199" s="24"/>
      <c r="C199" s="827"/>
      <c r="D199" s="26"/>
      <c r="E199" s="26"/>
      <c r="F199" s="26"/>
      <c r="G199" s="26"/>
      <c r="H199" s="26"/>
    </row>
    <row r="200" spans="1:8">
      <c r="A200" s="24"/>
      <c r="C200" s="827"/>
      <c r="D200" s="26"/>
      <c r="E200" s="26"/>
      <c r="F200" s="26"/>
      <c r="G200" s="26"/>
      <c r="H200" s="26"/>
    </row>
    <row r="201" spans="1:8">
      <c r="A201" s="24"/>
      <c r="C201" s="827"/>
      <c r="D201" s="26"/>
      <c r="E201" s="26"/>
      <c r="F201" s="26"/>
      <c r="G201" s="26"/>
      <c r="H201" s="26"/>
    </row>
    <row r="202" spans="1:8">
      <c r="A202" s="24"/>
      <c r="C202" s="827"/>
      <c r="D202" s="26"/>
      <c r="E202" s="26"/>
      <c r="F202" s="26"/>
      <c r="G202" s="26"/>
      <c r="H202" s="26"/>
    </row>
    <row r="203" spans="1:8">
      <c r="A203" s="24"/>
      <c r="C203" s="827"/>
      <c r="D203" s="26"/>
      <c r="E203" s="26"/>
      <c r="F203" s="26"/>
      <c r="G203" s="26"/>
      <c r="H203" s="26"/>
    </row>
    <row r="204" spans="1:8">
      <c r="A204" s="24"/>
      <c r="C204" s="827"/>
      <c r="D204" s="26"/>
      <c r="E204" s="26"/>
      <c r="F204" s="26"/>
      <c r="G204" s="26"/>
      <c r="H204" s="26"/>
    </row>
    <row r="205" spans="1:8">
      <c r="A205" s="30"/>
    </row>
    <row r="206" spans="1:8">
      <c r="A206" s="30"/>
    </row>
    <row r="207" spans="1:8">
      <c r="A207" s="30"/>
    </row>
    <row r="208" spans="1:8">
      <c r="A208" s="30"/>
    </row>
    <row r="209" spans="1:1">
      <c r="A209" s="30"/>
    </row>
    <row r="210" spans="1:1">
      <c r="A210" s="30"/>
    </row>
    <row r="211" spans="1:1">
      <c r="A211" s="30"/>
    </row>
    <row r="212" spans="1:1">
      <c r="A212" s="30"/>
    </row>
    <row r="213" spans="1:1">
      <c r="A213" s="30"/>
    </row>
    <row r="214" spans="1:1">
      <c r="A214" s="30"/>
    </row>
    <row r="215" spans="1:1">
      <c r="A215" s="30"/>
    </row>
    <row r="216" spans="1:1">
      <c r="A216" s="30"/>
    </row>
    <row r="217" spans="1:1">
      <c r="A217" s="30"/>
    </row>
    <row r="218" spans="1:1">
      <c r="A218" s="30"/>
    </row>
    <row r="219" spans="1:1">
      <c r="A219" s="30"/>
    </row>
    <row r="220" spans="1:1">
      <c r="A220" s="30"/>
    </row>
    <row r="221" spans="1:1">
      <c r="A221" s="30"/>
    </row>
    <row r="222" spans="1:1">
      <c r="A222" s="30"/>
    </row>
    <row r="223" spans="1:1">
      <c r="A223" s="30"/>
    </row>
    <row r="224" spans="1:1">
      <c r="A224" s="30"/>
    </row>
    <row r="225" spans="1:1">
      <c r="A225" s="30"/>
    </row>
    <row r="226" spans="1:1">
      <c r="A226" s="30"/>
    </row>
    <row r="227" spans="1:1">
      <c r="A227" s="30"/>
    </row>
    <row r="228" spans="1:1">
      <c r="A228" s="30"/>
    </row>
    <row r="229" spans="1:1">
      <c r="A229" s="30"/>
    </row>
    <row r="230" spans="1:1">
      <c r="A230" s="30"/>
    </row>
    <row r="231" spans="1:1">
      <c r="A231" s="30"/>
    </row>
    <row r="232" spans="1:1">
      <c r="A232" s="30"/>
    </row>
    <row r="233" spans="1:1">
      <c r="A233" s="30"/>
    </row>
    <row r="234" spans="1:1">
      <c r="A234" s="30"/>
    </row>
    <row r="235" spans="1:1">
      <c r="A235" s="30"/>
    </row>
    <row r="236" spans="1:1">
      <c r="A236" s="30"/>
    </row>
    <row r="237" spans="1:1">
      <c r="A237" s="30"/>
    </row>
    <row r="238" spans="1:1">
      <c r="A238" s="30"/>
    </row>
    <row r="239" spans="1:1">
      <c r="A239" s="30"/>
    </row>
    <row r="240" spans="1:1">
      <c r="A240" s="30"/>
    </row>
    <row r="241" spans="1:1">
      <c r="A241" s="30"/>
    </row>
    <row r="242" spans="1:1">
      <c r="A242" s="30"/>
    </row>
    <row r="243" spans="1:1">
      <c r="A243" s="30"/>
    </row>
    <row r="244" spans="1:1">
      <c r="A244" s="30"/>
    </row>
    <row r="245" spans="1:1">
      <c r="A245" s="30"/>
    </row>
    <row r="246" spans="1:1">
      <c r="A246" s="30"/>
    </row>
    <row r="247" spans="1:1">
      <c r="A247" s="30"/>
    </row>
    <row r="248" spans="1:1">
      <c r="A248" s="30"/>
    </row>
    <row r="249" spans="1:1">
      <c r="A249" s="30"/>
    </row>
    <row r="250" spans="1:1">
      <c r="A250" s="30"/>
    </row>
    <row r="251" spans="1:1">
      <c r="A251" s="30"/>
    </row>
    <row r="252" spans="1:1">
      <c r="A252" s="30"/>
    </row>
    <row r="253" spans="1:1">
      <c r="A253" s="30"/>
    </row>
    <row r="254" spans="1:1">
      <c r="A254" s="30"/>
    </row>
    <row r="255" spans="1:1">
      <c r="A255" s="30"/>
    </row>
    <row r="256" spans="1:1">
      <c r="A256" s="30"/>
    </row>
    <row r="257" spans="1:1">
      <c r="A257" s="30"/>
    </row>
    <row r="258" spans="1:1">
      <c r="A258" s="30"/>
    </row>
    <row r="259" spans="1:1">
      <c r="A259" s="30"/>
    </row>
    <row r="260" spans="1:1">
      <c r="A260" s="30"/>
    </row>
    <row r="261" spans="1:1">
      <c r="A261" s="30"/>
    </row>
    <row r="262" spans="1:1">
      <c r="A262" s="30"/>
    </row>
    <row r="263" spans="1:1">
      <c r="A263" s="30"/>
    </row>
    <row r="264" spans="1:1">
      <c r="A264" s="30"/>
    </row>
    <row r="265" spans="1:1">
      <c r="A265" s="30"/>
    </row>
    <row r="266" spans="1:1">
      <c r="A266" s="30"/>
    </row>
    <row r="267" spans="1:1">
      <c r="A267" s="30"/>
    </row>
    <row r="268" spans="1:1">
      <c r="A268" s="30"/>
    </row>
    <row r="269" spans="1:1">
      <c r="A269" s="30"/>
    </row>
    <row r="270" spans="1:1">
      <c r="A270" s="30"/>
    </row>
    <row r="271" spans="1:1">
      <c r="A271" s="30"/>
    </row>
    <row r="272" spans="1:1">
      <c r="A272" s="30"/>
    </row>
    <row r="273" spans="1:1">
      <c r="A273" s="30"/>
    </row>
    <row r="274" spans="1:1">
      <c r="A274" s="30"/>
    </row>
    <row r="275" spans="1:1">
      <c r="A275" s="30"/>
    </row>
    <row r="276" spans="1:1">
      <c r="A276" s="30"/>
    </row>
    <row r="277" spans="1:1">
      <c r="A277" s="30"/>
    </row>
    <row r="278" spans="1:1">
      <c r="A278" s="30"/>
    </row>
    <row r="279" spans="1:1">
      <c r="A279" s="30"/>
    </row>
    <row r="280" spans="1:1">
      <c r="A280" s="30"/>
    </row>
    <row r="281" spans="1:1">
      <c r="A281" s="30"/>
    </row>
    <row r="282" spans="1:1">
      <c r="A282" s="30"/>
    </row>
    <row r="283" spans="1:1">
      <c r="A283" s="30"/>
    </row>
    <row r="284" spans="1:1">
      <c r="A284" s="30"/>
    </row>
    <row r="285" spans="1:1">
      <c r="A285" s="30"/>
    </row>
    <row r="286" spans="1:1">
      <c r="A286" s="30"/>
    </row>
    <row r="287" spans="1:1">
      <c r="A287" s="30"/>
    </row>
    <row r="288" spans="1:1">
      <c r="A288" s="30"/>
    </row>
    <row r="289" spans="1:1">
      <c r="A289" s="30"/>
    </row>
    <row r="290" spans="1:1">
      <c r="A290" s="30"/>
    </row>
    <row r="291" spans="1:1">
      <c r="A291" s="30"/>
    </row>
    <row r="292" spans="1:1">
      <c r="A292" s="30"/>
    </row>
    <row r="293" spans="1:1">
      <c r="A293" s="30"/>
    </row>
    <row r="294" spans="1:1">
      <c r="A294" s="30"/>
    </row>
    <row r="295" spans="1:1">
      <c r="A295" s="30"/>
    </row>
    <row r="296" spans="1:1">
      <c r="A296" s="30"/>
    </row>
    <row r="297" spans="1:1">
      <c r="A297" s="30"/>
    </row>
    <row r="298" spans="1:1">
      <c r="A298" s="30"/>
    </row>
    <row r="299" spans="1:1">
      <c r="A299" s="30"/>
    </row>
    <row r="300" spans="1:1">
      <c r="A300" s="30"/>
    </row>
    <row r="301" spans="1:1">
      <c r="A301" s="30"/>
    </row>
    <row r="302" spans="1:1">
      <c r="A302" s="30"/>
    </row>
    <row r="303" spans="1:1">
      <c r="A303" s="30"/>
    </row>
    <row r="304" spans="1:1">
      <c r="A304" s="30"/>
    </row>
    <row r="305" spans="1:1">
      <c r="A305" s="30"/>
    </row>
    <row r="306" spans="1:1">
      <c r="A306" s="30"/>
    </row>
    <row r="307" spans="1:1">
      <c r="A307" s="30"/>
    </row>
    <row r="308" spans="1:1">
      <c r="A308" s="30"/>
    </row>
    <row r="309" spans="1:1">
      <c r="A309" s="30"/>
    </row>
    <row r="310" spans="1:1">
      <c r="A310" s="30"/>
    </row>
    <row r="311" spans="1:1">
      <c r="A311" s="30"/>
    </row>
    <row r="312" spans="1:1">
      <c r="A312" s="30"/>
    </row>
    <row r="313" spans="1:1">
      <c r="A313" s="30"/>
    </row>
    <row r="314" spans="1:1">
      <c r="A314" s="30"/>
    </row>
    <row r="315" spans="1:1">
      <c r="A315" s="30"/>
    </row>
    <row r="316" spans="1:1">
      <c r="A316" s="30"/>
    </row>
    <row r="317" spans="1:1">
      <c r="A317" s="30"/>
    </row>
    <row r="318" spans="1:1">
      <c r="A318" s="30"/>
    </row>
    <row r="319" spans="1:1">
      <c r="A319" s="30"/>
    </row>
    <row r="320" spans="1:1">
      <c r="A320" s="30"/>
    </row>
    <row r="321" spans="1:1">
      <c r="A321" s="30"/>
    </row>
    <row r="322" spans="1:1">
      <c r="A322" s="30"/>
    </row>
    <row r="323" spans="1:1">
      <c r="A323" s="30"/>
    </row>
    <row r="324" spans="1:1">
      <c r="A324" s="30"/>
    </row>
    <row r="325" spans="1:1">
      <c r="A325" s="30"/>
    </row>
    <row r="326" spans="1:1">
      <c r="A326" s="30"/>
    </row>
    <row r="327" spans="1:1">
      <c r="A327" s="30"/>
    </row>
    <row r="328" spans="1:1">
      <c r="A328" s="30"/>
    </row>
    <row r="329" spans="1:1">
      <c r="A329" s="30"/>
    </row>
    <row r="330" spans="1:1">
      <c r="A330" s="30"/>
    </row>
    <row r="331" spans="1:1">
      <c r="A331" s="30"/>
    </row>
    <row r="332" spans="1:1">
      <c r="A332" s="30"/>
    </row>
    <row r="333" spans="1:1">
      <c r="A333" s="30"/>
    </row>
    <row r="334" spans="1:1">
      <c r="A334" s="30"/>
    </row>
    <row r="335" spans="1:1">
      <c r="A335" s="30"/>
    </row>
    <row r="336" spans="1:1">
      <c r="A336" s="30"/>
    </row>
    <row r="337" spans="1:1">
      <c r="A337" s="30"/>
    </row>
    <row r="338" spans="1:1">
      <c r="A338" s="30"/>
    </row>
    <row r="339" spans="1:1">
      <c r="A339" s="30"/>
    </row>
    <row r="340" spans="1:1">
      <c r="A340" s="30"/>
    </row>
    <row r="341" spans="1:1">
      <c r="A341" s="30"/>
    </row>
    <row r="342" spans="1:1">
      <c r="A342" s="30"/>
    </row>
    <row r="343" spans="1:1">
      <c r="A343" s="30"/>
    </row>
    <row r="344" spans="1:1">
      <c r="A344" s="30"/>
    </row>
    <row r="345" spans="1:1">
      <c r="A345" s="30"/>
    </row>
    <row r="346" spans="1:1">
      <c r="A346" s="30"/>
    </row>
    <row r="347" spans="1:1">
      <c r="A347" s="30"/>
    </row>
    <row r="348" spans="1:1">
      <c r="A348" s="30"/>
    </row>
    <row r="349" spans="1:1">
      <c r="A349" s="30"/>
    </row>
    <row r="350" spans="1:1">
      <c r="A350" s="30"/>
    </row>
    <row r="351" spans="1:1">
      <c r="A351" s="30"/>
    </row>
    <row r="352" spans="1:1">
      <c r="A352" s="30"/>
    </row>
    <row r="353" spans="1:1">
      <c r="A353" s="30"/>
    </row>
    <row r="354" spans="1:1">
      <c r="A354" s="30"/>
    </row>
    <row r="355" spans="1:1">
      <c r="A355" s="30"/>
    </row>
    <row r="356" spans="1:1">
      <c r="A356" s="30"/>
    </row>
    <row r="357" spans="1:1">
      <c r="A357" s="30"/>
    </row>
    <row r="358" spans="1:1">
      <c r="A358" s="30"/>
    </row>
    <row r="359" spans="1:1">
      <c r="A359" s="30"/>
    </row>
    <row r="360" spans="1:1">
      <c r="A360" s="30"/>
    </row>
    <row r="361" spans="1:1">
      <c r="A361" s="30"/>
    </row>
    <row r="362" spans="1:1">
      <c r="A362" s="30"/>
    </row>
    <row r="363" spans="1:1">
      <c r="A363" s="30"/>
    </row>
    <row r="364" spans="1:1">
      <c r="A364" s="30"/>
    </row>
    <row r="365" spans="1:1">
      <c r="A365" s="30"/>
    </row>
    <row r="366" spans="1:1">
      <c r="A366" s="30"/>
    </row>
    <row r="367" spans="1:1">
      <c r="A367" s="30"/>
    </row>
    <row r="368" spans="1:1">
      <c r="A368" s="30"/>
    </row>
    <row r="369" spans="1:1">
      <c r="A369" s="30"/>
    </row>
    <row r="370" spans="1:1">
      <c r="A370" s="30"/>
    </row>
    <row r="371" spans="1:1">
      <c r="A371" s="30"/>
    </row>
  </sheetData>
  <mergeCells count="41">
    <mergeCell ref="F20:H20"/>
    <mergeCell ref="F29:G29"/>
    <mergeCell ref="B24:E24"/>
    <mergeCell ref="F28:G28"/>
    <mergeCell ref="E11:G11"/>
    <mergeCell ref="F16:G16"/>
    <mergeCell ref="F17:G17"/>
    <mergeCell ref="F18:G18"/>
    <mergeCell ref="F19:G19"/>
    <mergeCell ref="F23:H23"/>
    <mergeCell ref="F24:G24"/>
    <mergeCell ref="B32:E32"/>
    <mergeCell ref="F25:G25"/>
    <mergeCell ref="B23:E23"/>
    <mergeCell ref="B25:E25"/>
    <mergeCell ref="B35:D35"/>
    <mergeCell ref="F32:G32"/>
    <mergeCell ref="B33:E33"/>
    <mergeCell ref="B27:E27"/>
    <mergeCell ref="B26:E26"/>
    <mergeCell ref="F26:G26"/>
    <mergeCell ref="F27:G27"/>
    <mergeCell ref="C170:D170"/>
    <mergeCell ref="F170:H170"/>
    <mergeCell ref="C169:D169"/>
    <mergeCell ref="F169:H169"/>
    <mergeCell ref="F33:G33"/>
    <mergeCell ref="B29:E29"/>
    <mergeCell ref="B30:D30"/>
    <mergeCell ref="B34:E34"/>
    <mergeCell ref="B31:E31"/>
    <mergeCell ref="A6:A17"/>
    <mergeCell ref="A43:H43"/>
    <mergeCell ref="A37:H37"/>
    <mergeCell ref="A39:A40"/>
    <mergeCell ref="B39:B40"/>
    <mergeCell ref="C39:C40"/>
    <mergeCell ref="D39:D40"/>
    <mergeCell ref="E39:H39"/>
    <mergeCell ref="A42:H42"/>
    <mergeCell ref="B28:E28"/>
  </mergeCells>
  <phoneticPr fontId="0" type="noConversion"/>
  <conditionalFormatting sqref="C87:H87">
    <cfRule type="cellIs" dxfId="4" priority="11" operator="lessThanOrEqual">
      <formula>0</formula>
    </cfRule>
  </conditionalFormatting>
  <conditionalFormatting sqref="E81:H82 E132:H132 C63:D87 D96:D104 C44:D55 C57:D58 C60:C86 C90:D93 C107:H116 C132:D159">
    <cfRule type="notContainsBlanks" dxfId="3" priority="10">
      <formula>LEN(TRIM(C44))&gt;0</formula>
    </cfRule>
  </conditionalFormatting>
  <conditionalFormatting sqref="D60:D62">
    <cfRule type="notContainsBlanks" dxfId="2" priority="8">
      <formula>LEN(TRIM(D60))&gt;0</formula>
    </cfRule>
  </conditionalFormatting>
  <conditionalFormatting sqref="E86:H86">
    <cfRule type="notContainsBlanks" dxfId="1" priority="2">
      <formula>LEN(TRIM(E86))&gt;0</formula>
    </cfRule>
  </conditionalFormatting>
  <conditionalFormatting sqref="E86:H86">
    <cfRule type="notContainsBlanks" dxfId="0" priority="1">
      <formula>LEN(TRIM(E86))&gt;0</formula>
    </cfRule>
  </conditionalFormatting>
  <pageMargins left="0.39370078740157483" right="0.27559055118110237" top="0.47244094488188981" bottom="0.27559055118110237" header="0.39370078740157483" footer="0.19685039370078741"/>
  <pageSetup paperSize="9" scale="42" fitToHeight="2" orientation="portrait" blackAndWhite="1" horizontalDpi="300" verticalDpi="300" r:id="rId1"/>
  <headerFooter alignWithMargins="0"/>
  <rowBreaks count="1" manualBreakCount="1">
    <brk id="83" max="7" man="1"/>
  </rowBreaks>
  <ignoredErrors>
    <ignoredError sqref="F87:H87 F86:H86 F85:H85 D148 D151" evalError="1"/>
    <ignoredError sqref="D77 D53 D96"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7</vt:i4>
      </vt:variant>
    </vt:vector>
  </HeadingPairs>
  <TitlesOfParts>
    <vt:vector size="18" baseType="lpstr">
      <vt:lpstr>Титул</vt:lpstr>
      <vt:lpstr>Інструкція</vt:lpstr>
      <vt:lpstr>0_Загальне</vt:lpstr>
      <vt:lpstr>Законод</vt:lpstr>
      <vt:lpstr>01_Доходи</vt:lpstr>
      <vt:lpstr>02_Видатки</vt:lpstr>
      <vt:lpstr>03_МТО</vt:lpstr>
      <vt:lpstr>04_Фін_стійкість</vt:lpstr>
      <vt:lpstr>05_Фін_план</vt:lpstr>
      <vt:lpstr>ДРУК</vt:lpstr>
      <vt:lpstr>Графіки</vt:lpstr>
      <vt:lpstr>до_1_року</vt:lpstr>
      <vt:lpstr>'05_Фін_план'!Заголовки_для_печати</vt:lpstr>
      <vt:lpstr>лікарі</vt:lpstr>
      <vt:lpstr>'02_Видатки'!Область_печати</vt:lpstr>
      <vt:lpstr>'04_Фін_стійкість'!Область_печати</vt:lpstr>
      <vt:lpstr>'05_Фін_план'!Область_печати</vt:lpstr>
      <vt:lpstr>ДРУК!Область_печати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2021-12-28T11:04:23Z</cp:lastPrinted>
  <dcterms:created xsi:type="dcterms:W3CDTF">2015-06-05T18:19:34Z</dcterms:created>
  <dcterms:modified xsi:type="dcterms:W3CDTF">2023-12-11T11:02:47Z</dcterms:modified>
</cp:coreProperties>
</file>